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AD74BCF7-27B3-4772-B5C3-6B50442D0DEF}" xr6:coauthVersionLast="45" xr6:coauthVersionMax="45" xr10:uidLastSave="{00000000-0000-0000-0000-000000000000}"/>
  <bookViews>
    <workbookView xWindow="3660" yWindow="2730" windowWidth="15780" windowHeight="9810" tabRatio="900" activeTab="6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Планирование" sheetId="33" r:id="rId7"/>
    <sheet name="STK" sheetId="7" r:id="rId8"/>
    <sheet name="Бюджетные курсы" sheetId="10" r:id="rId9"/>
    <sheet name="РРЦ" sheetId="8" r:id="rId10"/>
    <sheet name="Планирование_old" sheetId="15" state="hidden" r:id="rId11"/>
    <sheet name="Справочники &gt;&gt;" sheetId="31" r:id="rId12"/>
    <sheet name="Exclusives" sheetId="20" r:id="rId13"/>
    <sheet name="Channel type" sheetId="16" r:id="rId14"/>
    <sheet name="Сертификация" sheetId="25" r:id="rId15"/>
    <sheet name="Customer status" sheetId="17" r:id="rId16"/>
    <sheet name="Структура ассортимента" sheetId="24" r:id="rId17"/>
    <sheet name="Структура цен DIY" sheetId="9" r:id="rId18"/>
    <sheet name="Продуктовые календари" sheetId="6" r:id="rId19"/>
    <sheet name="Статусы товаров" sheetId="4" r:id="rId20"/>
    <sheet name="Эксклюзивность" sheetId="11" r:id="rId21"/>
    <sheet name="GardenChannel" sheetId="13" r:id="rId22"/>
  </sheets>
  <externalReferences>
    <externalReference r:id="rId23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6" hidden="1">Планирование!$A$1:$QS$2</definedName>
    <definedName name="_xlnm._FilterDatabase" localSheetId="5" hidden="1">'Планирование НГ шаблон'!$A$8:$QP$9</definedName>
    <definedName name="_xlnm._FilterDatabase" localSheetId="4" hidden="1">'Прайс лист шаблон'!$B$13:$W$13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6">Планирование!#REF!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5"/>
      </x15:timelineCachePivotCaches>
    </ext>
    <ext xmlns:x15="http://schemas.microsoft.com/office/spreadsheetml/2010/11/main" uri="{D0CA8CA8-9F24-4464-BF8E-62219DCF47F9}">
      <x15:timelineCacheRefs>
        <x15:timelineCacheRef r:id="rId2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<sst xmlns="http://schemas.openxmlformats.org/spreadsheetml/2006/main" count="37466" uniqueCount="8356">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</sst>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2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1" fontId="7" fillId="0" borderId="0" xfId="2" applyNumberFormat="1" applyFont="1" applyAlignment="1">
      <alignment horizontal="center" vertical="top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12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right style="dashDot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1129">
      <pivotArea field="4" type="button" dataOnly="0" labelOnly="1" outline="0" axis="axisRow" fieldPosition="0"/>
    </format>
    <format dxfId="1128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27">
      <pivotArea field="4" type="button" dataOnly="0" labelOnly="1" outline="0" axis="axisRow" fieldPosition="0"/>
    </format>
    <format dxfId="112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25">
      <pivotArea field="4" type="button" dataOnly="0" labelOnly="1" outline="0" axis="axisRow" fieldPosition="0"/>
    </format>
    <format dxfId="1124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1192" dataDxfId="1191">
  <autoFilter ref="A4:AY1864" xr:uid="{6B7FED29-D1EF-44AD-8CEA-6B36EA57CFDF}"/>
  <tableColumns count="51">
    <tableColumn id="20" xr3:uid="{F0834113-79EB-4DC4-BB50-96E4D3BC9E62}" name="№" dataDxfId="1190"/>
    <tableColumn id="1" xr3:uid="{44335108-828B-4B3A-895B-7E65E05994E7}" name="Категория для прайс-листа дилеров" dataDxfId="1189"/>
    <tableColumn id="51" xr3:uid="{B6F4BDB1-0B40-402E-8F7C-9BED5A1F482A}" name="Суперкатегория" dataDxfId="1188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1187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1186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1185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1184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1183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1182"/>
    <tableColumn id="50" xr3:uid="{AC4F29A4-006B-4674-A4BB-4326DB08BE6F}" name="Generic Name (long)" dataDxfId="1181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1180"/>
    <tableColumn id="10" xr3:uid="{00000000-0010-0000-0300-00000A000000}" name="PNS" dataDxfId="1179"/>
    <tableColumn id="11" xr3:uid="{00000000-0010-0000-0300-00000B000000}" name="Артикул" dataDxfId="1178"/>
    <tableColumn id="12" xr3:uid="{00000000-0010-0000-0300-00000C000000}" name="Артикул предшественника (если есть)" dataDxfId="1177"/>
    <tableColumn id="13" xr3:uid="{00000000-0010-0000-0300-00000D000000}" name="Название артикула (ENG)" dataDxfId="1176"/>
    <tableColumn id="14" xr3:uid="{00000000-0010-0000-0300-00000E000000}" name="Название артикула (RUS)" dataDxfId="1175"/>
    <tableColumn id="15" xr3:uid="{00000000-0010-0000-0300-00000F000000}" name="Используемый календарь" dataDxfId="1174"/>
    <tableColumn id="21" xr3:uid="{22E1A367-1EE8-43BC-814E-457CB0799CE2}" name="to be sold in" dataDxfId="1173"/>
    <tableColumn id="22" xr3:uid="{96D0E354-E4F0-4C0D-A215-B5053EDC93D3}" name="Sales Start Date" dataDxfId="1172"/>
    <tableColumn id="23" xr3:uid="{8E8FA46F-C4EA-4B11-9002-6C2FB1732F50}" name="Preliminary Elimination Date" dataDxfId="1171"/>
    <tableColumn id="24" xr3:uid="{1CD4DFA3-524A-4B3F-B75B-153436EC8505}" name="Elimination Date" dataDxfId="1170"/>
    <tableColumn id="25" xr3:uid="{9E91402A-0829-46E3-BCAD-2B3FBD67E8B4}" name="GTIN-13/EAN" dataDxfId="1169"/>
    <tableColumn id="26" xr3:uid="{6D670FEE-0EE3-4984-AE03-EE53C5B4F796}" name="Current Producing Factory Entity Reference" dataDxfId="1168"/>
    <tableColumn id="27" xr3:uid="{5EE7ABD6-FDA4-4488-802E-A3E44391980C}" name="Country of Origin" dataDxfId="1167"/>
    <tableColumn id="28" xr3:uid="{9B515A88-1ED3-4508-B5E0-8006888F9EC2}" name="Unit of measure" dataDxfId="1166"/>
    <tableColumn id="29" xr3:uid="{87BE889F-2ABE-4DA6-8E30-3420049514D6}" name="Quantity in Master pack" dataDxfId="1165"/>
    <tableColumn id="30" xr3:uid="{47EEE49F-81B7-4FCC-B374-69DEC03ECE66}" name="Article gross weight, preliminary" dataDxfId="1164"/>
    <tableColumn id="31" xr3:uid="{EFEF2C58-568B-4F24-9FA2-6034A66D278C}" name="Article gross weight" dataDxfId="1163"/>
    <tableColumn id="32" xr3:uid="{D9BFC098-81CC-44FD-9FDE-FE6F58BB8BD6}" name="Article net weight, preliminary" dataDxfId="1162"/>
    <tableColumn id="33" xr3:uid="{C47E9D47-775F-4F97-AD61-45CFFC8D6D30}" name="Article net weight" dataDxfId="1161"/>
    <tableColumn id="34" xr3:uid="{8FDF5358-549B-4DBC-B8D0-CFC371276F4D}" name="Packaging length" dataDxfId="1160"/>
    <tableColumn id="35" xr3:uid="{6E69E3B5-4350-4ABB-89BF-8A6BD2DC4947}" name="Packaging width" dataDxfId="1159"/>
    <tableColumn id="36" xr3:uid="{96879B4C-6D27-4389-8B5A-11E1CBC022EA}" name="Packaging height" dataDxfId="1158"/>
    <tableColumn id="37" xr3:uid="{170F61C0-2069-494A-A33C-F39311F5A9C7}" name="Packaging volume" dataDxfId="1157"/>
    <tableColumn id="38" xr3:uid="{5E3DED34-6BEE-4E8A-AFB4-2CACE6CD1835}" name="Product size length" dataDxfId="1156"/>
    <tableColumn id="39" xr3:uid="{FF80A301-50E2-4D81-BB7D-1EE251460E5A}" name="Product size height" dataDxfId="1155"/>
    <tableColumn id="40" xr3:uid="{37BA004B-7442-4871-93EF-B13A77E1A917}" name="Product size width" dataDxfId="1154"/>
    <tableColumn id="41" xr3:uid="{9C4077D9-3E18-4C57-A4FE-24EC817418FB}" name="Units Per Pallet" dataDxfId="1153"/>
    <tableColumn id="16" xr3:uid="{00000000-0010-0000-0300-000010000000}" name="Актуальный статус" dataDxfId="1152"/>
    <tableColumn id="17" xr3:uid="{00000000-0010-0000-0300-000011000000}" name="Эксклюзив клиента или канала продажи" dataDxfId="1151"/>
    <tableColumn id="18" xr3:uid="{00000000-0010-0000-0300-000012000000}" name="Локальный сертификат" dataDxfId="1150"/>
    <tableColumn id="43" xr3:uid="{F395E6EB-A30D-4A38-AB3A-7536C9D93B73}" name="IRP, Eur" dataDxfId="1149"/>
    <tableColumn id="42" xr3:uid="{05ED5D32-E5CB-4A2F-932D-7E4E79D8C3DB}" name="РРЦ текущий" dataDxfId="1148"/>
    <tableColumn id="19" xr3:uid="{942DBC0D-E4D1-4CAE-964C-D4023A4F222C}" name="DIY текущий" dataDxfId="1147"/>
    <tableColumn id="44" xr3:uid="{B34018FA-361B-4D7A-BB24-F38CB52B40FF}" name="Процент повышения РРЦ" dataDxfId="1146"/>
    <tableColumn id="45" xr3:uid="{74423DE5-1814-4A91-B002-871E2E69DACF}" name="РРЦ расчетная, руб." dataDxfId="1145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1144"/>
    <tableColumn id="49" xr3:uid="{9DFD32D8-20F7-44F2-9EFD-A1D48FECC173}" name="РРЦ, евро" dataDxfId="1143">
      <calculatedColumnFormula>ROUND(Товары[[#This Row],[РРЦ финальная, руб.]]/$AU$3,2)</calculatedColumnFormula>
    </tableColumn>
    <tableColumn id="47" xr3:uid="{274477BF-6DA6-42C0-8813-165D8A99D45E}" name="Индекс IRP" dataDxfId="1142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141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1140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1139" dataDxfId="1138">
  <autoFilter ref="A1:H440" xr:uid="{00000000-0009-0000-0100-00000D000000}"/>
  <tableColumns count="8">
    <tableColumn id="8" xr3:uid="{E2D1A163-1F1A-4C5F-BF19-12C204A54D1C}" name="№" dataDxfId="1137"/>
    <tableColumn id="1" xr3:uid="{00000000-0010-0000-0A00-000001000000}" name="GardenaChannel" dataDxfId="1136"/>
    <tableColumn id="2" xr3:uid="{00000000-0010-0000-0A00-000002000000}" name="Customer" dataDxfId="1135"/>
    <tableColumn id="3" xr3:uid="{00000000-0010-0000-0A00-000003000000}" name="Channel type" dataDxfId="1134"/>
    <tableColumn id="4" xr3:uid="{00000000-0010-0000-0A00-000004000000}" name="Customer status" dataDxfId="1133"/>
    <tableColumn id="5" xr3:uid="{00000000-0010-0000-0A00-000005000000}" name="Sales manager" dataDxfId="1132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131"/>
    <tableColumn id="7" xr3:uid="{00000000-0010-0000-0A00-000007000000}" name="CustomerBudget" dataDxfId="11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1123">
  <autoFilter ref="A1:K19" xr:uid="{00000000-0009-0000-0100-00000F000000}"/>
  <tableColumns count="11">
    <tableColumn id="11" xr3:uid="{F724774D-6E5F-421B-8A8A-7AD1541FFA21}" name="№" dataDxfId="1122"/>
    <tableColumn id="1" xr3:uid="{00000000-0010-0000-0C00-000001000000}" name="Channel type" dataDxfId="1121"/>
    <tableColumn id="2" xr3:uid="{00000000-0010-0000-0C00-000002000000}" name="Customer status" dataDxfId="1120"/>
    <tableColumn id="3" xr3:uid="{00000000-0010-0000-0C00-000003000000}" name="Период" dataDxfId="1119"/>
    <tableColumn id="4" xr3:uid="{00000000-0010-0000-0C00-000004000000}" name="Оборудование для полива" dataDxfId="1118"/>
    <tableColumn id="5" xr3:uid="{00000000-0010-0000-0C00-000005000000}" name="Электрика (Готовая продукция)" dataDxfId="1117"/>
    <tableColumn id="6" xr3:uid="{00000000-0010-0000-0C00-000006000000}" name="Газонокосилки-роботы" dataDxfId="1116"/>
    <tableColumn id="7" xr3:uid="{00000000-0010-0000-0C00-000007000000}" name="Насосное оборудование" dataDxfId="1115"/>
    <tableColumn id="8" xr3:uid="{00000000-0010-0000-0C00-000008000000}" name="Ручные и режущие инструменты" dataDxfId="1114"/>
    <tableColumn id="9" xr3:uid="{00000000-0010-0000-0C00-000009000000}" name="Зимние инструменты ClassicLine" dataDxfId="1113"/>
    <tableColumn id="10" xr3:uid="{00000000-0010-0000-0C00-00000A000000}" name="Максимальный годовой бонус" dataDxfId="1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1111" dataDxfId="1110" headerRowCellStyle="Обычный 2" dataCellStyle="Обычный 2">
  <autoFilter ref="A13:V14" xr:uid="{ADF718DD-67AC-4401-B168-AFEE638B048C}"/>
  <tableColumns count="22">
    <tableColumn id="22" xr3:uid="{361E8588-935C-493B-A7CF-935B5D4480B5}" name="PNS" dataDxfId="1109" dataCellStyle="Обычный 2"/>
    <tableColumn id="1" xr3:uid="{AC1F4D41-C0A8-443D-9E3C-D9C4FF50F830}" name="КАТЕГОРИЯ" dataDxfId="1108" dataCellStyle="Обычный 2"/>
    <tableColumn id="2" xr3:uid="{20B689EB-7652-4723-BFAB-8C7C64C8FD7A}" name="Фото продукта" dataDxfId="1107" dataCellStyle="Обычный 2"/>
    <tableColumn id="3" xr3:uid="{8821E9F1-B085-4717-B559-CDD126769DA7}" name="Продукт группа - название" dataDxfId="1106" dataCellStyle="Обычный 2"/>
    <tableColumn id="4" xr3:uid="{A99D0144-C997-463C-9A1D-9B08CF9140E1}" name="Артикул GARDENA" dataDxfId="1105" dataCellStyle="Обычный 2"/>
    <tableColumn id="5" xr3:uid="{ED79FFB3-1BA8-4E97-9A5F-C09EAECD5CB1}" name="Артикул предшествующего продукта (если есть)" dataDxfId="1104" dataCellStyle="Обычный 2"/>
    <tableColumn id="6" xr3:uid="{71EF79FE-B1E9-4844-9BB4-A63692EDA3AE}" name="Название" dataDxfId="1103" dataCellStyle="Обычный 2"/>
    <tableColumn id="7" xr3:uid="{5A0F710D-9900-48D2-A5A0-EE9A1926CA9F}" name="Описание" dataDxfId="1102" dataCellStyle="Обычный 2"/>
    <tableColumn id="8" xr3:uid="{0709C17B-24E7-4283-B7CD-103780E925FD}" name="РРЦ 2020, руб. с НДС" dataDxfId="1101" dataCellStyle="Обычный 2"/>
    <tableColumn id="9" xr3:uid="{7346265F-E87E-4F08-A3D6-0027CF43A157}" name="EAN штуки" dataDxfId="1100" dataCellStyle="Обычный 2"/>
    <tableColumn id="10" xr3:uid="{2C8CCB7E-EDD1-482F-A1E4-EC04C692D1EA}" name="страна производства" dataDxfId="1099" dataCellStyle="Обычный 2"/>
    <tableColumn id="11" xr3:uid="{6995D219-9DF9-4115-8CDC-849E890401E6}" name="единица измерения" dataDxfId="1098" dataCellStyle="Обычный 2"/>
    <tableColumn id="12" xr3:uid="{1A1113D4-0FC3-4FC9-8993-94D48C5B7E0B}" name="кол-во в мастер-паке" dataDxfId="1097" dataCellStyle="Финансовый 2"/>
    <tableColumn id="13" xr3:uid="{085F48D9-0BB4-48CA-BB0A-E910E6B6C9E8}" name="Вес гросс штуки, финальный" dataDxfId="1096" dataCellStyle="Обычный 2"/>
    <tableColumn id="14" xr3:uid="{2834A4E1-0E95-43BB-97C8-392563130CF3}" name="Вес нетто штуки, финальный" dataDxfId="1095" dataCellStyle="Обычный 2"/>
    <tableColumn id="15" xr3:uid="{5BEC7C38-B443-4DCB-BE49-1848A79C42F9}" name="Длина упаковки" dataDxfId="1094" dataCellStyle="Обычный 2"/>
    <tableColumn id="16" xr3:uid="{7C9AB8E1-B1C6-47E3-9BE8-5A1D1C646B25}" name="Ширина упаковки" dataDxfId="1093" dataCellStyle="Обычный 2"/>
    <tableColumn id="17" xr3:uid="{10918133-09A5-4117-B3B1-E785EFE65B4A}" name="Высота упаковки" dataDxfId="1092" dataCellStyle="Обычный 2"/>
    <tableColumn id="18" xr3:uid="{DE26A25B-99E8-4A9D-8AFE-A2E1D13A4931}" name="Объем упаковки" dataDxfId="1091" dataCellStyle="Обычный 2"/>
    <tableColumn id="19" xr3:uid="{9AF542A1-08A7-49E6-9900-1EB99D7350D1}" name="Кол-во штук на паллете" dataDxfId="1090" dataCellStyle="Финансовый 2"/>
    <tableColumn id="20" xr3:uid="{9B215DDF-BCA2-477C-8AFA-BC848C8FF031}" name="Сертификация" dataDxfId="1089" dataCellStyle="Обычный 2"/>
    <tableColumn id="21" xr3:uid="{76E684EA-EAE5-44EF-8156-B78DA5E17975}" name="Гарантия" dataDxfId="1088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1087" dataDxfId="1086" tableBorderDxfId="1085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1084" dataCellStyle="Обычный 2"/>
    <tableColumn id="2" xr3:uid="{E871FA77-6959-4F2C-A5BB-B7AFE73B11E8}" name="Суперкатегория" dataDxfId="1083" dataCellStyle="Обычный 2"/>
    <tableColumn id="3" xr3:uid="{88AFFDE7-343B-4571-A1C7-B330CE5A71F4}" name="SuperCategory" dataDxfId="1082" dataCellStyle="Обычный 2"/>
    <tableColumn id="4" xr3:uid="{D38CA77A-CDDB-48A7-97FF-82D5500119E4}" name="Product group" dataDxfId="1081" dataCellStyle="Обычный 2"/>
    <tableColumn id="5" xr3:uid="{568359BF-9E0A-47C0-B9EA-4AEC23012AF0}" name="Product group name" dataDxfId="1080" dataCellStyle="Обычный 2"/>
    <tableColumn id="6" xr3:uid="{C0BC9191-CEEF-430A-91A6-A7763B51D9A3}" name="Subgroup" dataDxfId="1079" dataCellStyle="Обычный 2"/>
    <tableColumn id="7" xr3:uid="{8F48D50A-0D01-4CA5-9DD2-3AD67CE18E9F}" name="Generic Name (long)" dataDxfId="1078" dataCellStyle="Обычный 2"/>
    <tableColumn id="8" xr3:uid="{AB5D54E6-CFD8-48CA-9AA2-F5034163EC38}" name="PNS" dataDxfId="1077" dataCellStyle="Обычный 2"/>
    <tableColumn id="9" xr3:uid="{AE46BCD4-E6D5-436C-9B22-EF37CC4FF170}" name="Article" dataDxfId="1076" dataCellStyle="Обычный 2"/>
    <tableColumn id="10" xr3:uid="{88BCB263-A457-4133-9409-6A2D08C5FAAB}" name="Predessor - Local ID Gardena" dataDxfId="1075" dataCellStyle="Обычный 2"/>
    <tableColumn id="11" xr3:uid="{0363A4CF-103B-474E-82F7-C676C7989F33}" name="Description RUS" dataDxfId="1074" dataCellStyle="Обычный 2"/>
    <tableColumn id="12" xr3:uid="{15AD9631-E35D-4130-94EA-B581EC932603}" name="Sales Start Date" dataDxfId="1073" dataCellStyle="Обычный 2"/>
    <tableColumn id="13" xr3:uid="{E52A847A-2607-4597-96C7-23601E4BA16B}" name="Preliminary Elimination Date" dataDxfId="1072" dataCellStyle="Обычный 2"/>
    <tableColumn id="14" xr3:uid="{45AA3BFE-8FAA-404D-9B9D-190828C8EACF}" name="Elimination Date" dataDxfId="1071" dataCellStyle="Обычный 2"/>
    <tableColumn id="15" xr3:uid="{D85FA2C8-D938-446C-AD2E-8B4B5C62652A}" name="status" dataDxfId="1070" dataCellStyle="Обычный 2"/>
    <tableColumn id="16" xr3:uid="{D0DB48AC-A4E1-41C6-B9A0-626C249358FA}" name="assortment 2019" dataDxfId="1069" dataCellStyle="Обычный 2"/>
    <tableColumn id="17" xr3:uid="{566B6A07-9763-433A-B977-B94ADF628E80}" name="assortment 2020" dataDxfId="1068" dataCellStyle="Обычный 2"/>
    <tableColumn id="18" xr3:uid="{389B12EE-9B1B-4148-9764-59B58D72C6B3}" name="assortment 2021" dataDxfId="1067" dataCellStyle="Обычный 2"/>
    <tableColumn id="19" xr3:uid="{CA187CD6-93B5-48F0-B662-D9C357E96495}" name="STK 2.5 2020, RUB" dataDxfId="1066" dataCellStyle="Финансовый 3"/>
    <tableColumn id="20" xr3:uid="{4221AC4C-FD81-490E-AC01-14C288F11B74}" name="STK 2.5 2021, RUB" dataDxfId="1065" dataCellStyle="Финансовый 3"/>
    <tableColumn id="21" xr3:uid="{CBD1718E-FC22-46B6-95F3-5F84738C6FD6}" name="РРЦ 2020, руб. с НДС" dataDxfId="1064" dataCellStyle="Финансовый 3"/>
    <tableColumn id="22" xr3:uid="{8DA06664-D342-4E19-BD22-7881D459DE52}" name="РРЦ 2021, руб. с НДС" dataDxfId="1063" dataCellStyle="Финансовый 3"/>
    <tableColumn id="23" xr3:uid="{C6EFB679-72C7-4320-9EA7-A353C361D07B}" name="∆, %" dataDxfId="1062" dataCellStyle="Процентный 2">
      <calculatedColumnFormula>IFERROR((V9/U9-1),0)</calculatedColumnFormula>
    </tableColumn>
    <tableColumn id="24" xr3:uid="{9E241B2E-DC73-4F55-AE89-A8AE63D57867}" name="DIY цена 2020, руб. с НДС" dataDxfId="1061" dataCellStyle="Финансовый 3"/>
    <tableColumn id="25" xr3:uid="{F08C3918-B1CC-4175-A2B6-5EC7135FEF19}" name="DIY цена 2021, руб. с НДС" dataDxfId="1060" dataCellStyle="Финансовый 3"/>
    <tableColumn id="26" xr3:uid="{F40B4A20-EF65-4720-848F-63779E465611}" name="∆, %2" dataDxfId="1059" dataCellStyle="Финансовый 3"/>
    <tableColumn id="27" xr3:uid="{88E1EB4B-F7E6-4EE8-BB25-7E91943C1FF7}" name="скидка от РРЦ" dataDxfId="1058" dataCellStyle="Процентный 2"/>
    <tableColumn id="28" xr3:uid="{6D84FE9E-9418-40F8-A10F-5D2C4EE45163}" name="Скидка от РРЦ 2020, %" dataDxfId="1057" dataCellStyle="Процентный 2">
      <calculatedColumnFormula>IFERROR(1-AD9/(U9/1.2),0)</calculatedColumnFormula>
    </tableColumn>
    <tableColumn id="29" xr3:uid="{A77197FC-A2AA-49BC-96FD-56E213ECBA25}" name="Скидка от РРЦ 2021, %" dataDxfId="1056" dataCellStyle="Процентный 2">
      <calculatedColumnFormula>AB9</calculatedColumnFormula>
    </tableColumn>
    <tableColumn id="30" xr3:uid="{8410CC8A-F76B-432B-AF21-7E7AF9EA6448}" name="Price list цена 2020, руб." dataDxfId="1055" dataCellStyle="Финансовый 3"/>
    <tableColumn id="31" xr3:uid="{834A8CE6-BE0C-4D96-95D3-34DF596D2F37}" name="Price list цена 2021, руб." dataDxfId="1054" dataCellStyle="Финансовый 3"/>
    <tableColumn id="32" xr3:uid="{03E46D67-9DCD-42B0-A17B-7FC2C7EB74E1}" name="∆, %3" dataDxfId="1053" dataCellStyle="Процентный 2">
      <calculatedColumnFormula>IFERROR((AE9/AD9-1),0)</calculatedColumnFormula>
    </tableColumn>
    <tableColumn id="33" xr3:uid="{2486C5E7-AA1C-41AC-8D8C-E06981ED8E03}" name="Макс.бонус 2020, %" dataDxfId="1052" dataCellStyle="Процентный 2"/>
    <tableColumn id="34" xr3:uid="{46D99E0B-5607-4A3F-AB1F-5EFB3846927A}" name="Макс. бонус 2021, %" dataDxfId="1051" dataCellStyle="Процентный 2"/>
    <tableColumn id="35" xr3:uid="{5CABBCC0-4C64-4DDE-B91F-CCEEDF25F535}" name="∆, %4" dataDxfId="1050" dataCellStyle="Процентный 2">
      <calculatedColumnFormula>IFERROR((AH9/AG9-1),0)</calculatedColumnFormula>
    </tableColumn>
    <tableColumn id="36" xr3:uid="{9C606B82-E068-462B-96A1-30B6C6EE991B}" name="3net цена 2020, руб." dataDxfId="1049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1048" dataCellStyle="Финансовый 3">
      <calculatedColumnFormula>IFERROR((AE9*(1-AH9)),0)</calculatedColumnFormula>
    </tableColumn>
    <tableColumn id="38" xr3:uid="{C821C64E-5EBC-4600-A769-693380C9C1A3}" name="∆, %5" dataDxfId="1047" dataCellStyle="Процентный 2">
      <calculatedColumnFormula>IFERROR((AK9/AJ9-1),0)</calculatedColumnFormula>
    </tableColumn>
    <tableColumn id="39" xr3:uid="{82DF00F5-3B15-497C-960C-59CEAECB8EB1}" name="ИТОГО Прогноз за год, шт. " dataDxfId="1046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1045" dataCellStyle="Финансовый 3"/>
    <tableColumn id="41" xr3:uid="{0961414C-6D6E-4484-BCD1-7C9F044F10A8}" name="ИТОГО Прогноз февраль, шт." dataDxfId="1044" dataCellStyle="Финансовый 3"/>
    <tableColumn id="42" xr3:uid="{563788B0-7E86-4D62-B10C-DFC806D21B45}" name="ИТОГО Прогноз март, шт." dataDxfId="1043" dataCellStyle="Финансовый 3"/>
    <tableColumn id="43" xr3:uid="{B5D013B6-F6B7-483A-9FF5-D2EA1CE5D415}" name="ИТОГО Прогноз апрель, шт." dataDxfId="1042" dataCellStyle="Финансовый 3"/>
    <tableColumn id="44" xr3:uid="{4545D8F4-134C-4012-A7F2-029CE466E298}" name="ИТОГО Прогноз май, шт." dataDxfId="1041" dataCellStyle="Финансовый 3"/>
    <tableColumn id="45" xr3:uid="{984B2AAA-1C2F-440F-9000-833071099121}" name="ИТОГО Прогноз июнь, шт." dataDxfId="1040" dataCellStyle="Финансовый 3"/>
    <tableColumn id="46" xr3:uid="{621B08A3-2B72-4A14-889C-DE913D2319FF}" name="ИТОГО Прогноз июль, шт." dataDxfId="1039" dataCellStyle="Финансовый 3"/>
    <tableColumn id="47" xr3:uid="{871F8CE1-8624-4E3F-A37C-50C397BD5176}" name="ИТОГО Прогноз август, шт." dataDxfId="1038" dataCellStyle="Финансовый 3"/>
    <tableColumn id="48" xr3:uid="{F8B60F0B-9E75-4DBB-A055-AF2908FDD5C8}" name="ИТОГО Прогноз сентябрь, шт." dataDxfId="1037" dataCellStyle="Финансовый 3"/>
    <tableColumn id="49" xr3:uid="{E263D11A-E504-48BD-AF0C-8C1C0D08E545}" name="ИТОГО Прогноз октябрь, шт." dataDxfId="1036" dataCellStyle="Финансовый 3"/>
    <tableColumn id="50" xr3:uid="{2BB00CD3-DC9B-4254-86C2-838A35CF6049}" name="ИТОГО Прогноз ноябрь, шт." dataDxfId="1035" dataCellStyle="Финансовый 3"/>
    <tableColumn id="51" xr3:uid="{52129DC7-19F4-44EE-B4D6-8530EBE23554}" name="ИТОГО Прогноз декабрь, шт." dataDxfId="1034" dataCellStyle="Финансовый 3"/>
    <tableColumn id="52" xr3:uid="{C5A29397-CB14-4376-BC30-1304542252DB}" name="ИТОГО GS за год, руб." dataDxfId="1033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1032" dataCellStyle="Финансовый 3">
      <calculatedColumnFormula>AN9*$AD9</calculatedColumnFormula>
    </tableColumn>
    <tableColumn id="54" xr3:uid="{AF121929-CB84-49C0-85CD-85D187943E90}" name="ИТОГО GS февраль, шт." dataDxfId="1031" dataCellStyle="Финансовый 3">
      <calculatedColumnFormula>AO9*$AD9</calculatedColumnFormula>
    </tableColumn>
    <tableColumn id="55" xr3:uid="{F2E46DB9-BB69-4C28-8675-48D4F2B04E4E}" name="ИТОГО GS март, шт." dataDxfId="1030" dataCellStyle="Финансовый 3">
      <calculatedColumnFormula>AP9*$AD9</calculatedColumnFormula>
    </tableColumn>
    <tableColumn id="56" xr3:uid="{BA660C6F-D8AC-4327-AC1B-4CFA5DEE91DB}" name="ИТОГО GS апрель, шт." dataDxfId="1029" dataCellStyle="Финансовый 3">
      <calculatedColumnFormula>AQ9*$AD9</calculatedColumnFormula>
    </tableColumn>
    <tableColumn id="57" xr3:uid="{8D2FA566-0445-4953-979C-740595C08C54}" name="ИТОГО GS май, шт." dataDxfId="1028" dataCellStyle="Финансовый 3">
      <calculatedColumnFormula>AR9*$AD9</calculatedColumnFormula>
    </tableColumn>
    <tableColumn id="58" xr3:uid="{8A8F0B25-28D6-42BF-94DF-A4F0EF2331FA}" name="ИТОГО GS июнь, шт." dataDxfId="1027" dataCellStyle="Финансовый 3">
      <calculatedColumnFormula>AS9*$AD9</calculatedColumnFormula>
    </tableColumn>
    <tableColumn id="59" xr3:uid="{7AB64B0F-A6CB-4E52-A5B8-66FF60C4286F}" name="ИТОГО GS июль, шт." dataDxfId="1026" dataCellStyle="Финансовый 3">
      <calculatedColumnFormula>AT9*$AD9</calculatedColumnFormula>
    </tableColumn>
    <tableColumn id="60" xr3:uid="{6D69229C-0AB1-4B4A-9AC8-29E5F98B26D7}" name="ИТОГО GS август, шт." dataDxfId="1025" dataCellStyle="Финансовый 3">
      <calculatedColumnFormula>AU9*$AD9</calculatedColumnFormula>
    </tableColumn>
    <tableColumn id="61" xr3:uid="{8255F6CF-11E7-431D-8DCC-6ED8B2BC6586}" name="ИТОГО GS сентябрь, шт." dataDxfId="1024" dataCellStyle="Финансовый 3">
      <calculatedColumnFormula>AV9*$AD9</calculatedColumnFormula>
    </tableColumn>
    <tableColumn id="62" xr3:uid="{266943FA-E2A5-49F6-8869-78FA47ACEE34}" name="ИТОГО GS октябрь, шт." dataDxfId="1023" dataCellStyle="Финансовый 3">
      <calculatedColumnFormula>AW9*$AD9</calculatedColumnFormula>
    </tableColumn>
    <tableColumn id="63" xr3:uid="{9D249956-7D62-4FA5-BC4A-C2803EF0E5CA}" name="ИТОГО GS ноябрь, шт." dataDxfId="1022" dataCellStyle="Финансовый 3">
      <calculatedColumnFormula>AX9*$AD9</calculatedColumnFormula>
    </tableColumn>
    <tableColumn id="64" xr3:uid="{E5F62EEC-DB51-4C20-932C-2016B2115774}" name="ИТОГО GS декабрь, шт." dataDxfId="1021" dataCellStyle="Финансовый 3">
      <calculatedColumnFormula>AY9*$AD9</calculatedColumnFormula>
    </tableColumn>
    <tableColumn id="65" xr3:uid="{4482B5D8-6B81-4ECD-91D7-A4AB52962068}" name="ИТОГО NS за год, руб." dataDxfId="1020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1019" dataCellStyle="Финансовый 3">
      <calculatedColumnFormula>AN9*$AJ9</calculatedColumnFormula>
    </tableColumn>
    <tableColumn id="67" xr3:uid="{93156D18-3837-4E70-869A-9C1FFE8B186B}" name="ИТОГО NS февраль, шт." dataDxfId="1018" dataCellStyle="Финансовый 3">
      <calculatedColumnFormula>AO9*$AJ9</calculatedColumnFormula>
    </tableColumn>
    <tableColumn id="68" xr3:uid="{4782E053-5F0A-4485-AB98-378163EDAA5D}" name="ИТОГО NS март, шт." dataDxfId="1017" dataCellStyle="Финансовый 3">
      <calculatedColumnFormula>AP9*$AJ9</calculatedColumnFormula>
    </tableColumn>
    <tableColumn id="69" xr3:uid="{CAA3689F-5FB7-430E-B20B-75FF63F293EC}" name="ИТОГО NS апрель, шт." dataDxfId="1016" dataCellStyle="Финансовый 3">
      <calculatedColumnFormula>AQ9*$AJ9</calculatedColumnFormula>
    </tableColumn>
    <tableColumn id="70" xr3:uid="{EC928E38-4B84-4C6C-B219-A3302E8203BB}" name="ИТОГО NS май, шт." dataDxfId="1015" dataCellStyle="Финансовый 3">
      <calculatedColumnFormula>AR9*$AJ9</calculatedColumnFormula>
    </tableColumn>
    <tableColumn id="71" xr3:uid="{465AE7FE-142C-4D57-992D-D3F1C3C06CB5}" name="ИТОГО NS июнь, шт." dataDxfId="1014" dataCellStyle="Финансовый 3">
      <calculatedColumnFormula>AS9*$AJ9</calculatedColumnFormula>
    </tableColumn>
    <tableColumn id="72" xr3:uid="{EA15F89A-B351-4F77-A461-2E682FD479A1}" name="ИТОГО NS июль, шт." dataDxfId="1013" dataCellStyle="Обычный 2">
      <calculatedColumnFormula>AT9*$AJ9</calculatedColumnFormula>
    </tableColumn>
    <tableColumn id="73" xr3:uid="{DFCC2E9D-5401-4840-ADA6-7EA2F96632A8}" name="ИТОГО NS август, шт." dataDxfId="1012" dataCellStyle="Обычный 2">
      <calculatedColumnFormula>AU9*$AJ9</calculatedColumnFormula>
    </tableColumn>
    <tableColumn id="74" xr3:uid="{0C93BE6C-143A-452F-A9BC-5C39020F04B1}" name="ИТОГО NS сентябрь, шт." dataDxfId="1011" dataCellStyle="Обычный 2">
      <calculatedColumnFormula>AV9*$AJ9</calculatedColumnFormula>
    </tableColumn>
    <tableColumn id="75" xr3:uid="{EFCCDCF8-72E0-4405-BD60-02E881C9C543}" name="ИТОГО NS октябрь, шт." dataDxfId="1010" dataCellStyle="Обычный 2">
      <calculatedColumnFormula>AW9*$AJ9</calculatedColumnFormula>
    </tableColumn>
    <tableColumn id="76" xr3:uid="{123942FB-C425-4F54-84D5-5F42AD3872D3}" name="ИТОГО NS ноябрь, шт." dataDxfId="1009" dataCellStyle="Обычный 2">
      <calculatedColumnFormula>AX9*$AJ9</calculatedColumnFormula>
    </tableColumn>
    <tableColumn id="77" xr3:uid="{14956171-D754-4B9C-BC65-E7D8B9EDC0CD}" name="ИТОГО NS декабрь, шт." dataDxfId="1008" dataCellStyle="Обычный 2">
      <calculatedColumnFormula>AY9*$AJ9</calculatedColumnFormula>
    </tableColumn>
    <tableColumn id="78" xr3:uid="{3671A7EE-EABB-4E07-BF9E-FBA729CB01F1}" name="ИТОГО LC за год, руб." dataDxfId="1007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1006" dataCellStyle="Финансовый 3">
      <calculatedColumnFormula>IFERROR((AN9*$S9),0)</calculatedColumnFormula>
    </tableColumn>
    <tableColumn id="80" xr3:uid="{B8E7AB6B-CB84-4164-9F84-F03C0EE39FAF}" name="ИТОГО LC февраль, руб." dataDxfId="1005" dataCellStyle="Финансовый 3">
      <calculatedColumnFormula>IFERROR((AO9*$S9),0)</calculatedColumnFormula>
    </tableColumn>
    <tableColumn id="81" xr3:uid="{4B87DB09-7272-45CC-8AEB-B18698C951C1}" name="ИТОГО LC март, руб." dataDxfId="1004" dataCellStyle="Финансовый 3">
      <calculatedColumnFormula>IFERROR((AP9*$S9),0)</calculatedColumnFormula>
    </tableColumn>
    <tableColumn id="82" xr3:uid="{80B8708A-4DCA-4375-BE85-38A954B081F8}" name="ИТОГО LC апрель, руб." dataDxfId="1003" dataCellStyle="Финансовый 3">
      <calculatedColumnFormula>IFERROR((AQ9*$S9),0)</calculatedColumnFormula>
    </tableColumn>
    <tableColumn id="83" xr3:uid="{BFAC8F49-B70A-470F-9368-1AFF34E1269D}" name="ИТОГО LC май, руб." dataDxfId="1002" dataCellStyle="Финансовый 3">
      <calculatedColumnFormula>IFERROR((AR9*$S9),0)</calculatedColumnFormula>
    </tableColumn>
    <tableColumn id="84" xr3:uid="{7AC4ADE8-4EDD-43EE-8600-20D5FCA79588}" name="ИТОГО LC июнь, руб." dataDxfId="1001" dataCellStyle="Финансовый 3">
      <calculatedColumnFormula>IFERROR((AS9*$S9),0)</calculatedColumnFormula>
    </tableColumn>
    <tableColumn id="85" xr3:uid="{DEBA72CC-3701-49FE-B1CA-3A795BCAFE08}" name="ИТОГО LC июль, руб." dataDxfId="1000" dataCellStyle="Финансовый 3">
      <calculatedColumnFormula>IFERROR((AT9*$S9),0)</calculatedColumnFormula>
    </tableColumn>
    <tableColumn id="86" xr3:uid="{34DFCB61-D363-4AB0-A5DB-CD4B25182230}" name="ИТОГО LC август, руб." dataDxfId="999" dataCellStyle="Финансовый 3">
      <calculatedColumnFormula>IFERROR((AU9*$S9),0)</calculatedColumnFormula>
    </tableColumn>
    <tableColumn id="87" xr3:uid="{7DF939E8-0C74-43CC-96FB-6EB28836AA6E}" name="ИТОГО LC сентябрь, руб." dataDxfId="998" dataCellStyle="Финансовый 3">
      <calculatedColumnFormula>IFERROR((AV9*$S9),0)</calculatedColumnFormula>
    </tableColumn>
    <tableColumn id="88" xr3:uid="{4F958BB0-06C2-4967-AEA3-9160120C1043}" name="ИТОГО LC октябрь, руб." dataDxfId="997" dataCellStyle="Финансовый 3">
      <calculatedColumnFormula>IFERROR((AW9*$S9),0)</calculatedColumnFormula>
    </tableColumn>
    <tableColumn id="89" xr3:uid="{915484D6-7DF7-41A6-970E-53F8A32DCD02}" name="ИТОГО LC ноябрь, руб." dataDxfId="996" dataCellStyle="Финансовый 3">
      <calculatedColumnFormula>IFERROR((AX9*$S9),0)</calculatedColumnFormula>
    </tableColumn>
    <tableColumn id="90" xr3:uid="{385AFDA2-CCA2-4AD4-A9CF-35A3B93BA7F7}" name="ИТОГО LC декабрь, руб." dataDxfId="995" dataCellStyle="Финансовый 3">
      <calculatedColumnFormula>IFERROR((AY9*$S9),0)</calculatedColumnFormula>
    </tableColumn>
    <tableColumn id="91" xr3:uid="{C1B96A73-6F5A-4439-BEEB-95BEDA1F494C}" name="ИТОГО GP value за год, руб." dataDxfId="994" dataCellStyle="Финансовый 3"/>
    <tableColumn id="92" xr3:uid="{47377387-CD58-4E0C-B1B4-C6FD15883044}" name="ИТОГО GP value январь, руб." dataDxfId="993" dataCellStyle="Финансовый 3">
      <calculatedColumnFormula>IFERROR((DA9*BN9),0)</calculatedColumnFormula>
    </tableColumn>
    <tableColumn id="93" xr3:uid="{2E60ED11-2D9E-4299-9C26-38C8E7C357B5}" name="ИТОГО GP value февраль, руб." dataDxfId="992" dataCellStyle="Финансовый 3">
      <calculatedColumnFormula>IFERROR((DB9*BO9),0)</calculatedColumnFormula>
    </tableColumn>
    <tableColumn id="94" xr3:uid="{687C4606-F416-4C5D-B3D1-23D1F2F24FE2}" name="ИТОГО GP value март, руб." dataDxfId="991" dataCellStyle="Финансовый 3">
      <calculatedColumnFormula>IFERROR((DC9*BP9),0)</calculatedColumnFormula>
    </tableColumn>
    <tableColumn id="95" xr3:uid="{F225E80E-9385-457E-9FC6-EFE17D183C09}" name="ИТОГО GP value апрель, руб." dataDxfId="990" dataCellStyle="Финансовый 3">
      <calculatedColumnFormula>IFERROR((DD9*BQ9),0)</calculatedColumnFormula>
    </tableColumn>
    <tableColumn id="96" xr3:uid="{887F32D4-BF18-48C3-A803-D18BA1C53880}" name="ИТОГО GP value май, руб." dataDxfId="989" dataCellStyle="Финансовый 3">
      <calculatedColumnFormula>IFERROR((DE9*BR9),0)</calculatedColumnFormula>
    </tableColumn>
    <tableColumn id="97" xr3:uid="{C5174060-19A2-4CC9-A7C2-DEA1F106570A}" name="ИТОГО GP value июнь, руб." dataDxfId="988" dataCellStyle="Финансовый 3">
      <calculatedColumnFormula>IFERROR((DF9*BS9),0)</calculatedColumnFormula>
    </tableColumn>
    <tableColumn id="98" xr3:uid="{A74DFB4B-A05B-4146-A525-BEC1178A0124}" name="ИТОГО GP value июль, руб." dataDxfId="987" dataCellStyle="Финансовый 3">
      <calculatedColumnFormula>IFERROR((DG9*BT9),0)</calculatedColumnFormula>
    </tableColumn>
    <tableColumn id="99" xr3:uid="{5CD852A8-89D3-455F-A6EC-6FFCB4E8F2FA}" name="ИТОГО GP value август, руб." dataDxfId="986" dataCellStyle="Финансовый 3">
      <calculatedColumnFormula>IFERROR((DH9*BU9),0)</calculatedColumnFormula>
    </tableColumn>
    <tableColumn id="100" xr3:uid="{5271AF20-602D-4BF6-BA4A-0568EE7AF4C8}" name="ИТОГО GP value сентябрь, руб." dataDxfId="985" dataCellStyle="Финансовый 3">
      <calculatedColumnFormula>IFERROR((DI9*BV9),0)</calculatedColumnFormula>
    </tableColumn>
    <tableColumn id="101" xr3:uid="{FC8E79AA-4ED9-4E0A-AC54-CB49F9A56339}" name="ИТОГО GP value октябрь, руб." dataDxfId="984" dataCellStyle="Финансовый 3">
      <calculatedColumnFormula>IFERROR((DJ9*BW9),0)</calculatedColumnFormula>
    </tableColumn>
    <tableColumn id="102" xr3:uid="{3FE1BB2D-98D5-4FC2-99A8-C4586DFD5BAD}" name="ИТОГО GP value ноябрь, руб." dataDxfId="983" dataCellStyle="Финансовый 3">
      <calculatedColumnFormula>IFERROR((DK9*BX9),0)</calculatedColumnFormula>
    </tableColumn>
    <tableColumn id="103" xr3:uid="{767F6637-87BB-4237-A41F-BDD0EA3D7E2E}" name="ИТОГО GP value декабрь, руб." dataDxfId="982" dataCellStyle="Финансовый 3">
      <calculatedColumnFormula>IFERROR((DL9*BY9),0)</calculatedColumnFormula>
    </tableColumn>
    <tableColumn id="104" xr3:uid="{9F5B8003-BB0C-49D7-AA81-321DC0A6F10A}" name="ИТОГО GP % за год" dataDxfId="981" dataCellStyle="Обычный 2">
      <calculatedColumnFormula>IFERROR((1-BZ9/BM9),0)</calculatedColumnFormula>
    </tableColumn>
    <tableColumn id="105" xr3:uid="{2CA73043-EAAD-4500-B48E-AC171437E954}" name="ИТОГО GP % январь" dataDxfId="980" dataCellStyle="Обычный 2">
      <calculatedColumnFormula>IFERROR((1-CA9/BN9),0)</calculatedColumnFormula>
    </tableColumn>
    <tableColumn id="106" xr3:uid="{5D73934E-A4A6-41E7-8040-56023F2E2237}" name="ИТОГО GP % февраль" dataDxfId="979" dataCellStyle="Обычный 2">
      <calculatedColumnFormula>IFERROR((1-CB9/BO9),0)</calculatedColumnFormula>
    </tableColumn>
    <tableColumn id="107" xr3:uid="{D2252DD0-AA1B-41F8-A98D-5C520E8457FA}" name="ИТОГО GP % март" dataDxfId="978" dataCellStyle="Обычный 2">
      <calculatedColumnFormula>IFERROR((1-CC9/BP9),0)</calculatedColumnFormula>
    </tableColumn>
    <tableColumn id="108" xr3:uid="{4897CEF1-42EF-4D1A-9A85-3CF82502124C}" name="ИТОГО GP % апрель" dataDxfId="977" dataCellStyle="Обычный 2">
      <calculatedColumnFormula>IFERROR((1-CD9/BQ9),0)</calculatedColumnFormula>
    </tableColumn>
    <tableColumn id="109" xr3:uid="{6D7B73F0-8EE9-4EE5-8451-B121FEFC857D}" name="ИТОГО GP % май" dataDxfId="976" dataCellStyle="Обычный 2">
      <calculatedColumnFormula>IFERROR((1-CE9/BR9),0)</calculatedColumnFormula>
    </tableColumn>
    <tableColumn id="110" xr3:uid="{1DD93D4A-44FE-4504-9694-67A5FA017C13}" name="ИТОГО GP % июнь" dataDxfId="975" dataCellStyle="Обычный 2">
      <calculatedColumnFormula>IFERROR((1-CF9/BS9),0)</calculatedColumnFormula>
    </tableColumn>
    <tableColumn id="111" xr3:uid="{E40AF939-F365-42FA-8CBF-5B1A53837131}" name="ИТОГО GP % июль" dataDxfId="974" dataCellStyle="Обычный 2">
      <calculatedColumnFormula>IFERROR((1-CG9/BT9),0)</calculatedColumnFormula>
    </tableColumn>
    <tableColumn id="112" xr3:uid="{E0F618DA-61DA-4031-97D0-94B00AE973FB}" name="ИТОГО GP % август" dataDxfId="973" dataCellStyle="Обычный 2">
      <calculatedColumnFormula>IFERROR((1-CH9/BU9),0)</calculatedColumnFormula>
    </tableColumn>
    <tableColumn id="113" xr3:uid="{B8945F72-F4B5-4705-ABE7-4AE1023BB686}" name="ИТОГО GP % сентябрь" dataDxfId="972" dataCellStyle="Обычный 2">
      <calculatedColumnFormula>IFERROR((1-CI9/BV9),0)</calculatedColumnFormula>
    </tableColumn>
    <tableColumn id="114" xr3:uid="{98081423-CE4B-49CA-BBE2-8F86E06D9F5E}" name="ИТОГО GP % октябрь" dataDxfId="971" dataCellStyle="Обычный 2">
      <calculatedColumnFormula>IFERROR((1-CJ9/BW9),0)</calculatedColumnFormula>
    </tableColumn>
    <tableColumn id="115" xr3:uid="{7C21CA0D-F49C-4644-B42A-5C863FBE4D61}" name="ИТОГО GP % ноябрь" dataDxfId="970" dataCellStyle="Обычный 2">
      <calculatedColumnFormula>IFERROR((1-CK9/BX9),0)</calculatedColumnFormula>
    </tableColumn>
    <tableColumn id="116" xr3:uid="{E577AA0D-9F57-4DB4-B6D5-04147E0949AD}" name="ИТОГО GP % декабрь" dataDxfId="969" dataCellStyle="Обычный 2">
      <calculatedColumnFormula>IFERROR((1-CL9/BY9),0)</calculatedColumnFormula>
    </tableColumn>
    <tableColumn id="117" xr3:uid="{01821E38-D47A-4F91-BBBE-46BF87BE0BE4}" name="ИТОГО 2 net цена за год" dataDxfId="968" dataCellStyle="Финансовый 3">
      <calculatedColumnFormula>IFERROR((AZ9/AM9),0)</calculatedColumnFormula>
    </tableColumn>
    <tableColumn id="118" xr3:uid="{97F2EB3B-F245-4AE9-81E7-00844877885A}" name="ИТОГО 2 net цена январь" dataDxfId="967" dataCellStyle="Финансовый 3">
      <calculatedColumnFormula>IFERROR((BA9/AN9),0)</calculatedColumnFormula>
    </tableColumn>
    <tableColumn id="119" xr3:uid="{16AD32C3-D9F6-471F-A532-804527D1BAEF}" name="ИТОГО 2 net цена февраль" dataDxfId="966" dataCellStyle="Финансовый 3">
      <calculatedColumnFormula>IFERROR((BB9/AO9),0)</calculatedColumnFormula>
    </tableColumn>
    <tableColumn id="120" xr3:uid="{B5D21A3D-2228-4F5F-9A18-8F3CF774C670}" name="ИТОГО 2 net цена март" dataDxfId="965" dataCellStyle="Финансовый 3">
      <calculatedColumnFormula>IFERROR((BC9/AP9),0)</calculatedColumnFormula>
    </tableColumn>
    <tableColumn id="121" xr3:uid="{97D09A72-4B8F-4C7F-808B-5895016E7988}" name="ИТОГО 2 net цена апрель" dataDxfId="964" dataCellStyle="Финансовый 3">
      <calculatedColumnFormula>IFERROR((BD9/AQ9),0)</calculatedColumnFormula>
    </tableColumn>
    <tableColumn id="122" xr3:uid="{05E14E20-BF83-4DAF-9699-348BD90A708F}" name="ИТОГО 2 net цена май" dataDxfId="963" dataCellStyle="Финансовый 3">
      <calculatedColumnFormula>IFERROR((BE9/AR9),0)</calculatedColumnFormula>
    </tableColumn>
    <tableColumn id="123" xr3:uid="{73C82FA1-1019-40CD-87F9-1299C1FA6742}" name="ИТОГО 2 net цена июнь" dataDxfId="962" dataCellStyle="Финансовый 3">
      <calculatedColumnFormula>IFERROR((BF9/AS9),0)</calculatedColumnFormula>
    </tableColumn>
    <tableColumn id="124" xr3:uid="{6747033E-DDB3-480E-90C1-B405A3F30259}" name="ИТОГО 2 net цена июль" dataDxfId="961" dataCellStyle="Финансовый 3">
      <calculatedColumnFormula>IFERROR((BG9/AT9),0)</calculatedColumnFormula>
    </tableColumn>
    <tableColumn id="125" xr3:uid="{45A0ADE7-545F-43C9-B4E7-AF167195808C}" name="ИТОГО 2 net цена август" dataDxfId="960" dataCellStyle="Финансовый 3">
      <calculatedColumnFormula>IFERROR((BH9/AU9),0)</calculatedColumnFormula>
    </tableColumn>
    <tableColumn id="126" xr3:uid="{C1D434C5-C498-4103-A0A4-519B8FEEDE70}" name="ИТОГО 2 net цена сентябрь" dataDxfId="959" dataCellStyle="Финансовый 3">
      <calculatedColumnFormula>IFERROR((BI9/AV9),0)</calculatedColumnFormula>
    </tableColumn>
    <tableColumn id="127" xr3:uid="{A76F7B1B-C7A7-4DA5-9DD4-CB7309B45683}" name="ИТОГО 2 net цена октябрь" dataDxfId="958" dataCellStyle="Финансовый 3">
      <calculatedColumnFormula>IFERROR((BJ9/AW9),0)</calculatedColumnFormula>
    </tableColumn>
    <tableColumn id="128" xr3:uid="{F9A1BE91-A5A5-4DE4-9334-6C08EF25C595}" name="ИТОГО 2 net цена ноябрь" dataDxfId="957" dataCellStyle="Финансовый 3">
      <calculatedColumnFormula>IFERROR((BK9/AX9),0)</calculatedColumnFormula>
    </tableColumn>
    <tableColumn id="129" xr3:uid="{E66DEBDD-44A2-445B-9575-0C982B86E64A}" name="ИТОГО 2 net цена декабрь" dataDxfId="956" dataCellStyle="Финансовый 3">
      <calculatedColumnFormula>IFERROR((BL9/AY9),0)</calculatedColumnFormula>
    </tableColumn>
    <tableColumn id="130" xr3:uid="{5F5379FE-5F5E-4410-95B6-ABBFD3E34C16}" name="ИТОГО 3 net цена за год" dataDxfId="955" dataCellStyle="Финансовый 3">
      <calculatedColumnFormula>IFERROR((AZ9/AM9),0)</calculatedColumnFormula>
    </tableColumn>
    <tableColumn id="131" xr3:uid="{058F83F1-6D2E-4BDF-9D9F-C51245A95F96}" name="ИТОГО 3 net цена январь" dataDxfId="954" dataCellStyle="Финансовый 3">
      <calculatedColumnFormula>IFERROR((BA9/AN9),0)</calculatedColumnFormula>
    </tableColumn>
    <tableColumn id="132" xr3:uid="{12E284A2-D453-428C-A80A-12A69668DFA4}" name="ИТОГО 3 net цена февраль" dataDxfId="953" dataCellStyle="Финансовый 3">
      <calculatedColumnFormula>IFERROR((BB9/AO9),0)</calculatedColumnFormula>
    </tableColumn>
    <tableColumn id="133" xr3:uid="{21455460-3C99-4D48-B6A9-AF213F42AB13}" name="ИТОГО 3 net цена март" dataDxfId="952" dataCellStyle="Финансовый 3">
      <calculatedColumnFormula>IFERROR((BC9/AP9),0)</calculatedColumnFormula>
    </tableColumn>
    <tableColumn id="134" xr3:uid="{FA08DBB4-D4A7-4B89-BF02-E95541CA7CDD}" name="ИТОГО 3 net цена апрель" dataDxfId="951" dataCellStyle="Финансовый 3">
      <calculatedColumnFormula>IFERROR((BD9/AQ9),0)</calculatedColumnFormula>
    </tableColumn>
    <tableColumn id="135" xr3:uid="{A9A6AC3D-8D35-4CA9-854B-17D5805FEF1A}" name="ИТОГО 3 net цена май" dataDxfId="950" dataCellStyle="Финансовый 3">
      <calculatedColumnFormula>IFERROR((BE9/AR9),0)</calculatedColumnFormula>
    </tableColumn>
    <tableColumn id="136" xr3:uid="{6DBDEE2F-59D1-4A99-AF84-53A1C638A8A8}" name="ИТОГО 3 net цена июнь" dataDxfId="949" dataCellStyle="Финансовый 3">
      <calculatedColumnFormula>IFERROR((BF9/AS9),0)</calculatedColumnFormula>
    </tableColumn>
    <tableColumn id="137" xr3:uid="{2D038D4E-7B2F-4304-8502-7B2BB34082C1}" name="ИТОГО 3 net цена июль" dataDxfId="948" dataCellStyle="Финансовый 3">
      <calculatedColumnFormula>IFERROR((BG9/AT9),0)</calculatedColumnFormula>
    </tableColumn>
    <tableColumn id="138" xr3:uid="{31795DFF-738C-478D-9D78-FB1BEA860F58}" name="ИТОГО 3 net цена август" dataDxfId="947" dataCellStyle="Финансовый 3">
      <calculatedColumnFormula>IFERROR((BH9/AU9),0)</calculatedColumnFormula>
    </tableColumn>
    <tableColumn id="139" xr3:uid="{29B07B91-1DE8-488E-B9E1-2D8BBEE40CFF}" name="ИТОГО 3 net цена сентябрь" dataDxfId="946" dataCellStyle="Финансовый 3">
      <calculatedColumnFormula>IFERROR((BI9/AV9),0)</calculatedColumnFormula>
    </tableColumn>
    <tableColumn id="140" xr3:uid="{9DA1F529-DA74-4E23-8390-8C7D9171A571}" name="ИТОГО 3 net цена октябрь" dataDxfId="945" dataCellStyle="Финансовый 3">
      <calculatedColumnFormula>IFERROR((BJ9/AW9),0)</calculatedColumnFormula>
    </tableColumn>
    <tableColumn id="141" xr3:uid="{2FFC2C95-380F-49F5-BE4E-F74D7D0C83A1}" name="ИТОГО 3 net цена ноябрь" dataDxfId="944" dataCellStyle="Финансовый 3">
      <calculatedColumnFormula>IFERROR((BK9/AX9),0)</calculatedColumnFormula>
    </tableColumn>
    <tableColumn id="142" xr3:uid="{97DDD90A-974E-49E7-B42B-564F1AECCAB1}" name="ИТОГО 3 net цена декабрь" dataDxfId="943" dataCellStyle="Финансовый 3">
      <calculatedColumnFormula>IFERROR((BL9/AY9),0)</calculatedColumnFormula>
    </tableColumn>
    <tableColumn id="143" xr3:uid="{EAABF5C8-52CE-47F4-8DDF-AAD69D55015D}" name="ИТОГО Прогноз за год, шт." dataDxfId="942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941" dataCellStyle="Финансовый 3">
      <calculatedColumnFormula>IN9+MQ9</calculatedColumnFormula>
    </tableColumn>
    <tableColumn id="145" xr3:uid="{802B7E2C-CD97-4DA9-BB68-6F41B4824366}" name="ИТОГО Прогноз февраль, шт.2" dataDxfId="940" dataCellStyle="Финансовый 3">
      <calculatedColumnFormula>IO9+MR9</calculatedColumnFormula>
    </tableColumn>
    <tableColumn id="146" xr3:uid="{1CB16EC1-4826-4FDF-9C86-BA744765F8AD}" name="ИТОГО Прогноз март, шт.2" dataDxfId="939" dataCellStyle="Финансовый 3">
      <calculatedColumnFormula>IP9+MS9</calculatedColumnFormula>
    </tableColumn>
    <tableColumn id="147" xr3:uid="{7539FACD-E898-4D2D-82E4-AC6840AB826D}" name="ИТОГО Прогноз апрель, шт.2" dataDxfId="938" dataCellStyle="Финансовый 3">
      <calculatedColumnFormula>IQ9+MT9</calculatedColumnFormula>
    </tableColumn>
    <tableColumn id="148" xr3:uid="{2C7997F7-CC37-4351-929D-D925476BB214}" name="ИТОГО Прогноз май, шт.2" dataDxfId="937" dataCellStyle="Финансовый 3">
      <calculatedColumnFormula>IR9+MU9</calculatedColumnFormula>
    </tableColumn>
    <tableColumn id="149" xr3:uid="{78691FED-7D6C-4EF1-97A6-E15D717BC466}" name="ИТОГО Прогноз июнь, шт.2" dataDxfId="936" dataCellStyle="Финансовый 3">
      <calculatedColumnFormula>IS9+MV9</calculatedColumnFormula>
    </tableColumn>
    <tableColumn id="150" xr3:uid="{9DDCD0D9-5422-4A0D-A2C7-67559592F32E}" name="ИТОГО Прогноз июль, шт.2" dataDxfId="935" dataCellStyle="Финансовый 3">
      <calculatedColumnFormula>IT9+MW9</calculatedColumnFormula>
    </tableColumn>
    <tableColumn id="151" xr3:uid="{52AA3B45-BEDC-40C8-B99A-F1D5F375EF91}" name="ИТОГО Прогноз август, шт.2" dataDxfId="934" dataCellStyle="Финансовый 3">
      <calculatedColumnFormula>IU9+MX9</calculatedColumnFormula>
    </tableColumn>
    <tableColumn id="152" xr3:uid="{CED54303-2EB7-4231-8C6A-322C70208DF2}" name="ИТОГО Прогноз сентябрь, шт.2" dataDxfId="933" dataCellStyle="Финансовый 3">
      <calculatedColumnFormula>IV9+MY9</calculatedColumnFormula>
    </tableColumn>
    <tableColumn id="153" xr3:uid="{09A3C4B9-F44F-4DC0-9B77-CDE6D46655D5}" name="ИТОГО Прогноз октябрь, шт.2" dataDxfId="932" dataCellStyle="Финансовый 3">
      <calculatedColumnFormula>IW9+MZ9</calculatedColumnFormula>
    </tableColumn>
    <tableColumn id="154" xr3:uid="{12CC0145-58B2-4FCF-A68E-E66E172BB2C4}" name="ИТОГО Прогноз ноябрь, шт.2" dataDxfId="931" dataCellStyle="Финансовый 3">
      <calculatedColumnFormula>IX9+NA9</calculatedColumnFormula>
    </tableColumn>
    <tableColumn id="155" xr3:uid="{EE689FE1-2C22-41B8-8610-4B00243E4124}" name="ИТОГО Прогноз декабрь, шт.2" dataDxfId="930" dataCellStyle="Финансовый 3">
      <calculatedColumnFormula>IY9+NB9</calculatedColumnFormula>
    </tableColumn>
    <tableColumn id="156" xr3:uid="{87BD55FB-3C07-46D4-92FE-C8E6B4F708CD}" name="ИТОГО GS за год, руб.2" dataDxfId="929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928" dataCellStyle="Финансовый 3">
      <calculatedColumnFormula>JA9+ND9</calculatedColumnFormula>
    </tableColumn>
    <tableColumn id="158" xr3:uid="{530300BC-9474-4EE3-9985-6BBA82EC8C4A}" name="ИТОГО GS февраль, шт.2" dataDxfId="927" dataCellStyle="Финансовый 3">
      <calculatedColumnFormula>JB9+NE9</calculatedColumnFormula>
    </tableColumn>
    <tableColumn id="159" xr3:uid="{B99010C2-F826-4D40-BC4E-BDD735285A38}" name="ИТОГО GS март, шт.2" dataDxfId="926" dataCellStyle="Финансовый 3">
      <calculatedColumnFormula>JC9+NF9</calculatedColumnFormula>
    </tableColumn>
    <tableColumn id="160" xr3:uid="{BFF177C2-83BB-4744-88ED-FAB9A16EDAFA}" name="ИТОГО GS апрель, шт.2" dataDxfId="925" dataCellStyle="Финансовый 3">
      <calculatedColumnFormula>JD9+NG9</calculatedColumnFormula>
    </tableColumn>
    <tableColumn id="161" xr3:uid="{28E03A29-6608-4603-88A2-4BE41CA3EB8F}" name="ИТОГО GS май, шт.2" dataDxfId="924" dataCellStyle="Финансовый 3">
      <calculatedColumnFormula>JE9+NH9</calculatedColumnFormula>
    </tableColumn>
    <tableColumn id="162" xr3:uid="{050BA4A4-79C2-447A-B9CA-AA53750F1E90}" name="ИТОГО GS июнь, шт.2" dataDxfId="923" dataCellStyle="Финансовый 3">
      <calculatedColumnFormula>JF9+NI9</calculatedColumnFormula>
    </tableColumn>
    <tableColumn id="163" xr3:uid="{DE42DBD8-CCBB-4A18-8A22-E3D9351E4B27}" name="ИТОГО GS июль, шт.2" dataDxfId="922" dataCellStyle="Финансовый 3">
      <calculatedColumnFormula>JG9+NJ9</calculatedColumnFormula>
    </tableColumn>
    <tableColumn id="164" xr3:uid="{0766AE54-1240-4A69-8FEB-281CF8B42C35}" name="ИТОГО GS август, шт.2" dataDxfId="921" dataCellStyle="Финансовый 3">
      <calculatedColumnFormula>JH9+NK9</calculatedColumnFormula>
    </tableColumn>
    <tableColumn id="165" xr3:uid="{3D0D2779-F2DF-4975-BD24-59DAF0BC3236}" name="ИТОГО GS сентябрь, шт.2" dataDxfId="920" dataCellStyle="Финансовый 3">
      <calculatedColumnFormula>JI9+NL9</calculatedColumnFormula>
    </tableColumn>
    <tableColumn id="166" xr3:uid="{967B1211-CFBA-4BA9-94B7-9A68F6450198}" name="ИТОГО GS октябрь, шт.2" dataDxfId="919" dataCellStyle="Финансовый 3">
      <calculatedColumnFormula>JJ9+NM9</calculatedColumnFormula>
    </tableColumn>
    <tableColumn id="167" xr3:uid="{5869CB0C-5DF2-414B-90D4-3F7587D2F31A}" name="ИТОГО GS ноябрь, шт.2" dataDxfId="918" dataCellStyle="Финансовый 3">
      <calculatedColumnFormula>JK9+NN9</calculatedColumnFormula>
    </tableColumn>
    <tableColumn id="168" xr3:uid="{2667C683-2AA7-47AD-AEC6-136CE1EDB367}" name="ИТОГО GS декабрь, шт.2" dataDxfId="917" dataCellStyle="Финансовый 3">
      <calculatedColumnFormula>JL9+NO9</calculatedColumnFormula>
    </tableColumn>
    <tableColumn id="169" xr3:uid="{6E5D4E49-770A-4613-9CF7-56DC9766839B}" name="ИТОГО NS за год, руб.2" dataDxfId="916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915" dataCellStyle="Финансовый 3">
      <calculatedColumnFormula>JN9+NQ9</calculatedColumnFormula>
    </tableColumn>
    <tableColumn id="171" xr3:uid="{F45C85A8-3B94-4704-B60A-090574FB89F0}" name="ИТОГО NS февраль, шт.2" dataDxfId="914" dataCellStyle="Финансовый 3">
      <calculatedColumnFormula>JO9+NR9</calculatedColumnFormula>
    </tableColumn>
    <tableColumn id="172" xr3:uid="{D04663B0-45BE-404C-A06B-2A7BA9AD491D}" name="ИТОГО NS март, шт.2" dataDxfId="913" dataCellStyle="Финансовый 3">
      <calculatedColumnFormula>JP9+NS9</calculatedColumnFormula>
    </tableColumn>
    <tableColumn id="173" xr3:uid="{37021E12-6703-46C8-8733-BE40788C50C3}" name="ИТОГО NS апрель, шт.2" dataDxfId="912" dataCellStyle="Финансовый 3">
      <calculatedColumnFormula>JQ9+NT9</calculatedColumnFormula>
    </tableColumn>
    <tableColumn id="174" xr3:uid="{29CD4343-7F9F-44BB-97D0-9168930DF3E1}" name="ИТОГО NS май, шт.2" dataDxfId="911" dataCellStyle="Финансовый 3">
      <calculatedColumnFormula>JR9+NU9</calculatedColumnFormula>
    </tableColumn>
    <tableColumn id="175" xr3:uid="{5652D850-EC7E-47B6-B5CF-C6EFD00A8187}" name="ИТОГО NS июнь, шт.2" dataDxfId="910" dataCellStyle="Финансовый 3">
      <calculatedColumnFormula>JS9+NV9</calculatedColumnFormula>
    </tableColumn>
    <tableColumn id="176" xr3:uid="{9C8124F0-A202-4BEA-B16D-D31017E7B99C}" name="ИТОГО NS июль, шт.2" dataDxfId="909" dataCellStyle="Финансовый 3">
      <calculatedColumnFormula>JT9+NW9</calculatedColumnFormula>
    </tableColumn>
    <tableColumn id="177" xr3:uid="{F66A9020-05AF-43A0-BC65-6B71C8BDA682}" name="ИТОГО NS август, шт.2" dataDxfId="908" dataCellStyle="Финансовый 3">
      <calculatedColumnFormula>JU9+NX9</calculatedColumnFormula>
    </tableColumn>
    <tableColumn id="178" xr3:uid="{4109D3AD-E4DA-4C1E-B62C-5499C746F7F5}" name="ИТОГО NS сентябрь, шт.2" dataDxfId="907" dataCellStyle="Финансовый 3">
      <calculatedColumnFormula>JV9+NY9</calculatedColumnFormula>
    </tableColumn>
    <tableColumn id="179" xr3:uid="{5C38F72E-B879-4CAC-81A2-E9E1570D5D91}" name="ИТОГО NS октябрь, шт.2" dataDxfId="906" dataCellStyle="Финансовый 3">
      <calculatedColumnFormula>JW9+NZ9</calculatedColumnFormula>
    </tableColumn>
    <tableColumn id="180" xr3:uid="{9F605D84-D8D6-4A58-80B2-E4304966E13C}" name="ИТОГО NS ноябрь, шт.2" dataDxfId="905" dataCellStyle="Финансовый 3">
      <calculatedColumnFormula>JX9+OA9</calculatedColumnFormula>
    </tableColumn>
    <tableColumn id="181" xr3:uid="{954672E0-6604-491C-916F-659EEB62B074}" name="ИТОГО NS декабрь, шт.2" dataDxfId="904" dataCellStyle="Финансовый 3">
      <calculatedColumnFormula>JY9+OB9</calculatedColumnFormula>
    </tableColumn>
    <tableColumn id="182" xr3:uid="{C7331DF7-072E-4EA3-8874-06C683C02B34}" name="ИТОГО LC за год, руб.2" dataDxfId="903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902" dataCellStyle="Финансовый 3">
      <calculatedColumnFormula>KA9+OD9</calculatedColumnFormula>
    </tableColumn>
    <tableColumn id="184" xr3:uid="{26AE1EEF-AD47-4872-AD21-3DB2B5DFDCFB}" name="ИТОГО LC февраль, руб.2" dataDxfId="901" dataCellStyle="Финансовый 3">
      <calculatedColumnFormula>KB9+OE9</calculatedColumnFormula>
    </tableColumn>
    <tableColumn id="185" xr3:uid="{FB2FEB4C-011A-4321-9567-03388D07A356}" name="ИТОГО LC март, руб.2" dataDxfId="900" dataCellStyle="Финансовый 3">
      <calculatedColumnFormula>KC9+OF9</calculatedColumnFormula>
    </tableColumn>
    <tableColumn id="186" xr3:uid="{EB41F9AA-51A4-4CF9-9121-56CE346D8BC9}" name="ИТОГО LC апрель, руб.2" dataDxfId="899" dataCellStyle="Финансовый 3">
      <calculatedColumnFormula>KD9+OG9</calculatedColumnFormula>
    </tableColumn>
    <tableColumn id="187" xr3:uid="{84012C9A-8D11-486F-9414-4F75BA731A45}" name="ИТОГО LC май, руб.2" dataDxfId="898" dataCellStyle="Финансовый 3">
      <calculatedColumnFormula>KE9+OH9</calculatedColumnFormula>
    </tableColumn>
    <tableColumn id="188" xr3:uid="{35C63E50-7A7D-4B3C-9D04-EB72C2CBD462}" name="ИТОГО LC июнь, руб.2" dataDxfId="897" dataCellStyle="Финансовый 3">
      <calculatedColumnFormula>KF9+OI9</calculatedColumnFormula>
    </tableColumn>
    <tableColumn id="189" xr3:uid="{3C42D574-63CD-4049-B99C-BF6700442EB2}" name="ИТОГО LC июль, руб.2" dataDxfId="896" dataCellStyle="Финансовый 3">
      <calculatedColumnFormula>KG9+OJ9</calculatedColumnFormula>
    </tableColumn>
    <tableColumn id="190" xr3:uid="{77BED838-11E1-4EAA-9702-EAFC7891A889}" name="ИТОГО LC август, руб.2" dataDxfId="895" dataCellStyle="Финансовый 3">
      <calculatedColumnFormula>KH9+OK9</calculatedColumnFormula>
    </tableColumn>
    <tableColumn id="191" xr3:uid="{8FE4ECF9-5A51-4221-BF30-E739DD7F6707}" name="ИТОГО LC сентябрь, руб.2" dataDxfId="894" dataCellStyle="Финансовый 3">
      <calculatedColumnFormula>KI9+OL9</calculatedColumnFormula>
    </tableColumn>
    <tableColumn id="192" xr3:uid="{EA3D2B06-3682-405B-8652-DA3B8E6C6A7C}" name="ИТОГО LC октябрь, руб.2" dataDxfId="893" dataCellStyle="Финансовый 3">
      <calculatedColumnFormula>KJ9+OM9</calculatedColumnFormula>
    </tableColumn>
    <tableColumn id="193" xr3:uid="{14A41C10-702D-4286-84C7-10CDAEB99431}" name="ИТОГО LC ноябрь, руб.2" dataDxfId="892" dataCellStyle="Финансовый 3">
      <calculatedColumnFormula>KK9+ON9</calculatedColumnFormula>
    </tableColumn>
    <tableColumn id="194" xr3:uid="{2617EB5A-25B1-4416-8913-10F5ADE21498}" name="ИТОГО LC декабрь, руб.2" dataDxfId="891" dataCellStyle="Финансовый 3">
      <calculatedColumnFormula>KL9+OO9</calculatedColumnFormula>
    </tableColumn>
    <tableColumn id="195" xr3:uid="{D4960B43-8244-4D9F-BA94-78A6CF39D5C7}" name="ИТОГО GP value за год, руб.2" dataDxfId="890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889" dataCellStyle="Финансовый 3">
      <calculatedColumnFormula>KN9+OQ9</calculatedColumnFormula>
    </tableColumn>
    <tableColumn id="197" xr3:uid="{F7AF7AF7-1A7A-4681-8C47-90FAF0771A47}" name="ИТОГО GP value февраль, руб.2" dataDxfId="888" dataCellStyle="Финансовый 3">
      <calculatedColumnFormula>KO9+OR9</calculatedColumnFormula>
    </tableColumn>
    <tableColumn id="198" xr3:uid="{A55370FF-901A-4B40-B76E-B4AAEFF6B864}" name="ИТОГО GP value март, руб.2" dataDxfId="887" dataCellStyle="Финансовый 3">
      <calculatedColumnFormula>KP9+OS9</calculatedColumnFormula>
    </tableColumn>
    <tableColumn id="199" xr3:uid="{A0E4569C-801F-4FF9-9B4C-E69E443D75C7}" name="ИТОГО GP value апрель, руб.2" dataDxfId="886" dataCellStyle="Финансовый 3">
      <calculatedColumnFormula>KQ9+OT9</calculatedColumnFormula>
    </tableColumn>
    <tableColumn id="200" xr3:uid="{1BF5A6C4-E4CA-4BA8-827D-264EDD179D92}" name="ИТОГО GP value май, руб.2" dataDxfId="885" dataCellStyle="Финансовый 3">
      <calculatedColumnFormula>KR9+OU9</calculatedColumnFormula>
    </tableColumn>
    <tableColumn id="201" xr3:uid="{C9C476AB-9809-41BC-BF6D-840AC33D7BC5}" name="ИТОГО GP value июнь, руб.2" dataDxfId="884" dataCellStyle="Финансовый 3">
      <calculatedColumnFormula>KS9+OV9</calculatedColumnFormula>
    </tableColumn>
    <tableColumn id="202" xr3:uid="{681AD4A7-034A-4CCD-BEF5-CFC0FD1B66B4}" name="ИТОГО GP value июль, руб.2" dataDxfId="883" dataCellStyle="Финансовый 3">
      <calculatedColumnFormula>KT9+OW9</calculatedColumnFormula>
    </tableColumn>
    <tableColumn id="203" xr3:uid="{6B2C496A-1C84-4E9E-9B70-8BB06460A725}" name="ИТОГО GP value август, руб.2" dataDxfId="882" dataCellStyle="Финансовый 3">
      <calculatedColumnFormula>KU9+OX9</calculatedColumnFormula>
    </tableColumn>
    <tableColumn id="204" xr3:uid="{7029609F-F181-490F-BB53-2F94AE3E055B}" name="ИТОГО GP value сентябрь, руб.2" dataDxfId="881" dataCellStyle="Финансовый 3">
      <calculatedColumnFormula>KV9+OY9</calculatedColumnFormula>
    </tableColumn>
    <tableColumn id="205" xr3:uid="{1D09ED67-6B60-404E-B6A4-BB98A96D24AF}" name="ИТОГО GP value октябрь, руб.2" dataDxfId="880" dataCellStyle="Финансовый 3">
      <calculatedColumnFormula>KW9+OZ9</calculatedColumnFormula>
    </tableColumn>
    <tableColumn id="206" xr3:uid="{CC19E74B-1695-4188-B319-E185692BB5F1}" name="ИТОГО GP value ноябрь, руб.2" dataDxfId="879" dataCellStyle="Финансовый 3">
      <calculatedColumnFormula>KX9+PA9</calculatedColumnFormula>
    </tableColumn>
    <tableColumn id="207" xr3:uid="{5F23C89D-409F-4695-932E-460914023798}" name="ИТОГО GP value декабрь, руб.2" dataDxfId="878" dataCellStyle="Финансовый 3">
      <calculatedColumnFormula>KY9+PB9</calculatedColumnFormula>
    </tableColumn>
    <tableColumn id="208" xr3:uid="{ED1FF1A8-37D4-4A13-85E5-15E31C952060}" name="ИТОГО GP % за год2" dataDxfId="877" dataCellStyle="Обычный 2">
      <calculatedColumnFormula>IFERROR((1-FZ9/FM9),0)</calculatedColumnFormula>
    </tableColumn>
    <tableColumn id="209" xr3:uid="{C34886DF-C0FD-46A3-A9DF-A18BE052DDC5}" name="ИТОГО GP % январь2" dataDxfId="876" dataCellStyle="Обычный 2">
      <calculatedColumnFormula>IFERROR((1-GA9/FN9),0)</calculatedColumnFormula>
    </tableColumn>
    <tableColumn id="210" xr3:uid="{1AE8B39E-08C6-44BB-AA30-48E215489026}" name="ИТОГО GP % февраль2" dataDxfId="875" dataCellStyle="Обычный 2">
      <calculatedColumnFormula>IFERROR((1-GB9/FO9),0)</calculatedColumnFormula>
    </tableColumn>
    <tableColumn id="211" xr3:uid="{BA2425E2-88EC-429A-8FF6-FF65350AEADD}" name="ИТОГО GP % март2" dataDxfId="874" dataCellStyle="Обычный 2">
      <calculatedColumnFormula>IFERROR((1-GC9/FP9),0)</calculatedColumnFormula>
    </tableColumn>
    <tableColumn id="212" xr3:uid="{AA7312FF-BE0C-489E-9120-02A75A5CB4A9}" name="ИТОГО GP % апрель2" dataDxfId="873" dataCellStyle="Обычный 2">
      <calculatedColumnFormula>IFERROR((1-GD9/FQ9),0)</calculatedColumnFormula>
    </tableColumn>
    <tableColumn id="213" xr3:uid="{74565773-0EC4-41D1-9EBD-865394B79B07}" name="ИТОГО GP % май2" dataDxfId="872" dataCellStyle="Обычный 2">
      <calculatedColumnFormula>IFERROR((1-GE9/FR9),0)</calculatedColumnFormula>
    </tableColumn>
    <tableColumn id="214" xr3:uid="{31F57A56-CF19-42FF-B7A2-07B879DAD690}" name="ИТОГО GP % июнь2" dataDxfId="871" dataCellStyle="Обычный 2">
      <calculatedColumnFormula>IFERROR((1-GF9/FS9),0)</calculatedColumnFormula>
    </tableColumn>
    <tableColumn id="215" xr3:uid="{D93648D3-E454-4ECA-80F1-84BA1CE804B6}" name="ИТОГО GP % июль2" dataDxfId="870" dataCellStyle="Обычный 2">
      <calculatedColumnFormula>IFERROR((1-GG9/FT9),0)</calculatedColumnFormula>
    </tableColumn>
    <tableColumn id="216" xr3:uid="{50FD17E2-31DD-4F49-A11F-25A63026A329}" name="ИТОГО GP % август2" dataDxfId="869" dataCellStyle="Обычный 2">
      <calculatedColumnFormula>IFERROR((1-GH9/FU9),0)</calculatedColumnFormula>
    </tableColumn>
    <tableColumn id="217" xr3:uid="{2551183F-6838-47A1-9EB2-A5D0F34243F3}" name="ИТОГО GP % сентябрь2" dataDxfId="868" dataCellStyle="Обычный 2">
      <calculatedColumnFormula>IFERROR((1-GI9/FV9),0)</calculatedColumnFormula>
    </tableColumn>
    <tableColumn id="218" xr3:uid="{A394E92F-631A-4D06-A9D8-4E485AA481B9}" name="ИТОГО GP % октябрь2" dataDxfId="867" dataCellStyle="Обычный 2">
      <calculatedColumnFormula>IFERROR((1-GJ9/FW9),0)</calculatedColumnFormula>
    </tableColumn>
    <tableColumn id="219" xr3:uid="{215A0146-CD4A-4E0D-BC1C-ED9AA3DF38AA}" name="ИТОГО GP % ноябрь2" dataDxfId="866" dataCellStyle="Обычный 2">
      <calculatedColumnFormula>IFERROR((1-GK9/FX9),0)</calculatedColumnFormula>
    </tableColumn>
    <tableColumn id="220" xr3:uid="{F2E5E302-FC88-4F72-B3C3-6CA0D2112238}" name="ИТОГО GP % декабрь2" dataDxfId="865" dataCellStyle="Обычный 2">
      <calculatedColumnFormula>IFERROR((1-GL9/FY9),0)</calculatedColumnFormula>
    </tableColumn>
    <tableColumn id="221" xr3:uid="{501F627F-31C5-4B89-9C6B-51AE383FF4AB}" name="ИТОГО 2 net цена за год2" dataDxfId="864" dataCellStyle="Обычный 2">
      <calculatedColumnFormula>IFERROR((EZ9/EM9),0)</calculatedColumnFormula>
    </tableColumn>
    <tableColumn id="222" xr3:uid="{49E5F95B-426D-4C25-A86D-414D2AA64EAB}" name="ИТОГО 2 net цена январь2" dataDxfId="863" dataCellStyle="Обычный 2">
      <calculatedColumnFormula>IFERROR((FA9/EN9),0)</calculatedColumnFormula>
    </tableColumn>
    <tableColumn id="223" xr3:uid="{7495EE59-4B6F-4B40-A052-7EAA48D23232}" name="ИТОГО 2 net цена февраль2" dataDxfId="862" dataCellStyle="Обычный 2">
      <calculatedColumnFormula>IFERROR((FB9/EO9),0)</calculatedColumnFormula>
    </tableColumn>
    <tableColumn id="224" xr3:uid="{BB06AA2C-E086-4EC5-B50F-3FC3426364A6}" name="ИТОГО 2 net цена март2" dataDxfId="861" dataCellStyle="Обычный 2">
      <calculatedColumnFormula>IFERROR((FC9/EP9),0)</calculatedColumnFormula>
    </tableColumn>
    <tableColumn id="225" xr3:uid="{2554A9A8-C393-4DD8-A81E-015202BA440B}" name="ИТОГО 2 net цена апрель2" dataDxfId="860" dataCellStyle="Обычный 2">
      <calculatedColumnFormula>IFERROR((FD9/EQ9),0)</calculatedColumnFormula>
    </tableColumn>
    <tableColumn id="226" xr3:uid="{930AE767-95A9-4526-BAFE-52E5B172F312}" name="ИТОГО 2 net цена май2" dataDxfId="859" dataCellStyle="Обычный 2">
      <calculatedColumnFormula>IFERROR((FE9/ER9),0)</calculatedColumnFormula>
    </tableColumn>
    <tableColumn id="227" xr3:uid="{1B35DBE1-C4AE-4E2F-858D-15FA641B6542}" name="ИТОГО 2 net цена июнь2" dataDxfId="858" dataCellStyle="Обычный 2">
      <calculatedColumnFormula>IFERROR((FF9/ES9),0)</calculatedColumnFormula>
    </tableColumn>
    <tableColumn id="228" xr3:uid="{FC35583C-014F-4547-8349-7A4BFE7DF18A}" name="ИТОГО 2 net цена июль2" dataDxfId="857" dataCellStyle="Обычный 2">
      <calculatedColumnFormula>IFERROR((FG9/ET9),0)</calculatedColumnFormula>
    </tableColumn>
    <tableColumn id="229" xr3:uid="{DBC58A23-2CB5-443E-A160-FF04CFCF12E3}" name="ИТОГО 2 net цена август2" dataDxfId="856" dataCellStyle="Обычный 2">
      <calculatedColumnFormula>IFERROR((FH9/EU9),0)</calculatedColumnFormula>
    </tableColumn>
    <tableColumn id="230" xr3:uid="{40B7B034-A9B3-4C10-AE21-4BFB9AE6FCE4}" name="ИТОГО 2 net цена сентябрь2" dataDxfId="855" dataCellStyle="Обычный 2">
      <calculatedColumnFormula>IFERROR((FI9/EV9),0)</calculatedColumnFormula>
    </tableColumn>
    <tableColumn id="231" xr3:uid="{1EB2634C-65D7-47A9-9D0A-D0B9084DE97A}" name="ИТОГО 2 net цена октябрь2" dataDxfId="854" dataCellStyle="Обычный 2">
      <calculatedColumnFormula>IFERROR((FJ9/EW9),0)</calculatedColumnFormula>
    </tableColumn>
    <tableColumn id="232" xr3:uid="{F4D5A80D-7397-47F5-8B42-6CA7D8D0F1D2}" name="ИТОГО 2 net цена ноябрь2" dataDxfId="853" dataCellStyle="Обычный 2">
      <calculatedColumnFormula>IFERROR((FK9/EX9),0)</calculatedColumnFormula>
    </tableColumn>
    <tableColumn id="233" xr3:uid="{ACEF4A38-A38C-4C23-8089-19B332DE6C93}" name="ИТОГО 2 net цена декабрь2" dataDxfId="852" dataCellStyle="Обычный 2">
      <calculatedColumnFormula>IFERROR((FL9/EY9),0)</calculatedColumnFormula>
    </tableColumn>
    <tableColumn id="234" xr3:uid="{B4C33426-80BC-4666-B7AF-5CC301F049F6}" name="ИТОГО 3 net цена за год2" dataDxfId="851" dataCellStyle="Обычный 2">
      <calculatedColumnFormula>IFERROR((EZ9/EM9),0)</calculatedColumnFormula>
    </tableColumn>
    <tableColumn id="235" xr3:uid="{A8A0D654-552A-4139-9246-8881ABC94798}" name="ИТОГО 3 net цена январь2" dataDxfId="850" dataCellStyle="Обычный 2">
      <calculatedColumnFormula>IFERROR((FA9/EN9),0)</calculatedColumnFormula>
    </tableColumn>
    <tableColumn id="236" xr3:uid="{136EC7E0-61EE-44D7-80F4-0FADDFFA0FA6}" name="ИТОГО 3 net цена февраль2" dataDxfId="849" dataCellStyle="Обычный 2">
      <calculatedColumnFormula>IFERROR((FB9/EO9),0)</calculatedColumnFormula>
    </tableColumn>
    <tableColumn id="237" xr3:uid="{0298D2C1-8EA5-4F67-9154-EA60C376AAB6}" name="ИТОГО 3 net цена март2" dataDxfId="848" dataCellStyle="Обычный 2">
      <calculatedColumnFormula>IFERROR((FC9/EP9),0)</calculatedColumnFormula>
    </tableColumn>
    <tableColumn id="238" xr3:uid="{CA5F8FE1-E3EE-4F91-AFC1-75E06FBC281A}" name="ИТОГО 3 net цена апрель2" dataDxfId="847" dataCellStyle="Обычный 2">
      <calculatedColumnFormula>IFERROR((FD9/EQ9),0)</calculatedColumnFormula>
    </tableColumn>
    <tableColumn id="239" xr3:uid="{CE0A078C-CAB9-49A0-8E06-E41F1DEB92E1}" name="ИТОГО 3 net цена май2" dataDxfId="846" dataCellStyle="Обычный 2">
      <calculatedColumnFormula>IFERROR((FE9/ER9),0)</calculatedColumnFormula>
    </tableColumn>
    <tableColumn id="240" xr3:uid="{7969DC9D-0F27-44D7-B644-2F566003C88F}" name="ИТОГО 3 net цена июнь2" dataDxfId="845" dataCellStyle="Обычный 2">
      <calculatedColumnFormula>IFERROR((FF9/ES9),0)</calculatedColumnFormula>
    </tableColumn>
    <tableColumn id="241" xr3:uid="{E624F55F-0776-4D6B-98AB-76DA555E695D}" name="ИТОГО 3 net цена июль2" dataDxfId="844" dataCellStyle="Обычный 2">
      <calculatedColumnFormula>IFERROR((FG9/ET9),0)</calculatedColumnFormula>
    </tableColumn>
    <tableColumn id="242" xr3:uid="{1CB7E190-BBEC-4A37-9958-E6370019B3A1}" name="ИТОГО 3 net цена август2" dataDxfId="843" dataCellStyle="Обычный 2">
      <calculatedColumnFormula>IFERROR((FH9/EU9),0)</calculatedColumnFormula>
    </tableColumn>
    <tableColumn id="243" xr3:uid="{28AAD8F7-7448-4F36-B631-E98BD4C37DB8}" name="ИТОГО 3 net цена сентябрь2" dataDxfId="842" dataCellStyle="Обычный 2">
      <calculatedColumnFormula>IFERROR((FI9/EV9),0)</calculatedColumnFormula>
    </tableColumn>
    <tableColumn id="244" xr3:uid="{F792B923-5C7F-4E79-9C48-9229792F631C}" name="ИТОГО 3 net цена октябрь2" dataDxfId="841" dataCellStyle="Обычный 2">
      <calculatedColumnFormula>IFERROR((FJ9/EW9),0)</calculatedColumnFormula>
    </tableColumn>
    <tableColumn id="245" xr3:uid="{73FA0A66-6D64-454A-A6A0-3A1FECF1FDA3}" name="ИТОГО 3 net цена ноябрь2" dataDxfId="840" dataCellStyle="Обычный 2">
      <calculatedColumnFormula>IFERROR((FK9/EX9),0)</calculatedColumnFormula>
    </tableColumn>
    <tableColumn id="246" xr3:uid="{B48569F8-1CC6-4657-97EC-995AE7E3449D}" name="ИТОГО 3 net цена декабрь2" dataDxfId="839" dataCellStyle="Обычный 2">
      <calculatedColumnFormula>IFERROR((FL9/EY9),0)</calculatedColumnFormula>
    </tableColumn>
    <tableColumn id="247" xr3:uid="{1D663289-F033-4575-8367-359326B9EC3A}" name="Прогноз за год, шт. " dataDxfId="838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837" dataCellStyle="Обычный 2"/>
    <tableColumn id="249" xr3:uid="{872447A5-6FAC-44AF-87AA-944FD67F9A1A}" name="Прогноз февраль, шт." dataDxfId="836" dataCellStyle="Обычный 2"/>
    <tableColumn id="250" xr3:uid="{55B1506D-4CAB-48A8-A426-3A3F10162372}" name="Прогноз март, шт." dataDxfId="835" dataCellStyle="Обычный 2"/>
    <tableColumn id="251" xr3:uid="{4BC48C97-367C-4ECD-9867-55C01C2D48F7}" name="Прогноз апрель, шт." dataDxfId="834" dataCellStyle="Обычный 2"/>
    <tableColumn id="252" xr3:uid="{A105C285-36EE-4AB8-A5E9-A124B5F4AD0C}" name="Прогноз май, шт." dataDxfId="833" dataCellStyle="Обычный 2"/>
    <tableColumn id="253" xr3:uid="{019725C5-E6F3-4B67-8C40-01B52DDF4C38}" name="Прогноз июнь, шт." dataDxfId="832" dataCellStyle="Обычный 2"/>
    <tableColumn id="254" xr3:uid="{A198A50B-7F69-4D5F-85C1-A6BE9075F128}" name="Прогноз июль, шт." dataDxfId="831" dataCellStyle="Обычный 2"/>
    <tableColumn id="255" xr3:uid="{75CEB919-A7F7-44EA-92DC-8C295C02F15E}" name="Прогноз август, шт." dataDxfId="830" dataCellStyle="Обычный 2"/>
    <tableColumn id="256" xr3:uid="{DD82C439-A81D-43B1-9164-898DC3F59BB0}" name="Прогноз сентябрь, шт." dataDxfId="829" dataCellStyle="Обычный 2"/>
    <tableColumn id="257" xr3:uid="{ABE60CCF-486D-4D4E-92E2-FB2A7ECDEB49}" name="Прогноз октябрь, шт." dataDxfId="828" dataCellStyle="Обычный 2"/>
    <tableColumn id="258" xr3:uid="{6FFC20C0-9D71-4DD5-BF71-BFF3BDC90375}" name="Прогноз ноябрь, шт." dataDxfId="827" dataCellStyle="Обычный 2"/>
    <tableColumn id="259" xr3:uid="{7E0608F4-4D1D-4511-823D-62EA389DF392}" name="Прогноз декабрь, шт." dataDxfId="826" dataCellStyle="Обычный 2"/>
    <tableColumn id="260" xr3:uid="{B58CC83C-09C0-4235-9723-5B171D8CAC94}" name="GS за год, руб." dataDxfId="825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824" dataCellStyle="Обычный 2">
      <calculatedColumnFormula>IFERROR((IN9*$AE9),0)</calculatedColumnFormula>
    </tableColumn>
    <tableColumn id="262" xr3:uid="{A594ABF9-7764-4C38-BCF9-6AD0FAF4F6AF}" name="GS февраль, шт." dataDxfId="823" dataCellStyle="Обычный 2">
      <calculatedColumnFormula>IFERROR((IO9*$AE9),0)</calculatedColumnFormula>
    </tableColumn>
    <tableColumn id="263" xr3:uid="{46E8F7CA-C5BD-4EE1-BF72-CE90632324E2}" name="GS март, шт." dataDxfId="822" dataCellStyle="Обычный 2">
      <calculatedColumnFormula>IFERROR((IP9*$AE9),0)</calculatedColumnFormula>
    </tableColumn>
    <tableColumn id="264" xr3:uid="{3387218E-DAAF-44D0-8A3F-42B1FB3D13E6}" name="GS апрель, шт." dataDxfId="821" dataCellStyle="Обычный 2">
      <calculatedColumnFormula>IFERROR((IQ9*$AE9),0)</calculatedColumnFormula>
    </tableColumn>
    <tableColumn id="265" xr3:uid="{5D5E1F46-2BD2-4D0B-A44A-8CD5295FF1A8}" name="GS май, шт." dataDxfId="820" dataCellStyle="Обычный 2">
      <calculatedColumnFormula>IFERROR((IR9*$AE9),0)</calculatedColumnFormula>
    </tableColumn>
    <tableColumn id="266" xr3:uid="{1F64E2D5-6572-4F65-AB23-65C802C02B3A}" name="GS июнь, шт." dataDxfId="819" dataCellStyle="Обычный 2">
      <calculatedColumnFormula>IFERROR((IS9*$AE9),0)</calculatedColumnFormula>
    </tableColumn>
    <tableColumn id="267" xr3:uid="{86B00152-A754-4797-BAB3-167A893E9A78}" name="GS июль, шт." dataDxfId="818" dataCellStyle="Обычный 2">
      <calculatedColumnFormula>IFERROR((IT9*$AE9),0)</calculatedColumnFormula>
    </tableColumn>
    <tableColumn id="268" xr3:uid="{A6FD618C-5F75-4D7D-B3F7-05C2994289C4}" name="GS август, шт." dataDxfId="817" dataCellStyle="Обычный 2">
      <calculatedColumnFormula>IFERROR((IU9*$AE9),0)</calculatedColumnFormula>
    </tableColumn>
    <tableColumn id="269" xr3:uid="{9688C727-DE6A-455C-A567-52827AD9CA37}" name="GS сентябрь, шт." dataDxfId="816" dataCellStyle="Обычный 2">
      <calculatedColumnFormula>IFERROR((IV9*$AE9),0)</calculatedColumnFormula>
    </tableColumn>
    <tableColumn id="270" xr3:uid="{C5140616-8C73-42CB-B652-588096C145DF}" name="GS октябрь, шт." dataDxfId="815" dataCellStyle="Обычный 2">
      <calculatedColumnFormula>IFERROR((IW9*$AE9),0)</calculatedColumnFormula>
    </tableColumn>
    <tableColumn id="271" xr3:uid="{70EA5A5F-6207-493A-81A7-E3AD016A2B9B}" name="GS ноябрь, шт." dataDxfId="814" dataCellStyle="Обычный 2">
      <calculatedColumnFormula>IFERROR((IX9*$AE9),0)</calculatedColumnFormula>
    </tableColumn>
    <tableColumn id="272" xr3:uid="{3C548AC4-4EB6-44EB-B123-E0DD5B625FE3}" name="GS декабрь, шт." dataDxfId="813" dataCellStyle="Обычный 2">
      <calculatedColumnFormula>IFERROR((IY9*$AE9),0)</calculatedColumnFormula>
    </tableColumn>
    <tableColumn id="273" xr3:uid="{B5A5F267-A202-4FA7-98DB-D03F9B2E4F41}" name="NS за год, руб." dataDxfId="812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811" dataCellStyle="Финансовый 3">
      <calculatedColumnFormula>IFERROR((IN9*$AH9),0)</calculatedColumnFormula>
    </tableColumn>
    <tableColumn id="275" xr3:uid="{0A13C796-F792-478B-8599-37A515AD3301}" name="NS февраль, шт." dataDxfId="810" dataCellStyle="Финансовый 3">
      <calculatedColumnFormula>IFERROR((IO9*$AH9),0)</calculatedColumnFormula>
    </tableColumn>
    <tableColumn id="276" xr3:uid="{3E6F529B-BBB9-4064-90DC-F42FCD5FBA1F}" name="NS март, шт." dataDxfId="809" dataCellStyle="Финансовый 3">
      <calculatedColumnFormula>IFERROR((IP9*$AH9),0)</calculatedColumnFormula>
    </tableColumn>
    <tableColumn id="277" xr3:uid="{AC2CB6EB-E428-4E03-965F-780334AC7995}" name="NS апрель, шт." dataDxfId="808" dataCellStyle="Финансовый 3">
      <calculatedColumnFormula>IFERROR((IQ9*$AH9),0)</calculatedColumnFormula>
    </tableColumn>
    <tableColumn id="278" xr3:uid="{759A8A99-A6FC-4A67-9958-36F13316468A}" name="NS май, шт." dataDxfId="807" dataCellStyle="Финансовый 3">
      <calculatedColumnFormula>IFERROR((IR9*$AH9),0)</calculatedColumnFormula>
    </tableColumn>
    <tableColumn id="279" xr3:uid="{710E97CA-7A99-4D40-A2FC-8B2D4983868E}" name="NS июнь, шт." dataDxfId="806" dataCellStyle="Финансовый 3">
      <calculatedColumnFormula>IFERROR((IS9*$AH9),0)</calculatedColumnFormula>
    </tableColumn>
    <tableColumn id="280" xr3:uid="{5009D721-003F-4ED8-9FF6-5F90C24C7F92}" name="NS июль, шт." dataDxfId="805" dataCellStyle="Финансовый 3">
      <calculatedColumnFormula>IFERROR((IT9*$AH9),0)</calculatedColumnFormula>
    </tableColumn>
    <tableColumn id="281" xr3:uid="{FF093F76-08F3-4526-B2C1-54FF4E774298}" name="NS август, шт." dataDxfId="804" dataCellStyle="Финансовый 3">
      <calculatedColumnFormula>IFERROR((IU9*$AH9),0)</calculatedColumnFormula>
    </tableColumn>
    <tableColumn id="282" xr3:uid="{68CC9D78-9023-4107-9D98-EB53825C0D74}" name="NS сентябрь, шт." dataDxfId="803" dataCellStyle="Финансовый 3">
      <calculatedColumnFormula>IFERROR((IV9*$AH9),0)</calculatedColumnFormula>
    </tableColumn>
    <tableColumn id="283" xr3:uid="{87ADD5AE-3446-4181-898F-E70ED1AD277A}" name="NS октябрь, шт." dataDxfId="802" dataCellStyle="Финансовый 3">
      <calculatedColumnFormula>IFERROR((IW9*$AH9),0)</calculatedColumnFormula>
    </tableColumn>
    <tableColumn id="284" xr3:uid="{A6F67CD7-3E76-4D3C-AAC6-19A90ACF8284}" name="NS ноябрь, шт." dataDxfId="801" dataCellStyle="Финансовый 3">
      <calculatedColumnFormula>IFERROR((IX9*$AH9),0)</calculatedColumnFormula>
    </tableColumn>
    <tableColumn id="285" xr3:uid="{E173CA95-64B0-45A6-A116-B6176848C9DB}" name="NS декабрь, шт." dataDxfId="800" dataCellStyle="Финансовый 3">
      <calculatedColumnFormula>IFERROR((IY9*$AH9),0)</calculatedColumnFormula>
    </tableColumn>
    <tableColumn id="286" xr3:uid="{B6356039-113D-467B-9240-E1AB5DD11339}" name="LC за год, руб." dataDxfId="799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798" dataCellStyle="Обычный 2">
      <calculatedColumnFormula>IFERROR((IN9*$T9),0)</calculatedColumnFormula>
    </tableColumn>
    <tableColumn id="288" xr3:uid="{CF0FA510-9777-4F40-BC4D-74E4E0842E50}" name="LC февраль, руб." dataDxfId="797" dataCellStyle="Обычный 2">
      <calculatedColumnFormula>IFERROR((IO9*$T9),0)</calculatedColumnFormula>
    </tableColumn>
    <tableColumn id="289" xr3:uid="{CB40C5AA-B401-4429-AB81-D9DE2E461920}" name="LC март, руб." dataDxfId="796" dataCellStyle="Обычный 2">
      <calculatedColumnFormula>IFERROR((IP9*$T9),0)</calculatedColumnFormula>
    </tableColumn>
    <tableColumn id="290" xr3:uid="{67E8166E-07C9-46B5-A791-9A5D6A237E0B}" name="LC апрель, руб." dataDxfId="795" dataCellStyle="Обычный 2">
      <calculatedColumnFormula>IFERROR((IQ9*$T9),0)</calculatedColumnFormula>
    </tableColumn>
    <tableColumn id="291" xr3:uid="{9C291013-8456-4AD4-B38F-B0B2D06F5F8F}" name="LC май, руб." dataDxfId="794" dataCellStyle="Обычный 2">
      <calculatedColumnFormula>IFERROR((IR9*$T9),0)</calculatedColumnFormula>
    </tableColumn>
    <tableColumn id="292" xr3:uid="{58192F21-9319-4C42-B667-9A6FC2323115}" name="LC июнь, руб." dataDxfId="793" dataCellStyle="Обычный 2">
      <calculatedColumnFormula>IFERROR((IS9*$T9),0)</calculatedColumnFormula>
    </tableColumn>
    <tableColumn id="293" xr3:uid="{71E89BB3-F1BF-4BB5-8F0F-07E1EA47486D}" name="LC июль, руб." dataDxfId="792" dataCellStyle="Обычный 2">
      <calculatedColumnFormula>IFERROR((IT9*$T9),0)</calculatedColumnFormula>
    </tableColumn>
    <tableColumn id="294" xr3:uid="{CBA5CDEC-47AB-4011-8A24-E6761485D0EA}" name="LC август, руб." dataDxfId="791" dataCellStyle="Обычный 2">
      <calculatedColumnFormula>IFERROR((IU9*$T9),0)</calculatedColumnFormula>
    </tableColumn>
    <tableColumn id="295" xr3:uid="{FE462410-4DF7-4419-99DD-1D776435C882}" name="LC сентябрь, руб." dataDxfId="790" dataCellStyle="Обычный 2">
      <calculatedColumnFormula>IFERROR((IV9*$T9),0)</calculatedColumnFormula>
    </tableColumn>
    <tableColumn id="296" xr3:uid="{6913422D-22F8-4EFC-BB53-6944968D8762}" name="LC октябрь, руб." dataDxfId="789" dataCellStyle="Обычный 2">
      <calculatedColumnFormula>IFERROR((IW9*$T9),0)</calculatedColumnFormula>
    </tableColumn>
    <tableColumn id="297" xr3:uid="{83042172-09D3-4C7D-B268-68D507A165D5}" name="LC ноябрь, руб." dataDxfId="788" dataCellStyle="Обычный 2">
      <calculatedColumnFormula>IFERROR((IX9*$T9),0)</calculatedColumnFormula>
    </tableColumn>
    <tableColumn id="298" xr3:uid="{82C8EFBA-F05E-485C-A717-266F2DA9F6CF}" name="LC декабрь, руб." dataDxfId="787" dataCellStyle="Обычный 2">
      <calculatedColumnFormula>IFERROR((IY9*$T9),0)</calculatedColumnFormula>
    </tableColumn>
    <tableColumn id="299" xr3:uid="{39B17791-C498-4594-B90A-3BF1FD8C0B67}" name="GP value за год, руб." dataDxfId="786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785" dataCellStyle="Финансовый 3">
      <calculatedColumnFormula>IFERROR((LA9*JN9),0)</calculatedColumnFormula>
    </tableColumn>
    <tableColumn id="301" xr3:uid="{D5523855-B690-4E84-A6F2-4C9BCDFC0C21}" name="GP value февраль, руб." dataDxfId="784" dataCellStyle="Финансовый 3">
      <calculatedColumnFormula>IFERROR((LB9*JO9),0)</calculatedColumnFormula>
    </tableColumn>
    <tableColumn id="302" xr3:uid="{F8C8958C-2A56-443B-9B3F-6AEA7DD412BF}" name="GP value март, руб." dataDxfId="783" dataCellStyle="Финансовый 3">
      <calculatedColumnFormula>IFERROR((LC9*JP9),0)</calculatedColumnFormula>
    </tableColumn>
    <tableColumn id="303" xr3:uid="{0A2ED6E3-9897-4B09-B614-68295EC143AF}" name="GP value апрель, руб." dataDxfId="782" dataCellStyle="Финансовый 3">
      <calculatedColumnFormula>IFERROR((LD9*JQ9),0)</calculatedColumnFormula>
    </tableColumn>
    <tableColumn id="304" xr3:uid="{4ADDDFB6-E886-4555-BF17-3C3B960E6C1E}" name="GP value май, руб." dataDxfId="781" dataCellStyle="Финансовый 3">
      <calculatedColumnFormula>IFERROR((LE9*JR9),0)</calculatedColumnFormula>
    </tableColumn>
    <tableColumn id="305" xr3:uid="{CB21FBAB-3870-4296-BE40-8BE657C80DA8}" name="GP value июнь, руб." dataDxfId="780" dataCellStyle="Финансовый 3">
      <calculatedColumnFormula>IFERROR((LF9*JS9),0)</calculatedColumnFormula>
    </tableColumn>
    <tableColumn id="306" xr3:uid="{391543C9-6857-46EF-9330-5BEA28EF3005}" name="GP value июль, руб." dataDxfId="779" dataCellStyle="Финансовый 3">
      <calculatedColumnFormula>IFERROR((LG9*JT9),0)</calculatedColumnFormula>
    </tableColumn>
    <tableColumn id="307" xr3:uid="{A08432BE-5B22-4397-8B3F-F4DE588B37D3}" name="GP value август, руб." dataDxfId="778" dataCellStyle="Финансовый 3">
      <calculatedColumnFormula>IFERROR((LH9*JU9),0)</calculatedColumnFormula>
    </tableColumn>
    <tableColumn id="308" xr3:uid="{DBF1B0F5-26C1-4120-8182-6034E316E810}" name="GP value сентябрь, руб." dataDxfId="777" dataCellStyle="Финансовый 3">
      <calculatedColumnFormula>IFERROR((LI9*JV9),0)</calculatedColumnFormula>
    </tableColumn>
    <tableColumn id="309" xr3:uid="{F12815BA-87D2-4D5B-94AF-970409B54E75}" name="GP value октябрь, руб." dataDxfId="776" dataCellStyle="Финансовый 3">
      <calculatedColumnFormula>IFERROR((LJ9*JW9),0)</calculatedColumnFormula>
    </tableColumn>
    <tableColumn id="310" xr3:uid="{8C0C7F09-DA0A-46AD-A539-45DC73C76B20}" name="GP value ноябрь, руб." dataDxfId="775" dataCellStyle="Финансовый 3">
      <calculatedColumnFormula>IFERROR((LK9*JX9),0)</calculatedColumnFormula>
    </tableColumn>
    <tableColumn id="311" xr3:uid="{F4C5E310-33DD-4CD1-BAF9-CFB48812C4D9}" name="GP value декабрь, руб." dataDxfId="774" dataCellStyle="Финансовый 3">
      <calculatedColumnFormula>IFERROR((LL9*JY9),0)</calculatedColumnFormula>
    </tableColumn>
    <tableColumn id="312" xr3:uid="{FDDE06F0-17CC-4022-845E-799A6D7BDE21}" name=" GP % за год" dataDxfId="773" dataCellStyle="Процентный 2">
      <calculatedColumnFormula>IFERROR((1-JZ9/JM9),0)</calculatedColumnFormula>
    </tableColumn>
    <tableColumn id="313" xr3:uid="{A2D03A27-C20F-49D3-A2CF-86F80EC6E929}" name=" GP % январь" dataDxfId="772" dataCellStyle="Процентный 2">
      <calculatedColumnFormula>IFERROR((1-KA9/JN9),0)</calculatedColumnFormula>
    </tableColumn>
    <tableColumn id="314" xr3:uid="{E824BA21-0944-40C2-9151-D41182039E3B}" name=" GP % февраль" dataDxfId="771" dataCellStyle="Процентный 2">
      <calculatedColumnFormula>IFERROR((1-KB9/JO9),0)</calculatedColumnFormula>
    </tableColumn>
    <tableColumn id="315" xr3:uid="{6D42E672-740C-4BF3-B876-9BF71F7F7CD7}" name=" GP % март" dataDxfId="770" dataCellStyle="Процентный 2">
      <calculatedColumnFormula>IFERROR((1-KC9/JP9),0)</calculatedColumnFormula>
    </tableColumn>
    <tableColumn id="316" xr3:uid="{3C2AC501-C76B-43A9-A9AC-2C0789FFDF37}" name=" GP % апрель" dataDxfId="769" dataCellStyle="Процентный 2">
      <calculatedColumnFormula>IFERROR((1-KD9/JQ9),0)</calculatedColumnFormula>
    </tableColumn>
    <tableColumn id="317" xr3:uid="{D5F15871-43B9-4598-A05B-2CC7E2A2755C}" name=" GP % май" dataDxfId="768" dataCellStyle="Процентный 2">
      <calculatedColumnFormula>IFERROR((1-KE9/JR9),0)</calculatedColumnFormula>
    </tableColumn>
    <tableColumn id="318" xr3:uid="{F3EF7210-84FB-41F4-A906-B2EC1FC7A058}" name=" GP % июнь" dataDxfId="767" dataCellStyle="Процентный 2">
      <calculatedColumnFormula>IFERROR((1-KF9/JS9),0)</calculatedColumnFormula>
    </tableColumn>
    <tableColumn id="319" xr3:uid="{3F4BCEAC-906F-48C4-ACEC-4A22B5A334A5}" name=" GP % июль" dataDxfId="766" dataCellStyle="Процентный 2">
      <calculatedColumnFormula>IFERROR((1-KG9/JT9),0)</calculatedColumnFormula>
    </tableColumn>
    <tableColumn id="320" xr3:uid="{79625180-60B8-438D-90F5-13F0F06BE328}" name=" GP % август" dataDxfId="765" dataCellStyle="Процентный 2">
      <calculatedColumnFormula>IFERROR((1-KH9/JU9),0)</calculatedColumnFormula>
    </tableColumn>
    <tableColumn id="321" xr3:uid="{B10CF699-A847-4740-B056-9E2FB742A181}" name=" GP % сентябрь" dataDxfId="764" dataCellStyle="Процентный 2">
      <calculatedColumnFormula>IFERROR((1-KI9/JV9),0)</calculatedColumnFormula>
    </tableColumn>
    <tableColumn id="322" xr3:uid="{E1501EBD-46D1-4C0D-B445-84FFBAE3E793}" name=" GP % октябрь" dataDxfId="763" dataCellStyle="Процентный 2">
      <calculatedColumnFormula>IFERROR((1-KJ9/JW9),0)</calculatedColumnFormula>
    </tableColumn>
    <tableColumn id="323" xr3:uid="{9FE28C38-944A-40C1-BF30-420A94A077F9}" name=" GP % ноябрь" dataDxfId="762" dataCellStyle="Процентный 2">
      <calculatedColumnFormula>IFERROR((1-KK9/JX9),0)</calculatedColumnFormula>
    </tableColumn>
    <tableColumn id="324" xr3:uid="{C1187C50-2F3B-4CD2-AC09-B6922C309D1B}" name=" GP % декабрь" dataDxfId="761" dataCellStyle="Процентный 2">
      <calculatedColumnFormula>IFERROR((1-KL9/JY9),0)</calculatedColumnFormula>
    </tableColumn>
    <tableColumn id="325" xr3:uid="{CEE4BCC8-841B-42BE-8479-7DF5AECC5090}" name=" 2 net цена за год" dataDxfId="760" dataCellStyle="Финансовый 3">
      <calculatedColumnFormula>IFERROR((IZ9/IM9),0)</calculatedColumnFormula>
    </tableColumn>
    <tableColumn id="326" xr3:uid="{DC464774-BCBA-492E-B503-18A435857DFF}" name=" 2 net цена январь" dataDxfId="759" dataCellStyle="Финансовый 3">
      <calculatedColumnFormula>IFERROR((JA9/IN9),0)</calculatedColumnFormula>
    </tableColumn>
    <tableColumn id="327" xr3:uid="{0C182330-BDD4-4C76-802E-2F97D82F3782}" name=" 2 net цена февраль" dataDxfId="758" dataCellStyle="Финансовый 3">
      <calculatedColumnFormula>IFERROR((JB9/IO9),0)</calculatedColumnFormula>
    </tableColumn>
    <tableColumn id="328" xr3:uid="{B6DD3E38-1971-4373-BCD3-31074453153D}" name=" 2 net цена март" dataDxfId="757" dataCellStyle="Финансовый 3">
      <calculatedColumnFormula>IFERROR((JC9/IP9),0)</calculatedColumnFormula>
    </tableColumn>
    <tableColumn id="329" xr3:uid="{67144CB2-5C69-48E9-B7BB-5F326382CD77}" name=" 2 net цена апрель" dataDxfId="756" dataCellStyle="Финансовый 3">
      <calculatedColumnFormula>IFERROR((JD9/IQ9),0)</calculatedColumnFormula>
    </tableColumn>
    <tableColumn id="330" xr3:uid="{A096517C-E30A-4122-B7CF-90D1BDB3B759}" name=" 2 net цена май" dataDxfId="755" dataCellStyle="Финансовый 3">
      <calculatedColumnFormula>IFERROR((JE9/IR9),0)</calculatedColumnFormula>
    </tableColumn>
    <tableColumn id="331" xr3:uid="{806B8E9F-483C-4F16-824F-3763CD65DCD0}" name=" 2 net цена июнь" dataDxfId="754" dataCellStyle="Финансовый 3">
      <calculatedColumnFormula>IFERROR((JF9/IS9),0)</calculatedColumnFormula>
    </tableColumn>
    <tableColumn id="332" xr3:uid="{9F44EF5E-A117-4063-B6B5-28D6921AB1E8}" name=" 2 net цена июль" dataDxfId="753" dataCellStyle="Финансовый 3">
      <calculatedColumnFormula>IFERROR((JG9/IT9),0)</calculatedColumnFormula>
    </tableColumn>
    <tableColumn id="333" xr3:uid="{39FB49B1-691B-43B3-88F8-ACBC7E3CC5B6}" name=" 2 net цена август" dataDxfId="752" dataCellStyle="Финансовый 3">
      <calculatedColumnFormula>IFERROR((JH9/IU9),0)</calculatedColumnFormula>
    </tableColumn>
    <tableColumn id="334" xr3:uid="{4A58A27F-E333-40B7-8885-168DBD729E50}" name=" 2 net цена сентябрь" dataDxfId="751" dataCellStyle="Финансовый 3">
      <calculatedColumnFormula>IFERROR((JI9/IV9),0)</calculatedColumnFormula>
    </tableColumn>
    <tableColumn id="335" xr3:uid="{4AD104D1-5C67-48E1-9A6C-6F183F97DEBE}" name=" 2 net цена октябрь" dataDxfId="750" dataCellStyle="Финансовый 3">
      <calculatedColumnFormula>IFERROR((JJ9/IW9),0)</calculatedColumnFormula>
    </tableColumn>
    <tableColumn id="336" xr3:uid="{0CB83592-DAAE-4387-8348-6070870C4F45}" name=" 2 net цена ноябрь" dataDxfId="749" dataCellStyle="Финансовый 3">
      <calculatedColumnFormula>IFERROR((JK9/IX9),0)</calculatedColumnFormula>
    </tableColumn>
    <tableColumn id="337" xr3:uid="{6CF2F98B-D681-4271-BE2B-82E8A421234E}" name=" 2 net цена декабрь" dataDxfId="748" dataCellStyle="Финансовый 3">
      <calculatedColumnFormula>IFERROR((JL9/IY9),0)</calculatedColumnFormula>
    </tableColumn>
    <tableColumn id="338" xr3:uid="{3A3BB532-1F7B-4062-BDDC-CD84EB813573}" name=" 3 net цена за год" dataDxfId="747" dataCellStyle="Финансовый 3">
      <calculatedColumnFormula>IFERROR((JM9/IM9),0)</calculatedColumnFormula>
    </tableColumn>
    <tableColumn id="339" xr3:uid="{848A3213-E956-4095-A499-9320E22FEDB4}" name=" 3 net цена январь" dataDxfId="746" dataCellStyle="Финансовый 3">
      <calculatedColumnFormula>IFERROR((JN9/IN9),0)</calculatedColumnFormula>
    </tableColumn>
    <tableColumn id="340" xr3:uid="{84548F2A-6979-404E-A6DE-D6ECE8F20FC7}" name=" 3 net цена февраль" dataDxfId="745" dataCellStyle="Финансовый 3">
      <calculatedColumnFormula>IFERROR((JO9/IO9),0)</calculatedColumnFormula>
    </tableColumn>
    <tableColumn id="341" xr3:uid="{F3480BD3-4A64-45C7-8F54-2BF03BE737A0}" name=" 3 net цена март" dataDxfId="744" dataCellStyle="Финансовый 3">
      <calculatedColumnFormula>IFERROR((JP9/IP9),0)</calculatedColumnFormula>
    </tableColumn>
    <tableColumn id="342" xr3:uid="{4EC61364-7137-4DD2-B614-9B9C9D3D9774}" name=" 3 net цена апрель" dataDxfId="743" dataCellStyle="Финансовый 3">
      <calculatedColumnFormula>IFERROR((JQ9/IQ9),0)</calculatedColumnFormula>
    </tableColumn>
    <tableColumn id="343" xr3:uid="{1E99B4A8-351E-48E8-888D-8E4D773A239A}" name=" 3 net цена май" dataDxfId="742" dataCellStyle="Финансовый 3">
      <calculatedColumnFormula>IFERROR((JR9/IR9),0)</calculatedColumnFormula>
    </tableColumn>
    <tableColumn id="344" xr3:uid="{4D79C53E-0BF1-4B28-8E42-3DAD966858F7}" name=" 3 net цена июнь" dataDxfId="741" dataCellStyle="Финансовый 3">
      <calculatedColumnFormula>IFERROR((JS9/IS9),0)</calculatedColumnFormula>
    </tableColumn>
    <tableColumn id="345" xr3:uid="{6B7DB2CC-F6CB-4AAC-98BF-A02AB3D60CD9}" name=" 3 net цена июль" dataDxfId="740" dataCellStyle="Финансовый 3">
      <calculatedColumnFormula>IFERROR((JT9/IT9),0)</calculatedColumnFormula>
    </tableColumn>
    <tableColumn id="346" xr3:uid="{07B6EC8F-DC84-4EE9-B84B-D4F32966C43F}" name=" 3 net цена август" dataDxfId="739" dataCellStyle="Финансовый 3">
      <calculatedColumnFormula>IFERROR((JU9/IU9),0)</calculatedColumnFormula>
    </tableColumn>
    <tableColumn id="347" xr3:uid="{CF101E5F-ED6D-4F31-9548-83C56C9FF8C9}" name=" 3 net цена сентябрь" dataDxfId="738" dataCellStyle="Финансовый 3">
      <calculatedColumnFormula>IFERROR((JV9/IV9),0)</calculatedColumnFormula>
    </tableColumn>
    <tableColumn id="348" xr3:uid="{791FF8DA-C5C5-4A12-8375-D52F67F5745E}" name=" 3 net цена октябрь" dataDxfId="737" dataCellStyle="Финансовый 3">
      <calculatedColumnFormula>IFERROR((JW9/IW9),0)</calculatedColumnFormula>
    </tableColumn>
    <tableColumn id="349" xr3:uid="{CB43276A-ED91-42BA-9F53-5B1B4502480A}" name=" 3 net цена ноябрь" dataDxfId="736" dataCellStyle="Финансовый 3">
      <calculatedColumnFormula>IFERROR((JX9/IX9),0)</calculatedColumnFormula>
    </tableColumn>
    <tableColumn id="350" xr3:uid="{2E3702B3-0687-447B-89FA-774500D1C04E}" name=" 3 net цена декабрь" dataDxfId="735" dataCellStyle="Финансовый 3">
      <calculatedColumnFormula>IFERROR((JY9/IY9),0)</calculatedColumnFormula>
    </tableColumn>
    <tableColumn id="351" xr3:uid="{75C10CD6-C61C-4EC2-9B4A-35DA088BBC8B}" name="ПРОМО цена (2net), руб." dataDxfId="734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733" dataCellStyle="Процентный 2"/>
    <tableColumn id="353" xr3:uid="{C9EA176F-5842-44E8-9853-0A0240518986}" name="ПРОМО 3net цена, руб." dataDxfId="732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731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730" dataCellStyle="Обычный 2"/>
    <tableColumn id="356" xr3:uid="{EDC6B8D4-F410-4D05-8B2C-95DA61D86C63}" name="ПРОМО прогноз февраль, шт." dataDxfId="729" dataCellStyle="Обычный 2"/>
    <tableColumn id="357" xr3:uid="{9D4AD351-948C-446B-B3B1-FB9D0522F30E}" name="ПРОМО прогноз март, шт." dataDxfId="728" dataCellStyle="Обычный 2"/>
    <tableColumn id="358" xr3:uid="{0608C78F-8AAF-4C84-9394-87F0FB30B3BF}" name="ПРОМО прогноз апрель, шт." dataDxfId="727" dataCellStyle="Обычный 2"/>
    <tableColumn id="359" xr3:uid="{7B9E3496-2CEC-4F78-A989-39815BA6AA55}" name="ПРОМО прогноз май, шт." dataDxfId="726" dataCellStyle="Обычный 2"/>
    <tableColumn id="360" xr3:uid="{CBF24448-9019-4890-B632-BC5456F0C99D}" name="ПРОМО прогноз июнь, шт." dataDxfId="725" dataCellStyle="Обычный 2"/>
    <tableColumn id="361" xr3:uid="{2EE12624-5B1A-4DDA-ACA0-5134FBCE6632}" name="ПРОМО прогноз июль, шт." dataDxfId="724" dataCellStyle="Обычный 2"/>
    <tableColumn id="362" xr3:uid="{C5402EA4-A20E-4A0C-9C12-C919741F9693}" name="ПРОМО прогноз август, шт." dataDxfId="723" dataCellStyle="Обычный 2"/>
    <tableColumn id="363" xr3:uid="{0FA22EA0-6928-4062-B923-2BF49C7FB910}" name="ПРОМО прогноз сентябрь, шт." dataDxfId="722" dataCellStyle="Обычный 2"/>
    <tableColumn id="364" xr3:uid="{0B7134B7-0C47-4601-8679-248105224393}" name="ПРОМО прогноз октябрь, шт." dataDxfId="721" dataCellStyle="Обычный 2"/>
    <tableColumn id="365" xr3:uid="{81E635A5-A194-4067-B484-F38D0BDA807D}" name="ПРОМО прогноз ноябрь, шт." dataDxfId="720" dataCellStyle="Обычный 2"/>
    <tableColumn id="366" xr3:uid="{B2E11EF2-42E7-402C-AE1D-48466B3CDC43}" name="ПРОМО прогноз декабрь, шт." dataDxfId="719" dataCellStyle="Обычный 2"/>
    <tableColumn id="367" xr3:uid="{9FBE5F5A-63D1-45C2-A95F-6DE72AEE5045}" name="ПРОМО GS за год, руб." dataDxfId="718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717" dataCellStyle="Обычный 2">
      <calculatedColumnFormula>$MM9*MQ9</calculatedColumnFormula>
    </tableColumn>
    <tableColumn id="369" xr3:uid="{C554573D-90FB-4D6C-92C5-75CDC2A7E4C2}" name="ПРОМО GS февраль, руб." dataDxfId="716" dataCellStyle="Обычный 2">
      <calculatedColumnFormula>$MM9*MR9</calculatedColumnFormula>
    </tableColumn>
    <tableColumn id="370" xr3:uid="{6164CDFB-DF88-4304-A16B-30BD4AC207AD}" name="ПРОМО GS март, руб." dataDxfId="715" dataCellStyle="Обычный 2">
      <calculatedColumnFormula>$MM9*MS9</calculatedColumnFormula>
    </tableColumn>
    <tableColumn id="371" xr3:uid="{480F8964-61CA-469B-ACAA-706EAFCDDAA2}" name="ПРОМО GS апрель, руб." dataDxfId="714" dataCellStyle="Обычный 2">
      <calculatedColumnFormula>$MM9*MT9</calculatedColumnFormula>
    </tableColumn>
    <tableColumn id="372" xr3:uid="{8E4F2A9D-F1D0-451D-A429-05662338FA29}" name="ПРОМО GS май, руб." dataDxfId="713" dataCellStyle="Обычный 2">
      <calculatedColumnFormula>$MM9*MU9</calculatedColumnFormula>
    </tableColumn>
    <tableColumn id="373" xr3:uid="{B35D8051-0EF3-4808-B325-55B51C22007A}" name="ПРОМО GS июнь, руб." dataDxfId="712" dataCellStyle="Обычный 2">
      <calculatedColumnFormula>$MM9*MV9</calculatedColumnFormula>
    </tableColumn>
    <tableColumn id="374" xr3:uid="{AD5A6690-9650-40B1-9750-59FA0AB9C836}" name="ПРОМО GS июль, руб." dataDxfId="711" dataCellStyle="Обычный 2">
      <calculatedColumnFormula>$MM9*MW9</calculatedColumnFormula>
    </tableColumn>
    <tableColumn id="375" xr3:uid="{0C23BA84-FC06-4BC0-9E42-43BCC1B73581}" name="ПРОМО GS август, руб." dataDxfId="710" dataCellStyle="Обычный 2">
      <calculatedColumnFormula>$MM9*MX9</calculatedColumnFormula>
    </tableColumn>
    <tableColumn id="376" xr3:uid="{43678C98-855B-495D-817B-FAC302D09C5A}" name="ПРОМО GS сентябрь, руб." dataDxfId="709" dataCellStyle="Обычный 2">
      <calculatedColumnFormula>$MM9*MY9</calculatedColumnFormula>
    </tableColumn>
    <tableColumn id="377" xr3:uid="{5340CDFB-6C46-43BA-881C-07A50B476953}" name="ПРОМО GS октябрь, руб." dataDxfId="708" dataCellStyle="Обычный 2">
      <calculatedColumnFormula>$MM9*MZ9</calculatedColumnFormula>
    </tableColumn>
    <tableColumn id="378" xr3:uid="{D6EA39D4-6BD5-4D40-88CE-26FE5843BBB9}" name="ПРОМО GS ноябрь, руб." dataDxfId="707" dataCellStyle="Обычный 2">
      <calculatedColumnFormula>$MM9*NA9</calculatedColumnFormula>
    </tableColumn>
    <tableColumn id="379" xr3:uid="{5E99987D-4CFA-45D9-9278-E9A80FD4CD46}" name="ПРОМО GS декабрь, руб." dataDxfId="706" dataCellStyle="Обычный 2">
      <calculatedColumnFormula>$MM9*NB9</calculatedColumnFormula>
    </tableColumn>
    <tableColumn id="380" xr3:uid="{01DD1C59-D710-407E-BB7F-DAD2EC9CFF71}" name="ПРОМО NS за год, руб." dataDxfId="705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04" dataCellStyle="Обычный 2">
      <calculatedColumnFormula>MQ9*$MO9</calculatedColumnFormula>
    </tableColumn>
    <tableColumn id="382" xr3:uid="{2A8ED8D8-3465-4E7B-8B15-F5C66E4D535A}" name="ПРОМО NS февраль, руб." dataDxfId="703" dataCellStyle="Обычный 2">
      <calculatedColumnFormula>MR9*$MO9</calculatedColumnFormula>
    </tableColumn>
    <tableColumn id="383" xr3:uid="{EE1DD5D9-2E78-438C-A1BA-1A464EB29ECE}" name="ПРОМО NS март, руб." dataDxfId="702" dataCellStyle="Обычный 2">
      <calculatedColumnFormula>MS9*$MO9</calculatedColumnFormula>
    </tableColumn>
    <tableColumn id="384" xr3:uid="{67536672-96C5-4BCA-AC9E-10CDD56D712B}" name="ПРОМО NS апрель, руб." dataDxfId="701" dataCellStyle="Обычный 2">
      <calculatedColumnFormula>MT9*$MO9</calculatedColumnFormula>
    </tableColumn>
    <tableColumn id="385" xr3:uid="{AC58F1F8-220B-433D-9412-005500BD2F6B}" name="ПРОМО NS май, руб." dataDxfId="700" dataCellStyle="Обычный 2">
      <calculatedColumnFormula>MU9*$MO9</calculatedColumnFormula>
    </tableColumn>
    <tableColumn id="386" xr3:uid="{AC9213BF-5E8D-417C-865A-EF5C2D48FD84}" name="ПРОМО NS июнь, руб." dataDxfId="699" dataCellStyle="Обычный 2">
      <calculatedColumnFormula>MV9*$MO9</calculatedColumnFormula>
    </tableColumn>
    <tableColumn id="387" xr3:uid="{4EC6E842-05B3-49AF-8279-AA136CB9B823}" name="ПРОМО NS июль, руб." dataDxfId="698" dataCellStyle="Обычный 2">
      <calculatedColumnFormula>MW9*$MO9</calculatedColumnFormula>
    </tableColumn>
    <tableColumn id="388" xr3:uid="{1646318F-4FB6-44C2-B585-5BB38C1D019F}" name="ПРОМО NS август, руб." dataDxfId="697" dataCellStyle="Обычный 2">
      <calculatedColumnFormula>MX9*$MO9</calculatedColumnFormula>
    </tableColumn>
    <tableColumn id="389" xr3:uid="{ABDC1BF7-8F63-4A49-AA06-480A8A9ABD10}" name="ПРОМО NS сентябрь, руб." dataDxfId="696" dataCellStyle="Обычный 2">
      <calculatedColumnFormula>MY9*$MO9</calculatedColumnFormula>
    </tableColumn>
    <tableColumn id="390" xr3:uid="{CA5936E7-446B-436B-A1AB-41C06F151EA9}" name="ПРОМО NS октябрь, руб." dataDxfId="695" dataCellStyle="Обычный 2">
      <calculatedColumnFormula>MZ9*$MO9</calculatedColumnFormula>
    </tableColumn>
    <tableColumn id="391" xr3:uid="{06FF0388-1550-4D40-BD6B-556D42057E79}" name="ПРОМО NS ноябрь, руб." dataDxfId="694" dataCellStyle="Обычный 2">
      <calculatedColumnFormula>NA9*$MO9</calculatedColumnFormula>
    </tableColumn>
    <tableColumn id="392" xr3:uid="{B88FB050-0C16-4623-A58C-CB358DCC0E8E}" name="ПРОМО NS декабрь, руб." dataDxfId="693" dataCellStyle="Обычный 2">
      <calculatedColumnFormula>NB9*$MO9</calculatedColumnFormula>
    </tableColumn>
    <tableColumn id="393" xr3:uid="{0A93E459-3790-491B-9019-E237C35E358E}" name="ПРОМО LC за год, руб." dataDxfId="692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691" dataCellStyle="Обычный 2">
      <calculatedColumnFormula>MQ9*$T9</calculatedColumnFormula>
    </tableColumn>
    <tableColumn id="395" xr3:uid="{D59AE778-BC5F-488F-BCD5-47EA6B44BB4F}" name="ПРОМО LC февраль, руб." dataDxfId="690" dataCellStyle="Обычный 2">
      <calculatedColumnFormula>MR9*$T9</calculatedColumnFormula>
    </tableColumn>
    <tableColumn id="396" xr3:uid="{9106F45A-5288-451B-A727-146870FDF524}" name="ПРОМО LC март, руб." dataDxfId="689" dataCellStyle="Обычный 2">
      <calculatedColumnFormula>MS9*$T9</calculatedColumnFormula>
    </tableColumn>
    <tableColumn id="397" xr3:uid="{71E34BE0-B572-446D-8234-C9F7A36C6BCA}" name="ПРОМО LC апрель, руб." dataDxfId="688" dataCellStyle="Обычный 2">
      <calculatedColumnFormula>MT9*$T9</calculatedColumnFormula>
    </tableColumn>
    <tableColumn id="398" xr3:uid="{BA75C90D-30E5-4EDD-B3E1-45666F4BCDF0}" name="ПРОМО LC май, руб." dataDxfId="687" dataCellStyle="Обычный 2">
      <calculatedColumnFormula>MU9*$T9</calculatedColumnFormula>
    </tableColumn>
    <tableColumn id="399" xr3:uid="{628E20F6-6DA5-4A6E-B026-2C4287905066}" name="ПРОМО LC июнь, руб." dataDxfId="686" dataCellStyle="Обычный 2">
      <calculatedColumnFormula>MV9*$T9</calculatedColumnFormula>
    </tableColumn>
    <tableColumn id="400" xr3:uid="{EA84D0C9-187F-44EB-808B-BECEFF536F91}" name="ПРОМО LC июль, руб." dataDxfId="685" dataCellStyle="Обычный 2">
      <calculatedColumnFormula>MW9*$T9</calculatedColumnFormula>
    </tableColumn>
    <tableColumn id="401" xr3:uid="{97BD8944-4C28-4092-8631-ADB700EE0033}" name="ПРОМО LC август, руб." dataDxfId="684" dataCellStyle="Обычный 2">
      <calculatedColumnFormula>MX9*$T9</calculatedColumnFormula>
    </tableColumn>
    <tableColumn id="402" xr3:uid="{221ECD49-8F6B-45B2-BD28-7F97BA3438AE}" name="ПРОМО LC сентябрь, руб." dataDxfId="683" dataCellStyle="Обычный 2">
      <calculatedColumnFormula>MY9*$T9</calculatedColumnFormula>
    </tableColumn>
    <tableColumn id="403" xr3:uid="{34198C75-7773-4E85-BF99-9824AECEF0DC}" name="ПРОМО LC октябрь, руб." dataDxfId="682" dataCellStyle="Обычный 2">
      <calculatedColumnFormula>MZ9*$T9</calculatedColumnFormula>
    </tableColumn>
    <tableColumn id="404" xr3:uid="{369F954B-54FC-4672-974D-A0C08866037F}" name="ПРОМО LC ноябрь, руб." dataDxfId="681" dataCellStyle="Обычный 2">
      <calculatedColumnFormula>NA9*$T9</calculatedColumnFormula>
    </tableColumn>
    <tableColumn id="405" xr3:uid="{B5347348-F2BD-4E9C-833D-591BD9AC09D9}" name="ПРОМО LC декабрь, руб." dataDxfId="680" dataCellStyle="Обычный 2">
      <calculatedColumnFormula>NB9*$T9</calculatedColumnFormula>
    </tableColumn>
    <tableColumn id="406" xr3:uid="{3BF22631-43B1-449E-9DC4-56C97DF90FA0}" name="ПРОМО GP value за год, руб." dataDxfId="679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678" dataCellStyle="Финансовый 3">
      <calculatedColumnFormula>PD9*NQ9</calculatedColumnFormula>
    </tableColumn>
    <tableColumn id="408" xr3:uid="{EB7A5800-0E78-4ECF-A7A0-6552012611BC}" name="ПРОМО GP value февраль, руб." dataDxfId="677" dataCellStyle="Финансовый 3">
      <calculatedColumnFormula>PE9*NR9</calculatedColumnFormula>
    </tableColumn>
    <tableColumn id="409" xr3:uid="{90834B71-821E-4DE7-A3D9-57D44BCBD4BF}" name="ПРОМО GP value март, руб." dataDxfId="676" dataCellStyle="Финансовый 3">
      <calculatedColumnFormula>PF9*NS9</calculatedColumnFormula>
    </tableColumn>
    <tableColumn id="410" xr3:uid="{AA9C35E1-51E9-4775-97D0-67F10915D31E}" name="ПРОМО GP value апрель, руб." dataDxfId="675" dataCellStyle="Финансовый 3">
      <calculatedColumnFormula>PG9*NT9</calculatedColumnFormula>
    </tableColumn>
    <tableColumn id="411" xr3:uid="{AE8126F1-C3F8-4571-8B03-EB37C3A117E7}" name="ПРОМО GP value май, руб." dataDxfId="674" dataCellStyle="Финансовый 3">
      <calculatedColumnFormula>PH9*NU9</calculatedColumnFormula>
    </tableColumn>
    <tableColumn id="412" xr3:uid="{3DA486E7-C1C5-4A82-9E99-678E27F2B682}" name="ПРОМО GP value июнь, руб." dataDxfId="673" dataCellStyle="Финансовый 3">
      <calculatedColumnFormula>PI9*NV9</calculatedColumnFormula>
    </tableColumn>
    <tableColumn id="413" xr3:uid="{AE5C74B3-30A5-4A84-8BDD-71D3B90A0F4D}" name="ПРОМО GP value июль, руб." dataDxfId="672" dataCellStyle="Финансовый 3">
      <calculatedColumnFormula>PJ9*NW9</calculatedColumnFormula>
    </tableColumn>
    <tableColumn id="414" xr3:uid="{31FF37C1-0D0C-426C-8766-5A21C1677E41}" name="ПРОМО GP value август, руб." dataDxfId="671" dataCellStyle="Финансовый 3">
      <calculatedColumnFormula>PK9*NX9</calculatedColumnFormula>
    </tableColumn>
    <tableColumn id="415" xr3:uid="{AE39845E-C997-443C-9CEC-0F1457D12E8C}" name="ПРОМО GP value сентябрь, руб." dataDxfId="670" dataCellStyle="Финансовый 3">
      <calculatedColumnFormula>PL9*NY9</calculatedColumnFormula>
    </tableColumn>
    <tableColumn id="416" xr3:uid="{FB0B8764-9510-468E-A7F6-C0C858B97CFF}" name="ПРОМО GP value октябрь, руб." dataDxfId="669" dataCellStyle="Финансовый 3">
      <calculatedColumnFormula>PM9*NZ9</calculatedColumnFormula>
    </tableColumn>
    <tableColumn id="417" xr3:uid="{454CF273-B7E2-4222-9081-3EBC2520E2DB}" name="ПРОМО GP value ноябрь, руб." dataDxfId="668" dataCellStyle="Финансовый 3">
      <calculatedColumnFormula>PN9*OA9</calculatedColumnFormula>
    </tableColumn>
    <tableColumn id="418" xr3:uid="{43FA90D2-4BE6-4718-98B7-735472AAFF9D}" name="ПРОМО GP value декабрь, руб." dataDxfId="667" dataCellStyle="Финансовый 3">
      <calculatedColumnFormula>PO9*OB9</calculatedColumnFormula>
    </tableColumn>
    <tableColumn id="419" xr3:uid="{CA312B5A-6E86-44BB-9D6C-6A3687898701}" name="ПРОМО GP % за год" dataDxfId="666" dataCellStyle="Процентный 2">
      <calculatedColumnFormula>IFERROR((1-OC9/NP9),0)</calculatedColumnFormula>
    </tableColumn>
    <tableColumn id="420" xr3:uid="{0E96038D-B3D9-41E4-846B-8895189BA149}" name="ПРОМО GP % январь" dataDxfId="665" dataCellStyle="Процентный 2">
      <calculatedColumnFormula>IFERROR((1-OD9/NQ9),0)</calculatedColumnFormula>
    </tableColumn>
    <tableColumn id="421" xr3:uid="{C3C33CFD-E975-4F65-A52D-6F9AD7FDD9D5}" name="ПРОМО GP % февраль" dataDxfId="664" dataCellStyle="Процентный 2">
      <calculatedColumnFormula>IFERROR((1-OE9/NR9),0)</calculatedColumnFormula>
    </tableColumn>
    <tableColumn id="422" xr3:uid="{17B8E684-79AC-46FD-9E44-C71E83242F7D}" name="ПРОМО GP % март" dataDxfId="663" dataCellStyle="Процентный 2">
      <calculatedColumnFormula>IFERROR((1-OF9/NS9),0)</calculatedColumnFormula>
    </tableColumn>
    <tableColumn id="423" xr3:uid="{AE9D035F-0DBA-4CBE-89C5-459AA0879082}" name="ПРОМО GP % апрель" dataDxfId="662" dataCellStyle="Процентный 2">
      <calculatedColumnFormula>IFERROR((1-OG9/NT9),0)</calculatedColumnFormula>
    </tableColumn>
    <tableColumn id="424" xr3:uid="{37E792A3-010F-405B-841E-E8FEDD32EF27}" name="ПРОМО GP % май" dataDxfId="661" dataCellStyle="Процентный 2">
      <calculatedColumnFormula>IFERROR((1-OH9/NU9),0)</calculatedColumnFormula>
    </tableColumn>
    <tableColumn id="425" xr3:uid="{9454DD13-1907-469C-A517-79A6D534BBAB}" name="ПРОМО GP % июнь" dataDxfId="660" dataCellStyle="Процентный 2">
      <calculatedColumnFormula>IFERROR((1-OI9/NV9),0)</calculatedColumnFormula>
    </tableColumn>
    <tableColumn id="426" xr3:uid="{38768B7A-1A76-4C00-8F06-96AFE4808DF4}" name="ПРОМО GP % июль" dataDxfId="659" dataCellStyle="Процентный 2">
      <calculatedColumnFormula>IFERROR((1-OJ9/NW9),0)</calculatedColumnFormula>
    </tableColumn>
    <tableColumn id="427" xr3:uid="{2D3AA0FB-A035-46BB-B135-238DCF595B6A}" name="ПРОМО GP % август" dataDxfId="658" dataCellStyle="Процентный 2">
      <calculatedColumnFormula>IFERROR((1-OK9/NX9),0)</calculatedColumnFormula>
    </tableColumn>
    <tableColumn id="428" xr3:uid="{8127EE3E-53F7-4B4C-B2C5-178605DDFCCE}" name="ПРОМО GP % сентябрь" dataDxfId="657" dataCellStyle="Процентный 2">
      <calculatedColumnFormula>IFERROR((1-OL9/NY9),0)</calculatedColumnFormula>
    </tableColumn>
    <tableColumn id="429" xr3:uid="{75C64D7F-0787-4470-AFB9-516B21F6C184}" name="ПРОМО GP % октябрь" dataDxfId="656" dataCellStyle="Процентный 2">
      <calculatedColumnFormula>IFERROR((1-OM9/NZ9),0)</calculatedColumnFormula>
    </tableColumn>
    <tableColumn id="430" xr3:uid="{7260EA05-7D45-4405-B75B-D17BB8AF4041}" name="ПРОМО GP % ноябрь" dataDxfId="655" dataCellStyle="Процентный 2">
      <calculatedColumnFormula>IFERROR((1-ON9/OA9),0)</calculatedColumnFormula>
    </tableColumn>
    <tableColumn id="431" xr3:uid="{5C962C55-CDAE-466A-8C15-A7F253387B6F}" name="ПРОМО GP % декабрь" dataDxfId="654" dataCellStyle="Процентный 2">
      <calculatedColumnFormula>IFERROR((1-OO9/OB9),0)</calculatedColumnFormula>
    </tableColumn>
    <tableColumn id="432" xr3:uid="{03D43503-D2E7-4893-8F24-AE80365F84A6}" name="ПРОМО 2 net цена за год" dataDxfId="653" dataCellStyle="Финансовый 3">
      <calculatedColumnFormula>IFERROR((NC9/MP9),0)</calculatedColumnFormula>
    </tableColumn>
    <tableColumn id="433" xr3:uid="{A89FF61D-017B-4FDC-91E9-D29420D41A82}" name="ПРОМО 2 net цена январь" dataDxfId="652" dataCellStyle="Финансовый 3">
      <calculatedColumnFormula>IFERROR((ND9/MQ9),0)</calculatedColumnFormula>
    </tableColumn>
    <tableColumn id="434" xr3:uid="{41BFAA97-EB3D-4DA4-8E27-4D5CAC67CA31}" name="ПРОМО 2 net цена февраль" dataDxfId="651" dataCellStyle="Финансовый 3">
      <calculatedColumnFormula>IFERROR((NE9/MR9),0)</calculatedColumnFormula>
    </tableColumn>
    <tableColumn id="435" xr3:uid="{05E3E4D5-6A09-4EA5-95BC-84F272D2AC2F}" name="ПРОМО 2 net цена март" dataDxfId="650" dataCellStyle="Финансовый 3">
      <calculatedColumnFormula>IFERROR((NF9/MS9),0)</calculatedColumnFormula>
    </tableColumn>
    <tableColumn id="436" xr3:uid="{8C2EEEB6-78E9-4AB7-9E89-08584B122779}" name="ПРОМО 2 net цена апрель" dataDxfId="649" dataCellStyle="Финансовый 3">
      <calculatedColumnFormula>IFERROR((NG9/MT9),0)</calculatedColumnFormula>
    </tableColumn>
    <tableColumn id="437" xr3:uid="{7040BDD2-964E-4070-83B0-D0917263D191}" name="ПРОМО 2 net цена май" dataDxfId="648" dataCellStyle="Финансовый 3">
      <calculatedColumnFormula>IFERROR((NH9/MU9),0)</calculatedColumnFormula>
    </tableColumn>
    <tableColumn id="438" xr3:uid="{088059FD-4C48-497D-BFA8-030DBE8C8178}" name="ПРОМО 2 net цена июнь" dataDxfId="647" dataCellStyle="Финансовый 3">
      <calculatedColumnFormula>IFERROR((NI9/MV9),0)</calculatedColumnFormula>
    </tableColumn>
    <tableColumn id="439" xr3:uid="{80BDF518-3879-4F25-B38B-E7BF7E8B2074}" name="ПРОМО 2 net цена июль" dataDxfId="646" dataCellStyle="Финансовый 3">
      <calculatedColumnFormula>IFERROR((NJ9/MW9),0)</calculatedColumnFormula>
    </tableColumn>
    <tableColumn id="440" xr3:uid="{D33F49E6-8AF8-4313-A94F-85BDBDA72A67}" name="ПРОМО 2 net цена август" dataDxfId="645" dataCellStyle="Финансовый 3">
      <calculatedColumnFormula>IFERROR((NK9/MX9),0)</calculatedColumnFormula>
    </tableColumn>
    <tableColumn id="441" xr3:uid="{C85C2E5E-B729-47A8-B8B2-697ACDDE5EB8}" name="ПРОМО 2 net цена сентябрь" dataDxfId="644" dataCellStyle="Финансовый 3">
      <calculatedColumnFormula>IFERROR((NL9/MY9),0)</calculatedColumnFormula>
    </tableColumn>
    <tableColumn id="442" xr3:uid="{89E7CE77-4323-43D8-8EEE-FF3E13ECF3FE}" name="ПРОМО 2 net цена октябрь" dataDxfId="643" dataCellStyle="Финансовый 3">
      <calculatedColumnFormula>IFERROR((NM9/MZ9),0)</calculatedColumnFormula>
    </tableColumn>
    <tableColumn id="443" xr3:uid="{B97EA9F1-ED3E-468C-8B35-2B7C35E314A1}" name="ПРОМО 2 net цена ноябрь" dataDxfId="642" dataCellStyle="Финансовый 3">
      <calculatedColumnFormula>IFERROR((NN9/NA9),0)</calculatedColumnFormula>
    </tableColumn>
    <tableColumn id="444" xr3:uid="{41B4512E-37F1-4DCC-9BD7-24518D96C566}" name="ПРОМО 2 net цена декабрь" dataDxfId="641" dataCellStyle="Финансовый 3">
      <calculatedColumnFormula>IFERROR((NO9/NB9),0)</calculatedColumnFormula>
    </tableColumn>
    <tableColumn id="445" xr3:uid="{ACEE15B9-C676-40F4-9136-3DCD064EF913}" name="ПРОМО 3 net цена за год" dataDxfId="640" dataCellStyle="Финансовый 3">
      <calculatedColumnFormula>IFERROR((NP9/MP9),0)</calculatedColumnFormula>
    </tableColumn>
    <tableColumn id="446" xr3:uid="{DBE5B09A-1B5F-46BA-8850-51E031AD2859}" name="ПРОМО 3 net цена январь" dataDxfId="639" dataCellStyle="Финансовый 3">
      <calculatedColumnFormula>IFERROR((NQ9/MQ9),0)</calculatedColumnFormula>
    </tableColumn>
    <tableColumn id="447" xr3:uid="{88BBD50C-43F6-44AF-ACB5-CD5315C36BF8}" name="ПРОМО 3 net цена февраль" dataDxfId="638" dataCellStyle="Финансовый 3">
      <calculatedColumnFormula>IFERROR((NR9/MR9),0)</calculatedColumnFormula>
    </tableColumn>
    <tableColumn id="448" xr3:uid="{EA04A8E5-AE7C-4DF9-BF08-F590E9DEE888}" name="ПРОМО 3 net цена март" dataDxfId="637" dataCellStyle="Финансовый 3">
      <calculatedColumnFormula>IFERROR((NS9/MS9),0)</calculatedColumnFormula>
    </tableColumn>
    <tableColumn id="449" xr3:uid="{F0569305-A490-4D3A-B300-46F631C91EA0}" name="ПРОМО 3 net цена апрель" dataDxfId="636" dataCellStyle="Финансовый 3">
      <calculatedColumnFormula>IFERROR((NT9/MT9),0)</calculatedColumnFormula>
    </tableColumn>
    <tableColumn id="450" xr3:uid="{B8955D1E-F015-4340-8C76-C6E8CD1D8530}" name="ПРОМО 3 net цена май" dataDxfId="635" dataCellStyle="Финансовый 3">
      <calculatedColumnFormula>IFERROR((NU9/MU9),0)</calculatedColumnFormula>
    </tableColumn>
    <tableColumn id="451" xr3:uid="{3CB6CA1E-E058-47BD-BDD6-A0996C798C89}" name="ПРОМО 3 net цена июнь" dataDxfId="634" dataCellStyle="Финансовый 3">
      <calculatedColumnFormula>IFERROR((NV9/MV9),0)</calculatedColumnFormula>
    </tableColumn>
    <tableColumn id="452" xr3:uid="{A592DFFB-0D82-427E-9CAB-C22302CE2A5C}" name="ПРОМО 3 net цена июль" dataDxfId="633" dataCellStyle="Финансовый 3">
      <calculatedColumnFormula>IFERROR((NW9/MW9),0)</calculatedColumnFormula>
    </tableColumn>
    <tableColumn id="453" xr3:uid="{F4189E4B-64E4-481E-8125-ED77DBF63BD7}" name="ПРОМО 3 net цена август" dataDxfId="632" dataCellStyle="Финансовый 3">
      <calculatedColumnFormula>IFERROR((NX9/MX9),0)</calculatedColumnFormula>
    </tableColumn>
    <tableColumn id="454" xr3:uid="{8AE1E81E-120B-4F7E-952D-01967C20FE6C}" name="ПРОМО 3 net цена сентябрь" dataDxfId="631" dataCellStyle="Финансовый 3">
      <calculatedColumnFormula>IFERROR((NY9/MY9),0)</calculatedColumnFormula>
    </tableColumn>
    <tableColumn id="455" xr3:uid="{B57E7A44-6C10-449E-8CBA-C89D1CAC822B}" name="ПРОМО 3 net цена октябрь" dataDxfId="630" dataCellStyle="Финансовый 3">
      <calculatedColumnFormula>IFERROR((NZ9/MZ9),0)</calculatedColumnFormula>
    </tableColumn>
    <tableColumn id="456" xr3:uid="{9389C3D6-5D31-4DC3-B528-7279F1A15F89}" name="ПРОМО 3 net цена ноябрь" dataDxfId="629" dataCellStyle="Финансовый 3">
      <calculatedColumnFormula>IFERROR((OA9/NA9),0)</calculatedColumnFormula>
    </tableColumn>
    <tableColumn id="457" xr3:uid="{6566C705-F854-4ADE-A262-BA7848E0D4DB}" name="ПРОМО 3 net цена декабрь" dataDxfId="628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CFBD54-93A4-4BEA-B834-9570DB2B5C08}" name="ПланированиеНГ20" displayName="ПланированиеНГ20" ref="A1:QR2" insertRow="1" totalsRowShown="0" headerRowDxfId="627" dataDxfId="626" tableBorderDxfId="625" headerRowCellStyle="Обычный 2" dataCellStyle="Финансовый 3">
  <autoFilter ref="A1:QR2" xr:uid="{DC331E91-630E-4703-BC49-4DE9BA938501}"/>
  <tableColumns count="460">
    <tableColumn id="1" xr3:uid="{9F31B885-79DB-4226-8AD9-2CB981FA987E}" name="№" dataDxfId="4" dataCellStyle="Обычный 2"/>
    <tableColumn id="458" xr3:uid="{54EC9E0E-D690-4DA0-BBC2-89684DA1C579}" name="Channel type" dataDxfId="3" dataCellStyle="Обычный 2"/>
    <tableColumn id="460" xr3:uid="{A099391A-1B29-438A-9937-BB3C6393CF3B}" name="Период" dataDxfId="2" dataCellStyle="Обычный 2"/>
    <tableColumn id="459" xr3:uid="{3721C8FE-C254-4DB4-AFE2-0C12D1B946D0}" name="Customer status" dataDxfId="0" dataCellStyle="Обычный 2"/>
    <tableColumn id="2" xr3:uid="{3DC54CAB-2AAB-4889-B8B9-98DA1DF60BF8}" name="Суперкатегория" dataDxfId="1" dataCellStyle="Обычный 2"/>
    <tableColumn id="3" xr3:uid="{99D51CAE-DF54-4715-B5E9-7150A6E4956E}" name="SuperCategory" dataDxfId="624" dataCellStyle="Обычный 2"/>
    <tableColumn id="4" xr3:uid="{EA17DFAC-BC70-454F-8887-D81C4CC21D7B}" name="Product group" dataDxfId="623" dataCellStyle="Обычный 2"/>
    <tableColumn id="5" xr3:uid="{A825CA9F-2CE1-4B1C-A3BF-6CF41E296ED8}" name="Product group name" dataDxfId="622" dataCellStyle="Обычный 2"/>
    <tableColumn id="6" xr3:uid="{40A8FB36-F904-4772-B1A1-CFDB61D35372}" name="Subgroup" dataDxfId="621" dataCellStyle="Обычный 2"/>
    <tableColumn id="7" xr3:uid="{0A03F904-5FB4-4DBE-8934-C761C824BF37}" name="Generic Name (long)" dataDxfId="620" dataCellStyle="Обычный 2"/>
    <tableColumn id="8" xr3:uid="{D22CD7D2-69CD-4974-B996-3020DBC0515C}" name="PNS" dataDxfId="619" dataCellStyle="Обычный 2"/>
    <tableColumn id="9" xr3:uid="{0566FAAF-DFAB-40F2-AC4F-67B241E8810F}" name="Article" dataDxfId="618" dataCellStyle="Обычный 2"/>
    <tableColumn id="10" xr3:uid="{14E993ED-99A2-4C97-9231-5D5029820B6B}" name="Predessor - Local ID Gardena" dataDxfId="617" dataCellStyle="Обычный 2"/>
    <tableColumn id="11" xr3:uid="{B212E4D3-3D14-487C-882A-DA6DB48E0EEC}" name="Description RUS" dataDxfId="616" dataCellStyle="Обычный 2"/>
    <tableColumn id="12" xr3:uid="{09B2EE89-DAD4-46C0-AC20-214A7B0F4288}" name="Sales Start Date" dataDxfId="615" dataCellStyle="Обычный 2"/>
    <tableColumn id="13" xr3:uid="{D905B980-6312-4312-9BD5-0F09AC9D8E09}" name="Preliminary Elimination Date" dataDxfId="614" dataCellStyle="Обычный 2"/>
    <tableColumn id="14" xr3:uid="{2117CE58-0D27-48C1-B23B-16725C7601D0}" name="Elimination Date" dataDxfId="613" dataCellStyle="Обычный 2"/>
    <tableColumn id="15" xr3:uid="{6292ED48-B3D1-4039-A730-A5765E0131DC}" name="status" dataDxfId="612" dataCellStyle="Обычный 2"/>
    <tableColumn id="16" xr3:uid="{F4CC6627-AD43-455D-A9E1-F49EF7C47F9B}" name="assortment 2019" dataDxfId="611" dataCellStyle="Обычный 2"/>
    <tableColumn id="17" xr3:uid="{377E2124-025E-4F04-A79E-BF4D9985B7A7}" name="assortment 2020" dataDxfId="610" dataCellStyle="Обычный 2"/>
    <tableColumn id="18" xr3:uid="{D054DAA1-8EEC-4DD5-A76D-3F1080D02DEF}" name="assortment 2021" dataDxfId="609" dataCellStyle="Обычный 2"/>
    <tableColumn id="19" xr3:uid="{C59703BF-5603-46A0-9161-F31C6D0E1CB1}" name="STK 2.5 2020, RUB" dataDxfId="608" dataCellStyle="Финансовый 3"/>
    <tableColumn id="20" xr3:uid="{DBA216C6-B25E-44C7-8BF6-86068D727644}" name="STK 2.5 2021, RUB" dataDxfId="607" dataCellStyle="Финансовый 3"/>
    <tableColumn id="21" xr3:uid="{5C2A75AF-8F75-457A-8970-659189FFDEA2}" name="РРЦ 2020, руб. с НДС" dataDxfId="606" dataCellStyle="Финансовый 3"/>
    <tableColumn id="22" xr3:uid="{7B1CF2C0-70DC-4E06-8A2B-690A4C0F0E38}" name="РРЦ 2021, руб. с НДС" dataDxfId="605" dataCellStyle="Финансовый 3"/>
    <tableColumn id="23" xr3:uid="{9AF03CF2-8CE0-4053-9527-04E6A2A93CE6}" name="∆, %" dataDxfId="604" dataCellStyle="Процентный 2"/>
    <tableColumn id="24" xr3:uid="{94E609CB-64F6-49D7-9BAC-D38C4A473D74}" name="DIY цена 2020, руб. с НДС" dataDxfId="603" dataCellStyle="Финансовый 3"/>
    <tableColumn id="25" xr3:uid="{7036D1A0-F902-49A6-B409-7BB7ACCD0B16}" name="DIY цена 2021, руб. с НДС" dataDxfId="602" dataCellStyle="Финансовый 3"/>
    <tableColumn id="26" xr3:uid="{F52732BC-3C83-45ED-9F4D-E1D0C6325454}" name="∆, %2" dataDxfId="601" dataCellStyle="Финансовый 3"/>
    <tableColumn id="27" xr3:uid="{C44F6732-C886-4AAF-A310-1229C86A1691}" name="скидка от РРЦ" dataDxfId="600" dataCellStyle="Процентный 2"/>
    <tableColumn id="28" xr3:uid="{4F3E68F1-09D1-4D5B-BFC0-B3A14213C0CE}" name="Скидка от РРЦ 2020, %" dataDxfId="599" dataCellStyle="Процентный 2"/>
    <tableColumn id="29" xr3:uid="{4C3B1262-F614-46F9-90BF-71012FAFD21C}" name="Скидка от РРЦ 2021, %" dataDxfId="598" dataCellStyle="Процентный 2"/>
    <tableColumn id="30" xr3:uid="{905B186E-6796-48FD-95A5-7FBCE2BE13E2}" name="Price list цена 2020, руб." dataDxfId="597" dataCellStyle="Финансовый 3"/>
    <tableColumn id="31" xr3:uid="{3C3401D7-8F14-40B0-81E2-D4046E5E7FBF}" name="Price list цена 2021, руб." dataDxfId="596" dataCellStyle="Финансовый 3"/>
    <tableColumn id="32" xr3:uid="{611C8CDD-B2D5-4966-904C-924697DD9272}" name="∆, %3" dataDxfId="595" dataCellStyle="Процентный 2"/>
    <tableColumn id="33" xr3:uid="{DBF9DD02-9CB9-40D3-B498-1E3D38BBC5C1}" name="Макс.бонус 2020, %" dataDxfId="594" dataCellStyle="Процентный 2"/>
    <tableColumn id="34" xr3:uid="{574396F4-1388-4E37-96DB-8AEF2F28F4D8}" name="Макс. бонус 2021, %" dataDxfId="593" dataCellStyle="Процентный 2"/>
    <tableColumn id="35" xr3:uid="{B03B5B5A-6788-49B3-B752-2A69DFEAFC89}" name="∆, %4" dataDxfId="592" dataCellStyle="Процентный 2"/>
    <tableColumn id="36" xr3:uid="{C5F0BBD0-C2CF-4731-AC8C-98B3B879FB4B}" name="3net цена 2020, руб." dataDxfId="591" dataCellStyle="Финансовый 3"/>
    <tableColumn id="37" xr3:uid="{7A599370-51A1-4E20-872E-1FD1D11DAF5A}" name="3net цена 2021, руб. расчетная" dataDxfId="590" dataCellStyle="Финансовый 3"/>
    <tableColumn id="38" xr3:uid="{5AECFCD5-CD68-410C-8979-960E1643DDA7}" name="∆, %5" dataDxfId="589" dataCellStyle="Процентный 2"/>
    <tableColumn id="39" xr3:uid="{444CF49C-006F-4B39-B8CB-76DF5B39D641}" name="ИТОГО Прогноз за год, шт. " dataDxfId="588" dataCellStyle="Финансовый 3"/>
    <tableColumn id="40" xr3:uid="{0551CD11-C369-4045-9C75-EFC7144EB173}" name="ИТОГО Прогноз январь, шт." dataDxfId="587" dataCellStyle="Финансовый 3"/>
    <tableColumn id="41" xr3:uid="{DD7E0F3B-9AC3-4205-B952-452E5197502E}" name="ИТОГО Прогноз февраль, шт." dataDxfId="586" dataCellStyle="Финансовый 3"/>
    <tableColumn id="42" xr3:uid="{0DAB78B7-8279-43C4-8F93-4C7E7C87FB3E}" name="ИТОГО Прогноз март, шт." dataDxfId="585" dataCellStyle="Финансовый 3"/>
    <tableColumn id="43" xr3:uid="{7CCC3323-2EE6-4B1B-A977-908118184600}" name="ИТОГО Прогноз апрель, шт." dataDxfId="584" dataCellStyle="Финансовый 3"/>
    <tableColumn id="44" xr3:uid="{D9317734-E962-4244-9DDF-45413F7E5565}" name="ИТОГО Прогноз май, шт." dataDxfId="583" dataCellStyle="Финансовый 3"/>
    <tableColumn id="45" xr3:uid="{D91BCCCD-4FAC-4A43-B82D-F3B3C395F042}" name="ИТОГО Прогноз июнь, шт." dataDxfId="582" dataCellStyle="Финансовый 3"/>
    <tableColumn id="46" xr3:uid="{6A798EDA-F91A-47A8-A9FB-92894E552ADA}" name="ИТОГО Прогноз июль, шт." dataDxfId="581" dataCellStyle="Финансовый 3"/>
    <tableColumn id="47" xr3:uid="{4CDD722B-DBE9-49E1-9991-4DFFC217F62D}" name="ИТОГО Прогноз август, шт." dataDxfId="580" dataCellStyle="Финансовый 3"/>
    <tableColumn id="48" xr3:uid="{AB4287A4-8C84-43FA-AB97-044C410C48F9}" name="ИТОГО Прогноз сентябрь, шт." dataDxfId="579" dataCellStyle="Финансовый 3"/>
    <tableColumn id="49" xr3:uid="{E10E0D9E-3CCB-42A8-97D3-0989EFF308C5}" name="ИТОГО Прогноз октябрь, шт." dataDxfId="578" dataCellStyle="Финансовый 3"/>
    <tableColumn id="50" xr3:uid="{9A5D426F-62BC-4EEB-966E-E99A8E168D5B}" name="ИТОГО Прогноз ноябрь, шт." dataDxfId="577" dataCellStyle="Финансовый 3"/>
    <tableColumn id="51" xr3:uid="{C895AC08-8EE9-48EB-800F-D5E3C96A9AAE}" name="ИТОГО Прогноз декабрь, шт." dataDxfId="576" dataCellStyle="Финансовый 3"/>
    <tableColumn id="52" xr3:uid="{D5158CB4-D087-4CAD-948C-FF2922F0AFEA}" name="ИТОГО GS за год, руб." dataDxfId="575" dataCellStyle="Финансовый 3"/>
    <tableColumn id="53" xr3:uid="{A2F7384B-7F39-42B5-A77E-1787AD67263D}" name="ИТОГО GS январь, шт." dataDxfId="574" dataCellStyle="Финансовый 3"/>
    <tableColumn id="54" xr3:uid="{71FA6075-89B9-4170-BECD-72FF69E375E0}" name="ИТОГО GS февраль, шт." dataDxfId="573" dataCellStyle="Финансовый 3"/>
    <tableColumn id="55" xr3:uid="{8F58A12A-DDD8-4241-B0AA-733413EDA684}" name="ИТОГО GS март, шт." dataDxfId="572" dataCellStyle="Финансовый 3"/>
    <tableColumn id="56" xr3:uid="{8F0D3AA0-5085-497A-A874-F6112B559C45}" name="ИТОГО GS апрель, шт." dataDxfId="571" dataCellStyle="Финансовый 3"/>
    <tableColumn id="57" xr3:uid="{B64A684E-01C9-48FB-B5E5-C2CC202DB53D}" name="ИТОГО GS май, шт." dataDxfId="570" dataCellStyle="Финансовый 3"/>
    <tableColumn id="58" xr3:uid="{5C577E75-79F9-4998-9685-FFEBA41711C3}" name="ИТОГО GS июнь, шт." dataDxfId="569" dataCellStyle="Финансовый 3"/>
    <tableColumn id="59" xr3:uid="{34E1A61F-DB93-4D83-8A38-5953C6A9FC33}" name="ИТОГО GS июль, шт." dataDxfId="568" dataCellStyle="Финансовый 3"/>
    <tableColumn id="60" xr3:uid="{0989154E-AA15-4896-9EFA-C7654C703E8D}" name="ИТОГО GS август, шт." dataDxfId="567" dataCellStyle="Финансовый 3"/>
    <tableColumn id="61" xr3:uid="{057BB75B-619E-4D56-9EC1-8864D158AB8E}" name="ИТОГО GS сентябрь, шт." dataDxfId="566" dataCellStyle="Финансовый 3"/>
    <tableColumn id="62" xr3:uid="{F9CD5EB8-3F71-4360-85D5-9D141D7760E7}" name="ИТОГО GS октябрь, шт." dataDxfId="565" dataCellStyle="Финансовый 3"/>
    <tableColumn id="63" xr3:uid="{DF707087-84F9-411D-8312-602A3CD56000}" name="ИТОГО GS ноябрь, шт." dataDxfId="564" dataCellStyle="Финансовый 3"/>
    <tableColumn id="64" xr3:uid="{094B9436-A8D0-4573-A47C-526FD50A032B}" name="ИТОГО GS декабрь, шт." dataDxfId="563" dataCellStyle="Финансовый 3"/>
    <tableColumn id="65" xr3:uid="{16A98969-F335-4457-9EBA-6CD136C4396F}" name="ИТОГО NS за год, руб." dataDxfId="562" dataCellStyle="Финансовый 3"/>
    <tableColumn id="66" xr3:uid="{70326787-E7F3-441F-913A-F83FB0E3769E}" name="ИТОГО NS январь, шт." dataDxfId="561" dataCellStyle="Финансовый 3"/>
    <tableColumn id="67" xr3:uid="{A56A4EFE-1F2A-4949-B60B-8024FAB3D72E}" name="ИТОГО NS февраль, шт." dataDxfId="560" dataCellStyle="Финансовый 3"/>
    <tableColumn id="68" xr3:uid="{EBDA7BEF-C560-46E8-802F-96D99565B42B}" name="ИТОГО NS март, шт." dataDxfId="559" dataCellStyle="Финансовый 3"/>
    <tableColumn id="69" xr3:uid="{CA797E08-44E2-4D42-98CC-5EF6997FFACD}" name="ИТОГО NS апрель, шт." dataDxfId="558" dataCellStyle="Финансовый 3"/>
    <tableColumn id="70" xr3:uid="{AF72AA15-3A30-4861-9F47-FB5D0B42261E}" name="ИТОГО NS май, шт." dataDxfId="557" dataCellStyle="Финансовый 3"/>
    <tableColumn id="71" xr3:uid="{025F73D3-373A-4C49-B47E-D8BD1E09AF34}" name="ИТОГО NS июнь, шт." dataDxfId="556" dataCellStyle="Финансовый 3"/>
    <tableColumn id="72" xr3:uid="{06C12EBC-B7C2-463E-A37F-F5C6DA71C98D}" name="ИТОГО NS июль, шт." dataDxfId="555" dataCellStyle="Обычный 2"/>
    <tableColumn id="73" xr3:uid="{79865FBF-9B97-4010-9304-A26041722604}" name="ИТОГО NS август, шт." dataDxfId="554" dataCellStyle="Обычный 2"/>
    <tableColumn id="74" xr3:uid="{DA25F96B-2882-4F73-93A9-2EEEADEEEB69}" name="ИТОГО NS сентябрь, шт." dataDxfId="553" dataCellStyle="Обычный 2"/>
    <tableColumn id="75" xr3:uid="{1EBD152E-B753-446D-9A21-6457BA3579CA}" name="ИТОГО NS октябрь, шт." dataDxfId="552" dataCellStyle="Обычный 2"/>
    <tableColumn id="76" xr3:uid="{A8AEE7E9-CFC6-409C-8C72-A2B553BFE8D4}" name="ИТОГО NS ноябрь, шт." dataDxfId="551" dataCellStyle="Обычный 2"/>
    <tableColumn id="77" xr3:uid="{8C6D053D-6251-427B-9576-BBEBDF0DC36B}" name="ИТОГО NS декабрь, шт." dataDxfId="550" dataCellStyle="Обычный 2"/>
    <tableColumn id="78" xr3:uid="{42CB4D57-4ECF-4ED6-934F-F3607096C581}" name="ИТОГО LC за год, руб." dataDxfId="549" dataCellStyle="Финансовый 3"/>
    <tableColumn id="79" xr3:uid="{E1F11205-CE7A-4D53-B7B5-46F1C286EA30}" name="ИТОГО LC январь, руб." dataDxfId="548" dataCellStyle="Финансовый 3"/>
    <tableColumn id="80" xr3:uid="{0F26ADF7-5AF1-4C68-BD9C-C0EC59395FE7}" name="ИТОГО LC февраль, руб." dataDxfId="547" dataCellStyle="Финансовый 3"/>
    <tableColumn id="81" xr3:uid="{463E8E37-D08F-45FD-9167-93289EC12047}" name="ИТОГО LC март, руб." dataDxfId="546" dataCellStyle="Финансовый 3"/>
    <tableColumn id="82" xr3:uid="{E76974FE-F339-4209-A29A-471DA703E832}" name="ИТОГО LC апрель, руб." dataDxfId="545" dataCellStyle="Финансовый 3"/>
    <tableColumn id="83" xr3:uid="{0F8BA77F-22DC-4917-835C-F5A4C16875A2}" name="ИТОГО LC май, руб." dataDxfId="544" dataCellStyle="Финансовый 3"/>
    <tableColumn id="84" xr3:uid="{275303B2-11A2-4E30-A438-D80B03E02D7B}" name="ИТОГО LC июнь, руб." dataDxfId="543" dataCellStyle="Финансовый 3"/>
    <tableColumn id="85" xr3:uid="{A927ED5D-DAA3-4B8C-9D78-E63BE4FC6FD7}" name="ИТОГО LC июль, руб." dataDxfId="542" dataCellStyle="Финансовый 3"/>
    <tableColumn id="86" xr3:uid="{7928D1D3-A324-4BC8-B1DB-DFE743D4FA96}" name="ИТОГО LC август, руб." dataDxfId="541" dataCellStyle="Финансовый 3"/>
    <tableColumn id="87" xr3:uid="{C3453622-086E-4A1F-B617-BB0475437CBE}" name="ИТОГО LC сентябрь, руб." dataDxfId="540" dataCellStyle="Финансовый 3"/>
    <tableColumn id="88" xr3:uid="{FB7709CC-3AFE-4F5C-AC3C-0364EE9F8A9B}" name="ИТОГО LC октябрь, руб." dataDxfId="539" dataCellStyle="Финансовый 3"/>
    <tableColumn id="89" xr3:uid="{6ECCE602-64A1-42C2-8039-A785421E292D}" name="ИТОГО LC ноябрь, руб." dataDxfId="538" dataCellStyle="Финансовый 3"/>
    <tableColumn id="90" xr3:uid="{6D0E84DF-A373-4F86-B589-0FEE63BC4A4F}" name="ИТОГО LC декабрь, руб." dataDxfId="537" dataCellStyle="Финансовый 3"/>
    <tableColumn id="91" xr3:uid="{ABF9F349-FB07-4C3E-A25D-8B24790EB9FD}" name="ИТОГО GP value за год, руб." dataDxfId="536" dataCellStyle="Финансовый 3"/>
    <tableColumn id="92" xr3:uid="{4287C8B3-407C-470D-BDA3-2E88B893CCCB}" name="ИТОГО GP value январь, руб." dataDxfId="535" dataCellStyle="Финансовый 3"/>
    <tableColumn id="93" xr3:uid="{7469B2F6-79C3-477E-8756-F7D95F90F220}" name="ИТОГО GP value февраль, руб." dataDxfId="534" dataCellStyle="Финансовый 3"/>
    <tableColumn id="94" xr3:uid="{E9013FEE-AFCB-42AE-9C6B-4A247AEA8789}" name="ИТОГО GP value март, руб." dataDxfId="533" dataCellStyle="Финансовый 3"/>
    <tableColumn id="95" xr3:uid="{86157733-B884-4D2F-AF6B-B5135FB61DB7}" name="ИТОГО GP value апрель, руб." dataDxfId="532" dataCellStyle="Финансовый 3"/>
    <tableColumn id="96" xr3:uid="{25D56446-1BE3-4DAF-B244-9D6619F2720A}" name="ИТОГО GP value май, руб." dataDxfId="531" dataCellStyle="Финансовый 3"/>
    <tableColumn id="97" xr3:uid="{26EAD855-AB21-4266-9708-20CC0AC80DD9}" name="ИТОГО GP value июнь, руб." dataDxfId="530" dataCellStyle="Финансовый 3"/>
    <tableColumn id="98" xr3:uid="{ABA1738C-E44F-448F-AEB8-7D3971F62B18}" name="ИТОГО GP value июль, руб." dataDxfId="529" dataCellStyle="Финансовый 3"/>
    <tableColumn id="99" xr3:uid="{F73A9F17-85C2-4EB6-A583-F6658468695B}" name="ИТОГО GP value август, руб." dataDxfId="528" dataCellStyle="Финансовый 3"/>
    <tableColumn id="100" xr3:uid="{6F028ED4-0164-4A7D-9DAE-B11E168BCDC7}" name="ИТОГО GP value сентябрь, руб." dataDxfId="527" dataCellStyle="Финансовый 3"/>
    <tableColumn id="101" xr3:uid="{07CFB607-F5C7-4A32-B324-89CBBB846BE0}" name="ИТОГО GP value октябрь, руб." dataDxfId="526" dataCellStyle="Финансовый 3"/>
    <tableColumn id="102" xr3:uid="{D3B07618-AD81-4700-A12A-E4963AB87736}" name="ИТОГО GP value ноябрь, руб." dataDxfId="525" dataCellStyle="Финансовый 3"/>
    <tableColumn id="103" xr3:uid="{AD208095-BA19-473A-87B4-295948935EF4}" name="ИТОГО GP value декабрь, руб." dataDxfId="524" dataCellStyle="Финансовый 3"/>
    <tableColumn id="104" xr3:uid="{88048FB7-A029-423A-AD0F-12A4D9CAF29E}" name="ИТОГО GP % за год" dataDxfId="523" dataCellStyle="Обычный 2"/>
    <tableColumn id="105" xr3:uid="{293DAB2F-A177-487D-AD14-72EE22355B26}" name="ИТОГО GP % январь" dataDxfId="522" dataCellStyle="Обычный 2"/>
    <tableColumn id="106" xr3:uid="{D198F7E9-4216-43BD-BE4A-95F93134F787}" name="ИТОГО GP % февраль" dataDxfId="521" dataCellStyle="Обычный 2"/>
    <tableColumn id="107" xr3:uid="{22748E6F-32C8-4CC5-A623-0594D32BB927}" name="ИТОГО GP % март" dataDxfId="520" dataCellStyle="Обычный 2"/>
    <tableColumn id="108" xr3:uid="{48B209A0-0ACB-4B5D-B557-CC07BC3A818F}" name="ИТОГО GP % апрель" dataDxfId="519" dataCellStyle="Обычный 2"/>
    <tableColumn id="109" xr3:uid="{E6CF67FE-F505-4FE5-A7E5-0427140E6D60}" name="ИТОГО GP % май" dataDxfId="518" dataCellStyle="Обычный 2"/>
    <tableColumn id="110" xr3:uid="{B5954342-8AC2-48E7-B96E-BDA10A738877}" name="ИТОГО GP % июнь" dataDxfId="517" dataCellStyle="Обычный 2"/>
    <tableColumn id="111" xr3:uid="{ADBB1DCA-5B41-4BD3-840D-329B77A23C98}" name="ИТОГО GP % июль" dataDxfId="516" dataCellStyle="Обычный 2"/>
    <tableColumn id="112" xr3:uid="{C9FF83F4-0383-4DC7-B356-73490748EED3}" name="ИТОГО GP % август" dataDxfId="515" dataCellStyle="Обычный 2"/>
    <tableColumn id="113" xr3:uid="{2928036B-4881-4F94-9F3F-A31280AD57A4}" name="ИТОГО GP % сентябрь" dataDxfId="514" dataCellStyle="Обычный 2"/>
    <tableColumn id="114" xr3:uid="{9A8D5E89-1684-473F-9496-C472B8AFCCF6}" name="ИТОГО GP % октябрь" dataDxfId="513" dataCellStyle="Обычный 2"/>
    <tableColumn id="115" xr3:uid="{EA2D2168-12F3-4553-82A3-1DF273313F46}" name="ИТОГО GP % ноябрь" dataDxfId="512" dataCellStyle="Обычный 2"/>
    <tableColumn id="116" xr3:uid="{C732EBCA-F1AF-4727-B595-F5F0F3F04394}" name="ИТОГО GP % декабрь" dataDxfId="511" dataCellStyle="Обычный 2"/>
    <tableColumn id="117" xr3:uid="{A4030D52-D7B1-4038-BC3A-942A7F47CB1D}" name="ИТОГО 2 net цена за год" dataDxfId="510" dataCellStyle="Финансовый 3"/>
    <tableColumn id="118" xr3:uid="{50298F8F-2350-4857-B434-99651800FEF5}" name="ИТОГО 2 net цена январь" dataDxfId="509" dataCellStyle="Финансовый 3"/>
    <tableColumn id="119" xr3:uid="{A932C19A-4C5C-4842-8240-7F2DB4E8F236}" name="ИТОГО 2 net цена февраль" dataDxfId="508" dataCellStyle="Финансовый 3"/>
    <tableColumn id="120" xr3:uid="{881BAD34-7453-48C3-85CF-0A873262084A}" name="ИТОГО 2 net цена март" dataDxfId="507" dataCellStyle="Финансовый 3"/>
    <tableColumn id="121" xr3:uid="{CC0993CB-BCC7-4011-8A82-5EA9CE528BAC}" name="ИТОГО 2 net цена апрель" dataDxfId="506" dataCellStyle="Финансовый 3"/>
    <tableColumn id="122" xr3:uid="{CB52A500-54AE-4D48-B6DE-965AADCFF5E5}" name="ИТОГО 2 net цена май" dataDxfId="505" dataCellStyle="Финансовый 3"/>
    <tableColumn id="123" xr3:uid="{BBF4CB26-4974-4D10-9199-CC5E96CE0024}" name="ИТОГО 2 net цена июнь" dataDxfId="504" dataCellStyle="Финансовый 3"/>
    <tableColumn id="124" xr3:uid="{EC86C618-739D-457F-8FB4-FDD8B9DB1E05}" name="ИТОГО 2 net цена июль" dataDxfId="503" dataCellStyle="Финансовый 3"/>
    <tableColumn id="125" xr3:uid="{63F5D3FB-976C-45F9-84BC-7AE36C2AF5F9}" name="ИТОГО 2 net цена август" dataDxfId="502" dataCellStyle="Финансовый 3"/>
    <tableColumn id="126" xr3:uid="{CB8623EA-B3D2-4D50-822E-E0D259381CFA}" name="ИТОГО 2 net цена сентябрь" dataDxfId="501" dataCellStyle="Финансовый 3"/>
    <tableColumn id="127" xr3:uid="{B217743E-5576-4426-B693-9C4D0BED571C}" name="ИТОГО 2 net цена октябрь" dataDxfId="500" dataCellStyle="Финансовый 3"/>
    <tableColumn id="128" xr3:uid="{019E6ED7-7E8E-4AFC-A95A-DC219BB5203F}" name="ИТОГО 2 net цена ноябрь" dataDxfId="499" dataCellStyle="Финансовый 3"/>
    <tableColumn id="129" xr3:uid="{ACE833A2-F4D3-45CF-B07B-F2583C266027}" name="ИТОГО 2 net цена декабрь" dataDxfId="498" dataCellStyle="Финансовый 3"/>
    <tableColumn id="130" xr3:uid="{EE7BF237-4E47-4DFB-87AC-F1DB6B7EB9B7}" name="ИТОГО 3 net цена за год" dataDxfId="497" dataCellStyle="Финансовый 3"/>
    <tableColumn id="131" xr3:uid="{9DE30DCF-4A76-42C6-927C-DC3D3DDFF528}" name="ИТОГО 3 net цена январь" dataDxfId="496" dataCellStyle="Финансовый 3"/>
    <tableColumn id="132" xr3:uid="{CA9E3AE5-3B4D-4F74-8CF7-F916FB28426F}" name="ИТОГО 3 net цена февраль" dataDxfId="495" dataCellStyle="Финансовый 3"/>
    <tableColumn id="133" xr3:uid="{F11437EC-436F-4633-B647-A9D157ED7EA8}" name="ИТОГО 3 net цена март" dataDxfId="494" dataCellStyle="Финансовый 3"/>
    <tableColumn id="134" xr3:uid="{0C4D0081-8C5B-45EB-85F5-79BC9956BCB4}" name="ИТОГО 3 net цена апрель" dataDxfId="493" dataCellStyle="Финансовый 3"/>
    <tableColumn id="135" xr3:uid="{CE45361F-014C-4BE7-8795-DA9400EA8220}" name="ИТОГО 3 net цена май" dataDxfId="492" dataCellStyle="Финансовый 3"/>
    <tableColumn id="136" xr3:uid="{F0205FF7-68CF-4EFB-A595-02ED0749A403}" name="ИТОГО 3 net цена июнь" dataDxfId="491" dataCellStyle="Финансовый 3"/>
    <tableColumn id="137" xr3:uid="{4309C548-F548-4CDC-A0E4-EA0FB595CFE5}" name="ИТОГО 3 net цена июль" dataDxfId="490" dataCellStyle="Финансовый 3"/>
    <tableColumn id="138" xr3:uid="{1EB4823F-5A52-403D-92D4-A4BD789952FE}" name="ИТОГО 3 net цена август" dataDxfId="489" dataCellStyle="Финансовый 3"/>
    <tableColumn id="139" xr3:uid="{60FBC5A5-930B-4026-8B48-6EA5596D8351}" name="ИТОГО 3 net цена сентябрь" dataDxfId="488" dataCellStyle="Финансовый 3"/>
    <tableColumn id="140" xr3:uid="{4EDEDC07-C0CD-4B48-9D5E-FBEAA513AAB0}" name="ИТОГО 3 net цена октябрь" dataDxfId="487" dataCellStyle="Финансовый 3"/>
    <tableColumn id="141" xr3:uid="{4E781CB7-2426-4A59-A8A9-5D7988A0EEE5}" name="ИТОГО 3 net цена ноябрь" dataDxfId="486" dataCellStyle="Финансовый 3"/>
    <tableColumn id="142" xr3:uid="{A9B43547-0D2B-4F6C-B3E1-183A5498F4C6}" name="ИТОГО 3 net цена декабрь" dataDxfId="485" dataCellStyle="Финансовый 3"/>
    <tableColumn id="143" xr3:uid="{9EB25C9D-4C23-49F0-B817-7564F5CD8462}" name="ИТОГО Прогноз за год, шт." dataDxfId="484" dataCellStyle="Финансовый 3"/>
    <tableColumn id="144" xr3:uid="{444D7966-97FD-4965-B7B6-F7D3C2A764FA}" name="ИТОГО Прогноз январь, шт.2" dataDxfId="483" dataCellStyle="Финансовый 3"/>
    <tableColumn id="145" xr3:uid="{3BEB48BF-5848-49CF-AC84-91F4C26FBD97}" name="ИТОГО Прогноз февраль, шт.2" dataDxfId="482" dataCellStyle="Финансовый 3"/>
    <tableColumn id="146" xr3:uid="{F2ABCF27-237E-4B30-8832-A5321A83EDCF}" name="ИТОГО Прогноз март, шт.2" dataDxfId="481" dataCellStyle="Финансовый 3"/>
    <tableColumn id="147" xr3:uid="{F51ECFD3-0719-4DA7-8AEA-85B03D154716}" name="ИТОГО Прогноз апрель, шт.2" dataDxfId="480" dataCellStyle="Финансовый 3"/>
    <tableColumn id="148" xr3:uid="{B98F2696-0929-485E-A5FE-2D574CB97BA0}" name="ИТОГО Прогноз май, шт.2" dataDxfId="479" dataCellStyle="Финансовый 3"/>
    <tableColumn id="149" xr3:uid="{4F1841A4-1667-43C5-8E2D-5FA0EDF8D1E1}" name="ИТОГО Прогноз июнь, шт.2" dataDxfId="478" dataCellStyle="Финансовый 3"/>
    <tableColumn id="150" xr3:uid="{58069D63-288D-4F69-8CE1-D305D9E6518A}" name="ИТОГО Прогноз июль, шт.2" dataDxfId="477" dataCellStyle="Финансовый 3"/>
    <tableColumn id="151" xr3:uid="{E7ADEEB7-01ED-473F-AFD8-F2B72DCBA40B}" name="ИТОГО Прогноз август, шт.2" dataDxfId="476" dataCellStyle="Финансовый 3"/>
    <tableColumn id="152" xr3:uid="{C48D83EE-9F30-4B58-979A-BBA11DE09BED}" name="ИТОГО Прогноз сентябрь, шт.2" dataDxfId="475" dataCellStyle="Финансовый 3"/>
    <tableColumn id="153" xr3:uid="{08B49689-C58E-46E0-8E08-2CD1EE746822}" name="ИТОГО Прогноз октябрь, шт.2" dataDxfId="474" dataCellStyle="Финансовый 3"/>
    <tableColumn id="154" xr3:uid="{8C98DEE0-7AAC-466E-BCC4-CFCBA78ED443}" name="ИТОГО Прогноз ноябрь, шт.2" dataDxfId="473" dataCellStyle="Финансовый 3"/>
    <tableColumn id="155" xr3:uid="{4BB94AF1-7567-4C0E-B430-3FDC919FF471}" name="ИТОГО Прогноз декабрь, шт.2" dataDxfId="472" dataCellStyle="Финансовый 3"/>
    <tableColumn id="156" xr3:uid="{28D8B76E-6741-4B2D-A0C9-739F89BAF7A1}" name="ИТОГО GS за год, руб.2" dataDxfId="471" dataCellStyle="Финансовый 3"/>
    <tableColumn id="157" xr3:uid="{C7082C41-83DE-4345-A262-1ED6ECBCF292}" name="ИТОГО GS январь, шт.2" dataDxfId="470" dataCellStyle="Финансовый 3"/>
    <tableColumn id="158" xr3:uid="{A6A0136C-DF5E-4EBD-A950-3EEB616A288B}" name="ИТОГО GS февраль, шт.2" dataDxfId="469" dataCellStyle="Финансовый 3"/>
    <tableColumn id="159" xr3:uid="{0146D81D-5D8C-4988-B02F-E9774221A041}" name="ИТОГО GS март, шт.2" dataDxfId="468" dataCellStyle="Финансовый 3"/>
    <tableColumn id="160" xr3:uid="{B5968528-B784-459F-A956-E37773C73640}" name="ИТОГО GS апрель, шт.2" dataDxfId="467" dataCellStyle="Финансовый 3"/>
    <tableColumn id="161" xr3:uid="{D3734FC1-C9C5-472F-998A-D548B227ACDD}" name="ИТОГО GS май, шт.2" dataDxfId="466" dataCellStyle="Финансовый 3"/>
    <tableColumn id="162" xr3:uid="{EB716D9F-8B60-4D43-9293-24027153072B}" name="ИТОГО GS июнь, шт.2" dataDxfId="465" dataCellStyle="Финансовый 3"/>
    <tableColumn id="163" xr3:uid="{17CC5DBC-BB81-48F8-BD77-6AD8790B2EA1}" name="ИТОГО GS июль, шт.2" dataDxfId="464" dataCellStyle="Финансовый 3"/>
    <tableColumn id="164" xr3:uid="{D1FCB201-9985-448B-838E-8F05516326FD}" name="ИТОГО GS август, шт.2" dataDxfId="463" dataCellStyle="Финансовый 3"/>
    <tableColumn id="165" xr3:uid="{17F83589-AD25-4E22-88BC-03C9AA43685F}" name="ИТОГО GS сентябрь, шт.2" dataDxfId="462" dataCellStyle="Финансовый 3"/>
    <tableColumn id="166" xr3:uid="{9A0ADB38-5C44-49E7-8D25-5FDC549A18BC}" name="ИТОГО GS октябрь, шт.2" dataDxfId="461" dataCellStyle="Финансовый 3"/>
    <tableColumn id="167" xr3:uid="{FA039921-72B1-4F2F-8B3A-EDD6F19D63B3}" name="ИТОГО GS ноябрь, шт.2" dataDxfId="460" dataCellStyle="Финансовый 3"/>
    <tableColumn id="168" xr3:uid="{97AD0443-C126-4962-A21C-590089C20F6C}" name="ИТОГО GS декабрь, шт.2" dataDxfId="459" dataCellStyle="Финансовый 3"/>
    <tableColumn id="169" xr3:uid="{76C88A05-8D0F-437D-AB0E-EAB267AF70F9}" name="ИТОГО NS за год, руб.2" dataDxfId="458" dataCellStyle="Финансовый 3"/>
    <tableColumn id="170" xr3:uid="{DE799D37-F2C2-489F-B601-1E98FC1F33F9}" name="ИТОГО NS январь, шт.2" dataDxfId="457" dataCellStyle="Финансовый 3"/>
    <tableColumn id="171" xr3:uid="{1956D4B6-DFA5-444C-966C-AE0A64D39EA0}" name="ИТОГО NS февраль, шт.2" dataDxfId="456" dataCellStyle="Финансовый 3"/>
    <tableColumn id="172" xr3:uid="{F6DA701D-0BCB-48B1-9CD1-8CECB42F0424}" name="ИТОГО NS март, шт.2" dataDxfId="455" dataCellStyle="Финансовый 3"/>
    <tableColumn id="173" xr3:uid="{FDFD7761-BC74-459B-A05D-9F88AD972306}" name="ИТОГО NS апрель, шт.2" dataDxfId="454" dataCellStyle="Финансовый 3"/>
    <tableColumn id="174" xr3:uid="{6184CA87-FCD4-40D8-9B94-C5D89D6D28B5}" name="ИТОГО NS май, шт.2" dataDxfId="453" dataCellStyle="Финансовый 3"/>
    <tableColumn id="175" xr3:uid="{FA93D040-652F-4AEF-A7B3-76AE67F9A4DE}" name="ИТОГО NS июнь, шт.2" dataDxfId="452" dataCellStyle="Финансовый 3"/>
    <tableColumn id="176" xr3:uid="{0F1B8EB1-4D09-433E-867B-3774520E9B53}" name="ИТОГО NS июль, шт.2" dataDxfId="451" dataCellStyle="Финансовый 3"/>
    <tableColumn id="177" xr3:uid="{5B5B53CD-0152-4731-AA69-BB0872E4253A}" name="ИТОГО NS август, шт.2" dataDxfId="450" dataCellStyle="Финансовый 3"/>
    <tableColumn id="178" xr3:uid="{DC26E34F-AB92-4732-903E-F30BE378F00B}" name="ИТОГО NS сентябрь, шт.2" dataDxfId="449" dataCellStyle="Финансовый 3"/>
    <tableColumn id="179" xr3:uid="{0CEED4DE-71ED-4638-993D-21FB1CCA56CE}" name="ИТОГО NS октябрь, шт.2" dataDxfId="448" dataCellStyle="Финансовый 3"/>
    <tableColumn id="180" xr3:uid="{605870DC-88E9-4E7E-9F44-7840E2011336}" name="ИТОГО NS ноябрь, шт.2" dataDxfId="447" dataCellStyle="Финансовый 3"/>
    <tableColumn id="181" xr3:uid="{C77C5A21-AE69-4220-B149-53D0016F2070}" name="ИТОГО NS декабрь, шт.2" dataDxfId="446" dataCellStyle="Финансовый 3"/>
    <tableColumn id="182" xr3:uid="{88E03FF6-0DEF-487D-8934-9259494D30EC}" name="ИТОГО LC за год, руб.2" dataDxfId="445" dataCellStyle="Финансовый 3"/>
    <tableColumn id="183" xr3:uid="{3294A410-A964-461D-8ED6-D896DCB8B638}" name="ИТОГО LC январь, руб.2" dataDxfId="444" dataCellStyle="Финансовый 3"/>
    <tableColumn id="184" xr3:uid="{A70E2CD5-1815-4DDC-9C4F-DE3C2EF4F3D7}" name="ИТОГО LC февраль, руб.2" dataDxfId="443" dataCellStyle="Финансовый 3"/>
    <tableColumn id="185" xr3:uid="{2D45AC3E-17F4-4A22-B474-26FD0DEE29D2}" name="ИТОГО LC март, руб.2" dataDxfId="442" dataCellStyle="Финансовый 3"/>
    <tableColumn id="186" xr3:uid="{F7E1A270-E699-4677-8AA0-845DBDB497ED}" name="ИТОГО LC апрель, руб.2" dataDxfId="441" dataCellStyle="Финансовый 3"/>
    <tableColumn id="187" xr3:uid="{1C743202-92EB-439B-BFED-69C7FBEDA7EC}" name="ИТОГО LC май, руб.2" dataDxfId="440" dataCellStyle="Финансовый 3"/>
    <tableColumn id="188" xr3:uid="{19CC4611-3367-4C46-9B40-E214575CBE71}" name="ИТОГО LC июнь, руб.2" dataDxfId="439" dataCellStyle="Финансовый 3"/>
    <tableColumn id="189" xr3:uid="{624E4943-D29A-44FF-964D-5DA787132503}" name="ИТОГО LC июль, руб.2" dataDxfId="438" dataCellStyle="Финансовый 3"/>
    <tableColumn id="190" xr3:uid="{26FC9CA3-4A75-4053-87E3-8379C116D664}" name="ИТОГО LC август, руб.2" dataDxfId="437" dataCellStyle="Финансовый 3"/>
    <tableColumn id="191" xr3:uid="{06BEE5A4-B88F-48F3-9E4B-70C59B1A4E27}" name="ИТОГО LC сентябрь, руб.2" dataDxfId="436" dataCellStyle="Финансовый 3"/>
    <tableColumn id="192" xr3:uid="{1127B942-14DA-447D-B574-5047F7444B2B}" name="ИТОГО LC октябрь, руб.2" dataDxfId="435" dataCellStyle="Финансовый 3"/>
    <tableColumn id="193" xr3:uid="{6935211C-5EBF-4D95-BDE7-2901130BCCE7}" name="ИТОГО LC ноябрь, руб.2" dataDxfId="434" dataCellStyle="Финансовый 3"/>
    <tableColumn id="194" xr3:uid="{21070EDE-4DBB-45C4-BC63-5D251FBE43FF}" name="ИТОГО LC декабрь, руб.2" dataDxfId="433" dataCellStyle="Финансовый 3"/>
    <tableColumn id="195" xr3:uid="{C6B3A831-E58E-4E66-A44E-AA446A3DD523}" name="ИТОГО GP value за год, руб.2" dataDxfId="432" dataCellStyle="Финансовый 3"/>
    <tableColumn id="196" xr3:uid="{C0A1210A-BFF3-4620-AC6B-BB8DD5F315F4}" name="ИТОГО GP value январь, руб.2" dataDxfId="431" dataCellStyle="Финансовый 3"/>
    <tableColumn id="197" xr3:uid="{7772DE9E-39BC-4F97-8BD0-D84AF93AEC77}" name="ИТОГО GP value февраль, руб.2" dataDxfId="430" dataCellStyle="Финансовый 3"/>
    <tableColumn id="198" xr3:uid="{EF480556-BF48-480B-8D74-8BA0D1E385EC}" name="ИТОГО GP value март, руб.2" dataDxfId="429" dataCellStyle="Финансовый 3"/>
    <tableColumn id="199" xr3:uid="{114EB675-7D93-4B38-A824-F477CEAB48C3}" name="ИТОГО GP value апрель, руб.2" dataDxfId="428" dataCellStyle="Финансовый 3"/>
    <tableColumn id="200" xr3:uid="{09986FFF-EB51-431A-9C6A-DE30E6C10334}" name="ИТОГО GP value май, руб.2" dataDxfId="427" dataCellStyle="Финансовый 3"/>
    <tableColumn id="201" xr3:uid="{FBE30104-698B-40CD-B7AC-14969F6387FB}" name="ИТОГО GP value июнь, руб.2" dataDxfId="426" dataCellStyle="Финансовый 3"/>
    <tableColumn id="202" xr3:uid="{2FC34C85-A70B-45D4-8C09-2B33A361D070}" name="ИТОГО GP value июль, руб.2" dataDxfId="425" dataCellStyle="Финансовый 3"/>
    <tableColumn id="203" xr3:uid="{F0F76BB3-8AF5-4D4F-B6BB-12EA13C5D9F6}" name="ИТОГО GP value август, руб.2" dataDxfId="424" dataCellStyle="Финансовый 3"/>
    <tableColumn id="204" xr3:uid="{78BECEEA-A0D9-4181-9E3E-6368200C03A4}" name="ИТОГО GP value сентябрь, руб.2" dataDxfId="423" dataCellStyle="Финансовый 3"/>
    <tableColumn id="205" xr3:uid="{0DA37AE0-3388-473E-AF28-4033A1FADC34}" name="ИТОГО GP value октябрь, руб.2" dataDxfId="422" dataCellStyle="Финансовый 3"/>
    <tableColumn id="206" xr3:uid="{0F34B012-F693-48C3-A6F5-3DDA10F01ABB}" name="ИТОГО GP value ноябрь, руб.2" dataDxfId="421" dataCellStyle="Финансовый 3"/>
    <tableColumn id="207" xr3:uid="{2014017D-B8C0-4366-823E-C49A8EE6617F}" name="ИТОГО GP value декабрь, руб.2" dataDxfId="420" dataCellStyle="Финансовый 3"/>
    <tableColumn id="208" xr3:uid="{E5F8EF30-68BE-4089-8143-354A24849C53}" name="ИТОГО GP % за год2" dataDxfId="419" dataCellStyle="Обычный 2"/>
    <tableColumn id="209" xr3:uid="{C833855A-367B-4B51-9E63-E85081A37809}" name="ИТОГО GP % январь2" dataDxfId="418" dataCellStyle="Обычный 2"/>
    <tableColumn id="210" xr3:uid="{3807B7E3-FCBE-44B5-B5B9-125B50149B30}" name="ИТОГО GP % февраль2" dataDxfId="417" dataCellStyle="Обычный 2"/>
    <tableColumn id="211" xr3:uid="{24ADE2C1-7E8D-485C-ADE9-D40A6A801286}" name="ИТОГО GP % март2" dataDxfId="416" dataCellStyle="Обычный 2"/>
    <tableColumn id="212" xr3:uid="{A7DBEC24-0746-4633-9470-44DC937D7905}" name="ИТОГО GP % апрель2" dataDxfId="415" dataCellStyle="Обычный 2"/>
    <tableColumn id="213" xr3:uid="{0ACB144A-9555-4108-A47E-C5171048C61C}" name="ИТОГО GP % май2" dataDxfId="414" dataCellStyle="Обычный 2"/>
    <tableColumn id="214" xr3:uid="{FEA3D4C1-7178-4A68-A5E6-E104FB4FA317}" name="ИТОГО GP % июнь2" dataDxfId="413" dataCellStyle="Обычный 2"/>
    <tableColumn id="215" xr3:uid="{380FFF45-48FB-46B2-9925-EC310DEC37B0}" name="ИТОГО GP % июль2" dataDxfId="412" dataCellStyle="Обычный 2"/>
    <tableColumn id="216" xr3:uid="{D62EA8CA-6420-46B9-BBDD-D9059C089B7A}" name="ИТОГО GP % август2" dataDxfId="411" dataCellStyle="Обычный 2"/>
    <tableColumn id="217" xr3:uid="{20BC6F85-7BE4-43E9-9267-12AA977D8D97}" name="ИТОГО GP % сентябрь2" dataDxfId="410" dataCellStyle="Обычный 2"/>
    <tableColumn id="218" xr3:uid="{E9E088D3-C4A3-4B3B-B575-19A554B547CC}" name="ИТОГО GP % октябрь2" dataDxfId="409" dataCellStyle="Обычный 2"/>
    <tableColumn id="219" xr3:uid="{5897D181-6678-415E-ADDB-5BE30EBCE20D}" name="ИТОГО GP % ноябрь2" dataDxfId="408" dataCellStyle="Обычный 2"/>
    <tableColumn id="220" xr3:uid="{715B2330-6858-42D6-BDAD-EC8C56F627DD}" name="ИТОГО GP % декабрь2" dataDxfId="407" dataCellStyle="Обычный 2"/>
    <tableColumn id="221" xr3:uid="{785CA0EC-3E88-42BB-8C65-7D72A503D77D}" name="ИТОГО 2 net цена за год2" dataDxfId="406" dataCellStyle="Обычный 2"/>
    <tableColumn id="222" xr3:uid="{12AF89C9-C370-41CA-8BA8-0E81346DA75D}" name="ИТОГО 2 net цена январь2" dataDxfId="405" dataCellStyle="Обычный 2"/>
    <tableColumn id="223" xr3:uid="{607109B4-5297-4ED8-9281-73DD3AC162D9}" name="ИТОГО 2 net цена февраль2" dataDxfId="404" dataCellStyle="Обычный 2"/>
    <tableColumn id="224" xr3:uid="{F7DFDAE2-7CDF-4739-B697-52CDFC1F2143}" name="ИТОГО 2 net цена март2" dataDxfId="403" dataCellStyle="Обычный 2"/>
    <tableColumn id="225" xr3:uid="{6C6F3CDC-62DA-4123-AE03-D2874942F2B2}" name="ИТОГО 2 net цена апрель2" dataDxfId="402" dataCellStyle="Обычный 2"/>
    <tableColumn id="226" xr3:uid="{B8088785-E115-4A2F-B51F-BCB01F43CE7F}" name="ИТОГО 2 net цена май2" dataDxfId="401" dataCellStyle="Обычный 2"/>
    <tableColumn id="227" xr3:uid="{2EB456EA-98D4-4EB1-8319-7EA5047E3D58}" name="ИТОГО 2 net цена июнь2" dataDxfId="400" dataCellStyle="Обычный 2"/>
    <tableColumn id="228" xr3:uid="{EFB474AF-A48D-42D7-817B-2F50169928FE}" name="ИТОГО 2 net цена июль2" dataDxfId="399" dataCellStyle="Обычный 2"/>
    <tableColumn id="229" xr3:uid="{11C92D79-DA8C-4F0E-AD76-53BD3AABE98A}" name="ИТОГО 2 net цена август2" dataDxfId="398" dataCellStyle="Обычный 2"/>
    <tableColumn id="230" xr3:uid="{6959E95B-7211-4882-B5AE-B46DD1D774EE}" name="ИТОГО 2 net цена сентябрь2" dataDxfId="397" dataCellStyle="Обычный 2"/>
    <tableColumn id="231" xr3:uid="{4E631D11-5F9C-4F6A-AFC0-3A798268B8E1}" name="ИТОГО 2 net цена октябрь2" dataDxfId="396" dataCellStyle="Обычный 2"/>
    <tableColumn id="232" xr3:uid="{DA958C1B-D4C9-4BD5-A814-7DC59D12C7E0}" name="ИТОГО 2 net цена ноябрь2" dataDxfId="395" dataCellStyle="Обычный 2"/>
    <tableColumn id="233" xr3:uid="{BCC4A36B-CD8C-4E3D-B59D-F6DCFAF79C02}" name="ИТОГО 2 net цена декабрь2" dataDxfId="394" dataCellStyle="Обычный 2"/>
    <tableColumn id="234" xr3:uid="{0EF48689-A4E2-42DC-AD46-4107AE55603B}" name="ИТОГО 3 net цена за год2" dataDxfId="393" dataCellStyle="Обычный 2"/>
    <tableColumn id="235" xr3:uid="{58F97CDC-ED60-4C10-AAFE-BECA15DAD7AE}" name="ИТОГО 3 net цена январь2" dataDxfId="392" dataCellStyle="Обычный 2"/>
    <tableColumn id="236" xr3:uid="{6A9D9818-4353-494E-A518-E23B9ABF373B}" name="ИТОГО 3 net цена февраль2" dataDxfId="391" dataCellStyle="Обычный 2"/>
    <tableColumn id="237" xr3:uid="{37C178FC-C365-4067-A8EF-DDCDB676B068}" name="ИТОГО 3 net цена март2" dataDxfId="390" dataCellStyle="Обычный 2"/>
    <tableColumn id="238" xr3:uid="{F8EC11E3-C760-439E-BE19-B4C51462B832}" name="ИТОГО 3 net цена апрель2" dataDxfId="389" dataCellStyle="Обычный 2"/>
    <tableColumn id="239" xr3:uid="{5968BE66-419C-47A0-B7A7-A6E7014D4C92}" name="ИТОГО 3 net цена май2" dataDxfId="388" dataCellStyle="Обычный 2"/>
    <tableColumn id="240" xr3:uid="{1B15B779-3EDD-494C-B9B0-98EF3BF40639}" name="ИТОГО 3 net цена июнь2" dataDxfId="387" dataCellStyle="Обычный 2"/>
    <tableColumn id="241" xr3:uid="{D1563D84-6C36-43C4-8566-A0780B1EECCF}" name="ИТОГО 3 net цена июль2" dataDxfId="386" dataCellStyle="Обычный 2"/>
    <tableColumn id="242" xr3:uid="{0E5E3EB9-1E6A-4C00-B513-DB49586D1E05}" name="ИТОГО 3 net цена август2" dataDxfId="385" dataCellStyle="Обычный 2"/>
    <tableColumn id="243" xr3:uid="{7C9FB87E-F863-4457-8237-38ED0D193FE3}" name="ИТОГО 3 net цена сентябрь2" dataDxfId="384" dataCellStyle="Обычный 2"/>
    <tableColumn id="244" xr3:uid="{839E4925-3D05-4A89-96DE-D947EC8DBFD7}" name="ИТОГО 3 net цена октябрь2" dataDxfId="383" dataCellStyle="Обычный 2"/>
    <tableColumn id="245" xr3:uid="{29D5E405-B1FB-48A4-8C94-9C8F826DD6D6}" name="ИТОГО 3 net цена ноябрь2" dataDxfId="382" dataCellStyle="Обычный 2"/>
    <tableColumn id="246" xr3:uid="{1D4D4B74-3855-4D04-8748-13D7F6CA80AF}" name="ИТОГО 3 net цена декабрь2" dataDxfId="381" dataCellStyle="Обычный 2"/>
    <tableColumn id="247" xr3:uid="{834E1E25-7AC6-42E0-A3B3-F2B8A05D0E75}" name="Прогноз за год, шт. " dataDxfId="380" dataCellStyle="Обычный 2"/>
    <tableColumn id="248" xr3:uid="{6688A7BB-CD49-4D4B-BF29-914B9775D1E1}" name="Прогноз январь, шт." dataDxfId="379" dataCellStyle="Обычный 2"/>
    <tableColumn id="249" xr3:uid="{4AEA0B49-161A-4B49-95B1-B86CBFFA0F6D}" name="Прогноз февраль, шт." dataDxfId="378" dataCellStyle="Обычный 2"/>
    <tableColumn id="250" xr3:uid="{389D6055-C029-4A3B-8022-DC0AA35C9B9F}" name="Прогноз март, шт." dataDxfId="377" dataCellStyle="Обычный 2"/>
    <tableColumn id="251" xr3:uid="{D78C87EA-6B67-452A-90A1-BF3614A8A86B}" name="Прогноз апрель, шт." dataDxfId="376" dataCellStyle="Обычный 2"/>
    <tableColumn id="252" xr3:uid="{D713C446-2012-40CA-9784-5D62DAAC4D37}" name="Прогноз май, шт." dataDxfId="375" dataCellStyle="Обычный 2"/>
    <tableColumn id="253" xr3:uid="{22F66848-DDB5-420E-A1A6-A786F9FEE0D9}" name="Прогноз июнь, шт." dataDxfId="374" dataCellStyle="Обычный 2"/>
    <tableColumn id="254" xr3:uid="{ACDA3BF7-93F5-497D-B5A9-3522FFFE4EA2}" name="Прогноз июль, шт." dataDxfId="373" dataCellStyle="Обычный 2"/>
    <tableColumn id="255" xr3:uid="{75EC1C59-3750-4932-9E6A-C8C11F438207}" name="Прогноз август, шт." dataDxfId="372" dataCellStyle="Обычный 2"/>
    <tableColumn id="256" xr3:uid="{8375D9C3-2F7F-4D03-B2B5-0A5106FF5771}" name="Прогноз сентябрь, шт." dataDxfId="371" dataCellStyle="Обычный 2"/>
    <tableColumn id="257" xr3:uid="{6712AECF-3324-4045-95F1-CB8098EA648E}" name="Прогноз октябрь, шт." dataDxfId="370" dataCellStyle="Обычный 2"/>
    <tableColumn id="258" xr3:uid="{DEDA2DA5-D52F-4CC7-AE44-1000D4EC36A7}" name="Прогноз ноябрь, шт." dataDxfId="369" dataCellStyle="Обычный 2"/>
    <tableColumn id="259" xr3:uid="{B1F491F0-22CF-420A-BF52-523585976458}" name="Прогноз декабрь, шт." dataDxfId="368" dataCellStyle="Обычный 2"/>
    <tableColumn id="260" xr3:uid="{0CCB811F-B0A8-428C-BEAA-CBEF7D5CEECD}" name="GS за год, руб." dataDxfId="367" dataCellStyle="Финансовый 3"/>
    <tableColumn id="261" xr3:uid="{5882C820-300C-4DA7-A127-265570010872}" name="GS январь, шт." dataDxfId="366" dataCellStyle="Обычный 2"/>
    <tableColumn id="262" xr3:uid="{B48E6D26-742E-470A-9CA3-DD18C05B6580}" name="GS февраль, шт." dataDxfId="365" dataCellStyle="Обычный 2"/>
    <tableColumn id="263" xr3:uid="{5BA842A9-0579-4789-A07F-C57F466B2AFD}" name="GS март, шт." dataDxfId="364" dataCellStyle="Обычный 2"/>
    <tableColumn id="264" xr3:uid="{B23210F5-C2B1-40DF-BAB0-2EBCFAF66086}" name="GS апрель, шт." dataDxfId="363" dataCellStyle="Обычный 2"/>
    <tableColumn id="265" xr3:uid="{B75693B8-03DD-4081-A756-72493E10FE72}" name="GS май, шт." dataDxfId="362" dataCellStyle="Обычный 2"/>
    <tableColumn id="266" xr3:uid="{542A0B1C-0E41-4198-8EFD-F77F7F037797}" name="GS июнь, шт." dataDxfId="361" dataCellStyle="Обычный 2"/>
    <tableColumn id="267" xr3:uid="{1367113D-E5A8-40C8-B251-7C2B8D7D59BC}" name="GS июль, шт." dataDxfId="360" dataCellStyle="Обычный 2"/>
    <tableColumn id="268" xr3:uid="{267F8105-8F25-4DFD-98C5-CC25B08808F5}" name="GS август, шт." dataDxfId="359" dataCellStyle="Обычный 2"/>
    <tableColumn id="269" xr3:uid="{11A6968E-990F-4F91-B88C-45B78AEB20D1}" name="GS сентябрь, шт." dataDxfId="358" dataCellStyle="Обычный 2"/>
    <tableColumn id="270" xr3:uid="{82F098C2-16CA-4E22-8BEC-DD43F4C68F7C}" name="GS октябрь, шт." dataDxfId="357" dataCellStyle="Обычный 2"/>
    <tableColumn id="271" xr3:uid="{D9B0EA20-7602-44F2-B2AC-565B0C075147}" name="GS ноябрь, шт." dataDxfId="356" dataCellStyle="Обычный 2"/>
    <tableColumn id="272" xr3:uid="{68AAE69E-9740-462E-95AD-D41787F9E8CB}" name="GS декабрь, шт." dataDxfId="355" dataCellStyle="Обычный 2"/>
    <tableColumn id="273" xr3:uid="{943F0C73-4829-4BDB-8D26-52D8F66EAD4D}" name="NS за год, руб." dataDxfId="354" dataCellStyle="Финансовый 3"/>
    <tableColumn id="274" xr3:uid="{E1D6D38F-FEF6-44C1-A9D2-1BC4F84CCF6D}" name="NS январь, шт." dataDxfId="353" dataCellStyle="Финансовый 3"/>
    <tableColumn id="275" xr3:uid="{6DAAC100-EC3C-4852-BB30-44EC5DA9B254}" name="NS февраль, шт." dataDxfId="352" dataCellStyle="Финансовый 3"/>
    <tableColumn id="276" xr3:uid="{319BFA8D-561D-40B7-92D2-178DFCD7ADE3}" name="NS март, шт." dataDxfId="351" dataCellStyle="Финансовый 3"/>
    <tableColumn id="277" xr3:uid="{D430CA17-79F8-4528-BA88-51DCE7B5F663}" name="NS апрель, шт." dataDxfId="350" dataCellStyle="Финансовый 3"/>
    <tableColumn id="278" xr3:uid="{526AD321-7672-4CD8-8338-6372B3747CB9}" name="NS май, шт." dataDxfId="349" dataCellStyle="Финансовый 3"/>
    <tableColumn id="279" xr3:uid="{55DA5402-50BA-4491-BEBE-214DA62E61F6}" name="NS июнь, шт." dataDxfId="348" dataCellStyle="Финансовый 3"/>
    <tableColumn id="280" xr3:uid="{52FFC71E-4FBD-4729-8A65-DE793EB9FEAE}" name="NS июль, шт." dataDxfId="347" dataCellStyle="Финансовый 3"/>
    <tableColumn id="281" xr3:uid="{158FB0F8-C091-4E9A-B919-D8166807AB81}" name="NS август, шт." dataDxfId="346" dataCellStyle="Финансовый 3"/>
    <tableColumn id="282" xr3:uid="{CC026D6F-AA36-481D-A23A-E5CA5B3708F0}" name="NS сентябрь, шт." dataDxfId="345" dataCellStyle="Финансовый 3"/>
    <tableColumn id="283" xr3:uid="{3F410C02-57D5-4D71-8481-959B5800E383}" name="NS октябрь, шт." dataDxfId="344" dataCellStyle="Финансовый 3"/>
    <tableColumn id="284" xr3:uid="{7D069C26-BC19-4FD4-A83B-3B2B0A86DC25}" name="NS ноябрь, шт." dataDxfId="343" dataCellStyle="Финансовый 3"/>
    <tableColumn id="285" xr3:uid="{85C4D94A-87CD-45F7-896F-2918DAE3B174}" name="NS декабрь, шт." dataDxfId="342" dataCellStyle="Финансовый 3"/>
    <tableColumn id="286" xr3:uid="{B8CCE780-E12A-4D5E-87AD-35BD1A36D5AA}" name="LC за год, руб." dataDxfId="341" dataCellStyle="Финансовый 3"/>
    <tableColumn id="287" xr3:uid="{471B16DC-BE5C-4A6E-AE16-0455CF20760E}" name="LC январь, руб." dataDxfId="340" dataCellStyle="Обычный 2"/>
    <tableColumn id="288" xr3:uid="{7516A6C7-652D-4378-B399-E10B8B9447E8}" name="LC февраль, руб." dataDxfId="339" dataCellStyle="Обычный 2"/>
    <tableColumn id="289" xr3:uid="{F4C2C04C-9A4B-44E8-9A1A-8C350331F0A8}" name="LC март, руб." dataDxfId="338" dataCellStyle="Обычный 2"/>
    <tableColumn id="290" xr3:uid="{5097F349-668D-493C-B528-4880CB2F9F56}" name="LC апрель, руб." dataDxfId="337" dataCellStyle="Обычный 2"/>
    <tableColumn id="291" xr3:uid="{2915E61D-FF1E-416C-9827-106804A12F22}" name="LC май, руб." dataDxfId="336" dataCellStyle="Обычный 2"/>
    <tableColumn id="292" xr3:uid="{06EAF2BB-1B21-48C7-8B93-B7296A40484F}" name="LC июнь, руб." dataDxfId="335" dataCellStyle="Обычный 2"/>
    <tableColumn id="293" xr3:uid="{32EE37A3-9A7A-4CEE-A625-412C67290FB7}" name="LC июль, руб." dataDxfId="334" dataCellStyle="Обычный 2"/>
    <tableColumn id="294" xr3:uid="{B8991D76-8123-42C9-BDDA-51A31082ECCE}" name="LC август, руб." dataDxfId="333" dataCellStyle="Обычный 2"/>
    <tableColumn id="295" xr3:uid="{C5E47CD6-21F3-4C56-BF7F-1030BCC158AB}" name="LC сентябрь, руб." dataDxfId="332" dataCellStyle="Обычный 2"/>
    <tableColumn id="296" xr3:uid="{787CCCBA-2C7B-4440-8946-48A588AC7E6D}" name="LC октябрь, руб." dataDxfId="331" dataCellStyle="Обычный 2"/>
    <tableColumn id="297" xr3:uid="{D9E55510-FE9E-449B-95E1-095C20147354}" name="LC ноябрь, руб." dataDxfId="330" dataCellStyle="Обычный 2"/>
    <tableColumn id="298" xr3:uid="{33538597-7128-4986-A693-EBEDFDE5B41E}" name="LC декабрь, руб." dataDxfId="329" dataCellStyle="Обычный 2"/>
    <tableColumn id="299" xr3:uid="{A6BFBF53-0DD4-47DE-9B1B-D368E9260116}" name="GP value за год, руб." dataDxfId="328" dataCellStyle="Финансовый 3"/>
    <tableColumn id="300" xr3:uid="{8A884DD9-0AF4-4CB8-AABB-7D4C877A2A5E}" name="GP value январь, руб." dataDxfId="327" dataCellStyle="Финансовый 3"/>
    <tableColumn id="301" xr3:uid="{82FE7900-BA3B-4E7F-9EAD-7DABAFFF26B6}" name="GP value февраль, руб." dataDxfId="326" dataCellStyle="Финансовый 3"/>
    <tableColumn id="302" xr3:uid="{FC66362B-6AD3-4348-9121-7188674400E9}" name="GP value март, руб." dataDxfId="325" dataCellStyle="Финансовый 3"/>
    <tableColumn id="303" xr3:uid="{4338119B-5897-4EC3-B158-A02D044C8E0E}" name="GP value апрель, руб." dataDxfId="324" dataCellStyle="Финансовый 3"/>
    <tableColumn id="304" xr3:uid="{885768A6-6544-4C8A-812B-17AF2F61E54C}" name="GP value май, руб." dataDxfId="323" dataCellStyle="Финансовый 3"/>
    <tableColumn id="305" xr3:uid="{D47E00E1-4902-4F91-96B5-281B0CB45E84}" name="GP value июнь, руб." dataDxfId="322" dataCellStyle="Финансовый 3"/>
    <tableColumn id="306" xr3:uid="{A802B628-2E1A-4251-95DF-E5BFAC0BE919}" name="GP value июль, руб." dataDxfId="321" dataCellStyle="Финансовый 3"/>
    <tableColumn id="307" xr3:uid="{95A946FC-3827-4F2D-B610-290FEA5ECBBB}" name="GP value август, руб." dataDxfId="320" dataCellStyle="Финансовый 3"/>
    <tableColumn id="308" xr3:uid="{4C5CE27A-592F-431C-8D55-3978E5435EA6}" name="GP value сентябрь, руб." dataDxfId="319" dataCellStyle="Финансовый 3"/>
    <tableColumn id="309" xr3:uid="{AE083462-6AE1-4162-8AE1-A7FFA2774335}" name="GP value октябрь, руб." dataDxfId="318" dataCellStyle="Финансовый 3"/>
    <tableColumn id="310" xr3:uid="{72313CA4-0B3A-4E1F-908B-C9BD581B7457}" name="GP value ноябрь, руб." dataDxfId="317" dataCellStyle="Финансовый 3"/>
    <tableColumn id="311" xr3:uid="{D034AB8F-F0FC-4CC7-A52D-04CF64099B88}" name="GP value декабрь, руб." dataDxfId="316" dataCellStyle="Финансовый 3"/>
    <tableColumn id="312" xr3:uid="{338732C5-D5D2-4143-8B98-4D6C4162DAB6}" name=" GP % за год" dataDxfId="315" dataCellStyle="Процентный 2"/>
    <tableColumn id="313" xr3:uid="{AFBA5E71-3129-43BC-BC4D-725BBA7AE18B}" name=" GP % январь" dataDxfId="314" dataCellStyle="Процентный 2"/>
    <tableColumn id="314" xr3:uid="{117D13A3-E989-47AE-B818-E854EF3EA0F4}" name=" GP % февраль" dataDxfId="313" dataCellStyle="Процентный 2"/>
    <tableColumn id="315" xr3:uid="{E677A204-F919-4EC7-A3EB-30D7D388D7D8}" name=" GP % март" dataDxfId="312" dataCellStyle="Процентный 2"/>
    <tableColumn id="316" xr3:uid="{09CDA870-CE40-44AF-B189-17C25EA317E5}" name=" GP % апрель" dataDxfId="311" dataCellStyle="Процентный 2"/>
    <tableColumn id="317" xr3:uid="{C115EFF4-7E6F-4F5C-8081-1795B3E3CDC9}" name=" GP % май" dataDxfId="310" dataCellStyle="Процентный 2"/>
    <tableColumn id="318" xr3:uid="{B8A518FB-975A-4E72-B2B6-0AB44EA9E40D}" name=" GP % июнь" dataDxfId="309" dataCellStyle="Процентный 2"/>
    <tableColumn id="319" xr3:uid="{6C398636-619C-4EA4-A3AA-934641BCDCBE}" name=" GP % июль" dataDxfId="308" dataCellStyle="Процентный 2"/>
    <tableColumn id="320" xr3:uid="{2693615C-21D7-4CD7-AFC5-422343E4D9F2}" name=" GP % август" dataDxfId="307" dataCellStyle="Процентный 2"/>
    <tableColumn id="321" xr3:uid="{797D979A-401C-4040-BEAD-1761C029EB71}" name=" GP % сентябрь" dataDxfId="306" dataCellStyle="Процентный 2"/>
    <tableColumn id="322" xr3:uid="{F8DD4DDC-CB1E-4E29-ABB1-C5C71B202416}" name=" GP % октябрь" dataDxfId="305" dataCellStyle="Процентный 2"/>
    <tableColumn id="323" xr3:uid="{8E3CEACE-01C1-4648-BA66-FC6241BC0B19}" name=" GP % ноябрь" dataDxfId="304" dataCellStyle="Процентный 2"/>
    <tableColumn id="324" xr3:uid="{AF9C24BB-8E5A-4DA0-8096-B61F9F9C484F}" name=" GP % декабрь" dataDxfId="303" dataCellStyle="Процентный 2"/>
    <tableColumn id="325" xr3:uid="{52917079-1F16-4926-874C-BFF59E16DF88}" name=" 2 net цена за год" dataDxfId="302" dataCellStyle="Финансовый 3"/>
    <tableColumn id="326" xr3:uid="{765FAE37-F419-49FD-B1C1-10DFD51581D1}" name=" 2 net цена январь" dataDxfId="301" dataCellStyle="Финансовый 3"/>
    <tableColumn id="327" xr3:uid="{A7EF5389-41B9-4221-8E45-26420C8085FA}" name=" 2 net цена февраль" dataDxfId="300" dataCellStyle="Финансовый 3"/>
    <tableColumn id="328" xr3:uid="{736035ED-96E0-4CA2-B7EA-CFB014C2A1A0}" name=" 2 net цена март" dataDxfId="299" dataCellStyle="Финансовый 3"/>
    <tableColumn id="329" xr3:uid="{A1D09A75-5598-4779-A802-7F1762BEC124}" name=" 2 net цена апрель" dataDxfId="298" dataCellStyle="Финансовый 3"/>
    <tableColumn id="330" xr3:uid="{F063373E-61A1-4043-8E49-D6FDC216CA76}" name=" 2 net цена май" dataDxfId="297" dataCellStyle="Финансовый 3"/>
    <tableColumn id="331" xr3:uid="{07C506A1-A8C5-47D8-9445-87533EFA7315}" name=" 2 net цена июнь" dataDxfId="296" dataCellStyle="Финансовый 3"/>
    <tableColumn id="332" xr3:uid="{511271DA-8B69-493A-AF4C-2FEF4B1D679F}" name=" 2 net цена июль" dataDxfId="295" dataCellStyle="Финансовый 3"/>
    <tableColumn id="333" xr3:uid="{40096194-30DD-4F25-9EBE-CC3D8462F81A}" name=" 2 net цена август" dataDxfId="294" dataCellStyle="Финансовый 3"/>
    <tableColumn id="334" xr3:uid="{36EF4AE1-22EC-4B17-AE6A-9503360D8C76}" name=" 2 net цена сентябрь" dataDxfId="293" dataCellStyle="Финансовый 3"/>
    <tableColumn id="335" xr3:uid="{B9C39AD3-756F-4155-9982-DA243D6EA2BC}" name=" 2 net цена октябрь" dataDxfId="292" dataCellStyle="Финансовый 3"/>
    <tableColumn id="336" xr3:uid="{4053604B-35B8-46C9-8B3E-A8FC075BA383}" name=" 2 net цена ноябрь" dataDxfId="291" dataCellStyle="Финансовый 3"/>
    <tableColumn id="337" xr3:uid="{18EB395A-783B-4A00-B769-02437FE176B8}" name=" 2 net цена декабрь" dataDxfId="290" dataCellStyle="Финансовый 3"/>
    <tableColumn id="338" xr3:uid="{12899E59-DA6A-41C8-BA48-9DCF59BEE211}" name=" 3 net цена за год" dataDxfId="289" dataCellStyle="Финансовый 3"/>
    <tableColumn id="339" xr3:uid="{918A1BD2-4C18-4159-AD14-9F6A8160884D}" name=" 3 net цена январь" dataDxfId="288" dataCellStyle="Финансовый 3"/>
    <tableColumn id="340" xr3:uid="{955FBF2C-43BF-42C3-A871-5E84D6C549C8}" name=" 3 net цена февраль" dataDxfId="287" dataCellStyle="Финансовый 3"/>
    <tableColumn id="341" xr3:uid="{2A2679AF-6C3F-4B19-8BD0-10DA4AA204E5}" name=" 3 net цена март" dataDxfId="286" dataCellStyle="Финансовый 3"/>
    <tableColumn id="342" xr3:uid="{73E4F9F8-5082-4E32-8CDD-54BF908239C4}" name=" 3 net цена апрель" dataDxfId="285" dataCellStyle="Финансовый 3"/>
    <tableColumn id="343" xr3:uid="{293A3EB6-0DF0-4442-AEAE-06934508B037}" name=" 3 net цена май" dataDxfId="284" dataCellStyle="Финансовый 3"/>
    <tableColumn id="344" xr3:uid="{FE66890C-9D8A-4D5B-95D3-F0D3CFA306C9}" name=" 3 net цена июнь" dataDxfId="283" dataCellStyle="Финансовый 3"/>
    <tableColumn id="345" xr3:uid="{CCA60DFD-BCCE-486C-BEA6-65FD4120E32D}" name=" 3 net цена июль" dataDxfId="282" dataCellStyle="Финансовый 3"/>
    <tableColumn id="346" xr3:uid="{024088F9-BF75-4D97-B7A6-4943713E610F}" name=" 3 net цена август" dataDxfId="281" dataCellStyle="Финансовый 3"/>
    <tableColumn id="347" xr3:uid="{8CD44EBA-8B18-44A5-9CA8-FC77B0EB257E}" name=" 3 net цена сентябрь" dataDxfId="280" dataCellStyle="Финансовый 3"/>
    <tableColumn id="348" xr3:uid="{458D8133-AC1B-4ED9-AF80-67E56D4CE63E}" name=" 3 net цена октябрь" dataDxfId="279" dataCellStyle="Финансовый 3"/>
    <tableColumn id="349" xr3:uid="{B88E0193-B0C6-4D7B-A310-65D7F21E370B}" name=" 3 net цена ноябрь" dataDxfId="278" dataCellStyle="Финансовый 3"/>
    <tableColumn id="350" xr3:uid="{CEB5E559-6A1A-4089-9ECE-0C8040392A71}" name=" 3 net цена декабрь" dataDxfId="277" dataCellStyle="Финансовый 3"/>
    <tableColumn id="351" xr3:uid="{0AB9E84F-601C-438F-93C9-2B1539CFC4EB}" name="ПРОМО цена (2net), руб." dataDxfId="276" dataCellStyle="Финансовый 3"/>
    <tableColumn id="352" xr3:uid="{D431D5EA-6260-4653-8197-E7D8365BAA5C}" name="доп.скидка от регулярной цены, %" dataDxfId="275" dataCellStyle="Процентный 2"/>
    <tableColumn id="353" xr3:uid="{5D0C2F7A-6EA9-47C1-875D-7B3ECD5E7F1C}" name="ПРОМО 3net цена, руб." dataDxfId="274" dataCellStyle="Финансовый 3"/>
    <tableColumn id="354" xr3:uid="{F3CAC45A-03CF-4AC1-AD94-A0BF458B3CFC}" name="ПРОМО прогноз за год, шт. " dataDxfId="273" dataCellStyle="Финансовый 3"/>
    <tableColumn id="355" xr3:uid="{3C66DEE3-1ABE-4712-868B-7E64B54D5C91}" name="ПРОМО прогноз январь, шт." dataDxfId="272" dataCellStyle="Обычный 2"/>
    <tableColumn id="356" xr3:uid="{F75E8DF3-A1D9-4B7A-B401-963436D915C8}" name="ПРОМО прогноз февраль, шт." dataDxfId="271" dataCellStyle="Обычный 2"/>
    <tableColumn id="357" xr3:uid="{6F89C5D2-7761-4663-A8BB-121EB1E1F0A8}" name="ПРОМО прогноз март, шт." dataDxfId="270" dataCellStyle="Обычный 2"/>
    <tableColumn id="358" xr3:uid="{EAB10C1D-7663-49C0-9BB6-517C1A50FEBD}" name="ПРОМО прогноз апрель, шт." dataDxfId="269" dataCellStyle="Обычный 2"/>
    <tableColumn id="359" xr3:uid="{3FBE02AA-2BE5-4F23-94AC-56CADEB98211}" name="ПРОМО прогноз май, шт." dataDxfId="268" dataCellStyle="Обычный 2"/>
    <tableColumn id="360" xr3:uid="{5E44570A-CFD9-4A9D-8BC1-9FCEC6886BAA}" name="ПРОМО прогноз июнь, шт." dataDxfId="267" dataCellStyle="Обычный 2"/>
    <tableColumn id="361" xr3:uid="{DD1BC854-404E-49A7-A941-347BC9383434}" name="ПРОМО прогноз июль, шт." dataDxfId="266" dataCellStyle="Обычный 2"/>
    <tableColumn id="362" xr3:uid="{6629514C-594A-4C10-AFC5-5AA09CC96D3B}" name="ПРОМО прогноз август, шт." dataDxfId="265" dataCellStyle="Обычный 2"/>
    <tableColumn id="363" xr3:uid="{C4B080E0-EC68-4D46-9B8A-76F2979D9C42}" name="ПРОМО прогноз сентябрь, шт." dataDxfId="264" dataCellStyle="Обычный 2"/>
    <tableColumn id="364" xr3:uid="{7FA486D9-D98B-43FA-A181-A42E94C80E96}" name="ПРОМО прогноз октябрь, шт." dataDxfId="263" dataCellStyle="Обычный 2"/>
    <tableColumn id="365" xr3:uid="{A85572A9-F513-4D6B-9CF7-EDF82407A002}" name="ПРОМО прогноз ноябрь, шт." dataDxfId="262" dataCellStyle="Обычный 2"/>
    <tableColumn id="366" xr3:uid="{D0CF8ACF-701D-4CE4-8538-81C401FC6EE9}" name="ПРОМО прогноз декабрь, шт." dataDxfId="261" dataCellStyle="Обычный 2"/>
    <tableColumn id="367" xr3:uid="{48CF39EB-EC91-4E65-B91A-453A736FE1EE}" name="ПРОМО GS за год, руб." dataDxfId="260" dataCellStyle="Финансовый 3"/>
    <tableColumn id="368" xr3:uid="{4379D699-5EB1-42D9-8A93-34415278EBA0}" name="ПРОМО GS январь, руб." dataDxfId="259" dataCellStyle="Обычный 2"/>
    <tableColumn id="369" xr3:uid="{7EF5A2A5-C68A-4C17-9256-9CE8D97C1B4B}" name="ПРОМО GS февраль, руб." dataDxfId="258" dataCellStyle="Обычный 2"/>
    <tableColumn id="370" xr3:uid="{F02AC59E-E4AA-43DF-ABCC-38C5C6CB576D}" name="ПРОМО GS март, руб." dataDxfId="257" dataCellStyle="Обычный 2"/>
    <tableColumn id="371" xr3:uid="{DF2D05FC-ED5C-42B9-BBFA-53FA8D7681EC}" name="ПРОМО GS апрель, руб." dataDxfId="256" dataCellStyle="Обычный 2"/>
    <tableColumn id="372" xr3:uid="{41440F7B-CD69-4D98-9546-2032D873108E}" name="ПРОМО GS май, руб." dataDxfId="255" dataCellStyle="Обычный 2"/>
    <tableColumn id="373" xr3:uid="{D411F10B-51FB-407C-A5DB-893519AFB0D8}" name="ПРОМО GS июнь, руб." dataDxfId="254" dataCellStyle="Обычный 2"/>
    <tableColumn id="374" xr3:uid="{E59C7748-3846-4AD6-8526-4546E0F07D42}" name="ПРОМО GS июль, руб." dataDxfId="253" dataCellStyle="Обычный 2"/>
    <tableColumn id="375" xr3:uid="{F23E0386-68ED-4F83-9BAD-6C27FD8BC4BC}" name="ПРОМО GS август, руб." dataDxfId="252" dataCellStyle="Обычный 2"/>
    <tableColumn id="376" xr3:uid="{EC65EAA1-3275-49F0-936C-A75C6D88B2F8}" name="ПРОМО GS сентябрь, руб." dataDxfId="251" dataCellStyle="Обычный 2"/>
    <tableColumn id="377" xr3:uid="{17E1EEA6-79E8-4957-B4AA-D4CB6910009B}" name="ПРОМО GS октябрь, руб." dataDxfId="250" dataCellStyle="Обычный 2"/>
    <tableColumn id="378" xr3:uid="{F3D7578F-01B3-4B5D-8DB9-84EE591A3F51}" name="ПРОМО GS ноябрь, руб." dataDxfId="249" dataCellStyle="Обычный 2"/>
    <tableColumn id="379" xr3:uid="{F149BC0C-49EC-4285-8E62-74E1ECC43F3C}" name="ПРОМО GS декабрь, руб." dataDxfId="248" dataCellStyle="Обычный 2"/>
    <tableColumn id="380" xr3:uid="{6A85C4D9-7DCA-44A5-99CD-24AC4B0CBD2B}" name="ПРОМО NS за год, руб." dataDxfId="247" dataCellStyle="Финансовый 3"/>
    <tableColumn id="381" xr3:uid="{076C2C22-ACB1-4FE4-9C32-E7F5CAD76F22}" name="ПРОМО NS январь, руб." dataDxfId="246" dataCellStyle="Обычный 2"/>
    <tableColumn id="382" xr3:uid="{875BC825-5A80-4C46-8302-7F2065FE8102}" name="ПРОМО NS февраль, руб." dataDxfId="245" dataCellStyle="Обычный 2"/>
    <tableColumn id="383" xr3:uid="{9FEBCA1A-52E8-4DBC-B0A5-ECD9A18E917F}" name="ПРОМО NS март, руб." dataDxfId="244" dataCellStyle="Обычный 2"/>
    <tableColumn id="384" xr3:uid="{FA077535-36F4-4B4C-B877-117BB43FAF46}" name="ПРОМО NS апрель, руб." dataDxfId="243" dataCellStyle="Обычный 2"/>
    <tableColumn id="385" xr3:uid="{02C7E21A-2D58-45B2-A17B-52AEE7F53C70}" name="ПРОМО NS май, руб." dataDxfId="242" dataCellStyle="Обычный 2"/>
    <tableColumn id="386" xr3:uid="{9CBD9281-F8FD-453D-983C-8C21E01FB596}" name="ПРОМО NS июнь, руб." dataDxfId="241" dataCellStyle="Обычный 2"/>
    <tableColumn id="387" xr3:uid="{22AE6420-00C3-469F-875F-6A4606DC36E9}" name="ПРОМО NS июль, руб." dataDxfId="240" dataCellStyle="Обычный 2"/>
    <tableColumn id="388" xr3:uid="{F4D07694-4B65-4487-8EBC-7E9B4F605358}" name="ПРОМО NS август, руб." dataDxfId="239" dataCellStyle="Обычный 2"/>
    <tableColumn id="389" xr3:uid="{94E808F1-0D1C-4B77-8138-B513A33830E2}" name="ПРОМО NS сентябрь, руб." dataDxfId="238" dataCellStyle="Обычный 2"/>
    <tableColumn id="390" xr3:uid="{7E86C711-2F5F-4E63-8933-35005CE29D5A}" name="ПРОМО NS октябрь, руб." dataDxfId="237" dataCellStyle="Обычный 2"/>
    <tableColumn id="391" xr3:uid="{96AAD0FC-3497-48E9-AFB3-49D1B14DA09E}" name="ПРОМО NS ноябрь, руб." dataDxfId="236" dataCellStyle="Обычный 2"/>
    <tableColumn id="392" xr3:uid="{6275AA98-9C57-4D7A-835F-6E084C11B530}" name="ПРОМО NS декабрь, руб." dataDxfId="235" dataCellStyle="Обычный 2"/>
    <tableColumn id="393" xr3:uid="{413A87EC-145F-483D-ADBF-324871D6CCEA}" name="ПРОМО LC за год, руб." dataDxfId="234" dataCellStyle="Финансовый 3"/>
    <tableColumn id="394" xr3:uid="{28DBAE48-AE19-4671-AD62-B2A3919F8718}" name="ПРОМО LC январь, руб." dataDxfId="233" dataCellStyle="Обычный 2"/>
    <tableColumn id="395" xr3:uid="{88BEC8D4-C5CF-4F93-B84E-E4E1A4891FEB}" name="ПРОМО LC февраль, руб." dataDxfId="232" dataCellStyle="Обычный 2"/>
    <tableColumn id="396" xr3:uid="{1296592E-755C-4B59-95A8-8F92F6B8064E}" name="ПРОМО LC март, руб." dataDxfId="231" dataCellStyle="Обычный 2"/>
    <tableColumn id="397" xr3:uid="{F9E671DD-D7AE-4E6E-8075-BB64506CF27C}" name="ПРОМО LC апрель, руб." dataDxfId="230" dataCellStyle="Обычный 2"/>
    <tableColumn id="398" xr3:uid="{D5B1C487-76FD-455A-BAE8-12C33D7D645E}" name="ПРОМО LC май, руб." dataDxfId="229" dataCellStyle="Обычный 2"/>
    <tableColumn id="399" xr3:uid="{67D86109-455A-4505-861C-A438B3108DAC}" name="ПРОМО LC июнь, руб." dataDxfId="228" dataCellStyle="Обычный 2"/>
    <tableColumn id="400" xr3:uid="{40F940E7-9FC0-4189-9B91-31484688ACAC}" name="ПРОМО LC июль, руб." dataDxfId="227" dataCellStyle="Обычный 2"/>
    <tableColumn id="401" xr3:uid="{9A5142E3-B14D-4983-A8F3-DA3EC4AC928B}" name="ПРОМО LC август, руб." dataDxfId="226" dataCellStyle="Обычный 2"/>
    <tableColumn id="402" xr3:uid="{B0F26319-6E3D-426E-BD72-19448152602C}" name="ПРОМО LC сентябрь, руб." dataDxfId="225" dataCellStyle="Обычный 2"/>
    <tableColumn id="403" xr3:uid="{AB00ED1D-7410-45DF-903C-36F9CDAA71D9}" name="ПРОМО LC октябрь, руб." dataDxfId="224" dataCellStyle="Обычный 2"/>
    <tableColumn id="404" xr3:uid="{4ECBEDF6-DB8C-4830-863C-7D8A21816825}" name="ПРОМО LC ноябрь, руб." dataDxfId="223" dataCellStyle="Обычный 2"/>
    <tableColumn id="405" xr3:uid="{BD66D1ED-1F4C-44F4-99A5-D32FBA2FF163}" name="ПРОМО LC декабрь, руб." dataDxfId="222" dataCellStyle="Обычный 2"/>
    <tableColumn id="406" xr3:uid="{8768CE7F-5EF2-4ACD-8198-5BC1EFCF0296}" name="ПРОМО GP value за год, руб." dataDxfId="221" dataCellStyle="Финансовый 3"/>
    <tableColumn id="407" xr3:uid="{374312DD-88CA-437F-B83D-2DBBB3A61F83}" name="ПРОМО GP value январь, руб." dataDxfId="220" dataCellStyle="Финансовый 3"/>
    <tableColumn id="408" xr3:uid="{5BE08A1B-897F-437F-885D-7F023CA27FC3}" name="ПРОМО GP value февраль, руб." dataDxfId="219" dataCellStyle="Финансовый 3"/>
    <tableColumn id="409" xr3:uid="{41184081-6984-4F9E-9DD2-3469A249A708}" name="ПРОМО GP value март, руб." dataDxfId="218" dataCellStyle="Финансовый 3"/>
    <tableColumn id="410" xr3:uid="{00F1CB64-A87C-4902-84AF-9320A2C1E4F4}" name="ПРОМО GP value апрель, руб." dataDxfId="217" dataCellStyle="Финансовый 3"/>
    <tableColumn id="411" xr3:uid="{C3F71A66-8BA2-4EE0-A545-517F7B85D65E}" name="ПРОМО GP value май, руб." dataDxfId="216" dataCellStyle="Финансовый 3"/>
    <tableColumn id="412" xr3:uid="{3EA31853-4FBE-49DB-9499-312A1A40B8E7}" name="ПРОМО GP value июнь, руб." dataDxfId="215" dataCellStyle="Финансовый 3"/>
    <tableColumn id="413" xr3:uid="{FD5BCCAC-6F70-4B46-BC29-BC8DC0D02A04}" name="ПРОМО GP value июль, руб." dataDxfId="214" dataCellStyle="Финансовый 3"/>
    <tableColumn id="414" xr3:uid="{CB4AABF3-4FBF-46F5-8021-6358D69F1EA1}" name="ПРОМО GP value август, руб." dataDxfId="213" dataCellStyle="Финансовый 3"/>
    <tableColumn id="415" xr3:uid="{9716604A-88F8-472B-8BE0-296AFD022602}" name="ПРОМО GP value сентябрь, руб." dataDxfId="212" dataCellStyle="Финансовый 3"/>
    <tableColumn id="416" xr3:uid="{96F9A405-2E63-47FC-BA94-80913E6329C6}" name="ПРОМО GP value октябрь, руб." dataDxfId="211" dataCellStyle="Финансовый 3"/>
    <tableColumn id="417" xr3:uid="{7C8329AB-01D4-48C7-96F0-63D55A839CAD}" name="ПРОМО GP value ноябрь, руб." dataDxfId="210" dataCellStyle="Финансовый 3"/>
    <tableColumn id="418" xr3:uid="{844E73C5-11DD-42BF-98D6-A362FCB93017}" name="ПРОМО GP value декабрь, руб." dataDxfId="209" dataCellStyle="Финансовый 3"/>
    <tableColumn id="419" xr3:uid="{F3A3EA19-0C66-48CF-93B8-047A09B9E991}" name="ПРОМО GP % за год" dataDxfId="208" dataCellStyle="Процентный 2"/>
    <tableColumn id="420" xr3:uid="{61AED8E9-8159-45D2-ABB4-78A3B521C418}" name="ПРОМО GP % январь" dataDxfId="207" dataCellStyle="Процентный 2"/>
    <tableColumn id="421" xr3:uid="{AB47092D-47AF-43F5-B9C9-B2FD8A6BF1FB}" name="ПРОМО GP % февраль" dataDxfId="206" dataCellStyle="Процентный 2"/>
    <tableColumn id="422" xr3:uid="{6C5AE4D0-58AF-483F-A1C7-2592A46D4901}" name="ПРОМО GP % март" dataDxfId="205" dataCellStyle="Процентный 2"/>
    <tableColumn id="423" xr3:uid="{8E95EA4D-EE8D-4D77-BD36-4B208B472A42}" name="ПРОМО GP % апрель" dataDxfId="204" dataCellStyle="Процентный 2"/>
    <tableColumn id="424" xr3:uid="{E4070D70-A189-4F25-B665-B81BA8956C42}" name="ПРОМО GP % май" dataDxfId="203" dataCellStyle="Процентный 2"/>
    <tableColumn id="425" xr3:uid="{C046B80D-3A15-422A-BEDA-19EF536876F0}" name="ПРОМО GP % июнь" dataDxfId="202" dataCellStyle="Процентный 2"/>
    <tableColumn id="426" xr3:uid="{63AD559F-3A3B-4CFF-B989-FB1AD24B50D0}" name="ПРОМО GP % июль" dataDxfId="201" dataCellStyle="Процентный 2"/>
    <tableColumn id="427" xr3:uid="{7E4488D6-3A0B-435E-95DB-E0BFB9E5002D}" name="ПРОМО GP % август" dataDxfId="200" dataCellStyle="Процентный 2"/>
    <tableColumn id="428" xr3:uid="{1437FD69-CB97-45C8-B0AA-05F690558DBC}" name="ПРОМО GP % сентябрь" dataDxfId="199" dataCellStyle="Процентный 2"/>
    <tableColumn id="429" xr3:uid="{D10347A2-715C-4578-A48C-A916298768C8}" name="ПРОМО GP % октябрь" dataDxfId="198" dataCellStyle="Процентный 2"/>
    <tableColumn id="430" xr3:uid="{6B86B36F-CECB-4F67-81EE-6772D5ED8AF0}" name="ПРОМО GP % ноябрь" dataDxfId="197" dataCellStyle="Процентный 2"/>
    <tableColumn id="431" xr3:uid="{54C4E059-CA2C-4F78-8E5B-814878D50F03}" name="ПРОМО GP % декабрь" dataDxfId="196" dataCellStyle="Процентный 2"/>
    <tableColumn id="432" xr3:uid="{4D28FB10-D220-493B-A123-AC505EA65116}" name="ПРОМО 2 net цена за год" dataDxfId="195" dataCellStyle="Финансовый 3"/>
    <tableColumn id="433" xr3:uid="{FE552B5E-D6A5-4218-805D-7A4B3E29552F}" name="ПРОМО 2 net цена январь" dataDxfId="194" dataCellStyle="Финансовый 3"/>
    <tableColumn id="434" xr3:uid="{2A3880EE-DCEC-4342-A055-F833EC430C0D}" name="ПРОМО 2 net цена февраль" dataDxfId="193" dataCellStyle="Финансовый 3"/>
    <tableColumn id="435" xr3:uid="{310D1088-D30D-4897-B8E8-3FAE8899B1D6}" name="ПРОМО 2 net цена март" dataDxfId="192" dataCellStyle="Финансовый 3"/>
    <tableColumn id="436" xr3:uid="{B97F9C2A-06D1-484F-807C-12BB457B9833}" name="ПРОМО 2 net цена апрель" dataDxfId="191" dataCellStyle="Финансовый 3"/>
    <tableColumn id="437" xr3:uid="{CF0DB845-17FD-4095-8A6E-3E34DBEAE3C1}" name="ПРОМО 2 net цена май" dataDxfId="190" dataCellStyle="Финансовый 3"/>
    <tableColumn id="438" xr3:uid="{1A622560-40A8-414B-BAB7-FB1A8D96B6CB}" name="ПРОМО 2 net цена июнь" dataDxfId="189" dataCellStyle="Финансовый 3"/>
    <tableColumn id="439" xr3:uid="{7A62AAD1-FD8E-472F-927D-132F7F42CC71}" name="ПРОМО 2 net цена июль" dataDxfId="188" dataCellStyle="Финансовый 3"/>
    <tableColumn id="440" xr3:uid="{38E08B3B-E253-4127-83F4-5ED65040E896}" name="ПРОМО 2 net цена август" dataDxfId="187" dataCellStyle="Финансовый 3"/>
    <tableColumn id="441" xr3:uid="{09C1031F-AFF4-44E5-B8BF-88272B5B12AB}" name="ПРОМО 2 net цена сентябрь" dataDxfId="186" dataCellStyle="Финансовый 3"/>
    <tableColumn id="442" xr3:uid="{F9DACFAC-390D-4237-AD31-D472048E3A77}" name="ПРОМО 2 net цена октябрь" dataDxfId="185" dataCellStyle="Финансовый 3"/>
    <tableColumn id="443" xr3:uid="{4F61E7B9-FF90-4E91-8D0C-5CA1F7452032}" name="ПРОМО 2 net цена ноябрь" dataDxfId="184" dataCellStyle="Финансовый 3"/>
    <tableColumn id="444" xr3:uid="{56AC897E-7AFA-4AF3-AAA2-2C30916CD4AD}" name="ПРОМО 2 net цена декабрь" dataDxfId="183" dataCellStyle="Финансовый 3"/>
    <tableColumn id="445" xr3:uid="{C6D46C57-E29A-41F2-B5E4-4F11BEFDA9F1}" name="ПРОМО 3 net цена за год" dataDxfId="182" dataCellStyle="Финансовый 3"/>
    <tableColumn id="446" xr3:uid="{1289D978-4FF2-4B95-B40F-153F3E6DD854}" name="ПРОМО 3 net цена январь" dataDxfId="181" dataCellStyle="Финансовый 3"/>
    <tableColumn id="447" xr3:uid="{A9703F1F-BA83-477A-85ED-ADCFC8BBD2CF}" name="ПРОМО 3 net цена февраль" dataDxfId="180" dataCellStyle="Финансовый 3"/>
    <tableColumn id="448" xr3:uid="{B0762052-6446-48BA-AB96-4A34B3197BA8}" name="ПРОМО 3 net цена март" dataDxfId="179" dataCellStyle="Финансовый 3"/>
    <tableColumn id="449" xr3:uid="{ECD38587-E286-48D6-BA94-0D34D660958E}" name="ПРОМО 3 net цена апрель" dataDxfId="178" dataCellStyle="Финансовый 3"/>
    <tableColumn id="450" xr3:uid="{6477E1C0-5834-4DF8-B38A-0402185084E6}" name="ПРОМО 3 net цена май" dataDxfId="177" dataCellStyle="Финансовый 3"/>
    <tableColumn id="451" xr3:uid="{9A3A328C-8F92-4E79-A5FC-E49BF041D229}" name="ПРОМО 3 net цена июнь" dataDxfId="176" dataCellStyle="Финансовый 3"/>
    <tableColumn id="452" xr3:uid="{4584A436-6B10-4428-B34E-725F50BE5D2C}" name="ПРОМО 3 net цена июль" dataDxfId="175" dataCellStyle="Финансовый 3"/>
    <tableColumn id="453" xr3:uid="{3D76A9BE-C203-4359-BF47-DD2A37942867}" name="ПРОМО 3 net цена август" dataDxfId="174" dataCellStyle="Финансовый 3"/>
    <tableColumn id="454" xr3:uid="{A3DDE0E8-1052-48C0-BFC2-FBEAAAD64E9E}" name="ПРОМО 3 net цена сентябрь" dataDxfId="173" dataCellStyle="Финансовый 3"/>
    <tableColumn id="455" xr3:uid="{2907FB36-09BF-4DB0-90D0-4DDD55FD4AC2}" name="ПРОМО 3 net цена октябрь" dataDxfId="172" dataCellStyle="Финансовый 3"/>
    <tableColumn id="456" xr3:uid="{90C3E1BD-597C-4AC3-B50C-6F8789D4D55B}" name="ПРОМО 3 net цена ноябрь" dataDxfId="171" dataCellStyle="Финансовый 3"/>
    <tableColumn id="457" xr3:uid="{E68F1F50-40F3-4A9E-81AF-0CA0E676FC4F}" name="ПРОМО 3 net цена декабрь" dataDxfId="170" dataCellStyle="Финансовый 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6" dataDxfId="165">
  <autoFilter ref="A1:E9" xr:uid="{00000000-0009-0000-0100-000008000000}"/>
  <tableColumns count="5">
    <tableColumn id="5" xr3:uid="{D948CA53-CDCE-46C5-BE95-D1E2925C758E}" name="№" dataDxfId="164"/>
    <tableColumn id="1" xr3:uid="{00000000-0010-0000-0500-000001000000}" name="Артикул" dataDxfId="163"/>
    <tableColumn id="2" xr3:uid="{00000000-0010-0000-0500-000002000000}" name="STK 2.5, Eur" dataDxfId="162"/>
    <tableColumn id="3" xr3:uid="{00000000-0010-0000-0500-000003000000}" name="STK 2.5, руб." dataDxfId="161"/>
    <tableColumn id="4" xr3:uid="{00000000-0010-0000-0500-000004000000}" name="Дата принятия" dataDxfId="16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9" tableBorderDxfId="158">
  <autoFilter ref="A1:E4" xr:uid="{DC3035BC-C236-433B-901D-B186AA655CF5}"/>
  <tableColumns count="5">
    <tableColumn id="1" xr3:uid="{F6B612F6-B5C5-40EB-8141-8228791959AE}" name="№" dataDxfId="157"/>
    <tableColumn id="2" xr3:uid="{C27650E5-0AD3-4BAB-B2B2-9092D1FE4D79}" name="Дата принятия" dataDxfId="156"/>
    <tableColumn id="3" xr3:uid="{F42351AE-2B5F-47CC-9B75-F7EF9AEC356F}" name="Курс рубля к евро (RUB/EUR)" dataDxfId="155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51" headerRowBorderDxfId="150" tableBorderDxfId="149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8"/>
    <tableColumn id="2" xr3:uid="{00000000-0010-0000-0600-000002000000}" name="IRP, Eur" dataDxfId="147"/>
    <tableColumn id="7" xr3:uid="{11D04D17-838D-4CC8-AC1C-1913385B662D}" name="RRP, Eur" dataDxfId="146"/>
    <tableColumn id="8" xr3:uid="{46EF54C3-C337-4CB8-BC99-D103FB9E5B21}" name="IRP index" dataDxfId="145"/>
    <tableColumn id="3" xr3:uid="{00000000-0010-0000-0600-000003000000}" name="РРЦ, руб. с НДС" dataDxfId="144"/>
    <tableColumn id="4" xr3:uid="{00000000-0010-0000-0600-000004000000}" name="DIY price list, руб. без НДС" dataDxfId="143"/>
    <tableColumn id="5" xr3:uid="{00000000-0010-0000-0600-000005000000}" name="Дата принятия" dataDxfId="1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41">
  <tableColumns count="122">
    <tableColumn id="1" xr3:uid="{00000000-0010-0000-0D00-000001000000}" name="№" dataDxfId="140"/>
    <tableColumn id="122" xr3:uid="{156887A3-65E5-416F-AD69-59CE1C8980E7}" name="Артикул" dataDxfId="139"/>
    <tableColumn id="2" xr3:uid="{00000000-0010-0000-0D00-000002000000}" name="Channel type" dataDxfId="138"/>
    <tableColumn id="3" xr3:uid="{00000000-0010-0000-0D00-000003000000}" name="Customer status" dataDxfId="137"/>
    <tableColumn id="4" xr3:uid="{00000000-0010-0000-0D00-000004000000}" name="Дата прогноза" dataDxfId="136"/>
    <tableColumn id="5" xr3:uid="{00000000-0010-0000-0D00-000005000000}" name="Данные справочника товаров"/>
    <tableColumn id="6" xr3:uid="{00000000-0010-0000-0D00-000006000000}" name="STK 2.5, руб." dataDxfId="135"/>
    <tableColumn id="7" xr3:uid="{00000000-0010-0000-0D00-000007000000}" name="IRP, Eur" dataDxfId="134"/>
    <tableColumn id="8" xr3:uid="{00000000-0010-0000-0D00-000008000000}" name="РРЦ, руб.с НДС" dataDxfId="133"/>
    <tableColumn id="9" xr3:uid="{00000000-0010-0000-0D00-000009000000}" name="Индекс IRP" dataDxfId="132"/>
    <tableColumn id="10" xr3:uid="{00000000-0010-0000-0D00-00000A000000}" name="DIY price list, руб. без НДС" dataDxfId="131"/>
    <tableColumn id="11" xr3:uid="{00000000-0010-0000-0D00-00000B000000}" name="2 net цена, руб." dataDxfId="130"/>
    <tableColumn id="12" xr3:uid="{00000000-0010-0000-0D00-00000C000000}" name="3 net цена, руб." dataDxfId="129"/>
    <tableColumn id="13" xr3:uid="{00000000-0010-0000-0D00-00000D000000}" name="Transfer цена, руб." dataDxfId="128"/>
    <tableColumn id="14" xr3:uid="{00000000-0010-0000-0D00-00000E000000}" name="Price-list январь" dataDxfId="127"/>
    <tableColumn id="15" xr3:uid="{00000000-0010-0000-0D00-00000F000000}" name="Price-list февраль" dataDxfId="126"/>
    <tableColumn id="16" xr3:uid="{00000000-0010-0000-0D00-000010000000}" name="Price-list март" dataDxfId="125"/>
    <tableColumn id="17" xr3:uid="{00000000-0010-0000-0D00-000011000000}" name="Price-list апрель" dataDxfId="124"/>
    <tableColumn id="18" xr3:uid="{00000000-0010-0000-0D00-000012000000}" name="Price-list май" dataDxfId="123"/>
    <tableColumn id="19" xr3:uid="{00000000-0010-0000-0D00-000013000000}" name="Price-list июнь" dataDxfId="122"/>
    <tableColumn id="20" xr3:uid="{00000000-0010-0000-0D00-000014000000}" name="Price-list июль" dataDxfId="121"/>
    <tableColumn id="21" xr3:uid="{00000000-0010-0000-0D00-000015000000}" name="Price-list август" dataDxfId="120"/>
    <tableColumn id="22" xr3:uid="{00000000-0010-0000-0D00-000016000000}" name="Price-list сентябрь" dataDxfId="119"/>
    <tableColumn id="23" xr3:uid="{00000000-0010-0000-0D00-000017000000}" name="Price-list октябрь" dataDxfId="118"/>
    <tableColumn id="24" xr3:uid="{00000000-0010-0000-0D00-000018000000}" name="Price-list ноябрь" dataDxfId="117"/>
    <tableColumn id="25" xr3:uid="{00000000-0010-0000-0D00-000019000000}" name="Price-list декабрь" dataDxfId="116"/>
    <tableColumn id="26" xr3:uid="{00000000-0010-0000-0D00-00001A000000}" name="Объем продаж январь" dataDxfId="115"/>
    <tableColumn id="27" xr3:uid="{00000000-0010-0000-0D00-00001B000000}" name="Объем продаж февраль" dataDxfId="114"/>
    <tableColumn id="28" xr3:uid="{00000000-0010-0000-0D00-00001C000000}" name="Объем продаж март" dataDxfId="113"/>
    <tableColumn id="29" xr3:uid="{00000000-0010-0000-0D00-00001D000000}" name="Объем продаж апрель" dataDxfId="112"/>
    <tableColumn id="30" xr3:uid="{00000000-0010-0000-0D00-00001E000000}" name="Объем продаж май" dataDxfId="111"/>
    <tableColumn id="31" xr3:uid="{00000000-0010-0000-0D00-00001F000000}" name="Объем продаж июнь" dataDxfId="110"/>
    <tableColumn id="32" xr3:uid="{00000000-0010-0000-0D00-000020000000}" name="Объем продаж июль" dataDxfId="109"/>
    <tableColumn id="33" xr3:uid="{00000000-0010-0000-0D00-000021000000}" name="Объем продаж август" dataDxfId="108"/>
    <tableColumn id="34" xr3:uid="{00000000-0010-0000-0D00-000022000000}" name="Объем продаж сентябрь" dataDxfId="107"/>
    <tableColumn id="35" xr3:uid="{00000000-0010-0000-0D00-000023000000}" name="Объем продаж октябрь" dataDxfId="106"/>
    <tableColumn id="36" xr3:uid="{00000000-0010-0000-0D00-000024000000}" name="Объем продаж ноябрь" dataDxfId="105"/>
    <tableColumn id="37" xr3:uid="{00000000-0010-0000-0D00-000025000000}" name="Объем продаж декабрь" dataDxfId="104"/>
    <tableColumn id="38" xr3:uid="{00000000-0010-0000-0D00-000026000000}" name="GS январь" dataDxfId="103"/>
    <tableColumn id="39" xr3:uid="{00000000-0010-0000-0D00-000027000000}" name="GS февраль" dataDxfId="102"/>
    <tableColumn id="40" xr3:uid="{00000000-0010-0000-0D00-000028000000}" name="GS март" dataDxfId="101"/>
    <tableColumn id="41" xr3:uid="{00000000-0010-0000-0D00-000029000000}" name="GS апрель" dataDxfId="100"/>
    <tableColumn id="42" xr3:uid="{00000000-0010-0000-0D00-00002A000000}" name="GS май" dataDxfId="99"/>
    <tableColumn id="43" xr3:uid="{00000000-0010-0000-0D00-00002B000000}" name="GS июнь" dataDxfId="98"/>
    <tableColumn id="44" xr3:uid="{00000000-0010-0000-0D00-00002C000000}" name="GS июль" dataDxfId="97"/>
    <tableColumn id="45" xr3:uid="{00000000-0010-0000-0D00-00002D000000}" name="GS август" dataDxfId="96"/>
    <tableColumn id="46" xr3:uid="{00000000-0010-0000-0D00-00002E000000}" name="GS сентябрь" dataDxfId="95"/>
    <tableColumn id="47" xr3:uid="{00000000-0010-0000-0D00-00002F000000}" name="GS октябрь" dataDxfId="94"/>
    <tableColumn id="48" xr3:uid="{00000000-0010-0000-0D00-000030000000}" name="GS ноябрь" dataDxfId="93"/>
    <tableColumn id="49" xr3:uid="{00000000-0010-0000-0D00-000031000000}" name="GS декабрь" dataDxfId="92"/>
    <tableColumn id="50" xr3:uid="{00000000-0010-0000-0D00-000032000000}" name="NS январь" dataDxfId="91"/>
    <tableColumn id="51" xr3:uid="{00000000-0010-0000-0D00-000033000000}" name="NS февраль" dataDxfId="90"/>
    <tableColumn id="52" xr3:uid="{00000000-0010-0000-0D00-000034000000}" name="NS март" dataDxfId="89"/>
    <tableColumn id="53" xr3:uid="{00000000-0010-0000-0D00-000035000000}" name="NS апрель" dataDxfId="88"/>
    <tableColumn id="54" xr3:uid="{00000000-0010-0000-0D00-000036000000}" name="NS май" dataDxfId="87"/>
    <tableColumn id="55" xr3:uid="{00000000-0010-0000-0D00-000037000000}" name="NS июнь" dataDxfId="86"/>
    <tableColumn id="56" xr3:uid="{00000000-0010-0000-0D00-000038000000}" name="NS июль" dataDxfId="85"/>
    <tableColumn id="57" xr3:uid="{00000000-0010-0000-0D00-000039000000}" name="NS август" dataDxfId="84"/>
    <tableColumn id="58" xr3:uid="{00000000-0010-0000-0D00-00003A000000}" name="NS сентябрь" dataDxfId="83"/>
    <tableColumn id="59" xr3:uid="{00000000-0010-0000-0D00-00003B000000}" name="NS октябрь" dataDxfId="82"/>
    <tableColumn id="60" xr3:uid="{00000000-0010-0000-0D00-00003C000000}" name="NS ноябрь" dataDxfId="81"/>
    <tableColumn id="61" xr3:uid="{00000000-0010-0000-0D00-00003D000000}" name="NS декабрь" dataDxfId="80"/>
    <tableColumn id="62" xr3:uid="{00000000-0010-0000-0D00-00003E000000}" name="Promo Price-list январь" dataDxfId="79"/>
    <tableColumn id="63" xr3:uid="{00000000-0010-0000-0D00-00003F000000}" name="Promo Price-list февраль" dataDxfId="78"/>
    <tableColumn id="64" xr3:uid="{00000000-0010-0000-0D00-000040000000}" name="Promo Price-list март" dataDxfId="77"/>
    <tableColumn id="65" xr3:uid="{00000000-0010-0000-0D00-000041000000}" name="Promo Price-list апрель" dataDxfId="76"/>
    <tableColumn id="66" xr3:uid="{00000000-0010-0000-0D00-000042000000}" name="Promo Price-list май" dataDxfId="75"/>
    <tableColumn id="67" xr3:uid="{00000000-0010-0000-0D00-000043000000}" name="Promo Price-list июнь" dataDxfId="74"/>
    <tableColumn id="68" xr3:uid="{00000000-0010-0000-0D00-000044000000}" name="Promo Price-list июль" dataDxfId="73"/>
    <tableColumn id="69" xr3:uid="{00000000-0010-0000-0D00-000045000000}" name="Promo Price-list август" dataDxfId="72"/>
    <tableColumn id="70" xr3:uid="{00000000-0010-0000-0D00-000046000000}" name="Promo Price-list сентябрь" dataDxfId="71"/>
    <tableColumn id="71" xr3:uid="{00000000-0010-0000-0D00-000047000000}" name="Promo Price-list октябрь" dataDxfId="70"/>
    <tableColumn id="72" xr3:uid="{00000000-0010-0000-0D00-000048000000}" name="Promo Price-list ноябрь" dataDxfId="69"/>
    <tableColumn id="73" xr3:uid="{00000000-0010-0000-0D00-000049000000}" name="Promo Price-list декабрь" dataDxfId="68"/>
    <tableColumn id="74" xr3:uid="{00000000-0010-0000-0D00-00004A000000}" name="Promo Объем продаж январь" dataDxfId="67"/>
    <tableColumn id="75" xr3:uid="{00000000-0010-0000-0D00-00004B000000}" name="Promo Объем продаж февраль" dataDxfId="66"/>
    <tableColumn id="76" xr3:uid="{00000000-0010-0000-0D00-00004C000000}" name="Promo Объем продаж март" dataDxfId="65"/>
    <tableColumn id="77" xr3:uid="{00000000-0010-0000-0D00-00004D000000}" name="Promo Объем продаж апрель" dataDxfId="64"/>
    <tableColumn id="78" xr3:uid="{00000000-0010-0000-0D00-00004E000000}" name="Promo Объем май" dataDxfId="63"/>
    <tableColumn id="79" xr3:uid="{00000000-0010-0000-0D00-00004F000000}" name="Promo Объем продаж июнь" dataDxfId="62"/>
    <tableColumn id="80" xr3:uid="{00000000-0010-0000-0D00-000050000000}" name="Promo Объем продаж июль" dataDxfId="61"/>
    <tableColumn id="81" xr3:uid="{00000000-0010-0000-0D00-000051000000}" name="Promo Объем продаж август" dataDxfId="60"/>
    <tableColumn id="82" xr3:uid="{00000000-0010-0000-0D00-000052000000}" name="Promo Объем продаж сентябрь" dataDxfId="59"/>
    <tableColumn id="83" xr3:uid="{00000000-0010-0000-0D00-000053000000}" name="Promo Объем продаж октябрь" dataDxfId="58"/>
    <tableColumn id="84" xr3:uid="{00000000-0010-0000-0D00-000054000000}" name="Promo Объем продаж ноябрь" dataDxfId="57"/>
    <tableColumn id="85" xr3:uid="{00000000-0010-0000-0D00-000055000000}" name="Promo Объем продаж декабрь" dataDxfId="56"/>
    <tableColumn id="86" xr3:uid="{00000000-0010-0000-0D00-000056000000}" name="Promo GS январь" dataDxfId="55"/>
    <tableColumn id="87" xr3:uid="{00000000-0010-0000-0D00-000057000000}" name="Promo GS февраль" dataDxfId="54"/>
    <tableColumn id="88" xr3:uid="{00000000-0010-0000-0D00-000058000000}" name="Promo GS март" dataDxfId="53"/>
    <tableColumn id="89" xr3:uid="{00000000-0010-0000-0D00-000059000000}" name="Promo GS апрель" dataDxfId="52"/>
    <tableColumn id="90" xr3:uid="{00000000-0010-0000-0D00-00005A000000}" name="Promo GS май" dataDxfId="51"/>
    <tableColumn id="91" xr3:uid="{00000000-0010-0000-0D00-00005B000000}" name="Promo GS июнь" dataDxfId="50"/>
    <tableColumn id="92" xr3:uid="{00000000-0010-0000-0D00-00005C000000}" name="Promo GS июль" dataDxfId="49"/>
    <tableColumn id="93" xr3:uid="{00000000-0010-0000-0D00-00005D000000}" name="Promo GS август" dataDxfId="48"/>
    <tableColumn id="94" xr3:uid="{00000000-0010-0000-0D00-00005E000000}" name="Promo GS сентябрь" dataDxfId="47"/>
    <tableColumn id="95" xr3:uid="{00000000-0010-0000-0D00-00005F000000}" name="Promo GS октябрь" dataDxfId="46"/>
    <tableColumn id="96" xr3:uid="{00000000-0010-0000-0D00-000060000000}" name="Promo GS ноябрь" dataDxfId="45"/>
    <tableColumn id="97" xr3:uid="{00000000-0010-0000-0D00-000061000000}" name="Promo GS декабрь" dataDxfId="44"/>
    <tableColumn id="98" xr3:uid="{00000000-0010-0000-0D00-000062000000}" name="Promo NS январь" dataDxfId="43"/>
    <tableColumn id="99" xr3:uid="{00000000-0010-0000-0D00-000063000000}" name="Promo NS февраль" dataDxfId="42"/>
    <tableColumn id="100" xr3:uid="{00000000-0010-0000-0D00-000064000000}" name="Promo NS март" dataDxfId="41"/>
    <tableColumn id="101" xr3:uid="{00000000-0010-0000-0D00-000065000000}" name="Promo NS апрель" dataDxfId="40"/>
    <tableColumn id="102" xr3:uid="{00000000-0010-0000-0D00-000066000000}" name="Promo NS май" dataDxfId="39"/>
    <tableColumn id="103" xr3:uid="{00000000-0010-0000-0D00-000067000000}" name="Promo NS июнь" dataDxfId="38"/>
    <tableColumn id="104" xr3:uid="{00000000-0010-0000-0D00-000068000000}" name="Promo NS июль" dataDxfId="37"/>
    <tableColumn id="105" xr3:uid="{00000000-0010-0000-0D00-000069000000}" name="Promo NS август" dataDxfId="36"/>
    <tableColumn id="106" xr3:uid="{00000000-0010-0000-0D00-00006A000000}" name="Promo NS сентябрь" dataDxfId="35"/>
    <tableColumn id="107" xr3:uid="{00000000-0010-0000-0D00-00006B000000}" name="Promo NS октябрь" dataDxfId="34"/>
    <tableColumn id="108" xr3:uid="{00000000-0010-0000-0D00-00006C000000}" name="Promo NS ноябрь" dataDxfId="33"/>
    <tableColumn id="109" xr3:uid="{00000000-0010-0000-0D00-00006D000000}" name="Promo NS декабрь" dataDxfId="32"/>
    <tableColumn id="110" xr3:uid="{00000000-0010-0000-0D00-00006E000000}" name="GP Value январь" dataDxfId="31"/>
    <tableColumn id="111" xr3:uid="{00000000-0010-0000-0D00-00006F000000}" name="GP Value февраль" dataDxfId="30"/>
    <tableColumn id="112" xr3:uid="{00000000-0010-0000-0D00-000070000000}" name="GP Value март" dataDxfId="29"/>
    <tableColumn id="113" xr3:uid="{00000000-0010-0000-0D00-000071000000}" name="GP Value апрель" dataDxfId="28"/>
    <tableColumn id="114" xr3:uid="{00000000-0010-0000-0D00-000072000000}" name="GP Value май" dataDxfId="27"/>
    <tableColumn id="115" xr3:uid="{00000000-0010-0000-0D00-000073000000}" name="GP Value июнь" dataDxfId="26"/>
    <tableColumn id="116" xr3:uid="{00000000-0010-0000-0D00-000074000000}" name="GP Value июль" dataDxfId="25"/>
    <tableColumn id="117" xr3:uid="{00000000-0010-0000-0D00-000075000000}" name="GP Value август" dataDxfId="24"/>
    <tableColumn id="118" xr3:uid="{00000000-0010-0000-0D00-000076000000}" name="GP Value сентябрь" dataDxfId="23"/>
    <tableColumn id="119" xr3:uid="{00000000-0010-0000-0D00-000077000000}" name="GP Value октябрь" dataDxfId="22"/>
    <tableColumn id="120" xr3:uid="{00000000-0010-0000-0D00-000078000000}" name="GP Value ноябрь" dataDxfId="21"/>
    <tableColumn id="121" xr3:uid="{00000000-0010-0000-0D00-000079000000}" name="GP Value декабрь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9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8"/>
    <tableColumn id="2" xr3:uid="{00000000-0010-0000-0700-000002000000}" name="SubGroup" dataDxfId="17"/>
    <tableColumn id="3" xr3:uid="{00000000-0010-0000-0700-000003000000}" name="Процент от РРЦ, без НДС" dataDxfId="16" dataCellStyle="Процентный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5"/>
    <tableColumn id="2" xr3:uid="{00000000-0010-0000-0400-000002000000}" name="Название" dataDxfId="14"/>
    <tableColumn id="3" xr3:uid="{00000000-0010-0000-0400-000003000000}" name="Путь к файлу" dataDxfId="1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12"/>
    <tableColumn id="2" xr3:uid="{00000000-0010-0000-0200-000002000000}" name="Статус" dataDxfId="11"/>
  </tableColumns>
  <tableStyleInfo name="TableStyleLight1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10"/>
    <tableColumn id="2" xr3:uid="{00000000-0010-0000-0900-000002000000}" name="Эксклюзивность" dataDxf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8">
  <autoFilter ref="A1:C23" xr:uid="{00000000-0009-0000-0100-00000E000000}"/>
  <tableColumns count="3">
    <tableColumn id="1" xr3:uid="{00000000-0010-0000-0B00-000001000000}" name="Код" dataDxfId="7"/>
    <tableColumn id="2" xr3:uid="{00000000-0010-0000-0B00-000002000000}" name="GardenChannel" dataDxfId="6"/>
    <tableColumn id="3" xr3:uid="{00000000-0010-0000-0B00-000003000000}" name="Sales manage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zoomScaleNormal="100" workbookViewId="0">
      <pane ySplit="4" topLeftCell="A5" activePane="bottomLeft" state="frozen"/>
      <selection pane="bottomLeft" activeCell="I17" sqref="I17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69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4" t="s">
        <v>8276</v>
      </c>
      <c r="AQ1" s="215"/>
      <c r="AR1" s="215"/>
      <c r="AS1" s="216"/>
      <c r="AT1" s="215"/>
      <c r="AU1" s="215"/>
      <c r="AV1" s="215"/>
      <c r="AW1" s="215"/>
      <c r="AX1" s="215"/>
      <c r="AY1" s="215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0" t="s">
        <v>1550</v>
      </c>
      <c r="C4" s="31" t="s">
        <v>1549</v>
      </c>
      <c r="D4" s="210" t="s">
        <v>1</v>
      </c>
      <c r="E4" s="210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2" t="s">
        <v>18</v>
      </c>
      <c r="P4" s="38" t="s">
        <v>19</v>
      </c>
      <c r="Q4" s="213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7968</v>
      </c>
      <c r="AN4" s="32" t="s">
        <v>21</v>
      </c>
      <c r="AO4" s="31" t="s">
        <v>22</v>
      </c>
      <c r="AP4" s="71" t="s">
        <v>28</v>
      </c>
      <c r="AQ4" s="71" t="s">
        <v>1209</v>
      </c>
      <c r="AR4" s="71" t="s">
        <v>1210</v>
      </c>
      <c r="AS4" s="72" t="s">
        <v>235</v>
      </c>
      <c r="AT4" s="71" t="s">
        <v>237</v>
      </c>
      <c r="AU4" s="71" t="s">
        <v>236</v>
      </c>
      <c r="AV4" s="71" t="s">
        <v>238</v>
      </c>
      <c r="AW4" s="71" t="s">
        <v>62</v>
      </c>
      <c r="AX4" s="71" t="s">
        <v>241</v>
      </c>
      <c r="AY4" s="71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1554</v>
      </c>
      <c r="Q5" s="39" t="s">
        <v>3406</v>
      </c>
      <c r="R5" s="34" t="s">
        <v>3407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3408</v>
      </c>
      <c r="Y5" s="34" t="s">
        <v>3409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7961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1555</v>
      </c>
      <c r="Q6" s="39" t="s">
        <v>3406</v>
      </c>
      <c r="R6" s="34" t="s">
        <v>3407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3408</v>
      </c>
      <c r="Y6" s="34" t="s">
        <v>3409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7961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1556</v>
      </c>
      <c r="Q7" s="39" t="s">
        <v>3406</v>
      </c>
      <c r="R7" s="34" t="s">
        <v>3407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3408</v>
      </c>
      <c r="Y7" s="34" t="s">
        <v>3409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7961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1557</v>
      </c>
      <c r="Q8" s="39" t="s">
        <v>3406</v>
      </c>
      <c r="R8" s="34" t="s">
        <v>3407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3408</v>
      </c>
      <c r="Y8" s="34" t="s">
        <v>3409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7961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1558</v>
      </c>
      <c r="Q9" s="39" t="s">
        <v>3406</v>
      </c>
      <c r="R9" s="34" t="s">
        <v>3407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3408</v>
      </c>
      <c r="Y9" s="34" t="s">
        <v>3409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7961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1559</v>
      </c>
      <c r="Q10" s="39" t="s">
        <v>3406</v>
      </c>
      <c r="R10" s="34" t="s">
        <v>3407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3410</v>
      </c>
      <c r="Y10" s="34" t="s">
        <v>3409</v>
      </c>
      <c r="Z10" s="34">
        <v>1</v>
      </c>
      <c r="AA10" s="34">
        <v>1</v>
      </c>
      <c r="AC10" s="34">
        <v>1</v>
      </c>
      <c r="AM10" s="34" t="s">
        <v>7961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1560</v>
      </c>
      <c r="Q11" s="39" t="s">
        <v>3406</v>
      </c>
      <c r="R11" s="34" t="s">
        <v>3407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3410</v>
      </c>
      <c r="Y11" s="34" t="s">
        <v>3409</v>
      </c>
      <c r="Z11" s="34">
        <v>1</v>
      </c>
      <c r="AA11" s="34">
        <v>1</v>
      </c>
      <c r="AC11" s="34">
        <v>1</v>
      </c>
      <c r="AM11" s="34" t="s">
        <v>7961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1561</v>
      </c>
      <c r="Q12" s="39" t="s">
        <v>3406</v>
      </c>
      <c r="R12" s="34" t="s">
        <v>3407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3410</v>
      </c>
      <c r="Y12" s="34" t="s">
        <v>3409</v>
      </c>
      <c r="Z12" s="34">
        <v>1</v>
      </c>
      <c r="AA12" s="34">
        <v>1</v>
      </c>
      <c r="AC12" s="34">
        <v>1</v>
      </c>
      <c r="AM12" s="34" t="s">
        <v>7961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7" t="str">
        <f>IFERROR(INDEX(Структура_ассортимента[SuperCategory],MATCH(Товары[[#This Row],[SubGroup]],Структура_ассортимента[Subgroup],0)),"")</f>
        <v>H</v>
      </c>
      <c r="D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1562</v>
      </c>
      <c r="Q13" s="39" t="s">
        <v>3411</v>
      </c>
      <c r="R13" s="34" t="s">
        <v>3407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3412</v>
      </c>
      <c r="Y13" s="34" t="s">
        <v>3409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7961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7" t="str">
        <f>IFERROR(INDEX(Структура_ассортимента[SuperCategory],MATCH(Товары[[#This Row],[SubGroup]],Структура_ассортимента[Subgroup],0)),"")</f>
        <v>R</v>
      </c>
      <c r="D1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7">
        <f>IFERROR(INDEX(Структура_ассортимента[Product group name ENG],MATCH(Товары[[#This Row],[SubGroup]],Структура_ассортимента[Subgroup],0)),"")</f>
        <v>0</v>
      </c>
      <c r="H1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1563</v>
      </c>
      <c r="Q14" s="39" t="s">
        <v>3411</v>
      </c>
      <c r="R14" s="34" t="s">
        <v>3407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3409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7961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7" t="str">
        <f>IFERROR(INDEX(Структура_ассортимента[SuperCategory],MATCH(Товары[[#This Row],[SubGroup]],Структура_ассортимента[Subgroup],0)),"")</f>
        <v>R</v>
      </c>
      <c r="D1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7">
        <f>IFERROR(INDEX(Структура_ассортимента[Product group name ENG],MATCH(Товары[[#This Row],[SubGroup]],Структура_ассортимента[Subgroup],0)),"")</f>
        <v>0</v>
      </c>
      <c r="H1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1564</v>
      </c>
      <c r="Q15" s="39" t="s">
        <v>3411</v>
      </c>
      <c r="R15" s="34" t="s">
        <v>3407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3413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7961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7" t="str">
        <f>IFERROR(INDEX(Структура_ассортимента[SuperCategory],MATCH(Товары[[#This Row],[SubGroup]],Структура_ассортимента[Subgroup],0)),"")</f>
        <v>H</v>
      </c>
      <c r="D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1565</v>
      </c>
      <c r="Q16" s="39" t="s">
        <v>3411</v>
      </c>
      <c r="R16" s="34" t="s">
        <v>3407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3414</v>
      </c>
      <c r="Y16" s="34" t="s">
        <v>3409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7961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7" t="str">
        <f>IFERROR(INDEX(Структура_ассортимента[SuperCategory],MATCH(Товары[[#This Row],[SubGroup]],Структура_ассортимента[Subgroup],0)),"")</f>
        <v/>
      </c>
      <c r="D17" s="211" t="str">
        <f>IFERROR(INDEX(Структура_ассортимента[SuperCategory Name ENG],MATCH(Товары[[#This Row],[SubGroup]],Структура_ассортимента[Subgroup],0)),"")</f>
        <v/>
      </c>
      <c r="E17" s="211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7" t="str">
        <f>IFERROR(INDEX(Структура_ассортимента[Product group name ENG],MATCH(Товары[[#This Row],[SubGroup]],Структура_ассортимента[Subgroup],0)),"")</f>
        <v/>
      </c>
      <c r="H17" s="67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1566</v>
      </c>
      <c r="Q17" s="39" t="s">
        <v>3411</v>
      </c>
      <c r="R17" s="34" t="s">
        <v>3407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3415</v>
      </c>
      <c r="Y17" s="34" t="s">
        <v>3409</v>
      </c>
      <c r="Z17" s="34">
        <v>4</v>
      </c>
      <c r="AM17" s="34" t="s">
        <v>7961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7" t="str">
        <f>IFERROR(INDEX(Структура_ассортимента[SuperCategory],MATCH(Товары[[#This Row],[SubGroup]],Структура_ассортимента[Subgroup],0)),"")</f>
        <v>H</v>
      </c>
      <c r="D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1567</v>
      </c>
      <c r="Q18" s="39" t="s">
        <v>3416</v>
      </c>
      <c r="R18" s="34" t="s">
        <v>3407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3417</v>
      </c>
      <c r="X18" s="34" t="s">
        <v>3418</v>
      </c>
      <c r="Y18" s="34" t="s">
        <v>3409</v>
      </c>
      <c r="Z18" s="34">
        <v>4</v>
      </c>
      <c r="AA18" s="34" t="s">
        <v>3419</v>
      </c>
      <c r="AB18" s="34" t="s">
        <v>3420</v>
      </c>
      <c r="AC18" s="34" t="s">
        <v>3419</v>
      </c>
      <c r="AD18" s="34" t="s">
        <v>3421</v>
      </c>
      <c r="AE18" s="34" t="s">
        <v>3422</v>
      </c>
      <c r="AF18" s="34" t="s">
        <v>3423</v>
      </c>
      <c r="AG18" s="34" t="s">
        <v>3424</v>
      </c>
      <c r="AH18" s="34" t="s">
        <v>3425</v>
      </c>
      <c r="AI18" s="34" t="s">
        <v>3426</v>
      </c>
      <c r="AJ18" s="34" t="s">
        <v>3427</v>
      </c>
      <c r="AK18" s="34" t="s">
        <v>3428</v>
      </c>
      <c r="AL18" s="34" t="s">
        <v>3429</v>
      </c>
      <c r="AM18" s="34" t="s">
        <v>7962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7" t="str">
        <f>IFERROR(INDEX(Структура_ассортимента[SuperCategory],MATCH(Товары[[#This Row],[SubGroup]],Структура_ассортимента[Subgroup],0)),"")</f>
        <v>H</v>
      </c>
      <c r="D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1568</v>
      </c>
      <c r="Q19" s="39" t="s">
        <v>3416</v>
      </c>
      <c r="R19" s="34" t="s">
        <v>3407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3410</v>
      </c>
      <c r="X19" s="34" t="s">
        <v>3418</v>
      </c>
      <c r="Y19" s="34" t="s">
        <v>3409</v>
      </c>
      <c r="Z19" s="34">
        <v>14</v>
      </c>
      <c r="AA19" s="34">
        <v>0</v>
      </c>
      <c r="AB19" s="34" t="s">
        <v>3430</v>
      </c>
      <c r="AC19" s="34">
        <v>0</v>
      </c>
      <c r="AD19" s="34" t="s">
        <v>3431</v>
      </c>
      <c r="AE19" s="34" t="s">
        <v>3432</v>
      </c>
      <c r="AF19" s="34" t="s">
        <v>3433</v>
      </c>
      <c r="AG19" s="34" t="s">
        <v>3434</v>
      </c>
      <c r="AH19" s="34" t="s">
        <v>3435</v>
      </c>
      <c r="AL19" s="34" t="s">
        <v>3436</v>
      </c>
      <c r="AM19" s="34" t="s">
        <v>7962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7" t="str">
        <f>IFERROR(INDEX(Структура_ассортимента[SuperCategory],MATCH(Товары[[#This Row],[SubGroup]],Структура_ассортимента[Subgroup],0)),"")</f>
        <v>H</v>
      </c>
      <c r="D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1569</v>
      </c>
      <c r="O20" s="37" t="s">
        <v>3437</v>
      </c>
      <c r="P20" s="37" t="s">
        <v>3438</v>
      </c>
      <c r="Q20" s="39" t="s">
        <v>3416</v>
      </c>
      <c r="R20" s="34" t="s">
        <v>3407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3410</v>
      </c>
      <c r="X20" s="34" t="s">
        <v>3418</v>
      </c>
      <c r="Y20" s="34" t="s">
        <v>3409</v>
      </c>
      <c r="Z20" s="34">
        <v>28</v>
      </c>
      <c r="AB20" s="34" t="s">
        <v>3439</v>
      </c>
      <c r="AD20" s="34" t="s">
        <v>3440</v>
      </c>
      <c r="AE20" s="34" t="s">
        <v>3441</v>
      </c>
      <c r="AF20" s="34" t="s">
        <v>3442</v>
      </c>
      <c r="AG20" s="34" t="s">
        <v>3443</v>
      </c>
      <c r="AH20" s="34" t="s">
        <v>3444</v>
      </c>
      <c r="AL20" s="34" t="s">
        <v>3445</v>
      </c>
      <c r="AM20" s="34" t="s">
        <v>9</v>
      </c>
      <c r="AP20" s="34">
        <v>200</v>
      </c>
      <c r="AQ20" s="34">
        <v>4490</v>
      </c>
      <c r="AR20" s="34">
        <v>3413</v>
      </c>
      <c r="AS20" s="69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7" t="str">
        <f>IFERROR(INDEX(Структура_ассортимента[SuperCategory],MATCH(Товары[[#This Row],[SubGroup]],Структура_ассортимента[Subgroup],0)),"")</f>
        <v>H</v>
      </c>
      <c r="D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1570</v>
      </c>
      <c r="Q21" s="39" t="s">
        <v>3416</v>
      </c>
      <c r="R21" s="34" t="s">
        <v>3407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3410</v>
      </c>
      <c r="X21" s="34" t="s">
        <v>3446</v>
      </c>
      <c r="Y21" s="34" t="s">
        <v>3409</v>
      </c>
      <c r="Z21" s="34">
        <v>28</v>
      </c>
      <c r="AB21" s="34" t="s">
        <v>3439</v>
      </c>
      <c r="AD21" s="34" t="s">
        <v>3440</v>
      </c>
      <c r="AE21" s="34" t="s">
        <v>3443</v>
      </c>
      <c r="AF21" s="34" t="s">
        <v>3423</v>
      </c>
      <c r="AG21" s="34" t="s">
        <v>3447</v>
      </c>
      <c r="AH21" s="34" t="s">
        <v>3448</v>
      </c>
      <c r="AL21" s="34" t="s">
        <v>3445</v>
      </c>
      <c r="AM21" s="34" t="s">
        <v>7962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7" t="str">
        <f>IFERROR(INDEX(Структура_ассортимента[SuperCategory],MATCH(Товары[[#This Row],[SubGroup]],Структура_ассортимента[Subgroup],0)),"")</f>
        <v>H</v>
      </c>
      <c r="D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7" t="str">
        <f>IFERROR(INDEX(Структура_ассортимента[Product group],MATCH(Товары[[#This Row],[SubGroup]],Структура_ассортимента[Subgroup],0)),"")</f>
        <v>AET_P</v>
      </c>
      <c r="G2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1571</v>
      </c>
      <c r="O22" s="37" t="s">
        <v>3449</v>
      </c>
      <c r="P22" s="37" t="s">
        <v>3450</v>
      </c>
      <c r="Q22" s="39" t="s">
        <v>3416</v>
      </c>
      <c r="R22" s="34" t="s">
        <v>3407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3413</v>
      </c>
      <c r="X22" s="34" t="s">
        <v>3418</v>
      </c>
      <c r="Y22" s="34" t="s">
        <v>3409</v>
      </c>
      <c r="Z22" s="34">
        <v>3</v>
      </c>
      <c r="AA22" s="34" t="s">
        <v>3451</v>
      </c>
      <c r="AB22" s="34" t="s">
        <v>3451</v>
      </c>
      <c r="AC22" s="34" t="s">
        <v>3452</v>
      </c>
      <c r="AD22" s="34" t="s">
        <v>3453</v>
      </c>
      <c r="AE22" s="34" t="s">
        <v>3454</v>
      </c>
      <c r="AF22" s="34" t="s">
        <v>3455</v>
      </c>
      <c r="AG22" s="34" t="s">
        <v>3441</v>
      </c>
      <c r="AH22" s="34" t="s">
        <v>3456</v>
      </c>
      <c r="AI22" s="34" t="s">
        <v>3457</v>
      </c>
      <c r="AJ22" s="34" t="s">
        <v>3458</v>
      </c>
      <c r="AK22" s="34" t="s">
        <v>3459</v>
      </c>
      <c r="AL22" s="34" t="s">
        <v>3460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7" t="str">
        <f>IFERROR(INDEX(Структура_ассортимента[SuperCategory],MATCH(Товары[[#This Row],[SubGroup]],Структура_ассортимента[Subgroup],0)),"")</f>
        <v>H</v>
      </c>
      <c r="D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7" t="str">
        <f>IFERROR(INDEX(Структура_ассортимента[Product group],MATCH(Товары[[#This Row],[SubGroup]],Структура_ассортимента[Subgroup],0)),"")</f>
        <v>AET_P</v>
      </c>
      <c r="G2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1572</v>
      </c>
      <c r="O23" s="37" t="s">
        <v>3461</v>
      </c>
      <c r="P23" s="37" t="s">
        <v>3462</v>
      </c>
      <c r="Q23" s="39" t="s">
        <v>3416</v>
      </c>
      <c r="R23" s="34" t="s">
        <v>3407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3413</v>
      </c>
      <c r="X23" s="34" t="s">
        <v>3418</v>
      </c>
      <c r="Y23" s="34" t="s">
        <v>3409</v>
      </c>
      <c r="Z23" s="34">
        <v>3</v>
      </c>
      <c r="AA23" s="34" t="s">
        <v>3463</v>
      </c>
      <c r="AB23" s="34" t="s">
        <v>3440</v>
      </c>
      <c r="AC23" s="34" t="s">
        <v>3464</v>
      </c>
      <c r="AD23" s="34" t="s">
        <v>3465</v>
      </c>
      <c r="AE23" s="34" t="s">
        <v>3441</v>
      </c>
      <c r="AF23" s="34" t="s">
        <v>3454</v>
      </c>
      <c r="AG23" s="34" t="s">
        <v>3466</v>
      </c>
      <c r="AH23" s="34" t="s">
        <v>3467</v>
      </c>
      <c r="AI23" s="34" t="s">
        <v>3468</v>
      </c>
      <c r="AJ23" s="34" t="s">
        <v>3469</v>
      </c>
      <c r="AK23" s="34" t="s">
        <v>3470</v>
      </c>
      <c r="AL23" s="34" t="s">
        <v>3471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7" t="str">
        <f>IFERROR(INDEX(Структура_ассортимента[SuperCategory],MATCH(Товары[[#This Row],[SubGroup]],Структура_ассортимента[Subgroup],0)),"")</f>
        <v>H</v>
      </c>
      <c r="D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7" t="str">
        <f>IFERROR(INDEX(Структура_ассортимента[Product group],MATCH(Товары[[#This Row],[SubGroup]],Структура_ассортимента[Subgroup],0)),"")</f>
        <v>AET_P</v>
      </c>
      <c r="G2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1573</v>
      </c>
      <c r="O24" s="37" t="s">
        <v>3472</v>
      </c>
      <c r="P24" s="37" t="s">
        <v>3473</v>
      </c>
      <c r="Q24" s="39" t="s">
        <v>3416</v>
      </c>
      <c r="R24" s="34" t="s">
        <v>3407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3413</v>
      </c>
      <c r="X24" s="34" t="s">
        <v>3418</v>
      </c>
      <c r="Y24" s="34" t="s">
        <v>3409</v>
      </c>
      <c r="Z24" s="34">
        <v>3</v>
      </c>
      <c r="AA24" s="34" t="s">
        <v>3474</v>
      </c>
      <c r="AB24" s="34" t="s">
        <v>3474</v>
      </c>
      <c r="AC24" s="34" t="s">
        <v>3475</v>
      </c>
      <c r="AD24" s="34" t="s">
        <v>3476</v>
      </c>
      <c r="AE24" s="34" t="s">
        <v>3477</v>
      </c>
      <c r="AF24" s="34" t="s">
        <v>3478</v>
      </c>
      <c r="AG24" s="34" t="s">
        <v>3479</v>
      </c>
      <c r="AH24" s="34" t="s">
        <v>3480</v>
      </c>
      <c r="AI24" s="34" t="s">
        <v>3481</v>
      </c>
      <c r="AJ24" s="34" t="s">
        <v>3482</v>
      </c>
      <c r="AK24" s="34" t="s">
        <v>3483</v>
      </c>
      <c r="AL24" s="34" t="s">
        <v>3484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7" t="str">
        <f>IFERROR(INDEX(Структура_ассортимента[SuperCategory],MATCH(Товары[[#This Row],[SubGroup]],Структура_ассортимента[Subgroup],0)),"")</f>
        <v>H</v>
      </c>
      <c r="D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7" t="str">
        <f>IFERROR(INDEX(Структура_ассортимента[Product group],MATCH(Товары[[#This Row],[SubGroup]],Структура_ассортимента[Subgroup],0)),"")</f>
        <v>AET_P</v>
      </c>
      <c r="G2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1574</v>
      </c>
      <c r="O25" s="37" t="s">
        <v>3485</v>
      </c>
      <c r="P25" s="37" t="s">
        <v>3486</v>
      </c>
      <c r="Q25" s="39" t="s">
        <v>3416</v>
      </c>
      <c r="R25" s="34" t="s">
        <v>3407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3413</v>
      </c>
      <c r="X25" s="34" t="s">
        <v>3418</v>
      </c>
      <c r="Y25" s="34" t="s">
        <v>3409</v>
      </c>
      <c r="Z25" s="34">
        <v>3</v>
      </c>
      <c r="AA25" s="34" t="s">
        <v>3487</v>
      </c>
      <c r="AB25" s="34" t="s">
        <v>3487</v>
      </c>
      <c r="AC25" s="34" t="s">
        <v>3488</v>
      </c>
      <c r="AD25" s="34" t="s">
        <v>3489</v>
      </c>
      <c r="AE25" s="34" t="s">
        <v>3490</v>
      </c>
      <c r="AF25" s="34" t="s">
        <v>3491</v>
      </c>
      <c r="AG25" s="34" t="s">
        <v>3492</v>
      </c>
      <c r="AH25" s="34" t="s">
        <v>3493</v>
      </c>
      <c r="AI25" s="34" t="s">
        <v>3494</v>
      </c>
      <c r="AJ25" s="34" t="s">
        <v>3495</v>
      </c>
      <c r="AK25" s="34" t="s">
        <v>3496</v>
      </c>
      <c r="AL25" s="34" t="s">
        <v>3497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7" t="str">
        <f>IFERROR(INDEX(Структура_ассортимента[SuperCategory],MATCH(Товары[[#This Row],[SubGroup]],Структура_ассортимента[Subgroup],0)),"")</f>
        <v>H</v>
      </c>
      <c r="D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7" t="str">
        <f>IFERROR(INDEX(Структура_ассортимента[Product group],MATCH(Товары[[#This Row],[SubGroup]],Структура_ассортимента[Subgroup],0)),"")</f>
        <v>AET_P</v>
      </c>
      <c r="G2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1575</v>
      </c>
      <c r="O26" s="37" t="s">
        <v>3498</v>
      </c>
      <c r="P26" s="37" t="s">
        <v>3499</v>
      </c>
      <c r="Q26" s="39" t="s">
        <v>3416</v>
      </c>
      <c r="R26" s="34" t="s">
        <v>3407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3413</v>
      </c>
      <c r="X26" s="34" t="s">
        <v>3418</v>
      </c>
      <c r="Y26" s="34" t="s">
        <v>3409</v>
      </c>
      <c r="Z26" s="34">
        <v>3</v>
      </c>
      <c r="AA26" s="34" t="s">
        <v>3500</v>
      </c>
      <c r="AB26" s="34" t="s">
        <v>3501</v>
      </c>
      <c r="AC26" s="34" t="s">
        <v>3502</v>
      </c>
      <c r="AD26" s="34" t="s">
        <v>3503</v>
      </c>
      <c r="AE26" s="34" t="s">
        <v>3490</v>
      </c>
      <c r="AF26" s="34" t="s">
        <v>3466</v>
      </c>
      <c r="AG26" s="34" t="s">
        <v>3466</v>
      </c>
      <c r="AH26" s="34" t="s">
        <v>3504</v>
      </c>
      <c r="AI26" s="34" t="s">
        <v>3505</v>
      </c>
      <c r="AJ26" s="34" t="s">
        <v>3495</v>
      </c>
      <c r="AK26" s="34" t="s">
        <v>3470</v>
      </c>
      <c r="AL26" s="34" t="s">
        <v>3471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7" t="str">
        <f>IFERROR(INDEX(Структура_ассортимента[SuperCategory],MATCH(Товары[[#This Row],[SubGroup]],Структура_ассортимента[Subgroup],0)),"")</f>
        <v>H</v>
      </c>
      <c r="D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7" t="str">
        <f>IFERROR(INDEX(Структура_ассортимента[Product group],MATCH(Товары[[#This Row],[SubGroup]],Структура_ассортимента[Subgroup],0)),"")</f>
        <v>AET_P</v>
      </c>
      <c r="G2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1576</v>
      </c>
      <c r="O27" s="37" t="s">
        <v>3506</v>
      </c>
      <c r="P27" s="37" t="s">
        <v>3507</v>
      </c>
      <c r="Q27" s="39" t="s">
        <v>3416</v>
      </c>
      <c r="R27" s="34" t="s">
        <v>3407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3413</v>
      </c>
      <c r="X27" s="34" t="s">
        <v>3418</v>
      </c>
      <c r="Y27" s="34" t="s">
        <v>3409</v>
      </c>
      <c r="Z27" s="34">
        <v>3</v>
      </c>
      <c r="AA27" s="34" t="s">
        <v>3508</v>
      </c>
      <c r="AB27" s="34" t="s">
        <v>3508</v>
      </c>
      <c r="AC27" s="34" t="s">
        <v>3509</v>
      </c>
      <c r="AD27" s="34" t="s">
        <v>3510</v>
      </c>
      <c r="AE27" s="34" t="s">
        <v>3477</v>
      </c>
      <c r="AF27" s="34" t="s">
        <v>3478</v>
      </c>
      <c r="AG27" s="34" t="s">
        <v>3479</v>
      </c>
      <c r="AH27" s="34" t="s">
        <v>3480</v>
      </c>
      <c r="AI27" s="34" t="s">
        <v>3511</v>
      </c>
      <c r="AJ27" s="34" t="s">
        <v>3512</v>
      </c>
      <c r="AK27" s="34" t="s">
        <v>3483</v>
      </c>
      <c r="AL27" s="34" t="s">
        <v>3484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7" t="str">
        <f>IFERROR(INDEX(Структура_ассортимента[SuperCategory],MATCH(Товары[[#This Row],[SubGroup]],Структура_ассортимента[Subgroup],0)),"")</f>
        <v>H</v>
      </c>
      <c r="D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7" t="str">
        <f>IFERROR(INDEX(Структура_ассортимента[Product group],MATCH(Товары[[#This Row],[SubGroup]],Структура_ассортимента[Subgroup],0)),"")</f>
        <v>AET_P</v>
      </c>
      <c r="G2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1577</v>
      </c>
      <c r="Q28" s="39" t="s">
        <v>3416</v>
      </c>
      <c r="R28" s="34" t="s">
        <v>3407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3413</v>
      </c>
      <c r="X28" s="34" t="s">
        <v>3418</v>
      </c>
      <c r="Y28" s="34" t="s">
        <v>3409</v>
      </c>
      <c r="Z28" s="34">
        <v>3</v>
      </c>
      <c r="AM28" s="34" t="s">
        <v>7962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7" t="str">
        <f>IFERROR(INDEX(Структура_ассортимента[SuperCategory],MATCH(Товары[[#This Row],[SubGroup]],Структура_ассортимента[Subgroup],0)),"")</f>
        <v>H</v>
      </c>
      <c r="D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7" t="str">
        <f>IFERROR(INDEX(Структура_ассортимента[Product group],MATCH(Товары[[#This Row],[SubGroup]],Структура_ассортимента[Subgroup],0)),"")</f>
        <v>AET_P</v>
      </c>
      <c r="G2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1578</v>
      </c>
      <c r="P29" s="37" t="s">
        <v>3513</v>
      </c>
      <c r="Q29" s="39" t="s">
        <v>3411</v>
      </c>
      <c r="R29" s="34" t="s">
        <v>3407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3412</v>
      </c>
      <c r="Y29" s="34" t="s">
        <v>3409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7" t="str">
        <f>IFERROR(INDEX(Структура_ассортимента[SuperCategory],MATCH(Товары[[#This Row],[SubGroup]],Структура_ассортимента[Subgroup],0)),"")</f>
        <v>H</v>
      </c>
      <c r="D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7" t="str">
        <f>IFERROR(INDEX(Структура_ассортимента[Product group],MATCH(Товары[[#This Row],[SubGroup]],Структура_ассортимента[Subgroup],0)),"")</f>
        <v>AET_P</v>
      </c>
      <c r="G3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1579</v>
      </c>
      <c r="Q30" s="39" t="s">
        <v>3411</v>
      </c>
      <c r="R30" s="34" t="s">
        <v>3407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3412</v>
      </c>
      <c r="Y30" s="34" t="s">
        <v>3409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7961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7" t="str">
        <f>IFERROR(INDEX(Структура_ассортимента[SuperCategory],MATCH(Товары[[#This Row],[SubGroup]],Структура_ассортимента[Subgroup],0)),"")</f>
        <v>H</v>
      </c>
      <c r="D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7" t="str">
        <f>IFERROR(INDEX(Структура_ассортимента[Product group],MATCH(Товары[[#This Row],[SubGroup]],Структура_ассортимента[Subgroup],0)),"")</f>
        <v>AET_P</v>
      </c>
      <c r="G3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1580</v>
      </c>
      <c r="Q31" s="39" t="s">
        <v>3411</v>
      </c>
      <c r="R31" s="34" t="s">
        <v>3407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3412</v>
      </c>
      <c r="Y31" s="34" t="s">
        <v>3409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7961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7" t="str">
        <f>IFERROR(INDEX(Структура_ассортимента[SuperCategory],MATCH(Товары[[#This Row],[SubGroup]],Структура_ассортимента[Subgroup],0)),"")</f>
        <v>H</v>
      </c>
      <c r="D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7" t="str">
        <f>IFERROR(INDEX(Структура_ассортимента[Product group],MATCH(Товары[[#This Row],[SubGroup]],Структура_ассортимента[Subgroup],0)),"")</f>
        <v>AET_P</v>
      </c>
      <c r="G3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1581</v>
      </c>
      <c r="Q32" s="39" t="s">
        <v>3411</v>
      </c>
      <c r="R32" s="34" t="s">
        <v>3407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3412</v>
      </c>
      <c r="Y32" s="34" t="s">
        <v>3409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7961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7" t="str">
        <f>IFERROR(INDEX(Структура_ассортимента[SuperCategory],MATCH(Товары[[#This Row],[SubGroup]],Структура_ассортимента[Subgroup],0)),"")</f>
        <v>H</v>
      </c>
      <c r="D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7" t="str">
        <f>IFERROR(INDEX(Структура_ассортимента[Product group],MATCH(Товары[[#This Row],[SubGroup]],Структура_ассортимента[Subgroup],0)),"")</f>
        <v>AET_P</v>
      </c>
      <c r="G33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1582</v>
      </c>
      <c r="Q33" s="39" t="s">
        <v>3411</v>
      </c>
      <c r="R33" s="34" t="s">
        <v>3407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3412</v>
      </c>
      <c r="Y33" s="34" t="s">
        <v>3409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7961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7" t="str">
        <f>IFERROR(INDEX(Структура_ассортимента[SuperCategory],MATCH(Товары[[#This Row],[SubGroup]],Структура_ассортимента[Subgroup],0)),"")</f>
        <v>H</v>
      </c>
      <c r="D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7" t="str">
        <f>IFERROR(INDEX(Структура_ассортимента[Product group],MATCH(Товары[[#This Row],[SubGroup]],Структура_ассортимента[Subgroup],0)),"")</f>
        <v>AET_P</v>
      </c>
      <c r="G34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1583</v>
      </c>
      <c r="Q34" s="39" t="s">
        <v>3411</v>
      </c>
      <c r="R34" s="34" t="s">
        <v>3407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3412</v>
      </c>
      <c r="Y34" s="34" t="s">
        <v>3409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7961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7" t="str">
        <f>IFERROR(INDEX(Структура_ассортимента[SuperCategory],MATCH(Товары[[#This Row],[SubGroup]],Структура_ассортимента[Subgroup],0)),"")</f>
        <v>H</v>
      </c>
      <c r="D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7" t="str">
        <f>IFERROR(INDEX(Структура_ассортимента[Product group],MATCH(Товары[[#This Row],[SubGroup]],Структура_ассортимента[Subgroup],0)),"")</f>
        <v>AET_P</v>
      </c>
      <c r="G35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1584</v>
      </c>
      <c r="Q35" s="39" t="s">
        <v>3411</v>
      </c>
      <c r="R35" s="34" t="s">
        <v>3407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3514</v>
      </c>
      <c r="Y35" s="34" t="s">
        <v>3409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3515</v>
      </c>
      <c r="AM35" s="34" t="s">
        <v>7961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7" t="str">
        <f>IFERROR(INDEX(Структура_ассортимента[SuperCategory],MATCH(Товары[[#This Row],[SubGroup]],Структура_ассортимента[Subgroup],0)),"")</f>
        <v>H</v>
      </c>
      <c r="D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7" t="str">
        <f>IFERROR(INDEX(Структура_ассортимента[Product group],MATCH(Товары[[#This Row],[SubGroup]],Структура_ассортимента[Subgroup],0)),"")</f>
        <v>AET_P</v>
      </c>
      <c r="G36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1585</v>
      </c>
      <c r="Q36" s="39" t="s">
        <v>3411</v>
      </c>
      <c r="R36" s="34" t="s">
        <v>3407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3412</v>
      </c>
      <c r="Y36" s="34" t="s">
        <v>3409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7961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7" t="str">
        <f>IFERROR(INDEX(Структура_ассортимента[SuperCategory],MATCH(Товары[[#This Row],[SubGroup]],Структура_ассортимента[Subgroup],0)),"")</f>
        <v>H</v>
      </c>
      <c r="D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7" t="str">
        <f>IFERROR(INDEX(Структура_ассортимента[Product group],MATCH(Товары[[#This Row],[SubGroup]],Структура_ассортимента[Subgroup],0)),"")</f>
        <v>AET_P</v>
      </c>
      <c r="G3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1586</v>
      </c>
      <c r="P37" s="37" t="s">
        <v>3516</v>
      </c>
      <c r="Q37" s="39" t="s">
        <v>3411</v>
      </c>
      <c r="R37" s="34" t="s">
        <v>3407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3412</v>
      </c>
      <c r="Y37" s="34" t="s">
        <v>3409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7" t="str">
        <f>IFERROR(INDEX(Структура_ассортимента[SuperCategory],MATCH(Товары[[#This Row],[SubGroup]],Структура_ассортимента[Subgroup],0)),"")</f>
        <v>H</v>
      </c>
      <c r="D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7" t="str">
        <f>IFERROR(INDEX(Структура_ассортимента[Product group],MATCH(Товары[[#This Row],[SubGroup]],Структура_ассортимента[Subgroup],0)),"")</f>
        <v>AET_P</v>
      </c>
      <c r="G38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1587</v>
      </c>
      <c r="Q38" s="39" t="s">
        <v>3411</v>
      </c>
      <c r="R38" s="34" t="s">
        <v>3407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3514</v>
      </c>
      <c r="Y38" s="34" t="s">
        <v>3409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7961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7" t="str">
        <f>IFERROR(INDEX(Структура_ассортимента[SuperCategory],MATCH(Товары[[#This Row],[SubGroup]],Структура_ассортимента[Subgroup],0)),"")</f>
        <v>H</v>
      </c>
      <c r="D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7" t="str">
        <f>IFERROR(INDEX(Структура_ассортимента[Product group],MATCH(Товары[[#This Row],[SubGroup]],Структура_ассортимента[Subgroup],0)),"")</f>
        <v>AET_P</v>
      </c>
      <c r="G39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1588</v>
      </c>
      <c r="Q39" s="39" t="s">
        <v>3411</v>
      </c>
      <c r="R39" s="34" t="s">
        <v>3407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3514</v>
      </c>
      <c r="Y39" s="34" t="s">
        <v>3409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7961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7" t="str">
        <f>IFERROR(INDEX(Структура_ассортимента[SuperCategory],MATCH(Товары[[#This Row],[SubGroup]],Структура_ассортимента[Subgroup],0)),"")</f>
        <v>H</v>
      </c>
      <c r="D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7" t="str">
        <f>IFERROR(INDEX(Структура_ассортимента[Product group],MATCH(Товары[[#This Row],[SubGroup]],Структура_ассортимента[Subgroup],0)),"")</f>
        <v>AET_P</v>
      </c>
      <c r="G40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1589</v>
      </c>
      <c r="Q40" s="39" t="s">
        <v>3411</v>
      </c>
      <c r="R40" s="34" t="s">
        <v>3407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3514</v>
      </c>
      <c r="Y40" s="34" t="s">
        <v>3409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7961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7" t="str">
        <f>IFERROR(INDEX(Структура_ассортимента[SuperCategory],MATCH(Товары[[#This Row],[SubGroup]],Структура_ассортимента[Subgroup],0)),"")</f>
        <v>H</v>
      </c>
      <c r="D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7" t="str">
        <f>IFERROR(INDEX(Структура_ассортимента[Product group],MATCH(Товары[[#This Row],[SubGroup]],Структура_ассортимента[Subgroup],0)),"")</f>
        <v>AET_P</v>
      </c>
      <c r="G41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1590</v>
      </c>
      <c r="Q41" s="39" t="s">
        <v>3411</v>
      </c>
      <c r="R41" s="34" t="s">
        <v>3407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3514</v>
      </c>
      <c r="Y41" s="34" t="s">
        <v>3409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7961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7" t="str">
        <f>IFERROR(INDEX(Структура_ассортимента[SuperCategory],MATCH(Товары[[#This Row],[SubGroup]],Структура_ассортимента[Subgroup],0)),"")</f>
        <v>H</v>
      </c>
      <c r="D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7" t="str">
        <f>IFERROR(INDEX(Структура_ассортимента[Product group],MATCH(Товары[[#This Row],[SubGroup]],Структура_ассортимента[Subgroup],0)),"")</f>
        <v>AET_P</v>
      </c>
      <c r="G42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1591</v>
      </c>
      <c r="P42" s="37" t="s">
        <v>3438</v>
      </c>
      <c r="Q42" s="39" t="s">
        <v>3411</v>
      </c>
      <c r="R42" s="34" t="s">
        <v>3407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3514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7" t="str">
        <f>IFERROR(INDEX(Структура_ассортимента[SuperCategory],MATCH(Товары[[#This Row],[SubGroup]],Структура_ассортимента[Subgroup],0)),"")</f>
        <v>A</v>
      </c>
      <c r="D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7" t="str">
        <f>IFERROR(INDEX(Структура_ассортимента[Product group],MATCH(Товары[[#This Row],[SubGroup]],Структура_ассортимента[Subgroup],0)),"")</f>
        <v>AMA_C</v>
      </c>
      <c r="G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1592</v>
      </c>
      <c r="O43" s="37" t="s">
        <v>3517</v>
      </c>
      <c r="P43" s="37" t="s">
        <v>3518</v>
      </c>
      <c r="Q43" s="39" t="s">
        <v>3519</v>
      </c>
      <c r="R43" s="34" t="s">
        <v>3407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3413</v>
      </c>
      <c r="X43" s="34" t="s">
        <v>3418</v>
      </c>
      <c r="Y43" s="34" t="s">
        <v>3409</v>
      </c>
      <c r="Z43" s="34">
        <v>6</v>
      </c>
      <c r="AA43" s="34">
        <v>65</v>
      </c>
      <c r="AB43" s="34" t="s">
        <v>3520</v>
      </c>
      <c r="AC43" s="34">
        <v>60</v>
      </c>
      <c r="AD43" s="34" t="s">
        <v>3521</v>
      </c>
      <c r="AE43" s="34" t="s">
        <v>3522</v>
      </c>
      <c r="AF43" s="34" t="s">
        <v>3433</v>
      </c>
      <c r="AG43" s="34" t="s">
        <v>3523</v>
      </c>
      <c r="AH43" s="34" t="s">
        <v>3524</v>
      </c>
      <c r="AL43" s="34" t="s">
        <v>3525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7" t="str">
        <f>IFERROR(INDEX(Структура_ассортимента[SuperCategory],MATCH(Товары[[#This Row],[SubGroup]],Структура_ассортимента[Subgroup],0)),"")</f>
        <v>A</v>
      </c>
      <c r="D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7" t="str">
        <f>IFERROR(INDEX(Структура_ассортимента[Product group],MATCH(Товары[[#This Row],[SubGroup]],Структура_ассортимента[Subgroup],0)),"")</f>
        <v>AMA_C</v>
      </c>
      <c r="G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1593</v>
      </c>
      <c r="O44" s="37" t="s">
        <v>3526</v>
      </c>
      <c r="P44" s="37" t="s">
        <v>3527</v>
      </c>
      <c r="Q44" s="39" t="s">
        <v>3519</v>
      </c>
      <c r="R44" s="34" t="s">
        <v>3407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3413</v>
      </c>
      <c r="X44" s="34" t="s">
        <v>3418</v>
      </c>
      <c r="Y44" s="34" t="s">
        <v>3409</v>
      </c>
      <c r="Z44" s="34">
        <v>6</v>
      </c>
      <c r="AA44" s="34">
        <v>65</v>
      </c>
      <c r="AB44" s="34" t="s">
        <v>3520</v>
      </c>
      <c r="AC44" s="34">
        <v>60</v>
      </c>
      <c r="AD44" s="34" t="s">
        <v>3528</v>
      </c>
      <c r="AE44" s="34" t="s">
        <v>3529</v>
      </c>
      <c r="AF44" s="34" t="s">
        <v>3433</v>
      </c>
      <c r="AG44" s="34" t="s">
        <v>3530</v>
      </c>
      <c r="AH44" s="34" t="s">
        <v>3531</v>
      </c>
      <c r="AL44" s="34" t="s">
        <v>3525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7" t="str">
        <f>IFERROR(INDEX(Структура_ассортимента[SuperCategory],MATCH(Товары[[#This Row],[SubGroup]],Структура_ассортимента[Subgroup],0)),"")</f>
        <v>A</v>
      </c>
      <c r="D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7" t="str">
        <f>IFERROR(INDEX(Структура_ассортимента[Product group],MATCH(Товары[[#This Row],[SubGroup]],Структура_ассортимента[Subgroup],0)),"")</f>
        <v>AMA_C</v>
      </c>
      <c r="G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1594</v>
      </c>
      <c r="O45" s="37" t="s">
        <v>3532</v>
      </c>
      <c r="P45" s="37" t="s">
        <v>3533</v>
      </c>
      <c r="Q45" s="39" t="s">
        <v>3519</v>
      </c>
      <c r="R45" s="34" t="s">
        <v>3407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3413</v>
      </c>
      <c r="X45" s="34" t="s">
        <v>3418</v>
      </c>
      <c r="Y45" s="34" t="s">
        <v>3409</v>
      </c>
      <c r="Z45" s="34">
        <v>6</v>
      </c>
      <c r="AA45" s="34">
        <v>65</v>
      </c>
      <c r="AB45" s="34" t="s">
        <v>3520</v>
      </c>
      <c r="AC45" s="34">
        <v>60</v>
      </c>
      <c r="AD45" s="34" t="s">
        <v>3534</v>
      </c>
      <c r="AE45" s="34" t="s">
        <v>3529</v>
      </c>
      <c r="AF45" s="34" t="s">
        <v>3433</v>
      </c>
      <c r="AG45" s="34" t="s">
        <v>3530</v>
      </c>
      <c r="AH45" s="34" t="s">
        <v>3531</v>
      </c>
      <c r="AL45" s="34" t="s">
        <v>3525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7" t="str">
        <f>IFERROR(INDEX(Структура_ассортимента[SuperCategory],MATCH(Товары[[#This Row],[SubGroup]],Структура_ассортимента[Subgroup],0)),"")</f>
        <v>A</v>
      </c>
      <c r="D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7" t="str">
        <f>IFERROR(INDEX(Структура_ассортимента[Product group],MATCH(Товары[[#This Row],[SubGroup]],Структура_ассортимента[Subgroup],0)),"")</f>
        <v>AMA_C</v>
      </c>
      <c r="G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1595</v>
      </c>
      <c r="O46" s="37" t="s">
        <v>3535</v>
      </c>
      <c r="P46" s="37" t="s">
        <v>3536</v>
      </c>
      <c r="Q46" s="39" t="s">
        <v>3519</v>
      </c>
      <c r="R46" s="34" t="s">
        <v>3407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3413</v>
      </c>
      <c r="X46" s="34" t="s">
        <v>3418</v>
      </c>
      <c r="Y46" s="34" t="s">
        <v>3409</v>
      </c>
      <c r="Z46" s="34">
        <v>6</v>
      </c>
      <c r="AA46" s="34">
        <v>105</v>
      </c>
      <c r="AB46" s="34" t="s">
        <v>3537</v>
      </c>
      <c r="AC46" s="34">
        <v>100</v>
      </c>
      <c r="AD46" s="34" t="s">
        <v>3538</v>
      </c>
      <c r="AE46" s="34" t="s">
        <v>3522</v>
      </c>
      <c r="AF46" s="34" t="s">
        <v>3433</v>
      </c>
      <c r="AG46" s="34" t="s">
        <v>3539</v>
      </c>
      <c r="AH46" s="34" t="s">
        <v>3540</v>
      </c>
      <c r="AL46" s="34" t="s">
        <v>3525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7" t="str">
        <f>IFERROR(INDEX(Структура_ассортимента[SuperCategory],MATCH(Товары[[#This Row],[SubGroup]],Структура_ассортимента[Subgroup],0)),"")</f>
        <v>A</v>
      </c>
      <c r="D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7" t="str">
        <f>IFERROR(INDEX(Структура_ассортимента[Product group],MATCH(Товары[[#This Row],[SubGroup]],Структура_ассортимента[Subgroup],0)),"")</f>
        <v>AMA_C</v>
      </c>
      <c r="G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1596</v>
      </c>
      <c r="O47" s="37" t="s">
        <v>3541</v>
      </c>
      <c r="P47" s="37" t="s">
        <v>3542</v>
      </c>
      <c r="Q47" s="39" t="s">
        <v>3519</v>
      </c>
      <c r="R47" s="34" t="s">
        <v>3407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3413</v>
      </c>
      <c r="X47" s="34" t="s">
        <v>3418</v>
      </c>
      <c r="Y47" s="34" t="s">
        <v>3409</v>
      </c>
      <c r="Z47" s="34">
        <v>6</v>
      </c>
      <c r="AA47" s="34">
        <v>100</v>
      </c>
      <c r="AB47" s="34" t="s">
        <v>3543</v>
      </c>
      <c r="AC47" s="34">
        <v>95</v>
      </c>
      <c r="AD47" s="34" t="s">
        <v>3544</v>
      </c>
      <c r="AE47" s="34" t="s">
        <v>3422</v>
      </c>
      <c r="AF47" s="34" t="s">
        <v>3433</v>
      </c>
      <c r="AG47" s="34" t="s">
        <v>3545</v>
      </c>
      <c r="AH47" s="34" t="s">
        <v>3546</v>
      </c>
      <c r="AL47" s="34" t="s">
        <v>3525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7" t="str">
        <f>IFERROR(INDEX(Структура_ассортимента[SuperCategory],MATCH(Товары[[#This Row],[SubGroup]],Структура_ассортимента[Subgroup],0)),"")</f>
        <v>A</v>
      </c>
      <c r="D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7" t="str">
        <f>IFERROR(INDEX(Структура_ассортимента[Product group],MATCH(Товары[[#This Row],[SubGroup]],Структура_ассортимента[Subgroup],0)),"")</f>
        <v>AMA_C</v>
      </c>
      <c r="G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1597</v>
      </c>
      <c r="Q48" s="39" t="s">
        <v>3416</v>
      </c>
      <c r="R48" s="34" t="s">
        <v>3407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3410</v>
      </c>
      <c r="X48" s="34" t="s">
        <v>3446</v>
      </c>
      <c r="Y48" s="34" t="s">
        <v>3409</v>
      </c>
      <c r="Z48" s="34">
        <v>1</v>
      </c>
      <c r="AA48" s="34" t="s">
        <v>3547</v>
      </c>
      <c r="AB48" s="34" t="s">
        <v>3547</v>
      </c>
      <c r="AC48" s="34" t="s">
        <v>3548</v>
      </c>
      <c r="AD48" s="34" t="s">
        <v>3548</v>
      </c>
      <c r="AE48" s="34" t="s">
        <v>3549</v>
      </c>
      <c r="AF48" s="34" t="s">
        <v>3550</v>
      </c>
      <c r="AG48" s="34" t="s">
        <v>3551</v>
      </c>
      <c r="AH48" s="34" t="s">
        <v>3552</v>
      </c>
      <c r="AI48" s="34" t="s">
        <v>3553</v>
      </c>
      <c r="AJ48" s="34" t="s">
        <v>3554</v>
      </c>
      <c r="AK48" s="34" t="s">
        <v>3555</v>
      </c>
      <c r="AL48" s="34" t="s">
        <v>3556</v>
      </c>
      <c r="AM48" s="34" t="s">
        <v>7962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7" t="str">
        <f>IFERROR(INDEX(Структура_ассортимента[SuperCategory],MATCH(Товары[[#This Row],[SubGroup]],Структура_ассортимента[Subgroup],0)),"")</f>
        <v>A</v>
      </c>
      <c r="D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7" t="str">
        <f>IFERROR(INDEX(Структура_ассортимента[Product group],MATCH(Товары[[#This Row],[SubGroup]],Структура_ассортимента[Subgroup],0)),"")</f>
        <v>AMA_C</v>
      </c>
      <c r="G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1598</v>
      </c>
      <c r="Q49" s="39" t="s">
        <v>3416</v>
      </c>
      <c r="R49" s="34" t="s">
        <v>3407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3410</v>
      </c>
      <c r="X49" s="34" t="s">
        <v>3446</v>
      </c>
      <c r="Y49" s="34" t="s">
        <v>3409</v>
      </c>
      <c r="Z49" s="34">
        <v>5</v>
      </c>
      <c r="AA49" s="34" t="s">
        <v>3557</v>
      </c>
      <c r="AB49" s="34" t="s">
        <v>3557</v>
      </c>
      <c r="AC49" s="34" t="s">
        <v>3558</v>
      </c>
      <c r="AD49" s="34" t="s">
        <v>3558</v>
      </c>
      <c r="AE49" s="34" t="s">
        <v>3559</v>
      </c>
      <c r="AF49" s="34" t="s">
        <v>3560</v>
      </c>
      <c r="AG49" s="34" t="s">
        <v>3539</v>
      </c>
      <c r="AH49" s="34" t="s">
        <v>3561</v>
      </c>
      <c r="AL49" s="34">
        <v>150</v>
      </c>
      <c r="AM49" s="34" t="s">
        <v>7962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7" t="str">
        <f>IFERROR(INDEX(Структура_ассортимента[SuperCategory],MATCH(Товары[[#This Row],[SubGroup]],Структура_ассортимента[Subgroup],0)),"")</f>
        <v>A</v>
      </c>
      <c r="D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7" t="str">
        <f>IFERROR(INDEX(Структура_ассортимента[Product group],MATCH(Товары[[#This Row],[SubGroup]],Структура_ассортимента[Subgroup],0)),"")</f>
        <v>AMA_C</v>
      </c>
      <c r="G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1599</v>
      </c>
      <c r="Q50" s="39" t="s">
        <v>3416</v>
      </c>
      <c r="R50" s="34" t="s">
        <v>3407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3410</v>
      </c>
      <c r="X50" s="34" t="s">
        <v>3446</v>
      </c>
      <c r="Y50" s="34" t="s">
        <v>3409</v>
      </c>
      <c r="Z50" s="34">
        <v>25</v>
      </c>
      <c r="AA50" s="34" t="s">
        <v>3562</v>
      </c>
      <c r="AB50" s="34" t="s">
        <v>3562</v>
      </c>
      <c r="AC50" s="34" t="s">
        <v>3563</v>
      </c>
      <c r="AD50" s="34" t="s">
        <v>3563</v>
      </c>
      <c r="AE50" s="34" t="s">
        <v>3564</v>
      </c>
      <c r="AF50" s="34" t="s">
        <v>3565</v>
      </c>
      <c r="AG50" s="34" t="s">
        <v>3566</v>
      </c>
      <c r="AH50" s="34" t="s">
        <v>3567</v>
      </c>
      <c r="AL50" s="34">
        <v>250</v>
      </c>
      <c r="AM50" s="34" t="s">
        <v>7962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7" t="str">
        <f>IFERROR(INDEX(Структура_ассортимента[SuperCategory],MATCH(Товары[[#This Row],[SubGroup]],Структура_ассортимента[Subgroup],0)),"")</f>
        <v>A</v>
      </c>
      <c r="D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7" t="str">
        <f>IFERROR(INDEX(Структура_ассортимента[Product group],MATCH(Товары[[#This Row],[SubGroup]],Структура_ассортимента[Subgroup],0)),"")</f>
        <v>AMA_C</v>
      </c>
      <c r="G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1600</v>
      </c>
      <c r="O51" s="37" t="s">
        <v>3568</v>
      </c>
      <c r="P51" s="37" t="s">
        <v>3569</v>
      </c>
      <c r="Q51" s="39" t="s">
        <v>3519</v>
      </c>
      <c r="R51" s="34" t="s">
        <v>3407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3570</v>
      </c>
      <c r="X51" s="34" t="s">
        <v>3571</v>
      </c>
      <c r="Y51" s="34" t="s">
        <v>3409</v>
      </c>
      <c r="Z51" s="34">
        <v>4</v>
      </c>
      <c r="AA51" s="34" t="s">
        <v>3453</v>
      </c>
      <c r="AB51" s="34" t="s">
        <v>3453</v>
      </c>
      <c r="AC51" s="34" t="s">
        <v>3572</v>
      </c>
      <c r="AD51" s="34" t="s">
        <v>3572</v>
      </c>
      <c r="AE51" s="34" t="s">
        <v>3573</v>
      </c>
      <c r="AF51" s="34" t="s">
        <v>3574</v>
      </c>
      <c r="AG51" s="34" t="s">
        <v>3575</v>
      </c>
      <c r="AH51" s="34" t="s">
        <v>3576</v>
      </c>
      <c r="AI51" s="34" t="s">
        <v>3577</v>
      </c>
      <c r="AJ51" s="34" t="s">
        <v>3578</v>
      </c>
      <c r="AK51" s="34" t="s">
        <v>3579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7" t="str">
        <f>IFERROR(INDEX(Структура_ассортимента[SuperCategory],MATCH(Товары[[#This Row],[SubGroup]],Структура_ассортимента[Subgroup],0)),"")</f>
        <v>A</v>
      </c>
      <c r="D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7" t="str">
        <f>IFERROR(INDEX(Структура_ассортимента[Product group],MATCH(Товары[[#This Row],[SubGroup]],Структура_ассортимента[Subgroup],0)),"")</f>
        <v>AMA_C</v>
      </c>
      <c r="G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1601</v>
      </c>
      <c r="Q52" s="39" t="s">
        <v>3580</v>
      </c>
      <c r="R52" s="34" t="s">
        <v>3407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3417</v>
      </c>
      <c r="Y52" s="34" t="s">
        <v>3409</v>
      </c>
      <c r="Z52" s="34">
        <v>6</v>
      </c>
      <c r="AA52" s="34" t="s">
        <v>3581</v>
      </c>
      <c r="AB52" s="34" t="s">
        <v>3581</v>
      </c>
      <c r="AC52" s="34" t="s">
        <v>3582</v>
      </c>
      <c r="AD52" s="34" t="s">
        <v>3582</v>
      </c>
      <c r="AE52" s="34" t="s">
        <v>3522</v>
      </c>
      <c r="AF52" s="34" t="s">
        <v>3433</v>
      </c>
      <c r="AG52" s="34" t="s">
        <v>3523</v>
      </c>
      <c r="AH52" s="34" t="s">
        <v>3524</v>
      </c>
      <c r="AL52" s="34" t="s">
        <v>3583</v>
      </c>
      <c r="AM52" s="34" t="s">
        <v>7961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7" t="str">
        <f>IFERROR(INDEX(Структура_ассортимента[SuperCategory],MATCH(Товары[[#This Row],[SubGroup]],Структура_ассортимента[Subgroup],0)),"")</f>
        <v>A</v>
      </c>
      <c r="D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7" t="str">
        <f>IFERROR(INDEX(Структура_ассортимента[Product group],MATCH(Товары[[#This Row],[SubGroup]],Структура_ассортимента[Subgroup],0)),"")</f>
        <v>AMA_C</v>
      </c>
      <c r="G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1602</v>
      </c>
      <c r="Q53" s="39" t="s">
        <v>3580</v>
      </c>
      <c r="R53" s="34" t="s">
        <v>3407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3417</v>
      </c>
      <c r="Y53" s="34" t="s">
        <v>3409</v>
      </c>
      <c r="Z53" s="34">
        <v>6</v>
      </c>
      <c r="AA53" s="34" t="s">
        <v>3584</v>
      </c>
      <c r="AB53" s="34" t="s">
        <v>3521</v>
      </c>
      <c r="AC53" s="34" t="s">
        <v>3582</v>
      </c>
      <c r="AD53" s="34" t="s">
        <v>3528</v>
      </c>
      <c r="AE53" s="34" t="s">
        <v>3522</v>
      </c>
      <c r="AF53" s="34" t="s">
        <v>3433</v>
      </c>
      <c r="AG53" s="34" t="s">
        <v>3523</v>
      </c>
      <c r="AH53" s="34" t="s">
        <v>3524</v>
      </c>
      <c r="AL53" s="34" t="s">
        <v>3583</v>
      </c>
      <c r="AM53" s="34" t="s">
        <v>7961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7" t="str">
        <f>IFERROR(INDEX(Структура_ассортимента[SuperCategory],MATCH(Товары[[#This Row],[SubGroup]],Структура_ассортимента[Subgroup],0)),"")</f>
        <v>A</v>
      </c>
      <c r="D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7" t="str">
        <f>IFERROR(INDEX(Структура_ассортимента[Product group],MATCH(Товары[[#This Row],[SubGroup]],Структура_ассортимента[Subgroup],0)),"")</f>
        <v>AMA_C</v>
      </c>
      <c r="G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1603</v>
      </c>
      <c r="Q54" s="39" t="s">
        <v>3580</v>
      </c>
      <c r="R54" s="34" t="s">
        <v>3407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3417</v>
      </c>
      <c r="Y54" s="34" t="s">
        <v>3409</v>
      </c>
      <c r="Z54" s="34">
        <v>6</v>
      </c>
      <c r="AA54" s="34" t="s">
        <v>3584</v>
      </c>
      <c r="AB54" s="34" t="s">
        <v>3521</v>
      </c>
      <c r="AC54" s="34" t="s">
        <v>3582</v>
      </c>
      <c r="AD54" s="34" t="s">
        <v>3520</v>
      </c>
      <c r="AE54" s="34" t="s">
        <v>3522</v>
      </c>
      <c r="AF54" s="34" t="s">
        <v>3433</v>
      </c>
      <c r="AG54" s="34" t="s">
        <v>3523</v>
      </c>
      <c r="AH54" s="34" t="s">
        <v>3524</v>
      </c>
      <c r="AL54" s="34" t="s">
        <v>3583</v>
      </c>
      <c r="AM54" s="34" t="s">
        <v>7961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7" t="str">
        <f>IFERROR(INDEX(Структура_ассортимента[SuperCategory],MATCH(Товары[[#This Row],[SubGroup]],Структура_ассортимента[Subgroup],0)),"")</f>
        <v>A</v>
      </c>
      <c r="D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7" t="str">
        <f>IFERROR(INDEX(Структура_ассортимента[Product group],MATCH(Товары[[#This Row],[SubGroup]],Структура_ассортимента[Subgroup],0)),"")</f>
        <v>AMA_C</v>
      </c>
      <c r="G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1604</v>
      </c>
      <c r="Q55" s="39" t="s">
        <v>3580</v>
      </c>
      <c r="R55" s="34" t="s">
        <v>3407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3417</v>
      </c>
      <c r="Y55" s="34" t="s">
        <v>3409</v>
      </c>
      <c r="Z55" s="34">
        <v>6</v>
      </c>
      <c r="AA55" s="34" t="s">
        <v>3528</v>
      </c>
      <c r="AB55" s="34" t="s">
        <v>3528</v>
      </c>
      <c r="AC55" s="34" t="s">
        <v>3520</v>
      </c>
      <c r="AD55" s="34" t="s">
        <v>3520</v>
      </c>
      <c r="AE55" s="34" t="s">
        <v>3529</v>
      </c>
      <c r="AF55" s="34" t="s">
        <v>3433</v>
      </c>
      <c r="AG55" s="34" t="s">
        <v>3530</v>
      </c>
      <c r="AH55" s="34" t="s">
        <v>3585</v>
      </c>
      <c r="AL55" s="34">
        <v>1152</v>
      </c>
      <c r="AM55" s="34" t="s">
        <v>7961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7" t="str">
        <f>IFERROR(INDEX(Структура_ассортимента[SuperCategory],MATCH(Товары[[#This Row],[SubGroup]],Структура_ассортимента[Subgroup],0)),"")</f>
        <v>A</v>
      </c>
      <c r="D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7" t="str">
        <f>IFERROR(INDEX(Структура_ассортимента[Product group],MATCH(Товары[[#This Row],[SubGroup]],Структура_ассортимента[Subgroup],0)),"")</f>
        <v>AMA_C</v>
      </c>
      <c r="G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1605</v>
      </c>
      <c r="Q56" s="39" t="s">
        <v>3580</v>
      </c>
      <c r="R56" s="34" t="s">
        <v>3407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3417</v>
      </c>
      <c r="Y56" s="34" t="s">
        <v>3409</v>
      </c>
      <c r="Z56" s="34">
        <v>6</v>
      </c>
      <c r="AA56" s="34" t="s">
        <v>3534</v>
      </c>
      <c r="AB56" s="34" t="s">
        <v>3534</v>
      </c>
      <c r="AC56" s="34" t="s">
        <v>3520</v>
      </c>
      <c r="AD56" s="34" t="s">
        <v>3520</v>
      </c>
      <c r="AE56" s="34" t="s">
        <v>3529</v>
      </c>
      <c r="AF56" s="34" t="s">
        <v>3433</v>
      </c>
      <c r="AG56" s="34" t="s">
        <v>3530</v>
      </c>
      <c r="AH56" s="34" t="s">
        <v>3585</v>
      </c>
      <c r="AL56" s="34" t="s">
        <v>3583</v>
      </c>
      <c r="AM56" s="34" t="s">
        <v>7961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7" t="str">
        <f>IFERROR(INDEX(Структура_ассортимента[SuperCategory],MATCH(Товары[[#This Row],[SubGroup]],Структура_ассортимента[Subgroup],0)),"")</f>
        <v>A</v>
      </c>
      <c r="D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7" t="str">
        <f>IFERROR(INDEX(Структура_ассортимента[Product group],MATCH(Товары[[#This Row],[SubGroup]],Структура_ассортимента[Subgroup],0)),"")</f>
        <v>AMA_C</v>
      </c>
      <c r="G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1606</v>
      </c>
      <c r="Q57" s="39" t="s">
        <v>3580</v>
      </c>
      <c r="R57" s="34" t="s">
        <v>3407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3417</v>
      </c>
      <c r="Y57" s="34" t="s">
        <v>3409</v>
      </c>
      <c r="Z57" s="34">
        <v>6</v>
      </c>
      <c r="AA57" s="34" t="s">
        <v>3586</v>
      </c>
      <c r="AB57" s="34" t="s">
        <v>3528</v>
      </c>
      <c r="AC57" s="34" t="s">
        <v>3528</v>
      </c>
      <c r="AD57" s="34" t="s">
        <v>3528</v>
      </c>
      <c r="AE57" s="34" t="s">
        <v>3529</v>
      </c>
      <c r="AF57" s="34" t="s">
        <v>3433</v>
      </c>
      <c r="AG57" s="34" t="s">
        <v>3530</v>
      </c>
      <c r="AH57" s="34" t="s">
        <v>3585</v>
      </c>
      <c r="AL57" s="34" t="s">
        <v>3583</v>
      </c>
      <c r="AM57" s="34" t="s">
        <v>7961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7" t="str">
        <f>IFERROR(INDEX(Структура_ассортимента[SuperCategory],MATCH(Товары[[#This Row],[SubGroup]],Структура_ассортимента[Subgroup],0)),"")</f>
        <v>A</v>
      </c>
      <c r="D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7" t="str">
        <f>IFERROR(INDEX(Структура_ассортимента[Product group],MATCH(Товары[[#This Row],[SubGroup]],Структура_ассортимента[Subgroup],0)),"")</f>
        <v>AMA_C</v>
      </c>
      <c r="G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1607</v>
      </c>
      <c r="Q58" s="39" t="s">
        <v>3580</v>
      </c>
      <c r="R58" s="34" t="s">
        <v>3407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3417</v>
      </c>
      <c r="Y58" s="34" t="s">
        <v>3409</v>
      </c>
      <c r="Z58" s="34">
        <v>6</v>
      </c>
      <c r="AA58" s="34" t="s">
        <v>3586</v>
      </c>
      <c r="AB58" s="34" t="s">
        <v>3586</v>
      </c>
      <c r="AC58" s="34" t="s">
        <v>3528</v>
      </c>
      <c r="AD58" s="34" t="s">
        <v>3528</v>
      </c>
      <c r="AE58" s="34" t="s">
        <v>3529</v>
      </c>
      <c r="AF58" s="34" t="s">
        <v>3433</v>
      </c>
      <c r="AG58" s="34" t="s">
        <v>3530</v>
      </c>
      <c r="AH58" s="34" t="s">
        <v>3585</v>
      </c>
      <c r="AL58" s="34" t="s">
        <v>3583</v>
      </c>
      <c r="AM58" s="34" t="s">
        <v>7961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7" t="str">
        <f>IFERROR(INDEX(Структура_ассортимента[SuperCategory],MATCH(Товары[[#This Row],[SubGroup]],Структура_ассортимента[Subgroup],0)),"")</f>
        <v>A</v>
      </c>
      <c r="D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7" t="str">
        <f>IFERROR(INDEX(Структура_ассортимента[Product group],MATCH(Товары[[#This Row],[SubGroup]],Структура_ассортимента[Subgroup],0)),"")</f>
        <v>AMA_C</v>
      </c>
      <c r="G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1608</v>
      </c>
      <c r="Q59" s="39" t="s">
        <v>3580</v>
      </c>
      <c r="R59" s="34" t="s">
        <v>3407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3417</v>
      </c>
      <c r="Y59" s="34" t="s">
        <v>3409</v>
      </c>
      <c r="Z59" s="34">
        <v>6</v>
      </c>
      <c r="AA59" s="34" t="s">
        <v>3537</v>
      </c>
      <c r="AB59" s="34" t="s">
        <v>3544</v>
      </c>
      <c r="AC59" s="34" t="s">
        <v>3543</v>
      </c>
      <c r="AD59" s="34" t="s">
        <v>3543</v>
      </c>
      <c r="AE59" s="34" t="s">
        <v>3422</v>
      </c>
      <c r="AF59" s="34" t="s">
        <v>3433</v>
      </c>
      <c r="AG59" s="34" t="s">
        <v>3545</v>
      </c>
      <c r="AH59" s="34" t="s">
        <v>3546</v>
      </c>
      <c r="AL59" s="34">
        <v>576</v>
      </c>
      <c r="AM59" s="34" t="s">
        <v>7961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7" t="str">
        <f>IFERROR(INDEX(Структура_ассортимента[SuperCategory],MATCH(Товары[[#This Row],[SubGroup]],Структура_ассортимента[Subgroup],0)),"")</f>
        <v>A</v>
      </c>
      <c r="D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7" t="str">
        <f>IFERROR(INDEX(Структура_ассортимента[Product group],MATCH(Товары[[#This Row],[SubGroup]],Структура_ассортимента[Subgroup],0)),"")</f>
        <v>AMA_C</v>
      </c>
      <c r="G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1609</v>
      </c>
      <c r="Q60" s="39" t="s">
        <v>3580</v>
      </c>
      <c r="R60" s="34" t="s">
        <v>3407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3417</v>
      </c>
      <c r="Y60" s="34" t="s">
        <v>3409</v>
      </c>
      <c r="Z60" s="34">
        <v>6</v>
      </c>
      <c r="AA60" s="34" t="s">
        <v>3587</v>
      </c>
      <c r="AB60" s="34" t="s">
        <v>3588</v>
      </c>
      <c r="AC60" s="34" t="s">
        <v>3538</v>
      </c>
      <c r="AD60" s="34" t="s">
        <v>3538</v>
      </c>
      <c r="AE60" s="34" t="s">
        <v>3589</v>
      </c>
      <c r="AF60" s="34" t="s">
        <v>3433</v>
      </c>
      <c r="AG60" s="34" t="s">
        <v>3539</v>
      </c>
      <c r="AH60" s="34" t="s">
        <v>3590</v>
      </c>
      <c r="AL60" s="34" t="s">
        <v>3591</v>
      </c>
      <c r="AM60" s="34" t="s">
        <v>7961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7" t="str">
        <f>IFERROR(INDEX(Структура_ассортимента[SuperCategory],MATCH(Товары[[#This Row],[SubGroup]],Структура_ассортимента[Subgroup],0)),"")</f>
        <v>A</v>
      </c>
      <c r="D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7" t="str">
        <f>IFERROR(INDEX(Структура_ассортимента[Product group],MATCH(Товары[[#This Row],[SubGroup]],Структура_ассортимента[Subgroup],0)),"")</f>
        <v>AMA_C</v>
      </c>
      <c r="G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1610</v>
      </c>
      <c r="Q61" s="39" t="s">
        <v>3580</v>
      </c>
      <c r="R61" s="34" t="s">
        <v>3407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3417</v>
      </c>
      <c r="Y61" s="34" t="s">
        <v>3409</v>
      </c>
      <c r="Z61" s="34">
        <v>6</v>
      </c>
      <c r="AA61" s="34" t="s">
        <v>3537</v>
      </c>
      <c r="AB61" s="34" t="s">
        <v>3592</v>
      </c>
      <c r="AC61" s="34" t="s">
        <v>3543</v>
      </c>
      <c r="AD61" s="34" t="s">
        <v>3537</v>
      </c>
      <c r="AE61" s="34" t="s">
        <v>3522</v>
      </c>
      <c r="AF61" s="34" t="s">
        <v>3433</v>
      </c>
      <c r="AG61" s="34" t="s">
        <v>3539</v>
      </c>
      <c r="AH61" s="34" t="s">
        <v>3540</v>
      </c>
      <c r="AL61" s="34" t="s">
        <v>3591</v>
      </c>
      <c r="AM61" s="34" t="s">
        <v>7961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7" t="str">
        <f>IFERROR(INDEX(Структура_ассортимента[SuperCategory],MATCH(Товары[[#This Row],[SubGroup]],Структура_ассортимента[Subgroup],0)),"")</f>
        <v>A</v>
      </c>
      <c r="D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7" t="str">
        <f>IFERROR(INDEX(Структура_ассортимента[Product group],MATCH(Товары[[#This Row],[SubGroup]],Структура_ассортимента[Subgroup],0)),"")</f>
        <v>AMA_C</v>
      </c>
      <c r="G6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1611</v>
      </c>
      <c r="Q62" s="39" t="s">
        <v>3580</v>
      </c>
      <c r="R62" s="34" t="s">
        <v>3407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3417</v>
      </c>
      <c r="Y62" s="34" t="s">
        <v>3409</v>
      </c>
      <c r="Z62" s="34">
        <v>6</v>
      </c>
      <c r="AA62" s="34" t="s">
        <v>3593</v>
      </c>
      <c r="AB62" s="34" t="s">
        <v>3593</v>
      </c>
      <c r="AC62" s="34" t="s">
        <v>3537</v>
      </c>
      <c r="AD62" s="34" t="s">
        <v>3537</v>
      </c>
      <c r="AE62" s="34" t="s">
        <v>3522</v>
      </c>
      <c r="AF62" s="34" t="s">
        <v>3433</v>
      </c>
      <c r="AG62" s="34" t="s">
        <v>3539</v>
      </c>
      <c r="AH62" s="34" t="s">
        <v>3540</v>
      </c>
      <c r="AL62" s="34" t="s">
        <v>3591</v>
      </c>
      <c r="AM62" s="34" t="s">
        <v>7961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7" t="str">
        <f>IFERROR(INDEX(Структура_ассортимента[SuperCategory],MATCH(Товары[[#This Row],[SubGroup]],Структура_ассортимента[Subgroup],0)),"")</f>
        <v>A</v>
      </c>
      <c r="D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7" t="str">
        <f>IFERROR(INDEX(Структура_ассортимента[Product group],MATCH(Товары[[#This Row],[SubGroup]],Структура_ассортимента[Subgroup],0)),"")</f>
        <v>AMA_C</v>
      </c>
      <c r="G6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1612</v>
      </c>
      <c r="Q63" s="39" t="s">
        <v>3580</v>
      </c>
      <c r="R63" s="34" t="s">
        <v>3407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3417</v>
      </c>
      <c r="Y63" s="34" t="s">
        <v>3409</v>
      </c>
      <c r="Z63" s="34">
        <v>6</v>
      </c>
      <c r="AA63" s="34" t="s">
        <v>3538</v>
      </c>
      <c r="AB63" s="34" t="s">
        <v>3538</v>
      </c>
      <c r="AC63" s="34" t="s">
        <v>3537</v>
      </c>
      <c r="AD63" s="34" t="s">
        <v>3537</v>
      </c>
      <c r="AE63" s="34" t="s">
        <v>3522</v>
      </c>
      <c r="AF63" s="34" t="s">
        <v>3433</v>
      </c>
      <c r="AG63" s="34" t="s">
        <v>3539</v>
      </c>
      <c r="AH63" s="34" t="s">
        <v>3540</v>
      </c>
      <c r="AL63" s="34">
        <v>576</v>
      </c>
      <c r="AM63" s="34" t="s">
        <v>7961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7" t="str">
        <f>IFERROR(INDEX(Структура_ассортимента[SuperCategory],MATCH(Товары[[#This Row],[SubGroup]],Структура_ассортимента[Subgroup],0)),"")</f>
        <v>A</v>
      </c>
      <c r="D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7" t="str">
        <f>IFERROR(INDEX(Структура_ассортимента[Product group],MATCH(Товары[[#This Row],[SubGroup]],Структура_ассортимента[Subgroup],0)),"")</f>
        <v>AMA_C</v>
      </c>
      <c r="G6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1613</v>
      </c>
      <c r="Q64" s="39" t="s">
        <v>3580</v>
      </c>
      <c r="R64" s="34" t="s">
        <v>3407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3417</v>
      </c>
      <c r="Y64" s="34" t="s">
        <v>3409</v>
      </c>
      <c r="Z64" s="34">
        <v>6</v>
      </c>
      <c r="AA64" s="34" t="s">
        <v>3594</v>
      </c>
      <c r="AB64" s="34" t="s">
        <v>3595</v>
      </c>
      <c r="AC64" s="34" t="s">
        <v>3596</v>
      </c>
      <c r="AD64" s="34" t="s">
        <v>3597</v>
      </c>
      <c r="AE64" s="34" t="s">
        <v>3598</v>
      </c>
      <c r="AF64" s="34" t="s">
        <v>3427</v>
      </c>
      <c r="AG64" s="34" t="s">
        <v>3530</v>
      </c>
      <c r="AH64" s="34" t="s">
        <v>3599</v>
      </c>
      <c r="AL64" s="34">
        <v>720</v>
      </c>
      <c r="AM64" s="34" t="s">
        <v>7961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7" t="str">
        <f>IFERROR(INDEX(Структура_ассортимента[SuperCategory],MATCH(Товары[[#This Row],[SubGroup]],Структура_ассортимента[Subgroup],0)),"")</f>
        <v>A</v>
      </c>
      <c r="D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7" t="str">
        <f>IFERROR(INDEX(Структура_ассортимента[Product group],MATCH(Товары[[#This Row],[SubGroup]],Структура_ассортимента[Subgroup],0)),"")</f>
        <v>AMA_C</v>
      </c>
      <c r="G6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1614</v>
      </c>
      <c r="Q65" s="39" t="s">
        <v>3580</v>
      </c>
      <c r="R65" s="34" t="s">
        <v>3407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3417</v>
      </c>
      <c r="Y65" s="34" t="s">
        <v>3409</v>
      </c>
      <c r="Z65" s="34">
        <v>6</v>
      </c>
      <c r="AA65" s="34" t="s">
        <v>3600</v>
      </c>
      <c r="AB65" s="34" t="s">
        <v>3601</v>
      </c>
      <c r="AC65" s="34" t="s">
        <v>3602</v>
      </c>
      <c r="AD65" s="34" t="s">
        <v>3595</v>
      </c>
      <c r="AE65" s="34" t="s">
        <v>3477</v>
      </c>
      <c r="AF65" s="34" t="s">
        <v>3560</v>
      </c>
      <c r="AG65" s="34" t="s">
        <v>3545</v>
      </c>
      <c r="AH65" s="34" t="s">
        <v>3603</v>
      </c>
      <c r="AL65" s="34" t="s">
        <v>3604</v>
      </c>
      <c r="AM65" s="34" t="s">
        <v>7961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7" t="str">
        <f>IFERROR(INDEX(Структура_ассортимента[SuperCategory],MATCH(Товары[[#This Row],[SubGroup]],Структура_ассортимента[Subgroup],0)),"")</f>
        <v>A</v>
      </c>
      <c r="D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7" t="str">
        <f>IFERROR(INDEX(Структура_ассортимента[Product group],MATCH(Товары[[#This Row],[SubGroup]],Структура_ассортимента[Subgroup],0)),"")</f>
        <v>AMA_C</v>
      </c>
      <c r="G6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1615</v>
      </c>
      <c r="O66" s="37" t="s">
        <v>3605</v>
      </c>
      <c r="P66" s="37" t="s">
        <v>3606</v>
      </c>
      <c r="Q66" s="39" t="s">
        <v>3416</v>
      </c>
      <c r="R66" s="34" t="s">
        <v>3407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3413</v>
      </c>
      <c r="X66" s="34" t="s">
        <v>3418</v>
      </c>
      <c r="Y66" s="34" t="s">
        <v>3409</v>
      </c>
      <c r="Z66" s="34">
        <v>4</v>
      </c>
      <c r="AB66" s="34" t="s">
        <v>3607</v>
      </c>
      <c r="AD66" s="34" t="s">
        <v>3608</v>
      </c>
      <c r="AE66" s="34" t="s">
        <v>3609</v>
      </c>
      <c r="AF66" s="34" t="s">
        <v>3610</v>
      </c>
      <c r="AG66" s="34" t="s">
        <v>3545</v>
      </c>
      <c r="AH66" s="34" t="s">
        <v>3611</v>
      </c>
      <c r="AI66" s="34" t="s">
        <v>3612</v>
      </c>
      <c r="AJ66" s="34" t="s">
        <v>3613</v>
      </c>
      <c r="AK66" s="34" t="s">
        <v>3612</v>
      </c>
      <c r="AL66" s="34" t="s">
        <v>3614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7" t="str">
        <f>IFERROR(INDEX(Структура_ассортимента[SuperCategory],MATCH(Товары[[#This Row],[SubGroup]],Структура_ассортимента[Subgroup],0)),"")</f>
        <v>A</v>
      </c>
      <c r="D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7" t="str">
        <f>IFERROR(INDEX(Структура_ассортимента[Product group],MATCH(Товары[[#This Row],[SubGroup]],Структура_ассортимента[Subgroup],0)),"")</f>
        <v>AMA_C</v>
      </c>
      <c r="G6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1616</v>
      </c>
      <c r="O67" s="37" t="s">
        <v>3615</v>
      </c>
      <c r="P67" s="37" t="s">
        <v>3616</v>
      </c>
      <c r="Q67" s="39" t="s">
        <v>3416</v>
      </c>
      <c r="R67" s="34" t="s">
        <v>3407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3413</v>
      </c>
      <c r="X67" s="34" t="s">
        <v>3418</v>
      </c>
      <c r="Y67" s="34" t="s">
        <v>3409</v>
      </c>
      <c r="Z67" s="34">
        <v>2</v>
      </c>
      <c r="AB67" s="34" t="s">
        <v>3617</v>
      </c>
      <c r="AD67" s="34" t="s">
        <v>3618</v>
      </c>
      <c r="AE67" s="34" t="s">
        <v>3619</v>
      </c>
      <c r="AF67" s="34" t="s">
        <v>3620</v>
      </c>
      <c r="AG67" s="34" t="s">
        <v>3621</v>
      </c>
      <c r="AH67" s="34" t="s">
        <v>3622</v>
      </c>
      <c r="AI67" s="34" t="s">
        <v>3623</v>
      </c>
      <c r="AJ67" s="34" t="s">
        <v>3613</v>
      </c>
      <c r="AK67" s="34" t="s">
        <v>3624</v>
      </c>
      <c r="AL67" s="34" t="s">
        <v>3625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7" t="str">
        <f>IFERROR(INDEX(Структура_ассортимента[SuperCategory],MATCH(Товары[[#This Row],[SubGroup]],Структура_ассортимента[Subgroup],0)),"")</f>
        <v>A</v>
      </c>
      <c r="D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7" t="str">
        <f>IFERROR(INDEX(Структура_ассортимента[Product group],MATCH(Товары[[#This Row],[SubGroup]],Структура_ассортимента[Subgroup],0)),"")</f>
        <v>AMA_C</v>
      </c>
      <c r="G6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1617</v>
      </c>
      <c r="O68" s="37" t="s">
        <v>3626</v>
      </c>
      <c r="P68" s="37" t="s">
        <v>3627</v>
      </c>
      <c r="Q68" s="39" t="s">
        <v>3416</v>
      </c>
      <c r="R68" s="34" t="s">
        <v>3407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3413</v>
      </c>
      <c r="X68" s="34" t="s">
        <v>3418</v>
      </c>
      <c r="Y68" s="34" t="s">
        <v>3409</v>
      </c>
      <c r="Z68" s="34">
        <v>1</v>
      </c>
      <c r="AB68" s="34" t="s">
        <v>3628</v>
      </c>
      <c r="AD68" s="34" t="s">
        <v>3629</v>
      </c>
      <c r="AE68" s="34" t="s">
        <v>3630</v>
      </c>
      <c r="AF68" s="34" t="s">
        <v>3631</v>
      </c>
      <c r="AG68" s="34" t="s">
        <v>3632</v>
      </c>
      <c r="AH68" s="34" t="s">
        <v>3633</v>
      </c>
      <c r="AI68" s="34" t="s">
        <v>3624</v>
      </c>
      <c r="AJ68" s="34" t="s">
        <v>3613</v>
      </c>
      <c r="AK68" s="34" t="s">
        <v>3634</v>
      </c>
      <c r="AL68" s="34" t="s">
        <v>3635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7" t="str">
        <f>IFERROR(INDEX(Структура_ассортимента[SuperCategory],MATCH(Товары[[#This Row],[SubGroup]],Структура_ассортимента[Subgroup],0)),"")</f>
        <v>A</v>
      </c>
      <c r="D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7" t="str">
        <f>IFERROR(INDEX(Структура_ассортимента[Product group],MATCH(Товары[[#This Row],[SubGroup]],Структура_ассортимента[Subgroup],0)),"")</f>
        <v>AMA_C</v>
      </c>
      <c r="G6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1618</v>
      </c>
      <c r="O69" s="37" t="s">
        <v>3636</v>
      </c>
      <c r="P69" s="37" t="s">
        <v>3637</v>
      </c>
      <c r="Q69" s="39" t="s">
        <v>3416</v>
      </c>
      <c r="R69" s="34" t="s">
        <v>3407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3413</v>
      </c>
      <c r="X69" s="34" t="s">
        <v>3418</v>
      </c>
      <c r="Y69" s="34" t="s">
        <v>3409</v>
      </c>
      <c r="Z69" s="34">
        <v>2</v>
      </c>
      <c r="AB69" s="34" t="s">
        <v>3563</v>
      </c>
      <c r="AD69" s="34" t="s">
        <v>3638</v>
      </c>
      <c r="AE69" s="34" t="s">
        <v>3639</v>
      </c>
      <c r="AF69" s="34" t="s">
        <v>3610</v>
      </c>
      <c r="AG69" s="34" t="s">
        <v>3621</v>
      </c>
      <c r="AH69" s="34" t="s">
        <v>3640</v>
      </c>
      <c r="AI69" s="34" t="s">
        <v>3641</v>
      </c>
      <c r="AJ69" s="34" t="s">
        <v>3613</v>
      </c>
      <c r="AK69" s="34" t="s">
        <v>3641</v>
      </c>
      <c r="AL69" s="34" t="s">
        <v>3625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7" t="str">
        <f>IFERROR(INDEX(Структура_ассортимента[SuperCategory],MATCH(Товары[[#This Row],[SubGroup]],Структура_ассортимента[Subgroup],0)),"")</f>
        <v>A</v>
      </c>
      <c r="D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7" t="str">
        <f>IFERROR(INDEX(Структура_ассортимента[Product group],MATCH(Товары[[#This Row],[SubGroup]],Структура_ассортимента[Subgroup],0)),"")</f>
        <v>AMA_C</v>
      </c>
      <c r="G7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7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1619</v>
      </c>
      <c r="Q70" s="39" t="s">
        <v>3416</v>
      </c>
      <c r="R70" s="34" t="s">
        <v>3407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3410</v>
      </c>
      <c r="X70" s="34" t="s">
        <v>3446</v>
      </c>
      <c r="Y70" s="34" t="s">
        <v>3409</v>
      </c>
      <c r="Z70" s="34">
        <v>10</v>
      </c>
      <c r="AA70" s="34" t="s">
        <v>3642</v>
      </c>
      <c r="AB70" s="34" t="s">
        <v>3642</v>
      </c>
      <c r="AC70" s="34" t="s">
        <v>3643</v>
      </c>
      <c r="AD70" s="34" t="s">
        <v>3643</v>
      </c>
      <c r="AE70" s="34" t="s">
        <v>3443</v>
      </c>
      <c r="AF70" s="34" t="s">
        <v>3560</v>
      </c>
      <c r="AG70" s="34" t="s">
        <v>3644</v>
      </c>
      <c r="AH70" s="34" t="s">
        <v>3645</v>
      </c>
      <c r="AL70" s="34">
        <v>1920</v>
      </c>
      <c r="AM70" s="34" t="s">
        <v>7962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7" t="str">
        <f>IFERROR(INDEX(Структура_ассортимента[SuperCategory],MATCH(Товары[[#This Row],[SubGroup]],Структура_ассортимента[Subgroup],0)),"")</f>
        <v>A</v>
      </c>
      <c r="D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7" t="str">
        <f>IFERROR(INDEX(Структура_ассортимента[Product group],MATCH(Товары[[#This Row],[SubGroup]],Структура_ассортимента[Subgroup],0)),"")</f>
        <v>AMA_C</v>
      </c>
      <c r="G7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7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1620</v>
      </c>
      <c r="Q71" s="39" t="s">
        <v>3416</v>
      </c>
      <c r="R71" s="34" t="s">
        <v>3407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3410</v>
      </c>
      <c r="X71" s="34" t="s">
        <v>3446</v>
      </c>
      <c r="Y71" s="34" t="s">
        <v>3409</v>
      </c>
      <c r="Z71" s="34">
        <v>10</v>
      </c>
      <c r="AA71" s="34" t="s">
        <v>3646</v>
      </c>
      <c r="AB71" s="34" t="s">
        <v>3646</v>
      </c>
      <c r="AC71" s="34" t="s">
        <v>3647</v>
      </c>
      <c r="AD71" s="34" t="s">
        <v>3647</v>
      </c>
      <c r="AE71" s="34" t="s">
        <v>3560</v>
      </c>
      <c r="AF71" s="34" t="s">
        <v>3443</v>
      </c>
      <c r="AG71" s="34" t="s">
        <v>3648</v>
      </c>
      <c r="AH71" s="34" t="s">
        <v>3649</v>
      </c>
      <c r="AL71" s="34">
        <v>1920</v>
      </c>
      <c r="AM71" s="34" t="s">
        <v>7962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7" t="str">
        <f>IFERROR(INDEX(Структура_ассортимента[SuperCategory],MATCH(Товары[[#This Row],[SubGroup]],Структура_ассортимента[Subgroup],0)),"")</f>
        <v>A</v>
      </c>
      <c r="D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7" t="str">
        <f>IFERROR(INDEX(Структура_ассортимента[Product group],MATCH(Товары[[#This Row],[SubGroup]],Структура_ассортимента[Subgroup],0)),"")</f>
        <v>AMA_C</v>
      </c>
      <c r="G7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7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1621</v>
      </c>
      <c r="Q72" s="39" t="s">
        <v>3416</v>
      </c>
      <c r="R72" s="34" t="s">
        <v>3407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3410</v>
      </c>
      <c r="X72" s="34" t="s">
        <v>3446</v>
      </c>
      <c r="Y72" s="34" t="s">
        <v>3409</v>
      </c>
      <c r="Z72" s="34">
        <v>10</v>
      </c>
      <c r="AA72" s="34" t="s">
        <v>3650</v>
      </c>
      <c r="AB72" s="34" t="s">
        <v>3650</v>
      </c>
      <c r="AC72" s="34" t="s">
        <v>3651</v>
      </c>
      <c r="AD72" s="34" t="s">
        <v>3651</v>
      </c>
      <c r="AE72" s="34" t="s">
        <v>3560</v>
      </c>
      <c r="AF72" s="34" t="s">
        <v>3443</v>
      </c>
      <c r="AG72" s="34" t="s">
        <v>3652</v>
      </c>
      <c r="AH72" s="34" t="s">
        <v>3653</v>
      </c>
      <c r="AL72" s="34">
        <v>2880</v>
      </c>
      <c r="AM72" s="34" t="s">
        <v>7962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7" t="str">
        <f>IFERROR(INDEX(Структура_ассортимента[SuperCategory],MATCH(Товары[[#This Row],[SubGroup]],Структура_ассортимента[Subgroup],0)),"")</f>
        <v>A</v>
      </c>
      <c r="D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7" t="str">
        <f>IFERROR(INDEX(Структура_ассортимента[Product group],MATCH(Товары[[#This Row],[SubGroup]],Структура_ассортимента[Subgroup],0)),"")</f>
        <v>AMA_C</v>
      </c>
      <c r="G7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7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1622</v>
      </c>
      <c r="Q73" s="39" t="s">
        <v>3416</v>
      </c>
      <c r="R73" s="34" t="s">
        <v>3407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3417</v>
      </c>
      <c r="X73" s="34" t="s">
        <v>3654</v>
      </c>
      <c r="Y73" s="34" t="s">
        <v>3409</v>
      </c>
      <c r="Z73" s="34">
        <v>5</v>
      </c>
      <c r="AA73" s="34" t="s">
        <v>3655</v>
      </c>
      <c r="AB73" s="34" t="s">
        <v>3655</v>
      </c>
      <c r="AC73" s="34" t="s">
        <v>3656</v>
      </c>
      <c r="AD73" s="34" t="s">
        <v>3656</v>
      </c>
      <c r="AE73" s="34" t="s">
        <v>3657</v>
      </c>
      <c r="AF73" s="34" t="s">
        <v>3658</v>
      </c>
      <c r="AG73" s="34" t="s">
        <v>3659</v>
      </c>
      <c r="AH73" s="34" t="s">
        <v>3660</v>
      </c>
      <c r="AL73" s="34">
        <v>2400</v>
      </c>
      <c r="AM73" s="34" t="s">
        <v>7962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7" t="str">
        <f>IFERROR(INDEX(Структура_ассортимента[SuperCategory],MATCH(Товары[[#This Row],[SubGroup]],Структура_ассортимента[Subgroup],0)),"")</f>
        <v>A</v>
      </c>
      <c r="D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7" t="str">
        <f>IFERROR(INDEX(Структура_ассортимента[Product group],MATCH(Товары[[#This Row],[SubGroup]],Структура_ассортимента[Subgroup],0)),"")</f>
        <v>AMA_C</v>
      </c>
      <c r="G7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7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1623</v>
      </c>
      <c r="Q74" s="39" t="s">
        <v>3416</v>
      </c>
      <c r="R74" s="34" t="s">
        <v>3407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3410</v>
      </c>
      <c r="X74" s="34" t="s">
        <v>3446</v>
      </c>
      <c r="Y74" s="34" t="s">
        <v>3409</v>
      </c>
      <c r="Z74" s="34">
        <v>10</v>
      </c>
      <c r="AA74" s="34" t="s">
        <v>3661</v>
      </c>
      <c r="AB74" s="34" t="s">
        <v>3661</v>
      </c>
      <c r="AC74" s="34" t="s">
        <v>3662</v>
      </c>
      <c r="AD74" s="34" t="s">
        <v>3662</v>
      </c>
      <c r="AE74" s="34" t="s">
        <v>3560</v>
      </c>
      <c r="AF74" s="34" t="s">
        <v>3443</v>
      </c>
      <c r="AG74" s="34" t="s">
        <v>3523</v>
      </c>
      <c r="AH74" s="34" t="s">
        <v>3663</v>
      </c>
      <c r="AL74" s="34">
        <v>2160</v>
      </c>
      <c r="AM74" s="34" t="s">
        <v>7962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7" t="str">
        <f>IFERROR(INDEX(Структура_ассортимента[SuperCategory],MATCH(Товары[[#This Row],[SubGroup]],Структура_ассортимента[Subgroup],0)),"")</f>
        <v>A</v>
      </c>
      <c r="D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7" t="str">
        <f>IFERROR(INDEX(Структура_ассортимента[Product group],MATCH(Товары[[#This Row],[SubGroup]],Структура_ассортимента[Subgroup],0)),"")</f>
        <v>AMA_C</v>
      </c>
      <c r="G7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7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1624</v>
      </c>
      <c r="Q75" s="39" t="s">
        <v>3416</v>
      </c>
      <c r="R75" s="34" t="s">
        <v>3407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3410</v>
      </c>
      <c r="X75" s="34" t="s">
        <v>3446</v>
      </c>
      <c r="Y75" s="34" t="s">
        <v>3409</v>
      </c>
      <c r="Z75" s="34">
        <v>10</v>
      </c>
      <c r="AA75" s="34" t="s">
        <v>3647</v>
      </c>
      <c r="AB75" s="34" t="s">
        <v>3647</v>
      </c>
      <c r="AC75" s="34" t="s">
        <v>3664</v>
      </c>
      <c r="AD75" s="34" t="s">
        <v>3664</v>
      </c>
      <c r="AE75" s="34" t="s">
        <v>3560</v>
      </c>
      <c r="AF75" s="34" t="s">
        <v>3443</v>
      </c>
      <c r="AG75" s="34" t="s">
        <v>3545</v>
      </c>
      <c r="AH75" s="34" t="s">
        <v>3665</v>
      </c>
      <c r="AL75" s="34">
        <v>1560</v>
      </c>
      <c r="AM75" s="34" t="s">
        <v>7962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7" t="str">
        <f>IFERROR(INDEX(Структура_ассортимента[SuperCategory],MATCH(Товары[[#This Row],[SubGroup]],Структура_ассортимента[Subgroup],0)),"")</f>
        <v>A</v>
      </c>
      <c r="D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7" t="str">
        <f>IFERROR(INDEX(Структура_ассортимента[Product group],MATCH(Товары[[#This Row],[SubGroup]],Структура_ассортимента[Subgroup],0)),"")</f>
        <v>AMA_C</v>
      </c>
      <c r="G7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7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1625</v>
      </c>
      <c r="Q76" s="39" t="s">
        <v>3416</v>
      </c>
      <c r="R76" s="34" t="s">
        <v>3407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3410</v>
      </c>
      <c r="X76" s="34" t="s">
        <v>3446</v>
      </c>
      <c r="Y76" s="34" t="s">
        <v>3409</v>
      </c>
      <c r="Z76" s="34">
        <v>6</v>
      </c>
      <c r="AA76" s="34" t="s">
        <v>3650</v>
      </c>
      <c r="AB76" s="34" t="s">
        <v>3650</v>
      </c>
      <c r="AC76" s="34" t="s">
        <v>3666</v>
      </c>
      <c r="AD76" s="34" t="s">
        <v>3666</v>
      </c>
      <c r="AE76" s="34" t="s">
        <v>3560</v>
      </c>
      <c r="AF76" s="34" t="s">
        <v>3667</v>
      </c>
      <c r="AG76" s="34" t="s">
        <v>3668</v>
      </c>
      <c r="AH76" s="34" t="s">
        <v>3669</v>
      </c>
      <c r="AL76" s="34">
        <v>1728</v>
      </c>
      <c r="AM76" s="34" t="s">
        <v>7962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7" t="str">
        <f>IFERROR(INDEX(Структура_ассортимента[SuperCategory],MATCH(Товары[[#This Row],[SubGroup]],Структура_ассортимента[Subgroup],0)),"")</f>
        <v>A</v>
      </c>
      <c r="D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7" t="str">
        <f>IFERROR(INDEX(Структура_ассортимента[Product group],MATCH(Товары[[#This Row],[SubGroup]],Структура_ассортимента[Subgroup],0)),"")</f>
        <v>AMA_C</v>
      </c>
      <c r="G7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7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1626</v>
      </c>
      <c r="Q77" s="39" t="s">
        <v>3416</v>
      </c>
      <c r="R77" s="34" t="s">
        <v>3407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3410</v>
      </c>
      <c r="X77" s="34" t="s">
        <v>3446</v>
      </c>
      <c r="Y77" s="34" t="s">
        <v>3409</v>
      </c>
      <c r="Z77" s="34">
        <v>10</v>
      </c>
      <c r="AA77" s="34" t="s">
        <v>3670</v>
      </c>
      <c r="AB77" s="34" t="s">
        <v>3670</v>
      </c>
      <c r="AC77" s="34" t="s">
        <v>3650</v>
      </c>
      <c r="AD77" s="34" t="s">
        <v>3650</v>
      </c>
      <c r="AE77" s="34" t="s">
        <v>3560</v>
      </c>
      <c r="AF77" s="34" t="s">
        <v>3443</v>
      </c>
      <c r="AG77" s="34" t="s">
        <v>3671</v>
      </c>
      <c r="AH77" s="34" t="s">
        <v>3672</v>
      </c>
      <c r="AL77" s="34">
        <v>2880</v>
      </c>
      <c r="AM77" s="34" t="s">
        <v>7962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7" t="str">
        <f>IFERROR(INDEX(Структура_ассортимента[SuperCategory],MATCH(Товары[[#This Row],[SubGroup]],Структура_ассортимента[Subgroup],0)),"")</f>
        <v>A</v>
      </c>
      <c r="D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7" t="str">
        <f>IFERROR(INDEX(Структура_ассортимента[Product group],MATCH(Товары[[#This Row],[SubGroup]],Структура_ассортимента[Subgroup],0)),"")</f>
        <v>AMA_C</v>
      </c>
      <c r="G7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7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1627</v>
      </c>
      <c r="Q78" s="39" t="s">
        <v>3416</v>
      </c>
      <c r="R78" s="34" t="s">
        <v>3407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3410</v>
      </c>
      <c r="X78" s="34" t="s">
        <v>3446</v>
      </c>
      <c r="Y78" s="34" t="s">
        <v>3409</v>
      </c>
      <c r="Z78" s="34">
        <v>10</v>
      </c>
      <c r="AA78" s="34" t="s">
        <v>3673</v>
      </c>
      <c r="AB78" s="34" t="s">
        <v>3661</v>
      </c>
      <c r="AC78" s="34" t="s">
        <v>3674</v>
      </c>
      <c r="AD78" s="34" t="s">
        <v>3674</v>
      </c>
      <c r="AE78" s="34" t="s">
        <v>3560</v>
      </c>
      <c r="AF78" s="34" t="s">
        <v>3443</v>
      </c>
      <c r="AG78" s="34" t="s">
        <v>3675</v>
      </c>
      <c r="AH78" s="34" t="s">
        <v>3676</v>
      </c>
      <c r="AL78" s="34" t="s">
        <v>3677</v>
      </c>
      <c r="AM78" s="34" t="s">
        <v>7962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7" t="str">
        <f>IFERROR(INDEX(Структура_ассортимента[SuperCategory],MATCH(Товары[[#This Row],[SubGroup]],Структура_ассортимента[Subgroup],0)),"")</f>
        <v>A</v>
      </c>
      <c r="D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7" t="str">
        <f>IFERROR(INDEX(Структура_ассортимента[Product group],MATCH(Товары[[#This Row],[SubGroup]],Структура_ассортимента[Subgroup],0)),"")</f>
        <v>AMA_C</v>
      </c>
      <c r="G7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7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1628</v>
      </c>
      <c r="Q79" s="39" t="s">
        <v>3416</v>
      </c>
      <c r="R79" s="34" t="s">
        <v>3407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3410</v>
      </c>
      <c r="X79" s="34" t="s">
        <v>3446</v>
      </c>
      <c r="Y79" s="34" t="s">
        <v>3409</v>
      </c>
      <c r="Z79" s="34">
        <v>10</v>
      </c>
      <c r="AA79" s="34" t="s">
        <v>3678</v>
      </c>
      <c r="AB79" s="34" t="s">
        <v>3678</v>
      </c>
      <c r="AC79" s="34" t="s">
        <v>3679</v>
      </c>
      <c r="AD79" s="34" t="s">
        <v>3679</v>
      </c>
      <c r="AE79" s="34" t="s">
        <v>3560</v>
      </c>
      <c r="AF79" s="34" t="s">
        <v>3443</v>
      </c>
      <c r="AG79" s="34" t="s">
        <v>3545</v>
      </c>
      <c r="AH79" s="34" t="s">
        <v>3665</v>
      </c>
      <c r="AL79" s="34">
        <v>2880</v>
      </c>
      <c r="AM79" s="34" t="s">
        <v>7962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7" t="str">
        <f>IFERROR(INDEX(Структура_ассортимента[SuperCategory],MATCH(Товары[[#This Row],[SubGroup]],Структура_ассортимента[Subgroup],0)),"")</f>
        <v>A</v>
      </c>
      <c r="D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7" t="str">
        <f>IFERROR(INDEX(Структура_ассортимента[Product group],MATCH(Товары[[#This Row],[SubGroup]],Структура_ассортимента[Subgroup],0)),"")</f>
        <v>AMA_C</v>
      </c>
      <c r="G8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1629</v>
      </c>
      <c r="O80" s="37" t="s">
        <v>3680</v>
      </c>
      <c r="P80" s="37" t="s">
        <v>3681</v>
      </c>
      <c r="Q80" s="39" t="s">
        <v>3416</v>
      </c>
      <c r="R80" s="34" t="s">
        <v>3407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3414</v>
      </c>
      <c r="X80" s="34" t="s">
        <v>3571</v>
      </c>
      <c r="Y80" s="34" t="s">
        <v>3409</v>
      </c>
      <c r="Z80" s="34">
        <v>2</v>
      </c>
      <c r="AA80" s="34" t="s">
        <v>3682</v>
      </c>
      <c r="AB80" s="34" t="s">
        <v>3682</v>
      </c>
      <c r="AC80" s="34" t="s">
        <v>3683</v>
      </c>
      <c r="AD80" s="34" t="s">
        <v>3683</v>
      </c>
      <c r="AE80" s="34" t="s">
        <v>3684</v>
      </c>
      <c r="AF80" s="34" t="s">
        <v>3685</v>
      </c>
      <c r="AG80" s="34" t="s">
        <v>3686</v>
      </c>
      <c r="AH80" s="34" t="s">
        <v>3687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7" t="str">
        <f>IFERROR(INDEX(Структура_ассортимента[SuperCategory],MATCH(Товары[[#This Row],[SubGroup]],Структура_ассортимента[Subgroup],0)),"")</f>
        <v>A</v>
      </c>
      <c r="D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7" t="str">
        <f>IFERROR(INDEX(Структура_ассортимента[Product group],MATCH(Товары[[#This Row],[SubGroup]],Структура_ассортимента[Subgroup],0)),"")</f>
        <v>AMA_C</v>
      </c>
      <c r="G8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1630</v>
      </c>
      <c r="O81" s="37" t="s">
        <v>3688</v>
      </c>
      <c r="P81" s="37" t="s">
        <v>3689</v>
      </c>
      <c r="Q81" s="39" t="s">
        <v>3416</v>
      </c>
      <c r="R81" s="34" t="s">
        <v>3407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3413</v>
      </c>
      <c r="X81" s="34" t="s">
        <v>3654</v>
      </c>
      <c r="Y81" s="34" t="s">
        <v>3409</v>
      </c>
      <c r="Z81" s="34">
        <v>4</v>
      </c>
      <c r="AA81" s="34">
        <v>652</v>
      </c>
      <c r="AB81" s="34" t="s">
        <v>3690</v>
      </c>
      <c r="AC81" s="34">
        <v>603</v>
      </c>
      <c r="AD81" s="34" t="s">
        <v>3691</v>
      </c>
      <c r="AE81" s="34" t="s">
        <v>3692</v>
      </c>
      <c r="AF81" s="34" t="s">
        <v>3693</v>
      </c>
      <c r="AG81" s="34" t="s">
        <v>3529</v>
      </c>
      <c r="AH81" s="34" t="s">
        <v>3694</v>
      </c>
      <c r="AI81" s="34" t="s">
        <v>3695</v>
      </c>
      <c r="AJ81" s="34" t="s">
        <v>3457</v>
      </c>
      <c r="AK81" s="34" t="s">
        <v>3696</v>
      </c>
      <c r="AL81" s="34" t="s">
        <v>3697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7" t="str">
        <f>IFERROR(INDEX(Структура_ассортимента[SuperCategory],MATCH(Товары[[#This Row],[SubGroup]],Структура_ассортимента[Subgroup],0)),"")</f>
        <v>A</v>
      </c>
      <c r="D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7" t="str">
        <f>IFERROR(INDEX(Структура_ассортимента[Product group],MATCH(Товары[[#This Row],[SubGroup]],Структура_ассортимента[Subgroup],0)),"")</f>
        <v>AMA_C</v>
      </c>
      <c r="G8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1631</v>
      </c>
      <c r="Q82" s="39" t="s">
        <v>3416</v>
      </c>
      <c r="R82" s="34" t="s">
        <v>3407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3410</v>
      </c>
      <c r="X82" s="34" t="s">
        <v>3446</v>
      </c>
      <c r="Y82" s="34" t="s">
        <v>3409</v>
      </c>
      <c r="Z82" s="34">
        <v>18</v>
      </c>
      <c r="AA82" s="34">
        <v>652</v>
      </c>
      <c r="AB82" s="34" t="s">
        <v>3690</v>
      </c>
      <c r="AC82" s="34">
        <v>603</v>
      </c>
      <c r="AD82" s="34" t="s">
        <v>3691</v>
      </c>
      <c r="AE82" s="34" t="s">
        <v>3692</v>
      </c>
      <c r="AF82" s="34" t="s">
        <v>3693</v>
      </c>
      <c r="AG82" s="34" t="s">
        <v>3529</v>
      </c>
      <c r="AH82" s="34" t="s">
        <v>3694</v>
      </c>
      <c r="AI82" s="34" t="s">
        <v>3695</v>
      </c>
      <c r="AJ82" s="34" t="s">
        <v>3457</v>
      </c>
      <c r="AK82" s="34" t="s">
        <v>3696</v>
      </c>
      <c r="AL82" s="34" t="s">
        <v>3697</v>
      </c>
      <c r="AM82" s="34" t="s">
        <v>7962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7" t="str">
        <f>IFERROR(INDEX(Структура_ассортимента[SuperCategory],MATCH(Товары[[#This Row],[SubGroup]],Структура_ассортимента[Subgroup],0)),"")</f>
        <v>A</v>
      </c>
      <c r="D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7" t="str">
        <f>IFERROR(INDEX(Структура_ассортимента[Product group],MATCH(Товары[[#This Row],[SubGroup]],Структура_ассортимента[Subgroup],0)),"")</f>
        <v>AMA_C</v>
      </c>
      <c r="G8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1632</v>
      </c>
      <c r="Q83" s="39" t="s">
        <v>3416</v>
      </c>
      <c r="R83" s="34" t="s">
        <v>3407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3410</v>
      </c>
      <c r="X83" s="34" t="s">
        <v>3654</v>
      </c>
      <c r="Y83" s="34" t="s">
        <v>3409</v>
      </c>
      <c r="Z83" s="34">
        <v>18</v>
      </c>
      <c r="AA83" s="34">
        <v>652</v>
      </c>
      <c r="AB83" s="34" t="s">
        <v>3690</v>
      </c>
      <c r="AC83" s="34">
        <v>603</v>
      </c>
      <c r="AD83" s="34" t="s">
        <v>3691</v>
      </c>
      <c r="AE83" s="34" t="s">
        <v>3692</v>
      </c>
      <c r="AF83" s="34" t="s">
        <v>3693</v>
      </c>
      <c r="AG83" s="34" t="s">
        <v>3529</v>
      </c>
      <c r="AH83" s="34" t="s">
        <v>3694</v>
      </c>
      <c r="AI83" s="34" t="s">
        <v>3695</v>
      </c>
      <c r="AJ83" s="34" t="s">
        <v>3457</v>
      </c>
      <c r="AK83" s="34" t="s">
        <v>3696</v>
      </c>
      <c r="AL83" s="34" t="s">
        <v>3697</v>
      </c>
      <c r="AM83" s="34" t="s">
        <v>7962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7" t="str">
        <f>IFERROR(INDEX(Структура_ассортимента[SuperCategory],MATCH(Товары[[#This Row],[SubGroup]],Структура_ассортимента[Subgroup],0)),"")</f>
        <v>A</v>
      </c>
      <c r="D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7" t="str">
        <f>IFERROR(INDEX(Структура_ассортимента[Product group],MATCH(Товары[[#This Row],[SubGroup]],Структура_ассортимента[Subgroup],0)),"")</f>
        <v>AMA_C</v>
      </c>
      <c r="G8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1633</v>
      </c>
      <c r="O84" s="37" t="s">
        <v>3698</v>
      </c>
      <c r="P84" s="37" t="s">
        <v>3699</v>
      </c>
      <c r="Q84" s="39" t="s">
        <v>3416</v>
      </c>
      <c r="R84" s="34" t="s">
        <v>3407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3410</v>
      </c>
      <c r="X84" s="34" t="s">
        <v>3446</v>
      </c>
      <c r="Y84" s="34" t="s">
        <v>3409</v>
      </c>
      <c r="Z84" s="34">
        <v>1</v>
      </c>
      <c r="AA84" s="34">
        <v>3076</v>
      </c>
      <c r="AB84" s="34" t="s">
        <v>3700</v>
      </c>
      <c r="AC84" s="34">
        <v>2545</v>
      </c>
      <c r="AD84" s="34" t="s">
        <v>3701</v>
      </c>
      <c r="AE84" s="34" t="s">
        <v>3702</v>
      </c>
      <c r="AF84" s="34" t="s">
        <v>3703</v>
      </c>
      <c r="AG84" s="34" t="s">
        <v>3704</v>
      </c>
      <c r="AH84" s="34" t="s">
        <v>3705</v>
      </c>
      <c r="AI84" s="34" t="s">
        <v>3706</v>
      </c>
      <c r="AJ84" s="34" t="s">
        <v>3707</v>
      </c>
      <c r="AK84" s="34" t="s">
        <v>3708</v>
      </c>
      <c r="AL84" s="34" t="s">
        <v>3709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7" t="str">
        <f>IFERROR(INDEX(Структура_ассортимента[SuperCategory],MATCH(Товары[[#This Row],[SubGroup]],Структура_ассортимента[Subgroup],0)),"")</f>
        <v>A</v>
      </c>
      <c r="D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7" t="str">
        <f>IFERROR(INDEX(Структура_ассортимента[Product group],MATCH(Товары[[#This Row],[SubGroup]],Структура_ассортимента[Subgroup],0)),"")</f>
        <v>AMA_C</v>
      </c>
      <c r="G8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1634</v>
      </c>
      <c r="O85" s="37" t="s">
        <v>3710</v>
      </c>
      <c r="P85" s="37" t="s">
        <v>3711</v>
      </c>
      <c r="Q85" s="39" t="s">
        <v>3416</v>
      </c>
      <c r="R85" s="34" t="s">
        <v>3407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3410</v>
      </c>
      <c r="X85" s="34" t="s">
        <v>3446</v>
      </c>
      <c r="Y85" s="34" t="s">
        <v>3409</v>
      </c>
      <c r="Z85" s="34">
        <v>8</v>
      </c>
      <c r="AA85" s="34">
        <v>3076</v>
      </c>
      <c r="AB85" s="34" t="s">
        <v>3712</v>
      </c>
      <c r="AC85" s="34">
        <v>2545</v>
      </c>
      <c r="AD85" s="34" t="s">
        <v>3713</v>
      </c>
      <c r="AE85" s="34" t="s">
        <v>3702</v>
      </c>
      <c r="AF85" s="34" t="s">
        <v>3703</v>
      </c>
      <c r="AG85" s="34" t="s">
        <v>3704</v>
      </c>
      <c r="AH85" s="34" t="s">
        <v>3705</v>
      </c>
      <c r="AI85" s="34" t="s">
        <v>3706</v>
      </c>
      <c r="AJ85" s="34" t="s">
        <v>3707</v>
      </c>
      <c r="AK85" s="34" t="s">
        <v>3708</v>
      </c>
      <c r="AL85" s="34" t="s">
        <v>3714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7" t="str">
        <f>IFERROR(INDEX(Структура_ассортимента[SuperCategory],MATCH(Товары[[#This Row],[SubGroup]],Структура_ассортимента[Subgroup],0)),"")</f>
        <v>A</v>
      </c>
      <c r="D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7" t="str">
        <f>IFERROR(INDEX(Структура_ассортимента[Product group],MATCH(Товары[[#This Row],[SubGroup]],Структура_ассортимента[Subgroup],0)),"")</f>
        <v>AMA_C</v>
      </c>
      <c r="G8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1635</v>
      </c>
      <c r="O86" s="37" t="s">
        <v>3715</v>
      </c>
      <c r="P86" s="37" t="s">
        <v>3716</v>
      </c>
      <c r="Q86" s="39" t="s">
        <v>3416</v>
      </c>
      <c r="R86" s="34" t="s">
        <v>3407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3413</v>
      </c>
      <c r="X86" s="34" t="s">
        <v>3654</v>
      </c>
      <c r="Y86" s="34" t="s">
        <v>3409</v>
      </c>
      <c r="Z86" s="34">
        <v>1</v>
      </c>
      <c r="AA86" s="34">
        <v>4220</v>
      </c>
      <c r="AB86" s="34" t="s">
        <v>3717</v>
      </c>
      <c r="AC86" s="34">
        <v>3300</v>
      </c>
      <c r="AD86" s="34" t="s">
        <v>3718</v>
      </c>
      <c r="AE86" s="34" t="s">
        <v>3719</v>
      </c>
      <c r="AF86" s="34" t="s">
        <v>3720</v>
      </c>
      <c r="AG86" s="34" t="s">
        <v>3721</v>
      </c>
      <c r="AH86" s="34" t="s">
        <v>3722</v>
      </c>
      <c r="AI86" s="34" t="s">
        <v>3505</v>
      </c>
      <c r="AJ86" s="34" t="s">
        <v>3723</v>
      </c>
      <c r="AK86" s="34" t="s">
        <v>3724</v>
      </c>
      <c r="AL86" s="34" t="s">
        <v>3725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7" t="str">
        <f>IFERROR(INDEX(Структура_ассортимента[SuperCategory],MATCH(Товары[[#This Row],[SubGroup]],Структура_ассортимента[Subgroup],0)),"")</f>
        <v>A</v>
      </c>
      <c r="D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7" t="str">
        <f>IFERROR(INDEX(Структура_ассортимента[Product group],MATCH(Товары[[#This Row],[SubGroup]],Структура_ассортимента[Subgroup],0)),"")</f>
        <v>AMA_C</v>
      </c>
      <c r="G8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1636</v>
      </c>
      <c r="O87" s="37" t="s">
        <v>3726</v>
      </c>
      <c r="P87" s="37" t="s">
        <v>3727</v>
      </c>
      <c r="Q87" s="39" t="s">
        <v>3416</v>
      </c>
      <c r="R87" s="34" t="s">
        <v>3407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3417</v>
      </c>
      <c r="X87" s="34" t="s">
        <v>3446</v>
      </c>
      <c r="Y87" s="34" t="s">
        <v>3409</v>
      </c>
      <c r="Z87" s="34">
        <v>6</v>
      </c>
      <c r="AA87" s="34" t="s">
        <v>3728</v>
      </c>
      <c r="AB87" s="34" t="s">
        <v>3729</v>
      </c>
      <c r="AC87" s="34" t="s">
        <v>3730</v>
      </c>
      <c r="AD87" s="34" t="s">
        <v>3731</v>
      </c>
      <c r="AE87" s="34" t="s">
        <v>3732</v>
      </c>
      <c r="AF87" s="34" t="s">
        <v>3732</v>
      </c>
      <c r="AG87" s="34" t="s">
        <v>3733</v>
      </c>
      <c r="AH87" s="34" t="s">
        <v>3734</v>
      </c>
      <c r="AL87" s="34" t="s">
        <v>3735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7" t="str">
        <f>IFERROR(INDEX(Структура_ассортимента[SuperCategory],MATCH(Товары[[#This Row],[SubGroup]],Структура_ассортимента[Subgroup],0)),"")</f>
        <v>A</v>
      </c>
      <c r="D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7" t="str">
        <f>IFERROR(INDEX(Структура_ассортимента[Product group],MATCH(Товары[[#This Row],[SubGroup]],Структура_ассортимента[Subgroup],0)),"")</f>
        <v>AMA_C</v>
      </c>
      <c r="G8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1637</v>
      </c>
      <c r="O88" s="37" t="s">
        <v>3736</v>
      </c>
      <c r="P88" s="37" t="s">
        <v>3737</v>
      </c>
      <c r="Q88" s="39" t="s">
        <v>3416</v>
      </c>
      <c r="R88" s="34" t="s">
        <v>3407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3417</v>
      </c>
      <c r="X88" s="34" t="s">
        <v>3446</v>
      </c>
      <c r="Y88" s="34" t="s">
        <v>3409</v>
      </c>
      <c r="Z88" s="34">
        <v>6</v>
      </c>
      <c r="AA88" s="34" t="s">
        <v>3738</v>
      </c>
      <c r="AB88" s="34" t="s">
        <v>3738</v>
      </c>
      <c r="AC88" s="34" t="s">
        <v>3463</v>
      </c>
      <c r="AD88" s="34" t="s">
        <v>3463</v>
      </c>
      <c r="AE88" s="34" t="s">
        <v>3575</v>
      </c>
      <c r="AF88" s="34" t="s">
        <v>3685</v>
      </c>
      <c r="AG88" s="34" t="s">
        <v>3685</v>
      </c>
      <c r="AH88" s="34" t="s">
        <v>3739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7" t="str">
        <f>IFERROR(INDEX(Структура_ассортимента[SuperCategory],MATCH(Товары[[#This Row],[SubGroup]],Структура_ассортимента[Subgroup],0)),"")</f>
        <v>A</v>
      </c>
      <c r="D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7" t="str">
        <f>IFERROR(INDEX(Структура_ассортимента[Product group],MATCH(Товары[[#This Row],[SubGroup]],Структура_ассортимента[Subgroup],0)),"")</f>
        <v>AMA_C</v>
      </c>
      <c r="G8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1638</v>
      </c>
      <c r="O89" s="37" t="s">
        <v>3740</v>
      </c>
      <c r="P89" s="37" t="s">
        <v>3741</v>
      </c>
      <c r="Q89" s="39" t="s">
        <v>3416</v>
      </c>
      <c r="R89" s="34" t="s">
        <v>3407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3417</v>
      </c>
      <c r="X89" s="34" t="s">
        <v>3446</v>
      </c>
      <c r="Y89" s="34" t="s">
        <v>3409</v>
      </c>
      <c r="Z89" s="34">
        <v>6</v>
      </c>
      <c r="AA89" s="34" t="s">
        <v>3742</v>
      </c>
      <c r="AB89" s="34" t="s">
        <v>3742</v>
      </c>
      <c r="AC89" s="34" t="s">
        <v>3743</v>
      </c>
      <c r="AD89" s="34" t="s">
        <v>3743</v>
      </c>
      <c r="AE89" s="34" t="s">
        <v>3744</v>
      </c>
      <c r="AF89" s="34" t="s">
        <v>3745</v>
      </c>
      <c r="AG89" s="34" t="s">
        <v>3745</v>
      </c>
      <c r="AH89" s="34" t="s">
        <v>3746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7" t="str">
        <f>IFERROR(INDEX(Структура_ассортимента[SuperCategory],MATCH(Товары[[#This Row],[SubGroup]],Структура_ассортимента[Subgroup],0)),"")</f>
        <v>A</v>
      </c>
      <c r="D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7" t="str">
        <f>IFERROR(INDEX(Структура_ассортимента[Product group],MATCH(Товары[[#This Row],[SubGroup]],Структура_ассортимента[Subgroup],0)),"")</f>
        <v>AMA_C</v>
      </c>
      <c r="G9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1639</v>
      </c>
      <c r="O90" s="37" t="s">
        <v>3747</v>
      </c>
      <c r="P90" s="37" t="s">
        <v>3748</v>
      </c>
      <c r="Q90" s="39" t="s">
        <v>3416</v>
      </c>
      <c r="R90" s="34" t="s">
        <v>3407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3417</v>
      </c>
      <c r="X90" s="34" t="s">
        <v>3446</v>
      </c>
      <c r="Y90" s="34" t="s">
        <v>3409</v>
      </c>
      <c r="Z90" s="34">
        <v>6</v>
      </c>
      <c r="AA90" s="34" t="s">
        <v>3749</v>
      </c>
      <c r="AB90" s="34" t="s">
        <v>3750</v>
      </c>
      <c r="AC90" s="34" t="s">
        <v>3751</v>
      </c>
      <c r="AD90" s="34" t="s">
        <v>3752</v>
      </c>
      <c r="AE90" s="34" t="s">
        <v>3732</v>
      </c>
      <c r="AF90" s="34" t="s">
        <v>3732</v>
      </c>
      <c r="AG90" s="34" t="s">
        <v>3753</v>
      </c>
      <c r="AH90" s="34" t="s">
        <v>3754</v>
      </c>
      <c r="AL90" s="34" t="s">
        <v>3735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7" t="str">
        <f>IFERROR(INDEX(Структура_ассортимента[SuperCategory],MATCH(Товары[[#This Row],[SubGroup]],Структура_ассортимента[Subgroup],0)),"")</f>
        <v>A</v>
      </c>
      <c r="D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7" t="str">
        <f>IFERROR(INDEX(Структура_ассортимента[Product group],MATCH(Товары[[#This Row],[SubGroup]],Структура_ассортимента[Subgroup],0)),"")</f>
        <v>AMA_C</v>
      </c>
      <c r="G9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1640</v>
      </c>
      <c r="O91" s="37" t="s">
        <v>3755</v>
      </c>
      <c r="P91" s="37" t="s">
        <v>3756</v>
      </c>
      <c r="Q91" s="39" t="s">
        <v>3416</v>
      </c>
      <c r="R91" s="34" t="s">
        <v>3407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3417</v>
      </c>
      <c r="X91" s="34" t="s">
        <v>3446</v>
      </c>
      <c r="Y91" s="34" t="s">
        <v>3409</v>
      </c>
      <c r="Z91" s="34">
        <v>6</v>
      </c>
      <c r="AA91" s="34" t="s">
        <v>3757</v>
      </c>
      <c r="AB91" s="34" t="s">
        <v>3758</v>
      </c>
      <c r="AC91" s="34" t="s">
        <v>3421</v>
      </c>
      <c r="AD91" s="34" t="s">
        <v>3759</v>
      </c>
      <c r="AE91" s="34" t="s">
        <v>3760</v>
      </c>
      <c r="AF91" s="34" t="s">
        <v>3760</v>
      </c>
      <c r="AG91" s="34" t="s">
        <v>3761</v>
      </c>
      <c r="AH91" s="34" t="s">
        <v>3762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7" t="str">
        <f>IFERROR(INDEX(Структура_ассортимента[SuperCategory],MATCH(Товары[[#This Row],[SubGroup]],Структура_ассортимента[Subgroup],0)),"")</f>
        <v>A</v>
      </c>
      <c r="D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7" t="str">
        <f>IFERROR(INDEX(Структура_ассортимента[Product group],MATCH(Товары[[#This Row],[SubGroup]],Структура_ассортимента[Subgroup],0)),"")</f>
        <v>AMA_C</v>
      </c>
      <c r="G9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7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1641</v>
      </c>
      <c r="O92" s="37" t="s">
        <v>3763</v>
      </c>
      <c r="P92" s="37" t="s">
        <v>3764</v>
      </c>
      <c r="Q92" s="39" t="s">
        <v>3416</v>
      </c>
      <c r="R92" s="34" t="s">
        <v>3407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3417</v>
      </c>
      <c r="X92" s="34" t="s">
        <v>3446</v>
      </c>
      <c r="Y92" s="34" t="s">
        <v>3409</v>
      </c>
      <c r="Z92" s="34">
        <v>6</v>
      </c>
      <c r="AA92" s="34" t="s">
        <v>3765</v>
      </c>
      <c r="AB92" s="34" t="s">
        <v>3766</v>
      </c>
      <c r="AC92" s="34" t="s">
        <v>3767</v>
      </c>
      <c r="AD92" s="34" t="s">
        <v>3768</v>
      </c>
      <c r="AE92" s="34" t="s">
        <v>3769</v>
      </c>
      <c r="AF92" s="34" t="s">
        <v>3770</v>
      </c>
      <c r="AG92" s="34" t="s">
        <v>3770</v>
      </c>
      <c r="AH92" s="34" t="s">
        <v>3771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7" t="str">
        <f>IFERROR(INDEX(Структура_ассортимента[SuperCategory],MATCH(Товары[[#This Row],[SubGroup]],Структура_ассортимента[Subgroup],0)),"")</f>
        <v>A</v>
      </c>
      <c r="D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7" t="str">
        <f>IFERROR(INDEX(Структура_ассортимента[Product group],MATCH(Товары[[#This Row],[SubGroup]],Структура_ассортимента[Subgroup],0)),"")</f>
        <v>AMA_C</v>
      </c>
      <c r="G9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1642</v>
      </c>
      <c r="O93" s="37" t="s">
        <v>3772</v>
      </c>
      <c r="P93" s="37" t="s">
        <v>3773</v>
      </c>
      <c r="Q93" s="39" t="s">
        <v>3519</v>
      </c>
      <c r="R93" s="34" t="s">
        <v>3407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3417</v>
      </c>
      <c r="X93" s="34" t="s">
        <v>3774</v>
      </c>
      <c r="Y93" s="34" t="s">
        <v>3409</v>
      </c>
      <c r="Z93" s="34">
        <v>1</v>
      </c>
      <c r="AA93" s="34" t="s">
        <v>3775</v>
      </c>
      <c r="AB93" s="34" t="s">
        <v>3775</v>
      </c>
      <c r="AC93" s="34" t="s">
        <v>3776</v>
      </c>
      <c r="AD93" s="34" t="s">
        <v>3776</v>
      </c>
      <c r="AE93" s="34" t="s">
        <v>3777</v>
      </c>
      <c r="AF93" s="34" t="s">
        <v>3778</v>
      </c>
      <c r="AG93" s="34" t="s">
        <v>3779</v>
      </c>
      <c r="AH93" s="34" t="s">
        <v>3780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7" t="str">
        <f>IFERROR(INDEX(Структура_ассортимента[SuperCategory],MATCH(Товары[[#This Row],[SubGroup]],Структура_ассортимента[Subgroup],0)),"")</f>
        <v>A</v>
      </c>
      <c r="D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7" t="str">
        <f>IFERROR(INDEX(Структура_ассортимента[Product group],MATCH(Товары[[#This Row],[SubGroup]],Структура_ассортимента[Subgroup],0)),"")</f>
        <v>AMA_C</v>
      </c>
      <c r="G9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1643</v>
      </c>
      <c r="Q94" s="39" t="s">
        <v>3519</v>
      </c>
      <c r="R94" s="34" t="s">
        <v>3407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3417</v>
      </c>
      <c r="X94" s="34" t="s">
        <v>3774</v>
      </c>
      <c r="Y94" s="34" t="s">
        <v>3409</v>
      </c>
      <c r="Z94" s="34">
        <v>1</v>
      </c>
      <c r="AA94" s="34" t="s">
        <v>3775</v>
      </c>
      <c r="AB94" s="34" t="s">
        <v>3775</v>
      </c>
      <c r="AC94" s="34" t="s">
        <v>3781</v>
      </c>
      <c r="AD94" s="34" t="s">
        <v>3781</v>
      </c>
      <c r="AE94" s="34" t="s">
        <v>3777</v>
      </c>
      <c r="AF94" s="34" t="s">
        <v>3778</v>
      </c>
      <c r="AG94" s="34" t="s">
        <v>3779</v>
      </c>
      <c r="AH94" s="34" t="s">
        <v>3780</v>
      </c>
      <c r="AL94" s="34">
        <v>20</v>
      </c>
      <c r="AM94" s="34" t="s">
        <v>7962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7" t="str">
        <f>IFERROR(INDEX(Структура_ассортимента[SuperCategory],MATCH(Товары[[#This Row],[SubGroup]],Структура_ассортимента[Subgroup],0)),"")</f>
        <v>A</v>
      </c>
      <c r="D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7" t="str">
        <f>IFERROR(INDEX(Структура_ассортимента[Product group],MATCH(Товары[[#This Row],[SubGroup]],Структура_ассортимента[Subgroup],0)),"")</f>
        <v>AMA_C</v>
      </c>
      <c r="G9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1644</v>
      </c>
      <c r="O95" s="37" t="s">
        <v>3782</v>
      </c>
      <c r="P95" s="37" t="s">
        <v>3783</v>
      </c>
      <c r="Q95" s="39" t="s">
        <v>3519</v>
      </c>
      <c r="R95" s="34" t="s">
        <v>3407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3408</v>
      </c>
      <c r="X95" s="34" t="s">
        <v>3571</v>
      </c>
      <c r="Y95" s="34" t="s">
        <v>3409</v>
      </c>
      <c r="Z95" s="34">
        <v>4</v>
      </c>
      <c r="AA95" s="34" t="s">
        <v>3784</v>
      </c>
      <c r="AB95" s="34" t="s">
        <v>3784</v>
      </c>
      <c r="AC95" s="34" t="s">
        <v>3595</v>
      </c>
      <c r="AD95" s="34" t="s">
        <v>3595</v>
      </c>
      <c r="AE95" s="34" t="s">
        <v>3785</v>
      </c>
      <c r="AF95" s="34" t="s">
        <v>3770</v>
      </c>
      <c r="AG95" s="34" t="s">
        <v>3454</v>
      </c>
      <c r="AH95" s="34" t="s">
        <v>3786</v>
      </c>
      <c r="AI95" s="34" t="s">
        <v>3457</v>
      </c>
      <c r="AJ95" s="34" t="s">
        <v>3787</v>
      </c>
      <c r="AK95" s="34" t="s">
        <v>3427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7" t="str">
        <f>IFERROR(INDEX(Структура_ассортимента[SuperCategory],MATCH(Товары[[#This Row],[SubGroup]],Структура_ассортимента[Subgroup],0)),"")</f>
        <v>A</v>
      </c>
      <c r="D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7" t="str">
        <f>IFERROR(INDEX(Структура_ассортимента[Product group],MATCH(Товары[[#This Row],[SubGroup]],Структура_ассортимента[Subgroup],0)),"")</f>
        <v>AMA_C</v>
      </c>
      <c r="G9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1645</v>
      </c>
      <c r="O96" s="37" t="s">
        <v>3788</v>
      </c>
      <c r="P96" s="37" t="s">
        <v>3789</v>
      </c>
      <c r="Q96" s="39" t="s">
        <v>3519</v>
      </c>
      <c r="R96" s="34" t="s">
        <v>3407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3414</v>
      </c>
      <c r="X96" s="34" t="s">
        <v>3571</v>
      </c>
      <c r="Y96" s="34" t="s">
        <v>3409</v>
      </c>
      <c r="Z96" s="34">
        <v>4</v>
      </c>
      <c r="AA96" s="34" t="s">
        <v>3646</v>
      </c>
      <c r="AB96" s="34" t="s">
        <v>3646</v>
      </c>
      <c r="AC96" s="34" t="s">
        <v>3584</v>
      </c>
      <c r="AD96" s="34" t="s">
        <v>3584</v>
      </c>
      <c r="AE96" s="34" t="s">
        <v>3790</v>
      </c>
      <c r="AF96" s="34" t="s">
        <v>3791</v>
      </c>
      <c r="AG96" s="34" t="s">
        <v>3791</v>
      </c>
      <c r="AH96" s="34" t="s">
        <v>3792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7" t="str">
        <f>IFERROR(INDEX(Структура_ассортимента[SuperCategory],MATCH(Товары[[#This Row],[SubGroup]],Структура_ассортимента[Subgroup],0)),"")</f>
        <v>A</v>
      </c>
      <c r="D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7" t="str">
        <f>IFERROR(INDEX(Структура_ассортимента[Product group],MATCH(Товары[[#This Row],[SubGroup]],Структура_ассортимента[Subgroup],0)),"")</f>
        <v>AMA_C</v>
      </c>
      <c r="G9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1646</v>
      </c>
      <c r="O97" s="37" t="s">
        <v>3793</v>
      </c>
      <c r="P97" s="37" t="s">
        <v>3794</v>
      </c>
      <c r="Q97" s="39" t="s">
        <v>3519</v>
      </c>
      <c r="R97" s="34" t="s">
        <v>3407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3414</v>
      </c>
      <c r="X97" s="34" t="s">
        <v>3571</v>
      </c>
      <c r="Y97" s="34" t="s">
        <v>3409</v>
      </c>
      <c r="Z97" s="34">
        <v>4</v>
      </c>
      <c r="AA97" s="34" t="s">
        <v>3795</v>
      </c>
      <c r="AB97" s="34" t="s">
        <v>3795</v>
      </c>
      <c r="AC97" s="34" t="s">
        <v>3796</v>
      </c>
      <c r="AD97" s="34" t="s">
        <v>3796</v>
      </c>
      <c r="AE97" s="34" t="s">
        <v>3797</v>
      </c>
      <c r="AF97" s="34" t="s">
        <v>3798</v>
      </c>
      <c r="AG97" s="34" t="s">
        <v>3799</v>
      </c>
      <c r="AH97" s="34" t="s">
        <v>3800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7" t="str">
        <f>IFERROR(INDEX(Структура_ассортимента[SuperCategory],MATCH(Товары[[#This Row],[SubGroup]],Структура_ассортимента[Subgroup],0)),"")</f>
        <v>A</v>
      </c>
      <c r="D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7" t="str">
        <f>IFERROR(INDEX(Структура_ассортимента[Product group],MATCH(Товары[[#This Row],[SubGroup]],Структура_ассортимента[Subgroup],0)),"")</f>
        <v>AMA_C</v>
      </c>
      <c r="G9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1647</v>
      </c>
      <c r="O98" s="37" t="s">
        <v>3801</v>
      </c>
      <c r="P98" s="37" t="s">
        <v>3802</v>
      </c>
      <c r="Q98" s="39" t="s">
        <v>3519</v>
      </c>
      <c r="R98" s="34" t="s">
        <v>3407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3803</v>
      </c>
      <c r="X98" s="34" t="s">
        <v>3446</v>
      </c>
      <c r="Y98" s="34" t="s">
        <v>3409</v>
      </c>
      <c r="Z98" s="34">
        <v>1</v>
      </c>
      <c r="AA98" s="34" t="s">
        <v>3503</v>
      </c>
      <c r="AB98" s="34" t="s">
        <v>3503</v>
      </c>
      <c r="AC98" s="34" t="s">
        <v>3804</v>
      </c>
      <c r="AD98" s="34" t="s">
        <v>3804</v>
      </c>
      <c r="AE98" s="34" t="s">
        <v>3805</v>
      </c>
      <c r="AF98" s="34" t="s">
        <v>3806</v>
      </c>
      <c r="AG98" s="34" t="s">
        <v>3807</v>
      </c>
      <c r="AH98" s="34" t="s">
        <v>3808</v>
      </c>
      <c r="AI98" s="34" t="s">
        <v>3809</v>
      </c>
      <c r="AJ98" s="34" t="s">
        <v>3810</v>
      </c>
      <c r="AK98" s="34" t="s">
        <v>3811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7" t="str">
        <f>IFERROR(INDEX(Структура_ассортимента[SuperCategory],MATCH(Товары[[#This Row],[SubGroup]],Структура_ассортимента[Subgroup],0)),"")</f>
        <v>A</v>
      </c>
      <c r="D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7" t="str">
        <f>IFERROR(INDEX(Структура_ассортимента[Product group],MATCH(Товары[[#This Row],[SubGroup]],Структура_ассортимента[Subgroup],0)),"")</f>
        <v>AMA_C</v>
      </c>
      <c r="G9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1648</v>
      </c>
      <c r="O99" s="37" t="s">
        <v>3812</v>
      </c>
      <c r="P99" s="37" t="s">
        <v>3813</v>
      </c>
      <c r="Q99" s="39" t="s">
        <v>3519</v>
      </c>
      <c r="R99" s="34" t="s">
        <v>3407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3803</v>
      </c>
      <c r="X99" s="34" t="s">
        <v>3446</v>
      </c>
      <c r="Y99" s="34" t="s">
        <v>3409</v>
      </c>
      <c r="Z99" s="34">
        <v>1</v>
      </c>
      <c r="AA99" s="34" t="s">
        <v>3814</v>
      </c>
      <c r="AB99" s="34" t="s">
        <v>3814</v>
      </c>
      <c r="AC99" s="34" t="s">
        <v>3815</v>
      </c>
      <c r="AD99" s="34" t="s">
        <v>3815</v>
      </c>
      <c r="AE99" s="34" t="s">
        <v>3769</v>
      </c>
      <c r="AF99" s="34" t="s">
        <v>3769</v>
      </c>
      <c r="AG99" s="34" t="s">
        <v>3816</v>
      </c>
      <c r="AH99" s="34" t="s">
        <v>3817</v>
      </c>
      <c r="AI99" s="34" t="s">
        <v>3809</v>
      </c>
      <c r="AJ99" s="34" t="s">
        <v>3555</v>
      </c>
      <c r="AK99" s="34" t="s">
        <v>3811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7" t="str">
        <f>IFERROR(INDEX(Структура_ассортимента[SuperCategory],MATCH(Товары[[#This Row],[SubGroup]],Структура_ассортимента[Subgroup],0)),"")</f>
        <v>A</v>
      </c>
      <c r="D1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7" t="str">
        <f>IFERROR(INDEX(Структура_ассортимента[Product group],MATCH(Товары[[#This Row],[SubGroup]],Структура_ассортимента[Subgroup],0)),"")</f>
        <v>AMA_C</v>
      </c>
      <c r="G10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1649</v>
      </c>
      <c r="O100" s="37" t="s">
        <v>3818</v>
      </c>
      <c r="P100" s="37" t="s">
        <v>3819</v>
      </c>
      <c r="Q100" s="39" t="s">
        <v>3519</v>
      </c>
      <c r="R100" s="34" t="s">
        <v>3407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3413</v>
      </c>
      <c r="X100" s="34" t="s">
        <v>3571</v>
      </c>
      <c r="Y100" s="34" t="s">
        <v>3409</v>
      </c>
      <c r="Z100" s="34">
        <v>10</v>
      </c>
      <c r="AA100" s="34" t="s">
        <v>3820</v>
      </c>
      <c r="AB100" s="34" t="s">
        <v>3820</v>
      </c>
      <c r="AC100" s="34" t="s">
        <v>3821</v>
      </c>
      <c r="AD100" s="34" t="s">
        <v>3821</v>
      </c>
      <c r="AE100" s="34" t="s">
        <v>3822</v>
      </c>
      <c r="AF100" s="34" t="s">
        <v>3685</v>
      </c>
      <c r="AG100" s="34" t="s">
        <v>3553</v>
      </c>
      <c r="AH100" s="34" t="s">
        <v>3823</v>
      </c>
      <c r="AI100" s="34" t="s">
        <v>3824</v>
      </c>
      <c r="AJ100" s="34" t="s">
        <v>3825</v>
      </c>
      <c r="AK100" s="34" t="s">
        <v>3826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7" t="str">
        <f>IFERROR(INDEX(Структура_ассортимента[SuperCategory],MATCH(Товары[[#This Row],[SubGroup]],Структура_ассортимента[Subgroup],0)),"")</f>
        <v>A</v>
      </c>
      <c r="D1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7" t="str">
        <f>IFERROR(INDEX(Структура_ассортимента[Product group],MATCH(Товары[[#This Row],[SubGroup]],Структура_ассортимента[Subgroup],0)),"")</f>
        <v>AMA_C</v>
      </c>
      <c r="G10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1650</v>
      </c>
      <c r="O101" s="37" t="s">
        <v>3827</v>
      </c>
      <c r="P101" s="37" t="s">
        <v>3828</v>
      </c>
      <c r="Q101" s="39" t="s">
        <v>3519</v>
      </c>
      <c r="R101" s="34" t="s">
        <v>3407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3413</v>
      </c>
      <c r="X101" s="34" t="s">
        <v>3571</v>
      </c>
      <c r="Y101" s="34" t="s">
        <v>3409</v>
      </c>
      <c r="Z101" s="34">
        <v>46</v>
      </c>
      <c r="AA101" s="34" t="s">
        <v>3829</v>
      </c>
      <c r="AB101" s="34" t="s">
        <v>3829</v>
      </c>
      <c r="AC101" s="34" t="s">
        <v>3820</v>
      </c>
      <c r="AD101" s="34" t="s">
        <v>3820</v>
      </c>
      <c r="AE101" s="34" t="s">
        <v>3830</v>
      </c>
      <c r="AF101" s="34" t="s">
        <v>3522</v>
      </c>
      <c r="AG101" s="34" t="s">
        <v>3745</v>
      </c>
      <c r="AH101" s="34" t="s">
        <v>3831</v>
      </c>
      <c r="AI101" s="34" t="s">
        <v>3832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7" t="str">
        <f>IFERROR(INDEX(Структура_ассортимента[SuperCategory],MATCH(Товары[[#This Row],[SubGroup]],Структура_ассортимента[Subgroup],0)),"")</f>
        <v>A</v>
      </c>
      <c r="D1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7" t="str">
        <f>IFERROR(INDEX(Структура_ассортимента[Product group],MATCH(Товары[[#This Row],[SubGroup]],Структура_ассортимента[Subgroup],0)),"")</f>
        <v>AMA_C</v>
      </c>
      <c r="G10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1651</v>
      </c>
      <c r="Q102" s="39" t="s">
        <v>3519</v>
      </c>
      <c r="R102" s="34" t="s">
        <v>3407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3413</v>
      </c>
      <c r="X102" s="34" t="s">
        <v>3571</v>
      </c>
      <c r="Y102" s="34" t="s">
        <v>3409</v>
      </c>
      <c r="Z102" s="34">
        <v>24</v>
      </c>
      <c r="AA102" s="34" t="s">
        <v>3501</v>
      </c>
      <c r="AB102" s="34" t="s">
        <v>3501</v>
      </c>
      <c r="AC102" s="34" t="s">
        <v>3833</v>
      </c>
      <c r="AD102" s="34" t="s">
        <v>3834</v>
      </c>
      <c r="AE102" s="34" t="s">
        <v>3693</v>
      </c>
      <c r="AF102" s="34" t="s">
        <v>3835</v>
      </c>
      <c r="AG102" s="34" t="s">
        <v>3553</v>
      </c>
      <c r="AH102" s="34" t="s">
        <v>3836</v>
      </c>
      <c r="AI102" s="34" t="s">
        <v>3832</v>
      </c>
      <c r="AL102" s="34" t="s">
        <v>3697</v>
      </c>
      <c r="AM102" s="34" t="s">
        <v>7962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7" t="str">
        <f>IFERROR(INDEX(Структура_ассортимента[SuperCategory],MATCH(Товары[[#This Row],[SubGroup]],Структура_ассортимента[Subgroup],0)),"")</f>
        <v>A</v>
      </c>
      <c r="D1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7" t="str">
        <f>IFERROR(INDEX(Структура_ассортимента[Product group],MATCH(Товары[[#This Row],[SubGroup]],Структура_ассортимента[Subgroup],0)),"")</f>
        <v>AMA_C</v>
      </c>
      <c r="G10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1652</v>
      </c>
      <c r="Q103" s="39" t="s">
        <v>3519</v>
      </c>
      <c r="R103" s="34" t="s">
        <v>3407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3413</v>
      </c>
      <c r="X103" s="34" t="s">
        <v>3571</v>
      </c>
      <c r="Y103" s="34" t="s">
        <v>3409</v>
      </c>
      <c r="Z103" s="34">
        <v>20</v>
      </c>
      <c r="AA103" s="34" t="s">
        <v>3815</v>
      </c>
      <c r="AB103" s="34" t="s">
        <v>3815</v>
      </c>
      <c r="AC103" s="34" t="s">
        <v>3837</v>
      </c>
      <c r="AD103" s="34" t="s">
        <v>3837</v>
      </c>
      <c r="AE103" s="34" t="s">
        <v>3822</v>
      </c>
      <c r="AF103" s="34" t="s">
        <v>3685</v>
      </c>
      <c r="AG103" s="34" t="s">
        <v>3553</v>
      </c>
      <c r="AH103" s="34" t="s">
        <v>3823</v>
      </c>
      <c r="AL103" s="34">
        <v>40</v>
      </c>
      <c r="AM103" s="34" t="s">
        <v>7962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7" t="str">
        <f>IFERROR(INDEX(Структура_ассортимента[SuperCategory],MATCH(Товары[[#This Row],[SubGroup]],Структура_ассортимента[Subgroup],0)),"")</f>
        <v>A</v>
      </c>
      <c r="D1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7" t="str">
        <f>IFERROR(INDEX(Структура_ассортимента[Product group],MATCH(Товары[[#This Row],[SubGroup]],Структура_ассортимента[Subgroup],0)),"")</f>
        <v>AMA_C</v>
      </c>
      <c r="G10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1653</v>
      </c>
      <c r="Q104" s="39" t="s">
        <v>3519</v>
      </c>
      <c r="R104" s="34" t="s">
        <v>3407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3414</v>
      </c>
      <c r="X104" s="34" t="s">
        <v>3571</v>
      </c>
      <c r="Y104" s="34" t="s">
        <v>3409</v>
      </c>
      <c r="Z104" s="34">
        <v>42</v>
      </c>
      <c r="AA104" s="34" t="s">
        <v>3838</v>
      </c>
      <c r="AB104" s="34" t="s">
        <v>3838</v>
      </c>
      <c r="AC104" s="34" t="s">
        <v>3839</v>
      </c>
      <c r="AD104" s="34" t="s">
        <v>3839</v>
      </c>
      <c r="AE104" s="34" t="s">
        <v>3822</v>
      </c>
      <c r="AF104" s="34" t="s">
        <v>3685</v>
      </c>
      <c r="AG104" s="34" t="s">
        <v>3553</v>
      </c>
      <c r="AH104" s="34" t="s">
        <v>3823</v>
      </c>
      <c r="AL104" s="34">
        <v>42</v>
      </c>
      <c r="AM104" s="34" t="s">
        <v>7962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7" t="str">
        <f>IFERROR(INDEX(Структура_ассортимента[SuperCategory],MATCH(Товары[[#This Row],[SubGroup]],Структура_ассортимента[Subgroup],0)),"")</f>
        <v>A</v>
      </c>
      <c r="D1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7" t="str">
        <f>IFERROR(INDEX(Структура_ассортимента[Product group],MATCH(Товары[[#This Row],[SubGroup]],Структура_ассортимента[Subgroup],0)),"")</f>
        <v>AMA_C</v>
      </c>
      <c r="G10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1654</v>
      </c>
      <c r="O105" s="37" t="s">
        <v>3840</v>
      </c>
      <c r="P105" s="37" t="s">
        <v>3841</v>
      </c>
      <c r="Q105" s="39" t="s">
        <v>3519</v>
      </c>
      <c r="R105" s="34" t="s">
        <v>3407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3413</v>
      </c>
      <c r="X105" s="34" t="s">
        <v>3571</v>
      </c>
      <c r="Y105" s="34" t="s">
        <v>3409</v>
      </c>
      <c r="Z105" s="34">
        <v>4</v>
      </c>
      <c r="AA105" s="34" t="s">
        <v>3730</v>
      </c>
      <c r="AB105" s="34" t="s">
        <v>3730</v>
      </c>
      <c r="AC105" s="34" t="s">
        <v>3489</v>
      </c>
      <c r="AD105" s="34" t="s">
        <v>3489</v>
      </c>
      <c r="AE105" s="34" t="s">
        <v>3692</v>
      </c>
      <c r="AF105" s="34" t="s">
        <v>3560</v>
      </c>
      <c r="AG105" s="34" t="s">
        <v>3842</v>
      </c>
      <c r="AH105" s="34" t="s">
        <v>3843</v>
      </c>
      <c r="AI105" s="34" t="s">
        <v>3844</v>
      </c>
      <c r="AJ105" s="34" t="s">
        <v>3522</v>
      </c>
      <c r="AK105" s="34" t="s">
        <v>3845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7" t="str">
        <f>IFERROR(INDEX(Структура_ассортимента[SuperCategory],MATCH(Товары[[#This Row],[SubGroup]],Структура_ассортимента[Subgroup],0)),"")</f>
        <v>A</v>
      </c>
      <c r="D1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7" t="str">
        <f>IFERROR(INDEX(Структура_ассортимента[Product group],MATCH(Товары[[#This Row],[SubGroup]],Структура_ассортимента[Subgroup],0)),"")</f>
        <v>AMA_C</v>
      </c>
      <c r="G10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1655</v>
      </c>
      <c r="O106" s="37" t="s">
        <v>3846</v>
      </c>
      <c r="P106" s="37" t="s">
        <v>3847</v>
      </c>
      <c r="Q106" s="39" t="s">
        <v>3519</v>
      </c>
      <c r="R106" s="34" t="s">
        <v>3407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3414</v>
      </c>
      <c r="X106" s="34" t="s">
        <v>3571</v>
      </c>
      <c r="Y106" s="34" t="s">
        <v>3409</v>
      </c>
      <c r="Z106" s="34">
        <v>24</v>
      </c>
      <c r="AA106" s="34">
        <v>20200</v>
      </c>
      <c r="AB106" s="34" t="s">
        <v>3730</v>
      </c>
      <c r="AC106" s="34">
        <v>13680</v>
      </c>
      <c r="AD106" s="34" t="s">
        <v>3489</v>
      </c>
      <c r="AE106" s="34" t="s">
        <v>3692</v>
      </c>
      <c r="AF106" s="34" t="s">
        <v>3560</v>
      </c>
      <c r="AG106" s="34" t="s">
        <v>3842</v>
      </c>
      <c r="AH106" s="34" t="s">
        <v>3843</v>
      </c>
      <c r="AL106" s="34" t="s">
        <v>3848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7" t="str">
        <f>IFERROR(INDEX(Структура_ассортимента[SuperCategory],MATCH(Товары[[#This Row],[SubGroup]],Структура_ассортимента[Subgroup],0)),"")</f>
        <v>A</v>
      </c>
      <c r="D1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7" t="str">
        <f>IFERROR(INDEX(Структура_ассортимента[Product group],MATCH(Товары[[#This Row],[SubGroup]],Структура_ассортимента[Subgroup],0)),"")</f>
        <v>AMA_C</v>
      </c>
      <c r="G10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1656</v>
      </c>
      <c r="Q107" s="39" t="s">
        <v>3519</v>
      </c>
      <c r="R107" s="34" t="s">
        <v>3407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3414</v>
      </c>
      <c r="X107" s="34" t="s">
        <v>3571</v>
      </c>
      <c r="Y107" s="34" t="s">
        <v>3409</v>
      </c>
      <c r="Z107" s="34">
        <v>1</v>
      </c>
      <c r="AA107" s="34" t="s">
        <v>3849</v>
      </c>
      <c r="AB107" s="34" t="s">
        <v>3849</v>
      </c>
      <c r="AC107" s="34" t="s">
        <v>3850</v>
      </c>
      <c r="AD107" s="34" t="s">
        <v>3850</v>
      </c>
      <c r="AE107" s="34" t="s">
        <v>3851</v>
      </c>
      <c r="AF107" s="34" t="s">
        <v>3851</v>
      </c>
      <c r="AG107" s="34" t="s">
        <v>3852</v>
      </c>
      <c r="AH107" s="34" t="s">
        <v>3853</v>
      </c>
      <c r="AI107" s="34" t="s">
        <v>3854</v>
      </c>
      <c r="AJ107" s="34" t="s">
        <v>3855</v>
      </c>
      <c r="AK107" s="34" t="s">
        <v>3856</v>
      </c>
      <c r="AL107" s="34">
        <v>40</v>
      </c>
      <c r="AM107" s="34" t="s">
        <v>7962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7" t="str">
        <f>IFERROR(INDEX(Структура_ассортимента[SuperCategory],MATCH(Товары[[#This Row],[SubGroup]],Структура_ассортимента[Subgroup],0)),"")</f>
        <v>A</v>
      </c>
      <c r="D1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7" t="str">
        <f>IFERROR(INDEX(Структура_ассортимента[Product group],MATCH(Товары[[#This Row],[SubGroup]],Структура_ассортимента[Subgroup],0)),"")</f>
        <v>AMA_C</v>
      </c>
      <c r="G10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1657</v>
      </c>
      <c r="Q108" s="39" t="s">
        <v>3519</v>
      </c>
      <c r="R108" s="34" t="s">
        <v>3407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3414</v>
      </c>
      <c r="X108" s="34" t="s">
        <v>3571</v>
      </c>
      <c r="Y108" s="34" t="s">
        <v>3409</v>
      </c>
      <c r="Z108" s="34">
        <v>30</v>
      </c>
      <c r="AA108" s="34" t="s">
        <v>3857</v>
      </c>
      <c r="AB108" s="34" t="s">
        <v>3857</v>
      </c>
      <c r="AC108" s="34" t="s">
        <v>3858</v>
      </c>
      <c r="AD108" s="34" t="s">
        <v>3857</v>
      </c>
      <c r="AE108" s="34" t="s">
        <v>3842</v>
      </c>
      <c r="AF108" s="34" t="s">
        <v>3427</v>
      </c>
      <c r="AG108" s="34" t="s">
        <v>3433</v>
      </c>
      <c r="AH108" s="34" t="s">
        <v>3859</v>
      </c>
      <c r="AL108" s="34">
        <v>120</v>
      </c>
      <c r="AM108" s="34" t="s">
        <v>7962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7" t="str">
        <f>IFERROR(INDEX(Структура_ассортимента[SuperCategory],MATCH(Товары[[#This Row],[SubGroup]],Структура_ассортимента[Subgroup],0)),"")</f>
        <v>A</v>
      </c>
      <c r="D1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7" t="str">
        <f>IFERROR(INDEX(Структура_ассортимента[Product group],MATCH(Товары[[#This Row],[SubGroup]],Структура_ассортимента[Subgroup],0)),"")</f>
        <v>AMA_C</v>
      </c>
      <c r="G10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1658</v>
      </c>
      <c r="O109" s="37" t="s">
        <v>3860</v>
      </c>
      <c r="P109" s="37" t="s">
        <v>3861</v>
      </c>
      <c r="Q109" s="39" t="s">
        <v>3519</v>
      </c>
      <c r="R109" s="34" t="s">
        <v>3407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3414</v>
      </c>
      <c r="X109" s="34" t="s">
        <v>3571</v>
      </c>
      <c r="Y109" s="34" t="s">
        <v>3409</v>
      </c>
      <c r="Z109" s="34">
        <v>8</v>
      </c>
      <c r="AA109" s="34" t="s">
        <v>3862</v>
      </c>
      <c r="AB109" s="34" t="s">
        <v>3597</v>
      </c>
      <c r="AC109" s="34" t="s">
        <v>3863</v>
      </c>
      <c r="AD109" s="34" t="s">
        <v>3673</v>
      </c>
      <c r="AE109" s="34" t="s">
        <v>3864</v>
      </c>
      <c r="AF109" s="34" t="s">
        <v>3427</v>
      </c>
      <c r="AG109" s="34" t="s">
        <v>3574</v>
      </c>
      <c r="AH109" s="34" t="s">
        <v>3865</v>
      </c>
      <c r="AI109" s="34" t="s">
        <v>3466</v>
      </c>
      <c r="AJ109" s="34" t="s">
        <v>3864</v>
      </c>
      <c r="AK109" s="34" t="s">
        <v>3866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7" t="str">
        <f>IFERROR(INDEX(Структура_ассортимента[SuperCategory],MATCH(Товары[[#This Row],[SubGroup]],Структура_ассортимента[Subgroup],0)),"")</f>
        <v>A</v>
      </c>
      <c r="D1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7" t="str">
        <f>IFERROR(INDEX(Структура_ассортимента[Product group],MATCH(Товары[[#This Row],[SubGroup]],Структура_ассортимента[Subgroup],0)),"")</f>
        <v>AMA_C</v>
      </c>
      <c r="G11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1659</v>
      </c>
      <c r="O110" s="37" t="s">
        <v>3867</v>
      </c>
      <c r="P110" s="37" t="s">
        <v>3868</v>
      </c>
      <c r="Q110" s="39" t="s">
        <v>3519</v>
      </c>
      <c r="R110" s="34" t="s">
        <v>3407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3414</v>
      </c>
      <c r="X110" s="34" t="s">
        <v>3571</v>
      </c>
      <c r="Y110" s="34" t="s">
        <v>3409</v>
      </c>
      <c r="Z110" s="34">
        <v>6</v>
      </c>
      <c r="AA110" s="34" t="s">
        <v>3673</v>
      </c>
      <c r="AB110" s="34" t="s">
        <v>3673</v>
      </c>
      <c r="AC110" s="34" t="s">
        <v>3869</v>
      </c>
      <c r="AD110" s="34" t="s">
        <v>3869</v>
      </c>
      <c r="AE110" s="34" t="s">
        <v>3842</v>
      </c>
      <c r="AF110" s="34" t="s">
        <v>3427</v>
      </c>
      <c r="AG110" s="34" t="s">
        <v>3433</v>
      </c>
      <c r="AH110" s="34" t="s">
        <v>3859</v>
      </c>
      <c r="AI110" s="34" t="s">
        <v>3870</v>
      </c>
      <c r="AJ110" s="34" t="s">
        <v>3842</v>
      </c>
      <c r="AK110" s="34" t="s">
        <v>3491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7" t="str">
        <f>IFERROR(INDEX(Структура_ассортимента[SuperCategory],MATCH(Товары[[#This Row],[SubGroup]],Структура_ассортимента[Subgroup],0)),"")</f>
        <v>A</v>
      </c>
      <c r="D1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7" t="str">
        <f>IFERROR(INDEX(Структура_ассортимента[Product group],MATCH(Товары[[#This Row],[SubGroup]],Структура_ассортимента[Subgroup],0)),"")</f>
        <v>AMA_C</v>
      </c>
      <c r="G11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1660</v>
      </c>
      <c r="O111" s="37" t="s">
        <v>3871</v>
      </c>
      <c r="P111" s="37" t="s">
        <v>3872</v>
      </c>
      <c r="Q111" s="39" t="s">
        <v>3519</v>
      </c>
      <c r="R111" s="34" t="s">
        <v>3407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3414</v>
      </c>
      <c r="X111" s="34" t="s">
        <v>3571</v>
      </c>
      <c r="Y111" s="34" t="s">
        <v>3409</v>
      </c>
      <c r="Z111" s="34">
        <v>6</v>
      </c>
      <c r="AA111" s="34" t="s">
        <v>3873</v>
      </c>
      <c r="AB111" s="34" t="s">
        <v>3873</v>
      </c>
      <c r="AC111" s="34" t="s">
        <v>3874</v>
      </c>
      <c r="AD111" s="34" t="s">
        <v>3874</v>
      </c>
      <c r="AE111" s="34" t="s">
        <v>3427</v>
      </c>
      <c r="AF111" s="34" t="s">
        <v>3433</v>
      </c>
      <c r="AG111" s="34" t="s">
        <v>3842</v>
      </c>
      <c r="AH111" s="34" t="s">
        <v>3859</v>
      </c>
      <c r="AI111" s="34" t="s">
        <v>3870</v>
      </c>
      <c r="AJ111" s="34" t="s">
        <v>3842</v>
      </c>
      <c r="AK111" s="34" t="s">
        <v>3491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7" t="str">
        <f>IFERROR(INDEX(Структура_ассортимента[SuperCategory],MATCH(Товары[[#This Row],[SubGroup]],Структура_ассортимента[Subgroup],0)),"")</f>
        <v>A</v>
      </c>
      <c r="D1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7" t="str">
        <f>IFERROR(INDEX(Структура_ассортимента[Product group],MATCH(Товары[[#This Row],[SubGroup]],Структура_ассортимента[Subgroup],0)),"")</f>
        <v>AMA_C</v>
      </c>
      <c r="G11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1661</v>
      </c>
      <c r="Q112" s="39" t="s">
        <v>3416</v>
      </c>
      <c r="R112" s="34" t="s">
        <v>3407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3410</v>
      </c>
      <c r="X112" s="34" t="s">
        <v>3446</v>
      </c>
      <c r="Y112" s="34" t="s">
        <v>3409</v>
      </c>
      <c r="Z112" s="34">
        <v>8</v>
      </c>
      <c r="AB112" s="34" t="s">
        <v>3700</v>
      </c>
      <c r="AD112" s="34" t="s">
        <v>3701</v>
      </c>
      <c r="AE112" s="34" t="s">
        <v>3702</v>
      </c>
      <c r="AF112" s="34" t="s">
        <v>3703</v>
      </c>
      <c r="AG112" s="34" t="s">
        <v>3704</v>
      </c>
      <c r="AH112" s="34" t="s">
        <v>3705</v>
      </c>
      <c r="AI112" s="34" t="s">
        <v>3706</v>
      </c>
      <c r="AJ112" s="34" t="s">
        <v>3707</v>
      </c>
      <c r="AK112" s="34" t="s">
        <v>3708</v>
      </c>
      <c r="AL112" s="34" t="s">
        <v>3714</v>
      </c>
      <c r="AM112" s="34" t="s">
        <v>7962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7" t="str">
        <f>IFERROR(INDEX(Структура_ассортимента[SuperCategory],MATCH(Товары[[#This Row],[SubGroup]],Структура_ассортимента[Subgroup],0)),"")</f>
        <v>A</v>
      </c>
      <c r="D1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7" t="str">
        <f>IFERROR(INDEX(Структура_ассортимента[Product group],MATCH(Товары[[#This Row],[SubGroup]],Структура_ассортимента[Subgroup],0)),"")</f>
        <v>AMA_C</v>
      </c>
      <c r="G11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1662</v>
      </c>
      <c r="Q113" s="39" t="s">
        <v>3416</v>
      </c>
      <c r="R113" s="34" t="s">
        <v>3407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3410</v>
      </c>
      <c r="X113" s="34" t="s">
        <v>3446</v>
      </c>
      <c r="Y113" s="34" t="s">
        <v>3409</v>
      </c>
      <c r="Z113" s="34">
        <v>8</v>
      </c>
      <c r="AB113" s="34" t="s">
        <v>3700</v>
      </c>
      <c r="AD113" s="34" t="s">
        <v>3701</v>
      </c>
      <c r="AE113" s="34" t="s">
        <v>3702</v>
      </c>
      <c r="AF113" s="34" t="s">
        <v>3703</v>
      </c>
      <c r="AG113" s="34" t="s">
        <v>3704</v>
      </c>
      <c r="AH113" s="34" t="s">
        <v>3705</v>
      </c>
      <c r="AI113" s="34" t="s">
        <v>3706</v>
      </c>
      <c r="AJ113" s="34" t="s">
        <v>3707</v>
      </c>
      <c r="AK113" s="34" t="s">
        <v>3708</v>
      </c>
      <c r="AL113" s="34" t="s">
        <v>3714</v>
      </c>
      <c r="AM113" s="34" t="s">
        <v>7962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7" t="str">
        <f>IFERROR(INDEX(Структура_ассортимента[SuperCategory],MATCH(Товары[[#This Row],[SubGroup]],Структура_ассортимента[Subgroup],0)),"")</f>
        <v>A</v>
      </c>
      <c r="D1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7" t="str">
        <f>IFERROR(INDEX(Структура_ассортимента[Product group],MATCH(Товары[[#This Row],[SubGroup]],Структура_ассортимента[Subgroup],0)),"")</f>
        <v>AMA_C</v>
      </c>
      <c r="G11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1663</v>
      </c>
      <c r="O114" s="37" t="s">
        <v>3875</v>
      </c>
      <c r="P114" s="37" t="s">
        <v>3876</v>
      </c>
      <c r="Q114" s="39" t="s">
        <v>3416</v>
      </c>
      <c r="R114" s="34" t="s">
        <v>3407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3413</v>
      </c>
      <c r="X114" s="34" t="s">
        <v>3418</v>
      </c>
      <c r="Y114" s="34" t="s">
        <v>3409</v>
      </c>
      <c r="Z114" s="34">
        <v>1</v>
      </c>
      <c r="AA114" s="34" t="s">
        <v>3877</v>
      </c>
      <c r="AB114" s="34" t="s">
        <v>3877</v>
      </c>
      <c r="AC114" s="34" t="s">
        <v>3878</v>
      </c>
      <c r="AD114" s="34" t="s">
        <v>3879</v>
      </c>
      <c r="AE114" s="34" t="s">
        <v>3880</v>
      </c>
      <c r="AF114" s="34" t="s">
        <v>3609</v>
      </c>
      <c r="AG114" s="34" t="s">
        <v>3881</v>
      </c>
      <c r="AH114" s="34" t="s">
        <v>3882</v>
      </c>
      <c r="AI114" s="34" t="s">
        <v>3883</v>
      </c>
      <c r="AJ114" s="34" t="s">
        <v>3884</v>
      </c>
      <c r="AK114" s="34" t="s">
        <v>3885</v>
      </c>
      <c r="AL114" s="34" t="s">
        <v>3886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7" t="str">
        <f>IFERROR(INDEX(Структура_ассортимента[SuperCategory],MATCH(Товары[[#This Row],[SubGroup]],Структура_ассортимента[Subgroup],0)),"")</f>
        <v>A</v>
      </c>
      <c r="D1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7" t="str">
        <f>IFERROR(INDEX(Структура_ассортимента[Product group],MATCH(Товары[[#This Row],[SubGroup]],Структура_ассортимента[Subgroup],0)),"")</f>
        <v>AMA_C</v>
      </c>
      <c r="G11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1664</v>
      </c>
      <c r="O115" s="37" t="s">
        <v>3887</v>
      </c>
      <c r="P115" s="37" t="s">
        <v>3888</v>
      </c>
      <c r="Q115" s="39" t="s">
        <v>3416</v>
      </c>
      <c r="R115" s="34" t="s">
        <v>3407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3413</v>
      </c>
      <c r="Y115" s="34" t="s">
        <v>3409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7" t="str">
        <f>IFERROR(INDEX(Структура_ассортимента[SuperCategory],MATCH(Товары[[#This Row],[SubGroup]],Структура_ассортимента[Subgroup],0)),"")</f>
        <v>A</v>
      </c>
      <c r="D1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7" t="str">
        <f>IFERROR(INDEX(Структура_ассортимента[Product group],MATCH(Товары[[#This Row],[SubGroup]],Структура_ассортимента[Subgroup],0)),"")</f>
        <v>AMA_C</v>
      </c>
      <c r="G11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1665</v>
      </c>
      <c r="O116" s="37" t="s">
        <v>3889</v>
      </c>
      <c r="P116" s="37" t="s">
        <v>3890</v>
      </c>
      <c r="Q116" s="39" t="s">
        <v>3416</v>
      </c>
      <c r="R116" s="34" t="s">
        <v>3407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3413</v>
      </c>
      <c r="Y116" s="34" t="s">
        <v>3409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7" t="str">
        <f>IFERROR(INDEX(Структура_ассортимента[SuperCategory],MATCH(Товары[[#This Row],[SubGroup]],Структура_ассортимента[Subgroup],0)),"")</f>
        <v>A</v>
      </c>
      <c r="D1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7" t="str">
        <f>IFERROR(INDEX(Структура_ассортимента[Product group],MATCH(Товары[[#This Row],[SubGroup]],Структура_ассортимента[Subgroup],0)),"")</f>
        <v>AMA_C</v>
      </c>
      <c r="G11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1666</v>
      </c>
      <c r="O117" s="37" t="s">
        <v>3891</v>
      </c>
      <c r="P117" s="37" t="s">
        <v>3892</v>
      </c>
      <c r="Q117" s="39" t="s">
        <v>3416</v>
      </c>
      <c r="R117" s="34" t="s">
        <v>3407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3413</v>
      </c>
      <c r="Y117" s="34" t="s">
        <v>3409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7" t="str">
        <f>IFERROR(INDEX(Структура_ассортимента[SuperCategory],MATCH(Товары[[#This Row],[SubGroup]],Структура_ассортимента[Subgroup],0)),"")</f>
        <v>A</v>
      </c>
      <c r="D1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7" t="str">
        <f>IFERROR(INDEX(Структура_ассортимента[Product group],MATCH(Товары[[#This Row],[SubGroup]],Структура_ассортимента[Subgroup],0)),"")</f>
        <v>AMA_C</v>
      </c>
      <c r="G11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1667</v>
      </c>
      <c r="O118" s="37" t="s">
        <v>3893</v>
      </c>
      <c r="P118" s="37" t="s">
        <v>3894</v>
      </c>
      <c r="Q118" s="39" t="s">
        <v>3416</v>
      </c>
      <c r="R118" s="34" t="s">
        <v>3407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3413</v>
      </c>
      <c r="Y118" s="34" t="s">
        <v>3409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7" t="str">
        <f>IFERROR(INDEX(Структура_ассортимента[SuperCategory],MATCH(Товары[[#This Row],[SubGroup]],Структура_ассортимента[Subgroup],0)),"")</f>
        <v>A</v>
      </c>
      <c r="D1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7" t="str">
        <f>IFERROR(INDEX(Структура_ассортимента[Product group],MATCH(Товары[[#This Row],[SubGroup]],Структура_ассортимента[Subgroup],0)),"")</f>
        <v>AMA_C</v>
      </c>
      <c r="G11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1668</v>
      </c>
      <c r="O119" s="37" t="s">
        <v>3895</v>
      </c>
      <c r="P119" s="37" t="s">
        <v>3896</v>
      </c>
      <c r="Q119" s="39" t="s">
        <v>3416</v>
      </c>
      <c r="R119" s="34" t="s">
        <v>3407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3413</v>
      </c>
      <c r="Y119" s="34" t="s">
        <v>3409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7" t="str">
        <f>IFERROR(INDEX(Структура_ассортимента[SuperCategory],MATCH(Товары[[#This Row],[SubGroup]],Структура_ассортимента[Subgroup],0)),"")</f>
        <v>A</v>
      </c>
      <c r="D1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7" t="str">
        <f>IFERROR(INDEX(Структура_ассортимента[Product group],MATCH(Товары[[#This Row],[SubGroup]],Структура_ассортимента[Subgroup],0)),"")</f>
        <v>AMA_C</v>
      </c>
      <c r="G12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1669</v>
      </c>
      <c r="O120" s="37" t="s">
        <v>3897</v>
      </c>
      <c r="P120" s="37" t="s">
        <v>3898</v>
      </c>
      <c r="Q120" s="39" t="s">
        <v>3416</v>
      </c>
      <c r="R120" s="34" t="s">
        <v>3407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3413</v>
      </c>
      <c r="Y120" s="34" t="s">
        <v>3409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7" t="str">
        <f>IFERROR(INDEX(Структура_ассортимента[SuperCategory],MATCH(Товары[[#This Row],[SubGroup]],Структура_ассортимента[Subgroup],0)),"")</f>
        <v>A</v>
      </c>
      <c r="D1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7" t="str">
        <f>IFERROR(INDEX(Структура_ассортимента[Product group],MATCH(Товары[[#This Row],[SubGroup]],Структура_ассортимента[Subgroup],0)),"")</f>
        <v>AMA_C</v>
      </c>
      <c r="G12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1670</v>
      </c>
      <c r="O121" s="37" t="s">
        <v>3899</v>
      </c>
      <c r="P121" s="37" t="s">
        <v>3900</v>
      </c>
      <c r="Q121" s="39" t="s">
        <v>3416</v>
      </c>
      <c r="R121" s="34" t="s">
        <v>3407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3413</v>
      </c>
      <c r="Y121" s="34" t="s">
        <v>3409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7" t="str">
        <f>IFERROR(INDEX(Структура_ассортимента[SuperCategory],MATCH(Товары[[#This Row],[SubGroup]],Структура_ассортимента[Subgroup],0)),"")</f>
        <v>A</v>
      </c>
      <c r="D1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7" t="str">
        <f>IFERROR(INDEX(Структура_ассортимента[Product group],MATCH(Товары[[#This Row],[SubGroup]],Структура_ассортимента[Subgroup],0)),"")</f>
        <v>AMA_C</v>
      </c>
      <c r="G12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1671</v>
      </c>
      <c r="O122" s="37" t="s">
        <v>3901</v>
      </c>
      <c r="P122" s="37" t="s">
        <v>3902</v>
      </c>
      <c r="Q122" s="39" t="s">
        <v>3416</v>
      </c>
      <c r="R122" s="34" t="s">
        <v>3407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3413</v>
      </c>
      <c r="Y122" s="34" t="s">
        <v>3409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7" t="str">
        <f>IFERROR(INDEX(Структура_ассортимента[SuperCategory],MATCH(Товары[[#This Row],[SubGroup]],Структура_ассортимента[Subgroup],0)),"")</f>
        <v>A</v>
      </c>
      <c r="D1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7" t="str">
        <f>IFERROR(INDEX(Структура_ассортимента[Product group],MATCH(Товары[[#This Row],[SubGroup]],Структура_ассортимента[Subgroup],0)),"")</f>
        <v>AMA_C</v>
      </c>
      <c r="G12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1672</v>
      </c>
      <c r="O123" s="37" t="s">
        <v>3903</v>
      </c>
      <c r="P123" s="37" t="s">
        <v>3904</v>
      </c>
      <c r="Q123" s="39" t="s">
        <v>3416</v>
      </c>
      <c r="R123" s="34" t="s">
        <v>3407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3413</v>
      </c>
      <c r="Y123" s="34" t="s">
        <v>3409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7" t="str">
        <f>IFERROR(INDEX(Структура_ассортимента[SuperCategory],MATCH(Товары[[#This Row],[SubGroup]],Структура_ассортимента[Subgroup],0)),"")</f>
        <v>A</v>
      </c>
      <c r="D1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7" t="str">
        <f>IFERROR(INDEX(Структура_ассортимента[Product group],MATCH(Товары[[#This Row],[SubGroup]],Структура_ассортимента[Subgroup],0)),"")</f>
        <v>AMA_C</v>
      </c>
      <c r="G12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1673</v>
      </c>
      <c r="O124" s="37" t="s">
        <v>3905</v>
      </c>
      <c r="P124" s="37" t="s">
        <v>3906</v>
      </c>
      <c r="Q124" s="39" t="s">
        <v>3416</v>
      </c>
      <c r="R124" s="34" t="s">
        <v>3407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3413</v>
      </c>
      <c r="Y124" s="34" t="s">
        <v>3409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7" t="str">
        <f>IFERROR(INDEX(Структура_ассортимента[SuperCategory],MATCH(Товары[[#This Row],[SubGroup]],Структура_ассортимента[Subgroup],0)),"")</f>
        <v>A</v>
      </c>
      <c r="D1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7" t="str">
        <f>IFERROR(INDEX(Структура_ассортимента[Product group],MATCH(Товары[[#This Row],[SubGroup]],Структура_ассортимента[Subgroup],0)),"")</f>
        <v>AMA_C</v>
      </c>
      <c r="G12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1674</v>
      </c>
      <c r="O125" s="37" t="s">
        <v>3907</v>
      </c>
      <c r="P125" s="37" t="s">
        <v>3908</v>
      </c>
      <c r="Q125" s="39" t="s">
        <v>3416</v>
      </c>
      <c r="R125" s="34" t="s">
        <v>3407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3413</v>
      </c>
      <c r="Y125" s="34" t="s">
        <v>3409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7" t="str">
        <f>IFERROR(INDEX(Структура_ассортимента[SuperCategory],MATCH(Товары[[#This Row],[SubGroup]],Структура_ассортимента[Subgroup],0)),"")</f>
        <v>A</v>
      </c>
      <c r="D1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7" t="str">
        <f>IFERROR(INDEX(Структура_ассортимента[Product group],MATCH(Товары[[#This Row],[SubGroup]],Структура_ассортимента[Subgroup],0)),"")</f>
        <v>AMA_C</v>
      </c>
      <c r="G12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1675</v>
      </c>
      <c r="O126" s="37" t="s">
        <v>3909</v>
      </c>
      <c r="P126" s="37" t="s">
        <v>3910</v>
      </c>
      <c r="Q126" s="39" t="s">
        <v>3416</v>
      </c>
      <c r="R126" s="34" t="s">
        <v>3407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3413</v>
      </c>
      <c r="Y126" s="34" t="s">
        <v>3409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7" t="str">
        <f>IFERROR(INDEX(Структура_ассортимента[SuperCategory],MATCH(Товары[[#This Row],[SubGroup]],Структура_ассортимента[Subgroup],0)),"")</f>
        <v>A</v>
      </c>
      <c r="D1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7" t="str">
        <f>IFERROR(INDEX(Структура_ассортимента[Product group],MATCH(Товары[[#This Row],[SubGroup]],Структура_ассортимента[Subgroup],0)),"")</f>
        <v>AMA_C</v>
      </c>
      <c r="G12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1676</v>
      </c>
      <c r="O127" s="37" t="s">
        <v>3911</v>
      </c>
      <c r="P127" s="37" t="s">
        <v>3912</v>
      </c>
      <c r="Q127" s="39" t="s">
        <v>3416</v>
      </c>
      <c r="R127" s="34" t="s">
        <v>3407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3413</v>
      </c>
      <c r="Y127" s="34" t="s">
        <v>3409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7" t="str">
        <f>IFERROR(INDEX(Структура_ассортимента[SuperCategory],MATCH(Товары[[#This Row],[SubGroup]],Структура_ассортимента[Subgroup],0)),"")</f>
        <v>A</v>
      </c>
      <c r="D1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7" t="str">
        <f>IFERROR(INDEX(Структура_ассортимента[Product group],MATCH(Товары[[#This Row],[SubGroup]],Структура_ассортимента[Subgroup],0)),"")</f>
        <v>AMA_C</v>
      </c>
      <c r="G12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1677</v>
      </c>
      <c r="O128" s="37" t="s">
        <v>3913</v>
      </c>
      <c r="P128" s="37" t="s">
        <v>3914</v>
      </c>
      <c r="Q128" s="39" t="s">
        <v>3416</v>
      </c>
      <c r="R128" s="34" t="s">
        <v>3407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3413</v>
      </c>
      <c r="Y128" s="34" t="s">
        <v>3409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7" t="str">
        <f>IFERROR(INDEX(Структура_ассортимента[SuperCategory],MATCH(Товары[[#This Row],[SubGroup]],Структура_ассортимента[Subgroup],0)),"")</f>
        <v>A</v>
      </c>
      <c r="D1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7" t="str">
        <f>IFERROR(INDEX(Структура_ассортимента[Product group],MATCH(Товары[[#This Row],[SubGroup]],Структура_ассортимента[Subgroup],0)),"")</f>
        <v>AMA_C</v>
      </c>
      <c r="G12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1678</v>
      </c>
      <c r="P129" s="37" t="s">
        <v>3915</v>
      </c>
      <c r="Q129" s="39" t="s">
        <v>3416</v>
      </c>
      <c r="R129" s="34" t="s">
        <v>3407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3408</v>
      </c>
      <c r="Y129" s="34" t="s">
        <v>3409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7" t="str">
        <f>IFERROR(INDEX(Структура_ассортимента[SuperCategory],MATCH(Товары[[#This Row],[SubGroup]],Структура_ассортимента[Subgroup],0)),"")</f>
        <v>A</v>
      </c>
      <c r="D1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7" t="str">
        <f>IFERROR(INDEX(Структура_ассортимента[Product group],MATCH(Товары[[#This Row],[SubGroup]],Структура_ассортимента[Subgroup],0)),"")</f>
        <v>AMA_C</v>
      </c>
      <c r="G13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1679</v>
      </c>
      <c r="O130" s="37" t="s">
        <v>3916</v>
      </c>
      <c r="P130" s="37" t="s">
        <v>3917</v>
      </c>
      <c r="Q130" s="39" t="s">
        <v>3416</v>
      </c>
      <c r="R130" s="34" t="s">
        <v>3407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3413</v>
      </c>
      <c r="Y130" s="34" t="s">
        <v>3409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7" t="str">
        <f>IFERROR(INDEX(Структура_ассортимента[SuperCategory],MATCH(Товары[[#This Row],[SubGroup]],Структура_ассортимента[Subgroup],0)),"")</f>
        <v>A</v>
      </c>
      <c r="D1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7" t="str">
        <f>IFERROR(INDEX(Структура_ассортимента[Product group],MATCH(Товары[[#This Row],[SubGroup]],Структура_ассортимента[Subgroup],0)),"")</f>
        <v>AMA_C</v>
      </c>
      <c r="G13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1680</v>
      </c>
      <c r="O131" s="37" t="s">
        <v>3918</v>
      </c>
      <c r="P131" s="37" t="s">
        <v>3919</v>
      </c>
      <c r="Q131" s="39" t="s">
        <v>3416</v>
      </c>
      <c r="R131" s="34" t="s">
        <v>3407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3413</v>
      </c>
      <c r="Y131" s="34" t="s">
        <v>3409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7" t="str">
        <f>IFERROR(INDEX(Структура_ассортимента[SuperCategory],MATCH(Товары[[#This Row],[SubGroup]],Структура_ассортимента[Subgroup],0)),"")</f>
        <v>A</v>
      </c>
      <c r="D1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7" t="str">
        <f>IFERROR(INDEX(Структура_ассортимента[Product group],MATCH(Товары[[#This Row],[SubGroup]],Структура_ассортимента[Subgroup],0)),"")</f>
        <v>AMA_C</v>
      </c>
      <c r="G13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1681</v>
      </c>
      <c r="P132" s="37" t="s">
        <v>3920</v>
      </c>
      <c r="Q132" s="39" t="s">
        <v>3416</v>
      </c>
      <c r="R132" s="34" t="s">
        <v>3407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3413</v>
      </c>
      <c r="Y132" s="34" t="s">
        <v>3409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7" t="str">
        <f>IFERROR(INDEX(Структура_ассортимента[SuperCategory],MATCH(Товары[[#This Row],[SubGroup]],Структура_ассортимента[Subgroup],0)),"")</f>
        <v>A</v>
      </c>
      <c r="D1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7" t="str">
        <f>IFERROR(INDEX(Структура_ассортимента[Product group],MATCH(Товары[[#This Row],[SubGroup]],Структура_ассортимента[Subgroup],0)),"")</f>
        <v>AMA_C</v>
      </c>
      <c r="G13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7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1682</v>
      </c>
      <c r="Q133" s="39" t="s">
        <v>3416</v>
      </c>
      <c r="R133" s="34" t="s">
        <v>3407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3413</v>
      </c>
      <c r="Y133" s="34" t="s">
        <v>3409</v>
      </c>
      <c r="Z133" s="34">
        <v>5</v>
      </c>
      <c r="AM133" s="34" t="s">
        <v>7962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7" t="str">
        <f>IFERROR(INDEX(Структура_ассортимента[SuperCategory],MATCH(Товары[[#This Row],[SubGroup]],Структура_ассортимента[Subgroup],0)),"")</f>
        <v>A</v>
      </c>
      <c r="D1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7" t="str">
        <f>IFERROR(INDEX(Структура_ассортимента[Product group],MATCH(Товары[[#This Row],[SubGroup]],Структура_ассортимента[Subgroup],0)),"")</f>
        <v>AMA_C</v>
      </c>
      <c r="G13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7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1683</v>
      </c>
      <c r="Q134" s="39" t="s">
        <v>3416</v>
      </c>
      <c r="R134" s="34" t="s">
        <v>3407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3413</v>
      </c>
      <c r="Y134" s="34" t="s">
        <v>3409</v>
      </c>
      <c r="Z134" s="34">
        <v>4</v>
      </c>
      <c r="AM134" s="34" t="s">
        <v>7962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7" t="str">
        <f>IFERROR(INDEX(Структура_ассортимента[SuperCategory],MATCH(Товары[[#This Row],[SubGroup]],Структура_ассортимента[Subgroup],0)),"")</f>
        <v>A</v>
      </c>
      <c r="D1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7" t="str">
        <f>IFERROR(INDEX(Структура_ассортимента[Product group],MATCH(Товары[[#This Row],[SubGroup]],Структура_ассортимента[Subgroup],0)),"")</f>
        <v>AMA_C</v>
      </c>
      <c r="G13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7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1684</v>
      </c>
      <c r="Q135" s="39" t="s">
        <v>3416</v>
      </c>
      <c r="R135" s="34" t="s">
        <v>3407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3413</v>
      </c>
      <c r="Y135" s="34" t="s">
        <v>3409</v>
      </c>
      <c r="Z135" s="34">
        <v>4</v>
      </c>
      <c r="AM135" s="34" t="s">
        <v>7962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7" t="str">
        <f>IFERROR(INDEX(Структура_ассортимента[SuperCategory],MATCH(Товары[[#This Row],[SubGroup]],Структура_ассортимента[Subgroup],0)),"")</f>
        <v>A</v>
      </c>
      <c r="D1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7" t="str">
        <f>IFERROR(INDEX(Структура_ассортимента[Product group],MATCH(Товары[[#This Row],[SubGroup]],Структура_ассортимента[Subgroup],0)),"")</f>
        <v>AMA_C</v>
      </c>
      <c r="G13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7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1685</v>
      </c>
      <c r="Q136" s="39" t="s">
        <v>3416</v>
      </c>
      <c r="R136" s="34" t="s">
        <v>3407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3413</v>
      </c>
      <c r="Y136" s="34" t="s">
        <v>3409</v>
      </c>
      <c r="Z136" s="34">
        <v>4</v>
      </c>
      <c r="AM136" s="34" t="s">
        <v>7962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7" t="str">
        <f>IFERROR(INDEX(Структура_ассортимента[SuperCategory],MATCH(Товары[[#This Row],[SubGroup]],Структура_ассортимента[Subgroup],0)),"")</f>
        <v>A</v>
      </c>
      <c r="D1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7" t="str">
        <f>IFERROR(INDEX(Структура_ассортимента[Product group],MATCH(Товары[[#This Row],[SubGroup]],Структура_ассортимента[Subgroup],0)),"")</f>
        <v>AMA_C</v>
      </c>
      <c r="G13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7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1686</v>
      </c>
      <c r="Q137" s="39" t="s">
        <v>3416</v>
      </c>
      <c r="R137" s="34" t="s">
        <v>3407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3413</v>
      </c>
      <c r="Y137" s="34" t="s">
        <v>3409</v>
      </c>
      <c r="Z137" s="34">
        <v>4</v>
      </c>
      <c r="AM137" s="34" t="s">
        <v>7962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7" t="str">
        <f>IFERROR(INDEX(Структура_ассортимента[SuperCategory],MATCH(Товары[[#This Row],[SubGroup]],Структура_ассортимента[Subgroup],0)),"")</f>
        <v>A</v>
      </c>
      <c r="D1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7" t="str">
        <f>IFERROR(INDEX(Структура_ассортимента[Product group],MATCH(Товары[[#This Row],[SubGroup]],Структура_ассортимента[Subgroup],0)),"")</f>
        <v>AMA_C</v>
      </c>
      <c r="G13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7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1687</v>
      </c>
      <c r="Q138" s="39" t="s">
        <v>3416</v>
      </c>
      <c r="R138" s="34" t="s">
        <v>3407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3413</v>
      </c>
      <c r="Y138" s="34" t="s">
        <v>3409</v>
      </c>
      <c r="Z138" s="34">
        <v>4</v>
      </c>
      <c r="AM138" s="34" t="s">
        <v>7962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7" t="str">
        <f>IFERROR(INDEX(Структура_ассортимента[SuperCategory],MATCH(Товары[[#This Row],[SubGroup]],Структура_ассортимента[Subgroup],0)),"")</f>
        <v>A</v>
      </c>
      <c r="D1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7" t="str">
        <f>IFERROR(INDEX(Структура_ассортимента[Product group],MATCH(Товары[[#This Row],[SubGroup]],Структура_ассортимента[Subgroup],0)),"")</f>
        <v>AMA_C</v>
      </c>
      <c r="G13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1688</v>
      </c>
      <c r="O139" s="37" t="s">
        <v>3921</v>
      </c>
      <c r="P139" s="37" t="s">
        <v>3922</v>
      </c>
      <c r="Q139" s="39" t="s">
        <v>3416</v>
      </c>
      <c r="R139" s="34" t="s">
        <v>3407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3413</v>
      </c>
      <c r="Y139" s="34" t="s">
        <v>3409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7" t="str">
        <f>IFERROR(INDEX(Структура_ассортимента[SuperCategory],MATCH(Товары[[#This Row],[SubGroup]],Структура_ассортимента[Subgroup],0)),"")</f>
        <v>A</v>
      </c>
      <c r="D1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7" t="str">
        <f>IFERROR(INDEX(Структура_ассортимента[Product group],MATCH(Товары[[#This Row],[SubGroup]],Структура_ассортимента[Subgroup],0)),"")</f>
        <v>AMA_C</v>
      </c>
      <c r="G14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1689</v>
      </c>
      <c r="O140" s="37" t="s">
        <v>3923</v>
      </c>
      <c r="P140" s="37" t="s">
        <v>3924</v>
      </c>
      <c r="Q140" s="39" t="s">
        <v>3416</v>
      </c>
      <c r="R140" s="34" t="s">
        <v>3407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3413</v>
      </c>
      <c r="Y140" s="34" t="s">
        <v>3409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7" t="str">
        <f>IFERROR(INDEX(Структура_ассортимента[SuperCategory],MATCH(Товары[[#This Row],[SubGroup]],Структура_ассортимента[Subgroup],0)),"")</f>
        <v>A</v>
      </c>
      <c r="D1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7" t="str">
        <f>IFERROR(INDEX(Структура_ассортимента[Product group],MATCH(Товары[[#This Row],[SubGroup]],Структура_ассортимента[Subgroup],0)),"")</f>
        <v>AMA_C</v>
      </c>
      <c r="G14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1690</v>
      </c>
      <c r="O141" s="37" t="s">
        <v>3925</v>
      </c>
      <c r="P141" s="37" t="s">
        <v>3926</v>
      </c>
      <c r="Q141" s="39" t="s">
        <v>3416</v>
      </c>
      <c r="R141" s="34" t="s">
        <v>3407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3413</v>
      </c>
      <c r="Y141" s="34" t="s">
        <v>3409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7" t="str">
        <f>IFERROR(INDEX(Структура_ассортимента[SuperCategory],MATCH(Товары[[#This Row],[SubGroup]],Структура_ассортимента[Subgroup],0)),"")</f>
        <v>A</v>
      </c>
      <c r="D1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7" t="str">
        <f>IFERROR(INDEX(Структура_ассортимента[Product group],MATCH(Товары[[#This Row],[SubGroup]],Структура_ассортимента[Subgroup],0)),"")</f>
        <v>AMA_C</v>
      </c>
      <c r="G14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1691</v>
      </c>
      <c r="O142" s="37" t="s">
        <v>3927</v>
      </c>
      <c r="P142" s="37" t="s">
        <v>3928</v>
      </c>
      <c r="Q142" s="39" t="s">
        <v>3416</v>
      </c>
      <c r="R142" s="34" t="s">
        <v>3407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3413</v>
      </c>
      <c r="Y142" s="34" t="s">
        <v>3409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7" t="str">
        <f>IFERROR(INDEX(Структура_ассортимента[SuperCategory],MATCH(Товары[[#This Row],[SubGroup]],Структура_ассортимента[Subgroup],0)),"")</f>
        <v>A</v>
      </c>
      <c r="D1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7" t="str">
        <f>IFERROR(INDEX(Структура_ассортимента[Product group],MATCH(Товары[[#This Row],[SubGroup]],Структура_ассортимента[Subgroup],0)),"")</f>
        <v>AMA_C</v>
      </c>
      <c r="G14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1692</v>
      </c>
      <c r="O143" s="37" t="s">
        <v>3929</v>
      </c>
      <c r="P143" s="37" t="s">
        <v>3930</v>
      </c>
      <c r="Q143" s="39" t="s">
        <v>3416</v>
      </c>
      <c r="R143" s="34" t="s">
        <v>3407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3413</v>
      </c>
      <c r="Y143" s="34" t="s">
        <v>3409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7" t="str">
        <f>IFERROR(INDEX(Структура_ассортимента[SuperCategory],MATCH(Товары[[#This Row],[SubGroup]],Структура_ассортимента[Subgroup],0)),"")</f>
        <v>A</v>
      </c>
      <c r="D1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7" t="str">
        <f>IFERROR(INDEX(Структура_ассортимента[Product group],MATCH(Товары[[#This Row],[SubGroup]],Структура_ассортимента[Subgroup],0)),"")</f>
        <v>AMA_C</v>
      </c>
      <c r="G14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1693</v>
      </c>
      <c r="O144" s="37" t="s">
        <v>3931</v>
      </c>
      <c r="P144" s="37" t="s">
        <v>3932</v>
      </c>
      <c r="Q144" s="39" t="s">
        <v>3416</v>
      </c>
      <c r="R144" s="34" t="s">
        <v>3407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3413</v>
      </c>
      <c r="Y144" s="34" t="s">
        <v>3409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7" t="str">
        <f>IFERROR(INDEX(Структура_ассортимента[SuperCategory],MATCH(Товары[[#This Row],[SubGroup]],Структура_ассортимента[Subgroup],0)),"")</f>
        <v>A</v>
      </c>
      <c r="D1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7" t="str">
        <f>IFERROR(INDEX(Структура_ассортимента[Product group],MATCH(Товары[[#This Row],[SubGroup]],Структура_ассортимента[Subgroup],0)),"")</f>
        <v>AMA_C</v>
      </c>
      <c r="G14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1694</v>
      </c>
      <c r="O145" s="37" t="s">
        <v>3933</v>
      </c>
      <c r="P145" s="37" t="s">
        <v>3934</v>
      </c>
      <c r="Q145" s="39" t="s">
        <v>3416</v>
      </c>
      <c r="R145" s="34" t="s">
        <v>3407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3413</v>
      </c>
      <c r="Y145" s="34" t="s">
        <v>3409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7" t="str">
        <f>IFERROR(INDEX(Структура_ассортимента[SuperCategory],MATCH(Товары[[#This Row],[SubGroup]],Структура_ассортимента[Subgroup],0)),"")</f>
        <v>A</v>
      </c>
      <c r="D1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7" t="str">
        <f>IFERROR(INDEX(Структура_ассортимента[Product group],MATCH(Товары[[#This Row],[SubGroup]],Структура_ассортимента[Subgroup],0)),"")</f>
        <v>AMA_C</v>
      </c>
      <c r="G14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1695</v>
      </c>
      <c r="O146" s="37" t="s">
        <v>3935</v>
      </c>
      <c r="P146" s="37" t="s">
        <v>3936</v>
      </c>
      <c r="Q146" s="39" t="s">
        <v>3416</v>
      </c>
      <c r="R146" s="34" t="s">
        <v>3407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3413</v>
      </c>
      <c r="Y146" s="34" t="s">
        <v>3409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7" t="str">
        <f>IFERROR(INDEX(Структура_ассортимента[SuperCategory],MATCH(Товары[[#This Row],[SubGroup]],Структура_ассортимента[Subgroup],0)),"")</f>
        <v>A</v>
      </c>
      <c r="D1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7" t="str">
        <f>IFERROR(INDEX(Структура_ассортимента[Product group],MATCH(Товары[[#This Row],[SubGroup]],Структура_ассортимента[Subgroup],0)),"")</f>
        <v>AMA_C</v>
      </c>
      <c r="G14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1696</v>
      </c>
      <c r="O147" s="37" t="s">
        <v>3937</v>
      </c>
      <c r="P147" s="37" t="s">
        <v>3938</v>
      </c>
      <c r="Q147" s="39" t="s">
        <v>3416</v>
      </c>
      <c r="R147" s="34" t="s">
        <v>3407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3413</v>
      </c>
      <c r="Y147" s="34" t="s">
        <v>3409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7" t="str">
        <f>IFERROR(INDEX(Структура_ассортимента[SuperCategory],MATCH(Товары[[#This Row],[SubGroup]],Структура_ассортимента[Subgroup],0)),"")</f>
        <v>A</v>
      </c>
      <c r="D1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7" t="str">
        <f>IFERROR(INDEX(Структура_ассортимента[Product group],MATCH(Товары[[#This Row],[SubGroup]],Структура_ассортимента[Subgroup],0)),"")</f>
        <v>AMA_C</v>
      </c>
      <c r="G14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1697</v>
      </c>
      <c r="O148" s="37" t="s">
        <v>3939</v>
      </c>
      <c r="P148" s="37" t="s">
        <v>3940</v>
      </c>
      <c r="Q148" s="39" t="s">
        <v>3416</v>
      </c>
      <c r="R148" s="34" t="s">
        <v>3407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3413</v>
      </c>
      <c r="Y148" s="34" t="s">
        <v>3409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7" t="str">
        <f>IFERROR(INDEX(Структура_ассортимента[SuperCategory],MATCH(Товары[[#This Row],[SubGroup]],Структура_ассортимента[Subgroup],0)),"")</f>
        <v>A</v>
      </c>
      <c r="D1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7" t="str">
        <f>IFERROR(INDEX(Структура_ассортимента[Product group],MATCH(Товары[[#This Row],[SubGroup]],Структура_ассортимента[Subgroup],0)),"")</f>
        <v>AMA_C</v>
      </c>
      <c r="G14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1698</v>
      </c>
      <c r="O149" s="37" t="s">
        <v>3941</v>
      </c>
      <c r="P149" s="37" t="s">
        <v>3942</v>
      </c>
      <c r="Q149" s="39" t="s">
        <v>3416</v>
      </c>
      <c r="R149" s="34" t="s">
        <v>3407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3413</v>
      </c>
      <c r="Y149" s="34" t="s">
        <v>3409</v>
      </c>
      <c r="Z149" s="34">
        <v>1</v>
      </c>
      <c r="AH149" s="34" t="s">
        <v>3943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7" t="str">
        <f>IFERROR(INDEX(Структура_ассортимента[SuperCategory],MATCH(Товары[[#This Row],[SubGroup]],Структура_ассортимента[Subgroup],0)),"")</f>
        <v>A</v>
      </c>
      <c r="D1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7" t="str">
        <f>IFERROR(INDEX(Структура_ассортимента[Product group],MATCH(Товары[[#This Row],[SubGroup]],Структура_ассортимента[Subgroup],0)),"")</f>
        <v>AMA_C</v>
      </c>
      <c r="G15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1699</v>
      </c>
      <c r="O150" s="37" t="s">
        <v>3944</v>
      </c>
      <c r="P150" s="37" t="s">
        <v>3945</v>
      </c>
      <c r="Q150" s="39" t="s">
        <v>3416</v>
      </c>
      <c r="R150" s="34" t="s">
        <v>3407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3413</v>
      </c>
      <c r="Y150" s="34" t="s">
        <v>3409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7" t="str">
        <f>IFERROR(INDEX(Структура_ассортимента[SuperCategory],MATCH(Товары[[#This Row],[SubGroup]],Структура_ассортимента[Subgroup],0)),"")</f>
        <v>A</v>
      </c>
      <c r="D1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7" t="str">
        <f>IFERROR(INDEX(Структура_ассортимента[Product group],MATCH(Товары[[#This Row],[SubGroup]],Структура_ассортимента[Subgroup],0)),"")</f>
        <v>AMA_C</v>
      </c>
      <c r="G15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1700</v>
      </c>
      <c r="O151" s="37" t="s">
        <v>3946</v>
      </c>
      <c r="P151" s="37" t="s">
        <v>3947</v>
      </c>
      <c r="Q151" s="39" t="s">
        <v>3416</v>
      </c>
      <c r="R151" s="34" t="s">
        <v>3407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3413</v>
      </c>
      <c r="Y151" s="34" t="s">
        <v>3409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7" t="str">
        <f>IFERROR(INDEX(Структура_ассортимента[SuperCategory],MATCH(Товары[[#This Row],[SubGroup]],Структура_ассортимента[Subgroup],0)),"")</f>
        <v>A</v>
      </c>
      <c r="D1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7" t="str">
        <f>IFERROR(INDEX(Структура_ассортимента[Product group],MATCH(Товары[[#This Row],[SubGroup]],Структура_ассортимента[Subgroup],0)),"")</f>
        <v>AMA_C</v>
      </c>
      <c r="G152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7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1701</v>
      </c>
      <c r="O152" s="37" t="s">
        <v>3948</v>
      </c>
      <c r="P152" s="37" t="s">
        <v>3949</v>
      </c>
      <c r="Q152" s="39" t="s">
        <v>3416</v>
      </c>
      <c r="R152" s="34" t="s">
        <v>3407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3413</v>
      </c>
      <c r="X152" s="34" t="s">
        <v>3950</v>
      </c>
      <c r="Y152" s="34" t="s">
        <v>3409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7" t="str">
        <f>IFERROR(INDEX(Структура_ассортимента[SuperCategory],MATCH(Товары[[#This Row],[SubGroup]],Структура_ассортимента[Subgroup],0)),"")</f>
        <v>A</v>
      </c>
      <c r="D1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7" t="str">
        <f>IFERROR(INDEX(Структура_ассортимента[Product group],MATCH(Товары[[#This Row],[SubGroup]],Структура_ассортимента[Subgroup],0)),"")</f>
        <v>AMA_C</v>
      </c>
      <c r="G153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1702</v>
      </c>
      <c r="Q153" s="39" t="s">
        <v>3411</v>
      </c>
      <c r="R153" s="34" t="s">
        <v>3407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3410</v>
      </c>
      <c r="Y153" s="34" t="s">
        <v>3409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7961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7" t="str">
        <f>IFERROR(INDEX(Структура_ассортимента[SuperCategory],MATCH(Товары[[#This Row],[SubGroup]],Структура_ассортимента[Subgroup],0)),"")</f>
        <v>A</v>
      </c>
      <c r="D1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7" t="str">
        <f>IFERROR(INDEX(Структура_ассортимента[Product group],MATCH(Товары[[#This Row],[SubGroup]],Структура_ассортимента[Subgroup],0)),"")</f>
        <v>AMA_C</v>
      </c>
      <c r="G154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1703</v>
      </c>
      <c r="Q154" s="39" t="s">
        <v>3411</v>
      </c>
      <c r="R154" s="34" t="s">
        <v>3407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3410</v>
      </c>
      <c r="Y154" s="34" t="s">
        <v>3409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7961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7" t="str">
        <f>IFERROR(INDEX(Структура_ассортимента[SuperCategory],MATCH(Товары[[#This Row],[SubGroup]],Структура_ассортимента[Subgroup],0)),"")</f>
        <v>A</v>
      </c>
      <c r="D1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7" t="str">
        <f>IFERROR(INDEX(Структура_ассортимента[Product group],MATCH(Товары[[#This Row],[SubGroup]],Структура_ассортимента[Subgroup],0)),"")</f>
        <v>AMA_C</v>
      </c>
      <c r="G155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1704</v>
      </c>
      <c r="Q155" s="39" t="s">
        <v>3411</v>
      </c>
      <c r="R155" s="34" t="s">
        <v>3407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3410</v>
      </c>
      <c r="Y155" s="34" t="s">
        <v>3409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7961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7" t="str">
        <f>IFERROR(INDEX(Структура_ассортимента[SuperCategory],MATCH(Товары[[#This Row],[SubGroup]],Структура_ассортимента[Subgroup],0)),"")</f>
        <v>A</v>
      </c>
      <c r="D1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7" t="str">
        <f>IFERROR(INDEX(Структура_ассортимента[Product group],MATCH(Товары[[#This Row],[SubGroup]],Структура_ассортимента[Subgroup],0)),"")</f>
        <v>AMA_C</v>
      </c>
      <c r="G156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1705</v>
      </c>
      <c r="Q156" s="39" t="s">
        <v>3411</v>
      </c>
      <c r="R156" s="34" t="s">
        <v>3407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3410</v>
      </c>
      <c r="Y156" s="34" t="s">
        <v>3409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7961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7" t="str">
        <f>IFERROR(INDEX(Структура_ассортимента[SuperCategory],MATCH(Товары[[#This Row],[SubGroup]],Структура_ассортимента[Subgroup],0)),"")</f>
        <v>A</v>
      </c>
      <c r="D1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7" t="str">
        <f>IFERROR(INDEX(Структура_ассортимента[Product group],MATCH(Товары[[#This Row],[SubGroup]],Структура_ассортимента[Subgroup],0)),"")</f>
        <v>AMA_C</v>
      </c>
      <c r="G157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7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1706</v>
      </c>
      <c r="Q157" s="39" t="s">
        <v>3411</v>
      </c>
      <c r="R157" s="34" t="s">
        <v>3407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3410</v>
      </c>
      <c r="Y157" s="34" t="s">
        <v>3409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7961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7" t="str">
        <f>IFERROR(INDEX(Структура_ассортимента[SuperCategory],MATCH(Товары[[#This Row],[SubGroup]],Структура_ассортимента[Subgroup],0)),"")</f>
        <v>A</v>
      </c>
      <c r="D1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7" t="str">
        <f>IFERROR(INDEX(Структура_ассортимента[Product group],MATCH(Товары[[#This Row],[SubGroup]],Структура_ассортимента[Subgroup],0)),"")</f>
        <v>AMA_C</v>
      </c>
      <c r="G158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1707</v>
      </c>
      <c r="O158" s="37" t="s">
        <v>3951</v>
      </c>
      <c r="P158" s="37" t="s">
        <v>3952</v>
      </c>
      <c r="Q158" s="39" t="s">
        <v>3411</v>
      </c>
      <c r="R158" s="34" t="s">
        <v>3407</v>
      </c>
      <c r="S158" s="46">
        <v>0</v>
      </c>
      <c r="T158" s="46">
        <v>0</v>
      </c>
      <c r="U158" s="46">
        <v>0</v>
      </c>
      <c r="W158" s="34" t="s">
        <v>3414</v>
      </c>
      <c r="Y158" s="34" t="s">
        <v>3409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7" t="str">
        <f>IFERROR(INDEX(Структура_ассортимента[SuperCategory],MATCH(Товары[[#This Row],[SubGroup]],Структура_ассортимента[Subgroup],0)),"")</f>
        <v>A</v>
      </c>
      <c r="D1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7" t="str">
        <f>IFERROR(INDEX(Структура_ассортимента[Product group],MATCH(Товары[[#This Row],[SubGroup]],Структура_ассортимента[Subgroup],0)),"")</f>
        <v>AMA_C</v>
      </c>
      <c r="G159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7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1708</v>
      </c>
      <c r="Q159" s="39" t="s">
        <v>3411</v>
      </c>
      <c r="R159" s="34" t="s">
        <v>3407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3417</v>
      </c>
      <c r="Y159" s="34" t="s">
        <v>3409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7961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7" t="str">
        <f>IFERROR(INDEX(Структура_ассортимента[SuperCategory],MATCH(Товары[[#This Row],[SubGroup]],Структура_ассортимента[Subgroup],0)),"")</f>
        <v>A</v>
      </c>
      <c r="D1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7" t="str">
        <f>IFERROR(INDEX(Структура_ассортимента[Product group],MATCH(Товары[[#This Row],[SubGroup]],Структура_ассортимента[Subgroup],0)),"")</f>
        <v>AMA_C</v>
      </c>
      <c r="G160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7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1709</v>
      </c>
      <c r="Q160" s="39" t="s">
        <v>3411</v>
      </c>
      <c r="R160" s="34" t="s">
        <v>3407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3417</v>
      </c>
      <c r="Y160" s="34" t="s">
        <v>3409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7961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7" t="str">
        <f>IFERROR(INDEX(Структура_ассортимента[SuperCategory],MATCH(Товары[[#This Row],[SubGroup]],Структура_ассортимента[Subgroup],0)),"")</f>
        <v>A</v>
      </c>
      <c r="D1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7" t="str">
        <f>IFERROR(INDEX(Структура_ассортимента[Product group],MATCH(Товары[[#This Row],[SubGroup]],Структура_ассортимента[Subgroup],0)),"")</f>
        <v>AMA_C</v>
      </c>
      <c r="G161" s="67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7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1710</v>
      </c>
      <c r="O161" s="37" t="s">
        <v>3953</v>
      </c>
      <c r="P161" s="37" t="s">
        <v>3954</v>
      </c>
      <c r="Q161" s="39" t="s">
        <v>3416</v>
      </c>
      <c r="R161" s="34" t="s">
        <v>3407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3413</v>
      </c>
      <c r="Y161" s="34" t="s">
        <v>3409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7" t="str">
        <f>IFERROR(INDEX(Структура_ассортимента[SuperCategory],MATCH(Товары[[#This Row],[SubGroup]],Структура_ассортимента[Subgroup],0)),"")</f>
        <v>A</v>
      </c>
      <c r="D1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7" t="str">
        <f>IFERROR(INDEX(Структура_ассортимента[Product group],MATCH(Товары[[#This Row],[SubGroup]],Структура_ассортимента[Subgroup],0)),"")</f>
        <v>AMC_C</v>
      </c>
      <c r="G1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7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1711</v>
      </c>
      <c r="O162" s="37" t="s">
        <v>3955</v>
      </c>
      <c r="P162" s="37" t="s">
        <v>3956</v>
      </c>
      <c r="Q162" s="39" t="s">
        <v>3416</v>
      </c>
      <c r="R162" s="34" t="s">
        <v>3407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3415</v>
      </c>
      <c r="X162" s="34" t="s">
        <v>3446</v>
      </c>
      <c r="Y162" s="34" t="s">
        <v>3409</v>
      </c>
      <c r="Z162" s="34">
        <v>10</v>
      </c>
      <c r="AA162" s="34" t="s">
        <v>3957</v>
      </c>
      <c r="AB162" s="34" t="s">
        <v>3957</v>
      </c>
      <c r="AC162" s="34" t="s">
        <v>3958</v>
      </c>
      <c r="AD162" s="34" t="s">
        <v>3958</v>
      </c>
      <c r="AE162" s="34" t="s">
        <v>3692</v>
      </c>
      <c r="AF162" s="34" t="s">
        <v>3432</v>
      </c>
      <c r="AG162" s="34" t="s">
        <v>3799</v>
      </c>
      <c r="AH162" s="34" t="s">
        <v>3959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7" t="str">
        <f>IFERROR(INDEX(Структура_ассортимента[SuperCategory],MATCH(Товары[[#This Row],[SubGroup]],Структура_ассортимента[Subgroup],0)),"")</f>
        <v>A</v>
      </c>
      <c r="D1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7" t="str">
        <f>IFERROR(INDEX(Структура_ассортимента[Product group],MATCH(Товары[[#This Row],[SubGroup]],Структура_ассортимента[Subgroup],0)),"")</f>
        <v>AMC_C</v>
      </c>
      <c r="G1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7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1712</v>
      </c>
      <c r="O163" s="37" t="s">
        <v>3960</v>
      </c>
      <c r="P163" s="37" t="s">
        <v>3961</v>
      </c>
      <c r="Q163" s="39" t="s">
        <v>3416</v>
      </c>
      <c r="R163" s="34" t="s">
        <v>3407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3415</v>
      </c>
      <c r="X163" s="34" t="s">
        <v>3446</v>
      </c>
      <c r="Y163" s="34" t="s">
        <v>3409</v>
      </c>
      <c r="Z163" s="34">
        <v>30</v>
      </c>
      <c r="AA163" s="34" t="s">
        <v>3962</v>
      </c>
      <c r="AB163" s="34" t="s">
        <v>3962</v>
      </c>
      <c r="AC163" s="34" t="s">
        <v>3863</v>
      </c>
      <c r="AD163" s="34" t="s">
        <v>3863</v>
      </c>
      <c r="AE163" s="34" t="s">
        <v>3787</v>
      </c>
      <c r="AF163" s="34" t="s">
        <v>3621</v>
      </c>
      <c r="AG163" s="34" t="s">
        <v>3671</v>
      </c>
      <c r="AH163" s="34" t="s">
        <v>3963</v>
      </c>
      <c r="AI163" s="34" t="s">
        <v>3787</v>
      </c>
      <c r="AJ163" s="34" t="s">
        <v>3964</v>
      </c>
      <c r="AK163" s="34" t="s">
        <v>3671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7" t="str">
        <f>IFERROR(INDEX(Структура_ассортимента[SuperCategory],MATCH(Товары[[#This Row],[SubGroup]],Структура_ассортимента[Subgroup],0)),"")</f>
        <v>A</v>
      </c>
      <c r="D1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7" t="str">
        <f>IFERROR(INDEX(Структура_ассортимента[Product group],MATCH(Товары[[#This Row],[SubGroup]],Структура_ассортимента[Subgroup],0)),"")</f>
        <v>AMC_C</v>
      </c>
      <c r="G1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7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1713</v>
      </c>
      <c r="O164" s="37" t="s">
        <v>3965</v>
      </c>
      <c r="P164" s="37" t="s">
        <v>3966</v>
      </c>
      <c r="Q164" s="39" t="s">
        <v>3416</v>
      </c>
      <c r="R164" s="34" t="s">
        <v>3407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3415</v>
      </c>
      <c r="X164" s="34" t="s">
        <v>3446</v>
      </c>
      <c r="Y164" s="34" t="s">
        <v>3409</v>
      </c>
      <c r="Z164" s="34">
        <v>10</v>
      </c>
      <c r="AA164" s="34" t="s">
        <v>3967</v>
      </c>
      <c r="AB164" s="34" t="s">
        <v>3967</v>
      </c>
      <c r="AC164" s="34" t="s">
        <v>3968</v>
      </c>
      <c r="AD164" s="34" t="s">
        <v>3968</v>
      </c>
      <c r="AE164" s="34" t="s">
        <v>3969</v>
      </c>
      <c r="AF164" s="34" t="s">
        <v>3427</v>
      </c>
      <c r="AG164" s="34" t="s">
        <v>3671</v>
      </c>
      <c r="AH164" s="34" t="s">
        <v>3970</v>
      </c>
      <c r="AI164" s="34" t="s">
        <v>3787</v>
      </c>
      <c r="AJ164" s="34" t="s">
        <v>3964</v>
      </c>
      <c r="AK164" s="34" t="s">
        <v>3671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7" t="str">
        <f>IFERROR(INDEX(Структура_ассортимента[SuperCategory],MATCH(Товары[[#This Row],[SubGroup]],Структура_ассортимента[Subgroup],0)),"")</f>
        <v>A</v>
      </c>
      <c r="D1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7" t="str">
        <f>IFERROR(INDEX(Структура_ассортимента[Product group],MATCH(Товары[[#This Row],[SubGroup]],Структура_ассортимента[Subgroup],0)),"")</f>
        <v>AMC_C</v>
      </c>
      <c r="G1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7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1714</v>
      </c>
      <c r="Q165" s="39" t="s">
        <v>3416</v>
      </c>
      <c r="R165" s="34" t="s">
        <v>3407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3415</v>
      </c>
      <c r="X165" s="34" t="s">
        <v>3446</v>
      </c>
      <c r="Y165" s="34" t="s">
        <v>3409</v>
      </c>
      <c r="Z165" s="34">
        <v>60</v>
      </c>
      <c r="AB165" s="34" t="s">
        <v>3962</v>
      </c>
      <c r="AD165" s="34" t="s">
        <v>3863</v>
      </c>
      <c r="AE165" s="34" t="s">
        <v>3787</v>
      </c>
      <c r="AF165" s="34" t="s">
        <v>3621</v>
      </c>
      <c r="AG165" s="34" t="s">
        <v>3671</v>
      </c>
      <c r="AH165" s="34" t="s">
        <v>3963</v>
      </c>
      <c r="AI165" s="34" t="s">
        <v>3787</v>
      </c>
      <c r="AJ165" s="34" t="s">
        <v>3964</v>
      </c>
      <c r="AK165" s="34" t="s">
        <v>3671</v>
      </c>
      <c r="AL165" s="34" t="s">
        <v>3614</v>
      </c>
      <c r="AM165" s="34" t="s">
        <v>7962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7" t="str">
        <f>IFERROR(INDEX(Структура_ассортимента[SuperCategory],MATCH(Товары[[#This Row],[SubGroup]],Структура_ассортимента[Subgroup],0)),"")</f>
        <v>A</v>
      </c>
      <c r="D1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7" t="str">
        <f>IFERROR(INDEX(Структура_ассортимента[Product group],MATCH(Товары[[#This Row],[SubGroup]],Структура_ассортимента[Subgroup],0)),"")</f>
        <v>AMC_C</v>
      </c>
      <c r="G1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7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1715</v>
      </c>
      <c r="O166" s="37" t="s">
        <v>3971</v>
      </c>
      <c r="P166" s="37" t="s">
        <v>3972</v>
      </c>
      <c r="Q166" s="39" t="s">
        <v>3416</v>
      </c>
      <c r="R166" s="34" t="s">
        <v>3407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3415</v>
      </c>
      <c r="X166" s="34" t="s">
        <v>3446</v>
      </c>
      <c r="Y166" s="34" t="s">
        <v>3409</v>
      </c>
      <c r="Z166" s="34">
        <v>10</v>
      </c>
      <c r="AA166" s="34" t="s">
        <v>3967</v>
      </c>
      <c r="AB166" s="34" t="s">
        <v>3973</v>
      </c>
      <c r="AC166" s="34" t="s">
        <v>3968</v>
      </c>
      <c r="AD166" s="34" t="s">
        <v>3974</v>
      </c>
      <c r="AE166" s="34" t="s">
        <v>3975</v>
      </c>
      <c r="AF166" s="34" t="s">
        <v>3433</v>
      </c>
      <c r="AG166" s="34" t="s">
        <v>3799</v>
      </c>
      <c r="AH166" s="34" t="s">
        <v>3976</v>
      </c>
      <c r="AI166" s="34" t="s">
        <v>3977</v>
      </c>
      <c r="AJ166" s="34" t="s">
        <v>3964</v>
      </c>
      <c r="AK166" s="34" t="s">
        <v>3978</v>
      </c>
      <c r="AL166" s="34" t="s">
        <v>3979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7" t="str">
        <f>IFERROR(INDEX(Структура_ассортимента[SuperCategory],MATCH(Товары[[#This Row],[SubGroup]],Структура_ассортимента[Subgroup],0)),"")</f>
        <v>A</v>
      </c>
      <c r="D1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7" t="str">
        <f>IFERROR(INDEX(Структура_ассортимента[Product group],MATCH(Товары[[#This Row],[SubGroup]],Структура_ассортимента[Subgroup],0)),"")</f>
        <v>AMC_C</v>
      </c>
      <c r="G1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7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1716</v>
      </c>
      <c r="O167" s="37" t="s">
        <v>3980</v>
      </c>
      <c r="P167" s="37" t="s">
        <v>3981</v>
      </c>
      <c r="Q167" s="39" t="s">
        <v>3416</v>
      </c>
      <c r="R167" s="34" t="s">
        <v>3407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3415</v>
      </c>
      <c r="X167" s="34" t="s">
        <v>3446</v>
      </c>
      <c r="Y167" s="34" t="s">
        <v>3409</v>
      </c>
      <c r="Z167" s="34">
        <v>10</v>
      </c>
      <c r="AA167" s="34" t="s">
        <v>3982</v>
      </c>
      <c r="AB167" s="34" t="s">
        <v>3983</v>
      </c>
      <c r="AC167" s="34" t="s">
        <v>3537</v>
      </c>
      <c r="AD167" s="34" t="s">
        <v>3673</v>
      </c>
      <c r="AE167" s="34" t="s">
        <v>3975</v>
      </c>
      <c r="AF167" s="34" t="s">
        <v>3433</v>
      </c>
      <c r="AG167" s="34" t="s">
        <v>3799</v>
      </c>
      <c r="AH167" s="34" t="s">
        <v>3976</v>
      </c>
      <c r="AI167" s="34" t="s">
        <v>3984</v>
      </c>
      <c r="AJ167" s="34" t="s">
        <v>3964</v>
      </c>
      <c r="AK167" s="34" t="s">
        <v>3978</v>
      </c>
      <c r="AL167" s="34" t="s">
        <v>3979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7" t="str">
        <f>IFERROR(INDEX(Структура_ассортимента[SuperCategory],MATCH(Товары[[#This Row],[SubGroup]],Структура_ассортимента[Subgroup],0)),"")</f>
        <v>A</v>
      </c>
      <c r="D1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7" t="str">
        <f>IFERROR(INDEX(Структура_ассортимента[Product group],MATCH(Товары[[#This Row],[SubGroup]],Структура_ассортимента[Subgroup],0)),"")</f>
        <v>AMC_C</v>
      </c>
      <c r="G1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7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1717</v>
      </c>
      <c r="O168" s="37" t="s">
        <v>3985</v>
      </c>
      <c r="P168" s="37" t="s">
        <v>3986</v>
      </c>
      <c r="Q168" s="39" t="s">
        <v>3416</v>
      </c>
      <c r="R168" s="34" t="s">
        <v>3407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3415</v>
      </c>
      <c r="X168" s="34" t="s">
        <v>3446</v>
      </c>
      <c r="Y168" s="34" t="s">
        <v>3409</v>
      </c>
      <c r="Z168" s="34">
        <v>10</v>
      </c>
      <c r="AA168" s="34" t="s">
        <v>3987</v>
      </c>
      <c r="AB168" s="34" t="s">
        <v>3988</v>
      </c>
      <c r="AC168" s="34" t="s">
        <v>3863</v>
      </c>
      <c r="AD168" s="34" t="s">
        <v>3989</v>
      </c>
      <c r="AE168" s="34" t="s">
        <v>3975</v>
      </c>
      <c r="AF168" s="34" t="s">
        <v>3433</v>
      </c>
      <c r="AG168" s="34" t="s">
        <v>3799</v>
      </c>
      <c r="AH168" s="34" t="s">
        <v>3976</v>
      </c>
      <c r="AI168" s="34" t="s">
        <v>3696</v>
      </c>
      <c r="AJ168" s="34" t="s">
        <v>3964</v>
      </c>
      <c r="AK168" s="34" t="s">
        <v>3978</v>
      </c>
      <c r="AL168" s="34" t="s">
        <v>3979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7" t="str">
        <f>IFERROR(INDEX(Структура_ассортимента[SuperCategory],MATCH(Товары[[#This Row],[SubGroup]],Структура_ассортимента[Subgroup],0)),"")</f>
        <v>A</v>
      </c>
      <c r="D1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7" t="str">
        <f>IFERROR(INDEX(Структура_ассортимента[Product group],MATCH(Товары[[#This Row],[SubGroup]],Структура_ассортимента[Subgroup],0)),"")</f>
        <v>AMC_C</v>
      </c>
      <c r="G1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7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1718</v>
      </c>
      <c r="Q169" s="39" t="s">
        <v>3416</v>
      </c>
      <c r="R169" s="34" t="s">
        <v>3407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3415</v>
      </c>
      <c r="X169" s="34" t="s">
        <v>3446</v>
      </c>
      <c r="Y169" s="34" t="s">
        <v>3409</v>
      </c>
      <c r="Z169" s="34">
        <v>30</v>
      </c>
      <c r="AB169" s="34" t="s">
        <v>3873</v>
      </c>
      <c r="AD169" s="34" t="s">
        <v>3601</v>
      </c>
      <c r="AE169" s="34" t="s">
        <v>3975</v>
      </c>
      <c r="AF169" s="34" t="s">
        <v>3433</v>
      </c>
      <c r="AG169" s="34" t="s">
        <v>3799</v>
      </c>
      <c r="AH169" s="34" t="s">
        <v>3976</v>
      </c>
      <c r="AL169" s="34" t="s">
        <v>3614</v>
      </c>
      <c r="AM169" s="34" t="s">
        <v>7962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7" t="str">
        <f>IFERROR(INDEX(Структура_ассортимента[SuperCategory],MATCH(Товары[[#This Row],[SubGroup]],Структура_ассортимента[Subgroup],0)),"")</f>
        <v>A</v>
      </c>
      <c r="D1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7" t="str">
        <f>IFERROR(INDEX(Структура_ассортимента[Product group],MATCH(Товары[[#This Row],[SubGroup]],Структура_ассортимента[Subgroup],0)),"")</f>
        <v>AMC_C</v>
      </c>
      <c r="G1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7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1719</v>
      </c>
      <c r="Q170" s="39" t="s">
        <v>3519</v>
      </c>
      <c r="R170" s="34" t="s">
        <v>3407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3415</v>
      </c>
      <c r="X170" s="34" t="s">
        <v>3446</v>
      </c>
      <c r="Y170" s="34" t="s">
        <v>3409</v>
      </c>
      <c r="Z170" s="34">
        <v>1</v>
      </c>
      <c r="AB170" s="34" t="s">
        <v>3990</v>
      </c>
      <c r="AD170" s="34" t="s">
        <v>3991</v>
      </c>
      <c r="AE170" s="34" t="s">
        <v>3992</v>
      </c>
      <c r="AF170" s="34" t="s">
        <v>3639</v>
      </c>
      <c r="AG170" s="34" t="s">
        <v>3969</v>
      </c>
      <c r="AH170" s="34" t="s">
        <v>3993</v>
      </c>
      <c r="AL170" s="34" t="s">
        <v>3725</v>
      </c>
      <c r="AM170" s="34" t="s">
        <v>7962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7" t="str">
        <f>IFERROR(INDEX(Структура_ассортимента[SuperCategory],MATCH(Товары[[#This Row],[SubGroup]],Структура_ассортимента[Subgroup],0)),"")</f>
        <v>A</v>
      </c>
      <c r="D1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7" t="str">
        <f>IFERROR(INDEX(Структура_ассортимента[Product group],MATCH(Товары[[#This Row],[SubGroup]],Структура_ассортимента[Subgroup],0)),"")</f>
        <v>AMC_C</v>
      </c>
      <c r="G1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7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1720</v>
      </c>
      <c r="O171" s="37" t="s">
        <v>3994</v>
      </c>
      <c r="P171" s="37" t="s">
        <v>3995</v>
      </c>
      <c r="Q171" s="39" t="s">
        <v>3416</v>
      </c>
      <c r="R171" s="34" t="s">
        <v>3407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3415</v>
      </c>
      <c r="X171" s="34" t="s">
        <v>3446</v>
      </c>
      <c r="Y171" s="34" t="s">
        <v>3409</v>
      </c>
      <c r="Z171" s="34">
        <v>14</v>
      </c>
      <c r="AB171" s="34" t="s">
        <v>3873</v>
      </c>
      <c r="AD171" s="34" t="s">
        <v>3601</v>
      </c>
      <c r="AE171" s="34" t="s">
        <v>3975</v>
      </c>
      <c r="AF171" s="34" t="s">
        <v>3433</v>
      </c>
      <c r="AG171" s="34" t="s">
        <v>3799</v>
      </c>
      <c r="AH171" s="34" t="s">
        <v>3976</v>
      </c>
      <c r="AL171" s="34" t="s">
        <v>3996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7" t="str">
        <f>IFERROR(INDEX(Структура_ассортимента[SuperCategory],MATCH(Товары[[#This Row],[SubGroup]],Структура_ассортимента[Subgroup],0)),"")</f>
        <v>A</v>
      </c>
      <c r="D1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7" t="str">
        <f>IFERROR(INDEX(Структура_ассортимента[Product group],MATCH(Товары[[#This Row],[SubGroup]],Структура_ассортимента[Subgroup],0)),"")</f>
        <v>AMC_C</v>
      </c>
      <c r="G1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7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1721</v>
      </c>
      <c r="Q172" s="39" t="s">
        <v>3416</v>
      </c>
      <c r="R172" s="34" t="s">
        <v>3407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3410</v>
      </c>
      <c r="X172" s="34" t="s">
        <v>3446</v>
      </c>
      <c r="Y172" s="34" t="s">
        <v>3409</v>
      </c>
      <c r="Z172" s="34">
        <v>30</v>
      </c>
      <c r="AB172" s="34" t="s">
        <v>3873</v>
      </c>
      <c r="AD172" s="34" t="s">
        <v>3601</v>
      </c>
      <c r="AE172" s="34" t="s">
        <v>3975</v>
      </c>
      <c r="AF172" s="34" t="s">
        <v>3433</v>
      </c>
      <c r="AG172" s="34" t="s">
        <v>3799</v>
      </c>
      <c r="AH172" s="34" t="s">
        <v>3976</v>
      </c>
      <c r="AL172" s="34" t="s">
        <v>3614</v>
      </c>
      <c r="AM172" s="34" t="s">
        <v>7962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7" t="str">
        <f>IFERROR(INDEX(Структура_ассортимента[SuperCategory],MATCH(Товары[[#This Row],[SubGroup]],Структура_ассортимента[Subgroup],0)),"")</f>
        <v>A</v>
      </c>
      <c r="D1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7" t="str">
        <f>IFERROR(INDEX(Структура_ассортимента[Product group],MATCH(Товары[[#This Row],[SubGroup]],Структура_ассортимента[Subgroup],0)),"")</f>
        <v>AMC_C</v>
      </c>
      <c r="G1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7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1722</v>
      </c>
      <c r="O173" s="37" t="s">
        <v>3997</v>
      </c>
      <c r="P173" s="37" t="s">
        <v>3998</v>
      </c>
      <c r="Q173" s="39" t="s">
        <v>3416</v>
      </c>
      <c r="R173" s="34" t="s">
        <v>3407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3415</v>
      </c>
      <c r="X173" s="34" t="s">
        <v>3446</v>
      </c>
      <c r="Y173" s="34" t="s">
        <v>3409</v>
      </c>
      <c r="Z173" s="34">
        <v>10</v>
      </c>
      <c r="AB173" s="34" t="s">
        <v>3999</v>
      </c>
      <c r="AD173" s="34" t="s">
        <v>3857</v>
      </c>
      <c r="AE173" s="34" t="s">
        <v>3975</v>
      </c>
      <c r="AF173" s="34" t="s">
        <v>3433</v>
      </c>
      <c r="AG173" s="34" t="s">
        <v>3799</v>
      </c>
      <c r="AH173" s="34" t="s">
        <v>3976</v>
      </c>
      <c r="AI173" s="34" t="s">
        <v>3693</v>
      </c>
      <c r="AJ173" s="34" t="s">
        <v>3978</v>
      </c>
      <c r="AK173" s="34" t="s">
        <v>4000</v>
      </c>
      <c r="AL173" s="34" t="s">
        <v>3979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7" t="str">
        <f>IFERROR(INDEX(Структура_ассортимента[SuperCategory],MATCH(Товары[[#This Row],[SubGroup]],Структура_ассортимента[Subgroup],0)),"")</f>
        <v>A</v>
      </c>
      <c r="D1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7" t="str">
        <f>IFERROR(INDEX(Структура_ассортимента[Product group],MATCH(Товары[[#This Row],[SubGroup]],Структура_ассортимента[Subgroup],0)),"")</f>
        <v>AMC_C</v>
      </c>
      <c r="G1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7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1723</v>
      </c>
      <c r="O174" s="37" t="s">
        <v>4001</v>
      </c>
      <c r="P174" s="37" t="s">
        <v>4002</v>
      </c>
      <c r="Q174" s="39" t="s">
        <v>3416</v>
      </c>
      <c r="R174" s="34" t="s">
        <v>3407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3415</v>
      </c>
      <c r="X174" s="34" t="s">
        <v>3446</v>
      </c>
      <c r="Y174" s="34" t="s">
        <v>3409</v>
      </c>
      <c r="Z174" s="34">
        <v>5</v>
      </c>
      <c r="AA174" s="34" t="s">
        <v>4003</v>
      </c>
      <c r="AB174" s="34" t="s">
        <v>4003</v>
      </c>
      <c r="AC174" s="34" t="s">
        <v>3558</v>
      </c>
      <c r="AD174" s="34" t="s">
        <v>3558</v>
      </c>
      <c r="AE174" s="34" t="s">
        <v>4004</v>
      </c>
      <c r="AF174" s="34" t="s">
        <v>3455</v>
      </c>
      <c r="AG174" s="34" t="s">
        <v>3799</v>
      </c>
      <c r="AH174" s="34" t="s">
        <v>4005</v>
      </c>
      <c r="AI174" s="34" t="s">
        <v>3695</v>
      </c>
      <c r="AJ174" s="34" t="s">
        <v>4006</v>
      </c>
      <c r="AK174" s="34" t="s">
        <v>3978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7" t="str">
        <f>IFERROR(INDEX(Структура_ассортимента[SuperCategory],MATCH(Товары[[#This Row],[SubGroup]],Структура_ассортимента[Subgroup],0)),"")</f>
        <v>A</v>
      </c>
      <c r="D1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7" t="str">
        <f>IFERROR(INDEX(Структура_ассортимента[Product group],MATCH(Товары[[#This Row],[SubGroup]],Структура_ассортимента[Subgroup],0)),"")</f>
        <v>AMC_C</v>
      </c>
      <c r="G1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7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1724</v>
      </c>
      <c r="Q175" s="39" t="s">
        <v>3416</v>
      </c>
      <c r="R175" s="34" t="s">
        <v>3407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3415</v>
      </c>
      <c r="X175" s="34" t="s">
        <v>3446</v>
      </c>
      <c r="Y175" s="34" t="s">
        <v>3409</v>
      </c>
      <c r="Z175" s="34">
        <v>30</v>
      </c>
      <c r="AB175" s="34" t="s">
        <v>4007</v>
      </c>
      <c r="AD175" s="34" t="s">
        <v>4008</v>
      </c>
      <c r="AE175" s="34" t="s">
        <v>4004</v>
      </c>
      <c r="AF175" s="34" t="s">
        <v>3433</v>
      </c>
      <c r="AG175" s="34" t="s">
        <v>3799</v>
      </c>
      <c r="AH175" s="34" t="s">
        <v>4009</v>
      </c>
      <c r="AL175" s="34" t="s">
        <v>3614</v>
      </c>
      <c r="AM175" s="34" t="s">
        <v>7962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7" t="str">
        <f>IFERROR(INDEX(Структура_ассортимента[SuperCategory],MATCH(Товары[[#This Row],[SubGroup]],Структура_ассортимента[Subgroup],0)),"")</f>
        <v>A</v>
      </c>
      <c r="D1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7" t="str">
        <f>IFERROR(INDEX(Структура_ассортимента[Product group],MATCH(Товары[[#This Row],[SubGroup]],Структура_ассортимента[Subgroup],0)),"")</f>
        <v>AMC_C</v>
      </c>
      <c r="G1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7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1725</v>
      </c>
      <c r="Q176" s="39" t="s">
        <v>3519</v>
      </c>
      <c r="R176" s="34" t="s">
        <v>3407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3415</v>
      </c>
      <c r="X176" s="34" t="s">
        <v>3446</v>
      </c>
      <c r="Y176" s="34" t="s">
        <v>3409</v>
      </c>
      <c r="Z176" s="34">
        <v>1</v>
      </c>
      <c r="AB176" s="34" t="s">
        <v>4010</v>
      </c>
      <c r="AD176" s="34" t="s">
        <v>4011</v>
      </c>
      <c r="AE176" s="34" t="s">
        <v>4012</v>
      </c>
      <c r="AF176" s="34" t="s">
        <v>3639</v>
      </c>
      <c r="AG176" s="34" t="s">
        <v>3969</v>
      </c>
      <c r="AH176" s="34" t="s">
        <v>4013</v>
      </c>
      <c r="AL176" s="34" t="s">
        <v>3725</v>
      </c>
      <c r="AM176" s="34" t="s">
        <v>7962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7" t="str">
        <f>IFERROR(INDEX(Структура_ассортимента[SuperCategory],MATCH(Товары[[#This Row],[SubGroup]],Структура_ассортимента[Subgroup],0)),"")</f>
        <v>A</v>
      </c>
      <c r="D1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7" t="str">
        <f>IFERROR(INDEX(Структура_ассортимента[Product group],MATCH(Товары[[#This Row],[SubGroup]],Структура_ассортимента[Subgroup],0)),"")</f>
        <v>AMC_C</v>
      </c>
      <c r="G1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7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1726</v>
      </c>
      <c r="Q177" s="39" t="s">
        <v>3416</v>
      </c>
      <c r="R177" s="34" t="s">
        <v>3407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3415</v>
      </c>
      <c r="X177" s="34" t="s">
        <v>3446</v>
      </c>
      <c r="Y177" s="34" t="s">
        <v>3409</v>
      </c>
      <c r="Z177" s="34">
        <v>14</v>
      </c>
      <c r="AB177" s="34" t="s">
        <v>4014</v>
      </c>
      <c r="AD177" s="34" t="s">
        <v>4008</v>
      </c>
      <c r="AE177" s="34" t="s">
        <v>4004</v>
      </c>
      <c r="AF177" s="34" t="s">
        <v>3433</v>
      </c>
      <c r="AG177" s="34" t="s">
        <v>3799</v>
      </c>
      <c r="AH177" s="34" t="s">
        <v>4009</v>
      </c>
      <c r="AL177" s="34" t="s">
        <v>3996</v>
      </c>
      <c r="AM177" s="34" t="s">
        <v>7962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7" t="str">
        <f>IFERROR(INDEX(Структура_ассортимента[SuperCategory],MATCH(Товары[[#This Row],[SubGroup]],Структура_ассортимента[Subgroup],0)),"")</f>
        <v>A</v>
      </c>
      <c r="D1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7" t="str">
        <f>IFERROR(INDEX(Структура_ассортимента[Product group],MATCH(Товары[[#This Row],[SubGroup]],Структура_ассортимента[Subgroup],0)),"")</f>
        <v>AMC_C</v>
      </c>
      <c r="G1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7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1727</v>
      </c>
      <c r="O178" s="37" t="s">
        <v>4015</v>
      </c>
      <c r="P178" s="37" t="s">
        <v>4016</v>
      </c>
      <c r="Q178" s="39" t="s">
        <v>3416</v>
      </c>
      <c r="R178" s="34" t="s">
        <v>3407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3415</v>
      </c>
      <c r="X178" s="34" t="s">
        <v>3446</v>
      </c>
      <c r="Y178" s="34" t="s">
        <v>3409</v>
      </c>
      <c r="Z178" s="34">
        <v>5</v>
      </c>
      <c r="AA178" s="34" t="s">
        <v>4017</v>
      </c>
      <c r="AB178" s="34" t="s">
        <v>4018</v>
      </c>
      <c r="AC178" s="34" t="s">
        <v>4019</v>
      </c>
      <c r="AD178" s="34" t="s">
        <v>4014</v>
      </c>
      <c r="AE178" s="34" t="s">
        <v>4004</v>
      </c>
      <c r="AF178" s="34" t="s">
        <v>3433</v>
      </c>
      <c r="AG178" s="34" t="s">
        <v>3799</v>
      </c>
      <c r="AH178" s="34" t="s">
        <v>4009</v>
      </c>
      <c r="AI178" s="34" t="s">
        <v>3696</v>
      </c>
      <c r="AJ178" s="34" t="s">
        <v>4020</v>
      </c>
      <c r="AK178" s="34" t="s">
        <v>3978</v>
      </c>
      <c r="AL178" s="34" t="s">
        <v>4021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7" t="str">
        <f>IFERROR(INDEX(Структура_ассортимента[SuperCategory],MATCH(Товары[[#This Row],[SubGroup]],Структура_ассортимента[Subgroup],0)),"")</f>
        <v>A</v>
      </c>
      <c r="D1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7" t="str">
        <f>IFERROR(INDEX(Структура_ассортимента[Product group],MATCH(Товары[[#This Row],[SubGroup]],Структура_ассортимента[Subgroup],0)),"")</f>
        <v>AMC_C</v>
      </c>
      <c r="G1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7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1728</v>
      </c>
      <c r="O179" s="37" t="s">
        <v>4022</v>
      </c>
      <c r="P179" s="37" t="s">
        <v>4023</v>
      </c>
      <c r="Q179" s="39" t="s">
        <v>3416</v>
      </c>
      <c r="R179" s="34" t="s">
        <v>3407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3415</v>
      </c>
      <c r="X179" s="34" t="s">
        <v>3446</v>
      </c>
      <c r="Y179" s="34" t="s">
        <v>3409</v>
      </c>
      <c r="Z179" s="34">
        <v>5</v>
      </c>
      <c r="AA179" s="34" t="s">
        <v>4024</v>
      </c>
      <c r="AB179" s="34" t="s">
        <v>4025</v>
      </c>
      <c r="AC179" s="34" t="s">
        <v>4026</v>
      </c>
      <c r="AD179" s="34" t="s">
        <v>4014</v>
      </c>
      <c r="AE179" s="34" t="s">
        <v>4004</v>
      </c>
      <c r="AF179" s="34" t="s">
        <v>3433</v>
      </c>
      <c r="AG179" s="34" t="s">
        <v>3799</v>
      </c>
      <c r="AH179" s="34" t="s">
        <v>4009</v>
      </c>
      <c r="AI179" s="34" t="s">
        <v>4027</v>
      </c>
      <c r="AJ179" s="34" t="s">
        <v>4028</v>
      </c>
      <c r="AK179" s="34" t="s">
        <v>3978</v>
      </c>
      <c r="AL179" s="34" t="s">
        <v>4021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7" t="str">
        <f>IFERROR(INDEX(Структура_ассортимента[SuperCategory],MATCH(Товары[[#This Row],[SubGroup]],Структура_ассортимента[Subgroup],0)),"")</f>
        <v>A</v>
      </c>
      <c r="D1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7" t="str">
        <f>IFERROR(INDEX(Структура_ассортимента[Product group],MATCH(Товары[[#This Row],[SubGroup]],Структура_ассортимента[Subgroup],0)),"")</f>
        <v>AMC_C</v>
      </c>
      <c r="G1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7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1729</v>
      </c>
      <c r="O180" s="37" t="s">
        <v>4029</v>
      </c>
      <c r="P180" s="37" t="s">
        <v>4030</v>
      </c>
      <c r="Q180" s="39" t="s">
        <v>3416</v>
      </c>
      <c r="R180" s="34" t="s">
        <v>3407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3415</v>
      </c>
      <c r="X180" s="34" t="s">
        <v>3446</v>
      </c>
      <c r="Y180" s="34" t="s">
        <v>3409</v>
      </c>
      <c r="Z180" s="34">
        <v>5</v>
      </c>
      <c r="AA180" s="34" t="s">
        <v>4014</v>
      </c>
      <c r="AB180" s="34" t="s">
        <v>4031</v>
      </c>
      <c r="AC180" s="34" t="s">
        <v>4026</v>
      </c>
      <c r="AD180" s="34" t="s">
        <v>4032</v>
      </c>
      <c r="AE180" s="34" t="s">
        <v>4004</v>
      </c>
      <c r="AF180" s="34" t="s">
        <v>3433</v>
      </c>
      <c r="AG180" s="34" t="s">
        <v>3799</v>
      </c>
      <c r="AH180" s="34" t="s">
        <v>4009</v>
      </c>
      <c r="AI180" s="34" t="s">
        <v>4027</v>
      </c>
      <c r="AJ180" s="34" t="s">
        <v>4028</v>
      </c>
      <c r="AK180" s="34" t="s">
        <v>3978</v>
      </c>
      <c r="AL180" s="34" t="s">
        <v>4021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7" t="str">
        <f>IFERROR(INDEX(Структура_ассортимента[SuperCategory],MATCH(Товары[[#This Row],[SubGroup]],Структура_ассортимента[Subgroup],0)),"")</f>
        <v>A</v>
      </c>
      <c r="D1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7" t="str">
        <f>IFERROR(INDEX(Структура_ассортимента[Product group],MATCH(Товары[[#This Row],[SubGroup]],Структура_ассортимента[Subgroup],0)),"")</f>
        <v>AMC_C</v>
      </c>
      <c r="G1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7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1730</v>
      </c>
      <c r="O181" s="37" t="s">
        <v>4033</v>
      </c>
      <c r="P181" s="37" t="s">
        <v>4034</v>
      </c>
      <c r="Q181" s="39" t="s">
        <v>3416</v>
      </c>
      <c r="R181" s="34" t="s">
        <v>3407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3415</v>
      </c>
      <c r="X181" s="34" t="s">
        <v>3446</v>
      </c>
      <c r="Y181" s="34" t="s">
        <v>3409</v>
      </c>
      <c r="Z181" s="34">
        <v>5</v>
      </c>
      <c r="AA181" s="34" t="s">
        <v>4035</v>
      </c>
      <c r="AB181" s="34" t="s">
        <v>4036</v>
      </c>
      <c r="AC181" s="34" t="s">
        <v>3874</v>
      </c>
      <c r="AD181" s="34" t="s">
        <v>4037</v>
      </c>
      <c r="AE181" s="34" t="s">
        <v>4004</v>
      </c>
      <c r="AF181" s="34" t="s">
        <v>3433</v>
      </c>
      <c r="AG181" s="34" t="s">
        <v>3799</v>
      </c>
      <c r="AH181" s="34" t="s">
        <v>4009</v>
      </c>
      <c r="AI181" s="34" t="s">
        <v>4038</v>
      </c>
      <c r="AJ181" s="34" t="s">
        <v>4028</v>
      </c>
      <c r="AK181" s="34" t="s">
        <v>3978</v>
      </c>
      <c r="AL181" s="34" t="s">
        <v>4021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7" t="str">
        <f>IFERROR(INDEX(Структура_ассортимента[SuperCategory],MATCH(Товары[[#This Row],[SubGroup]],Структура_ассортимента[Subgroup],0)),"")</f>
        <v>A</v>
      </c>
      <c r="D1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7" t="str">
        <f>IFERROR(INDEX(Структура_ассортимента[Product group],MATCH(Товары[[#This Row],[SubGroup]],Структура_ассортимента[Subgroup],0)),"")</f>
        <v>AMC_C</v>
      </c>
      <c r="G1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7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1731</v>
      </c>
      <c r="Q182" s="39" t="s">
        <v>3416</v>
      </c>
      <c r="R182" s="34" t="s">
        <v>3407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3415</v>
      </c>
      <c r="X182" s="34" t="s">
        <v>3446</v>
      </c>
      <c r="Y182" s="34" t="s">
        <v>3409</v>
      </c>
      <c r="Z182" s="34">
        <v>6</v>
      </c>
      <c r="AB182" s="34" t="s">
        <v>4039</v>
      </c>
      <c r="AD182" s="34" t="s">
        <v>4040</v>
      </c>
      <c r="AE182" s="34" t="s">
        <v>4041</v>
      </c>
      <c r="AF182" s="34" t="s">
        <v>3575</v>
      </c>
      <c r="AG182" s="34" t="s">
        <v>3530</v>
      </c>
      <c r="AH182" s="34" t="s">
        <v>4042</v>
      </c>
      <c r="AL182" s="34" t="s">
        <v>4043</v>
      </c>
      <c r="AM182" s="34" t="s">
        <v>7962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7" t="str">
        <f>IFERROR(INDEX(Структура_ассортимента[SuperCategory],MATCH(Товары[[#This Row],[SubGroup]],Структура_ассортимента[Subgroup],0)),"")</f>
        <v>A</v>
      </c>
      <c r="D1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7" t="str">
        <f>IFERROR(INDEX(Структура_ассортимента[Product group],MATCH(Товары[[#This Row],[SubGroup]],Структура_ассортимента[Subgroup],0)),"")</f>
        <v>AMC_C</v>
      </c>
      <c r="G1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7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1732</v>
      </c>
      <c r="O183" s="37" t="s">
        <v>4044</v>
      </c>
      <c r="P183" s="37" t="s">
        <v>4045</v>
      </c>
      <c r="Q183" s="39" t="s">
        <v>3416</v>
      </c>
      <c r="R183" s="34" t="s">
        <v>3407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3415</v>
      </c>
      <c r="X183" s="34" t="s">
        <v>3446</v>
      </c>
      <c r="Y183" s="34" t="s">
        <v>3409</v>
      </c>
      <c r="Z183" s="34">
        <v>5</v>
      </c>
      <c r="AA183" s="34" t="s">
        <v>4046</v>
      </c>
      <c r="AB183" s="34" t="s">
        <v>4046</v>
      </c>
      <c r="AC183" s="34" t="s">
        <v>4047</v>
      </c>
      <c r="AD183" s="34" t="s">
        <v>4047</v>
      </c>
      <c r="AE183" s="34" t="s">
        <v>4027</v>
      </c>
      <c r="AF183" s="34" t="s">
        <v>4048</v>
      </c>
      <c r="AG183" s="34" t="s">
        <v>3978</v>
      </c>
      <c r="AH183" s="34" t="s">
        <v>4049</v>
      </c>
      <c r="AI183" s="34" t="s">
        <v>4050</v>
      </c>
      <c r="AJ183" s="34" t="s">
        <v>4051</v>
      </c>
      <c r="AK183" s="34" t="s">
        <v>3978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7" t="str">
        <f>IFERROR(INDEX(Структура_ассортимента[SuperCategory],MATCH(Товары[[#This Row],[SubGroup]],Структура_ассортимента[Subgroup],0)),"")</f>
        <v>A</v>
      </c>
      <c r="D1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7" t="str">
        <f>IFERROR(INDEX(Структура_ассортимента[Product group],MATCH(Товары[[#This Row],[SubGroup]],Структура_ассортимента[Subgroup],0)),"")</f>
        <v>AMC_C</v>
      </c>
      <c r="G1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7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1733</v>
      </c>
      <c r="O184" s="37" t="s">
        <v>4052</v>
      </c>
      <c r="P184" s="37" t="s">
        <v>4053</v>
      </c>
      <c r="Q184" s="39" t="s">
        <v>3416</v>
      </c>
      <c r="R184" s="34" t="s">
        <v>3407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3415</v>
      </c>
      <c r="X184" s="34" t="s">
        <v>3446</v>
      </c>
      <c r="Y184" s="34" t="s">
        <v>3409</v>
      </c>
      <c r="Z184" s="34">
        <v>10</v>
      </c>
      <c r="AA184" s="34" t="s">
        <v>4054</v>
      </c>
      <c r="AB184" s="34" t="s">
        <v>4054</v>
      </c>
      <c r="AC184" s="34" t="s">
        <v>3588</v>
      </c>
      <c r="AD184" s="34" t="s">
        <v>3588</v>
      </c>
      <c r="AE184" s="34" t="s">
        <v>4055</v>
      </c>
      <c r="AF184" s="34" t="s">
        <v>3427</v>
      </c>
      <c r="AG184" s="34" t="s">
        <v>4056</v>
      </c>
      <c r="AH184" s="34" t="s">
        <v>4057</v>
      </c>
      <c r="AI184" s="34" t="s">
        <v>3984</v>
      </c>
      <c r="AJ184" s="34" t="s">
        <v>4058</v>
      </c>
      <c r="AK184" s="34" t="s">
        <v>4059</v>
      </c>
      <c r="AL184" s="34" t="s">
        <v>4060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7" t="str">
        <f>IFERROR(INDEX(Структура_ассортимента[SuperCategory],MATCH(Товары[[#This Row],[SubGroup]],Структура_ассортимента[Subgroup],0)),"")</f>
        <v>A</v>
      </c>
      <c r="D1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7" t="str">
        <f>IFERROR(INDEX(Структура_ассортимента[Product group],MATCH(Товары[[#This Row],[SubGroup]],Структура_ассортимента[Subgroup],0)),"")</f>
        <v>AMC_C</v>
      </c>
      <c r="G1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7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1734</v>
      </c>
      <c r="Q185" s="39" t="s">
        <v>3416</v>
      </c>
      <c r="R185" s="34" t="s">
        <v>3407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3415</v>
      </c>
      <c r="X185" s="34" t="s">
        <v>3446</v>
      </c>
      <c r="Y185" s="34" t="s">
        <v>3409</v>
      </c>
      <c r="Z185" s="34">
        <v>10</v>
      </c>
      <c r="AA185" s="34" t="s">
        <v>4061</v>
      </c>
      <c r="AB185" s="34" t="s">
        <v>4061</v>
      </c>
      <c r="AC185" s="34" t="s">
        <v>3587</v>
      </c>
      <c r="AD185" s="34" t="s">
        <v>3587</v>
      </c>
      <c r="AE185" s="34" t="s">
        <v>4062</v>
      </c>
      <c r="AF185" s="34" t="s">
        <v>4063</v>
      </c>
      <c r="AG185" s="34" t="s">
        <v>3492</v>
      </c>
      <c r="AH185" s="34" t="s">
        <v>4064</v>
      </c>
      <c r="AI185" s="34" t="s">
        <v>3984</v>
      </c>
      <c r="AJ185" s="34" t="s">
        <v>4058</v>
      </c>
      <c r="AK185" s="34" t="s">
        <v>4059</v>
      </c>
      <c r="AL185" s="34">
        <v>840</v>
      </c>
      <c r="AM185" s="34" t="s">
        <v>7962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7" t="str">
        <f>IFERROR(INDEX(Структура_ассортимента[SuperCategory],MATCH(Товары[[#This Row],[SubGroup]],Структура_ассортимента[Subgroup],0)),"")</f>
        <v>A</v>
      </c>
      <c r="D1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7" t="str">
        <f>IFERROR(INDEX(Структура_ассортимента[Product group],MATCH(Товары[[#This Row],[SubGroup]],Структура_ассортимента[Subgroup],0)),"")</f>
        <v>AMC_C</v>
      </c>
      <c r="G1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7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1735</v>
      </c>
      <c r="Q186" s="39" t="s">
        <v>3416</v>
      </c>
      <c r="R186" s="34" t="s">
        <v>3407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3415</v>
      </c>
      <c r="X186" s="34" t="s">
        <v>3446</v>
      </c>
      <c r="Y186" s="34" t="s">
        <v>3409</v>
      </c>
      <c r="Z186" s="34">
        <v>10</v>
      </c>
      <c r="AA186" s="34" t="s">
        <v>4061</v>
      </c>
      <c r="AB186" s="34" t="s">
        <v>4065</v>
      </c>
      <c r="AC186" s="34" t="s">
        <v>3968</v>
      </c>
      <c r="AD186" s="34" t="s">
        <v>4066</v>
      </c>
      <c r="AE186" s="34" t="s">
        <v>4055</v>
      </c>
      <c r="AF186" s="34" t="s">
        <v>3427</v>
      </c>
      <c r="AG186" s="34" t="s">
        <v>4056</v>
      </c>
      <c r="AH186" s="34" t="s">
        <v>4057</v>
      </c>
      <c r="AI186" s="34" t="s">
        <v>4067</v>
      </c>
      <c r="AJ186" s="34" t="s">
        <v>4058</v>
      </c>
      <c r="AK186" s="34" t="s">
        <v>4059</v>
      </c>
      <c r="AL186" s="34">
        <v>2000</v>
      </c>
      <c r="AM186" s="34" t="s">
        <v>7962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7" t="str">
        <f>IFERROR(INDEX(Структура_ассортимента[SuperCategory],MATCH(Товары[[#This Row],[SubGroup]],Структура_ассортимента[Subgroup],0)),"")</f>
        <v>A</v>
      </c>
      <c r="D1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7" t="str">
        <f>IFERROR(INDEX(Структура_ассортимента[Product group],MATCH(Товары[[#This Row],[SubGroup]],Структура_ассортимента[Subgroup],0)),"")</f>
        <v>AMC_C</v>
      </c>
      <c r="G1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7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1736</v>
      </c>
      <c r="Q187" s="39" t="s">
        <v>3416</v>
      </c>
      <c r="R187" s="34" t="s">
        <v>3407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3415</v>
      </c>
      <c r="X187" s="34" t="s">
        <v>3446</v>
      </c>
      <c r="Y187" s="34" t="s">
        <v>3409</v>
      </c>
      <c r="Z187" s="34">
        <v>4</v>
      </c>
      <c r="AA187" s="34" t="s">
        <v>3759</v>
      </c>
      <c r="AB187" s="34" t="s">
        <v>4068</v>
      </c>
      <c r="AC187" s="34" t="s">
        <v>3421</v>
      </c>
      <c r="AD187" s="34" t="s">
        <v>3421</v>
      </c>
      <c r="AE187" s="34" t="s">
        <v>4069</v>
      </c>
      <c r="AF187" s="34" t="s">
        <v>4070</v>
      </c>
      <c r="AG187" s="34" t="s">
        <v>3443</v>
      </c>
      <c r="AH187" s="34" t="s">
        <v>4071</v>
      </c>
      <c r="AI187" s="34" t="s">
        <v>4072</v>
      </c>
      <c r="AJ187" s="34" t="s">
        <v>4073</v>
      </c>
      <c r="AK187" s="34" t="s">
        <v>4074</v>
      </c>
      <c r="AL187" s="34" t="s">
        <v>3848</v>
      </c>
      <c r="AM187" s="34" t="s">
        <v>7962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7" t="str">
        <f>IFERROR(INDEX(Структура_ассортимента[SuperCategory],MATCH(Товары[[#This Row],[SubGroup]],Структура_ассортимента[Subgroup],0)),"")</f>
        <v>A</v>
      </c>
      <c r="D1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7" t="str">
        <f>IFERROR(INDEX(Структура_ассортимента[Product group],MATCH(Товары[[#This Row],[SubGroup]],Структура_ассортимента[Subgroup],0)),"")</f>
        <v>AMC_C</v>
      </c>
      <c r="G1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7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1737</v>
      </c>
      <c r="O188" s="37" t="s">
        <v>4075</v>
      </c>
      <c r="P188" s="37" t="s">
        <v>4076</v>
      </c>
      <c r="Q188" s="39" t="s">
        <v>3416</v>
      </c>
      <c r="R188" s="34" t="s">
        <v>3407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3415</v>
      </c>
      <c r="X188" s="34" t="s">
        <v>3446</v>
      </c>
      <c r="Y188" s="34" t="s">
        <v>3409</v>
      </c>
      <c r="Z188" s="34">
        <v>4</v>
      </c>
      <c r="AA188" s="34" t="s">
        <v>3759</v>
      </c>
      <c r="AB188" s="34" t="s">
        <v>3500</v>
      </c>
      <c r="AC188" s="34" t="s">
        <v>3421</v>
      </c>
      <c r="AD188" s="34" t="s">
        <v>3421</v>
      </c>
      <c r="AE188" s="34" t="s">
        <v>4069</v>
      </c>
      <c r="AF188" s="34" t="s">
        <v>4070</v>
      </c>
      <c r="AG188" s="34" t="s">
        <v>3443</v>
      </c>
      <c r="AH188" s="34" t="s">
        <v>4071</v>
      </c>
      <c r="AI188" s="34" t="s">
        <v>3806</v>
      </c>
      <c r="AJ188" s="34" t="s">
        <v>4077</v>
      </c>
      <c r="AK188" s="34" t="s">
        <v>4074</v>
      </c>
      <c r="AL188" s="34" t="s">
        <v>3848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7" t="str">
        <f>IFERROR(INDEX(Структура_ассортимента[SuperCategory],MATCH(Товары[[#This Row],[SubGroup]],Структура_ассортимента[Subgroup],0)),"")</f>
        <v>A</v>
      </c>
      <c r="D1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7" t="str">
        <f>IFERROR(INDEX(Структура_ассортимента[Product group],MATCH(Товары[[#This Row],[SubGroup]],Структура_ассортимента[Subgroup],0)),"")</f>
        <v>AMC_C</v>
      </c>
      <c r="G1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7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1738</v>
      </c>
      <c r="Q189" s="39" t="s">
        <v>3416</v>
      </c>
      <c r="R189" s="34" t="s">
        <v>3407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3410</v>
      </c>
      <c r="X189" s="34" t="s">
        <v>3446</v>
      </c>
      <c r="Y189" s="34" t="s">
        <v>3409</v>
      </c>
      <c r="Z189" s="34">
        <v>12</v>
      </c>
      <c r="AA189" s="34" t="s">
        <v>4078</v>
      </c>
      <c r="AB189" s="34" t="s">
        <v>4078</v>
      </c>
      <c r="AC189" s="34" t="s">
        <v>4079</v>
      </c>
      <c r="AD189" s="34" t="s">
        <v>4079</v>
      </c>
      <c r="AE189" s="34" t="s">
        <v>3641</v>
      </c>
      <c r="AF189" s="34" t="s">
        <v>3822</v>
      </c>
      <c r="AG189" s="34" t="s">
        <v>4048</v>
      </c>
      <c r="AH189" s="34" t="s">
        <v>4080</v>
      </c>
      <c r="AL189" s="34" t="s">
        <v>4081</v>
      </c>
      <c r="AM189" s="34" t="s">
        <v>7962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7" t="str">
        <f>IFERROR(INDEX(Структура_ассортимента[SuperCategory],MATCH(Товары[[#This Row],[SubGroup]],Структура_ассортимента[Subgroup],0)),"")</f>
        <v>A</v>
      </c>
      <c r="D1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7" t="str">
        <f>IFERROR(INDEX(Структура_ассортимента[Product group],MATCH(Товары[[#This Row],[SubGroup]],Структура_ассортимента[Subgroup],0)),"")</f>
        <v>AMC_C</v>
      </c>
      <c r="G1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7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1739</v>
      </c>
      <c r="Q190" s="39" t="s">
        <v>3416</v>
      </c>
      <c r="R190" s="34" t="s">
        <v>3407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3415</v>
      </c>
      <c r="X190" s="34" t="s">
        <v>3446</v>
      </c>
      <c r="Y190" s="34" t="s">
        <v>3409</v>
      </c>
      <c r="Z190" s="34">
        <v>2</v>
      </c>
      <c r="AA190" s="34" t="s">
        <v>4082</v>
      </c>
      <c r="AB190" s="34" t="s">
        <v>4082</v>
      </c>
      <c r="AC190" s="34" t="s">
        <v>4083</v>
      </c>
      <c r="AD190" s="34" t="s">
        <v>4083</v>
      </c>
      <c r="AE190" s="34" t="s">
        <v>4084</v>
      </c>
      <c r="AF190" s="34" t="s">
        <v>3744</v>
      </c>
      <c r="AG190" s="34" t="s">
        <v>4085</v>
      </c>
      <c r="AH190" s="34" t="s">
        <v>4086</v>
      </c>
      <c r="AI190" s="34" t="s">
        <v>3684</v>
      </c>
      <c r="AJ190" s="34" t="s">
        <v>4087</v>
      </c>
      <c r="AK190" s="34" t="s">
        <v>4088</v>
      </c>
      <c r="AL190" s="34">
        <v>154</v>
      </c>
      <c r="AM190" s="34" t="s">
        <v>7962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7" t="str">
        <f>IFERROR(INDEX(Структура_ассортимента[SuperCategory],MATCH(Товары[[#This Row],[SubGroup]],Структура_ассортимента[Subgroup],0)),"")</f>
        <v>A</v>
      </c>
      <c r="D1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7" t="str">
        <f>IFERROR(INDEX(Структура_ассортимента[Product group],MATCH(Товары[[#This Row],[SubGroup]],Структура_ассортимента[Subgroup],0)),"")</f>
        <v>AMC_C</v>
      </c>
      <c r="G1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7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1740</v>
      </c>
      <c r="Q191" s="39" t="s">
        <v>3416</v>
      </c>
      <c r="R191" s="34" t="s">
        <v>3407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3415</v>
      </c>
      <c r="X191" s="34" t="s">
        <v>3446</v>
      </c>
      <c r="Y191" s="34" t="s">
        <v>3409</v>
      </c>
      <c r="Z191" s="34">
        <v>2</v>
      </c>
      <c r="AA191" s="34" t="s">
        <v>4089</v>
      </c>
      <c r="AB191" s="34" t="s">
        <v>4089</v>
      </c>
      <c r="AC191" s="34" t="s">
        <v>3728</v>
      </c>
      <c r="AD191" s="34" t="s">
        <v>3728</v>
      </c>
      <c r="AE191" s="34" t="s">
        <v>4090</v>
      </c>
      <c r="AF191" s="34" t="s">
        <v>3822</v>
      </c>
      <c r="AG191" s="34" t="s">
        <v>3798</v>
      </c>
      <c r="AH191" s="34" t="s">
        <v>4091</v>
      </c>
      <c r="AI191" s="34" t="s">
        <v>4092</v>
      </c>
      <c r="AJ191" s="34" t="s">
        <v>4093</v>
      </c>
      <c r="AK191" s="34" t="s">
        <v>3566</v>
      </c>
      <c r="AL191" s="34">
        <v>154</v>
      </c>
      <c r="AM191" s="34" t="s">
        <v>7962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7" t="str">
        <f>IFERROR(INDEX(Структура_ассортимента[SuperCategory],MATCH(Товары[[#This Row],[SubGroup]],Структура_ассортимента[Subgroup],0)),"")</f>
        <v>A</v>
      </c>
      <c r="D1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7" t="str">
        <f>IFERROR(INDEX(Структура_ассортимента[Product group],MATCH(Товары[[#This Row],[SubGroup]],Структура_ассортимента[Subgroup],0)),"")</f>
        <v>AMC_C</v>
      </c>
      <c r="G1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7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1741</v>
      </c>
      <c r="O192" s="37" t="s">
        <v>4094</v>
      </c>
      <c r="P192" s="37" t="s">
        <v>4095</v>
      </c>
      <c r="Q192" s="39" t="s">
        <v>3416</v>
      </c>
      <c r="R192" s="34" t="s">
        <v>3407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3415</v>
      </c>
      <c r="X192" s="34" t="s">
        <v>3446</v>
      </c>
      <c r="Y192" s="34" t="s">
        <v>3409</v>
      </c>
      <c r="Z192" s="34">
        <v>2</v>
      </c>
      <c r="AA192" s="34" t="s">
        <v>3474</v>
      </c>
      <c r="AB192" s="34" t="s">
        <v>3474</v>
      </c>
      <c r="AC192" s="34" t="s">
        <v>4096</v>
      </c>
      <c r="AD192" s="34" t="s">
        <v>4096</v>
      </c>
      <c r="AE192" s="34" t="s">
        <v>4097</v>
      </c>
      <c r="AF192" s="34" t="s">
        <v>3610</v>
      </c>
      <c r="AG192" s="34" t="s">
        <v>4098</v>
      </c>
      <c r="AH192" s="34" t="s">
        <v>4099</v>
      </c>
      <c r="AI192" s="34" t="s">
        <v>4100</v>
      </c>
      <c r="AJ192" s="34" t="s">
        <v>4072</v>
      </c>
      <c r="AK192" s="34" t="s">
        <v>4101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7" t="str">
        <f>IFERROR(INDEX(Структура_ассортимента[SuperCategory],MATCH(Товары[[#This Row],[SubGroup]],Структура_ассортимента[Subgroup],0)),"")</f>
        <v>A</v>
      </c>
      <c r="D1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7" t="str">
        <f>IFERROR(INDEX(Структура_ассортимента[Product group],MATCH(Товары[[#This Row],[SubGroup]],Структура_ассортимента[Subgroup],0)),"")</f>
        <v>AMC_C</v>
      </c>
      <c r="G1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7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1742</v>
      </c>
      <c r="O193" s="37" t="s">
        <v>4102</v>
      </c>
      <c r="P193" s="37" t="s">
        <v>4103</v>
      </c>
      <c r="Q193" s="39" t="s">
        <v>3416</v>
      </c>
      <c r="R193" s="34" t="s">
        <v>3407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3415</v>
      </c>
      <c r="X193" s="34" t="s">
        <v>3446</v>
      </c>
      <c r="Y193" s="34" t="s">
        <v>3409</v>
      </c>
      <c r="Z193" s="34">
        <v>4</v>
      </c>
      <c r="AB193" s="34" t="s">
        <v>4104</v>
      </c>
      <c r="AD193" s="34" t="s">
        <v>3421</v>
      </c>
      <c r="AE193" s="34" t="s">
        <v>4105</v>
      </c>
      <c r="AF193" s="34" t="s">
        <v>3575</v>
      </c>
      <c r="AG193" s="34" t="s">
        <v>4106</v>
      </c>
      <c r="AH193" s="34" t="s">
        <v>4107</v>
      </c>
      <c r="AI193" s="34" t="s">
        <v>4108</v>
      </c>
      <c r="AJ193" s="34" t="s">
        <v>4109</v>
      </c>
      <c r="AK193" s="34" t="s">
        <v>4048</v>
      </c>
      <c r="AL193" s="34" t="s">
        <v>3848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7" t="str">
        <f>IFERROR(INDEX(Структура_ассортимента[SuperCategory],MATCH(Товары[[#This Row],[SubGroup]],Структура_ассортимента[Subgroup],0)),"")</f>
        <v>A</v>
      </c>
      <c r="D1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7" t="str">
        <f>IFERROR(INDEX(Структура_ассортимента[Product group],MATCH(Товары[[#This Row],[SubGroup]],Структура_ассортимента[Subgroup],0)),"")</f>
        <v>AMC_C</v>
      </c>
      <c r="G1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7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1743</v>
      </c>
      <c r="O194" s="37" t="s">
        <v>4110</v>
      </c>
      <c r="P194" s="37" t="s">
        <v>4111</v>
      </c>
      <c r="Q194" s="39" t="s">
        <v>3416</v>
      </c>
      <c r="R194" s="34" t="s">
        <v>3407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3415</v>
      </c>
      <c r="X194" s="34" t="s">
        <v>3446</v>
      </c>
      <c r="Y194" s="34" t="s">
        <v>3409</v>
      </c>
      <c r="Z194" s="34">
        <v>2</v>
      </c>
      <c r="AB194" s="34" t="s">
        <v>4112</v>
      </c>
      <c r="AD194" s="34" t="s">
        <v>4113</v>
      </c>
      <c r="AE194" s="34" t="s">
        <v>4114</v>
      </c>
      <c r="AF194" s="34" t="s">
        <v>3575</v>
      </c>
      <c r="AG194" s="34" t="s">
        <v>4115</v>
      </c>
      <c r="AH194" s="34" t="s">
        <v>4116</v>
      </c>
      <c r="AI194" s="34" t="s">
        <v>4117</v>
      </c>
      <c r="AJ194" s="34" t="s">
        <v>4109</v>
      </c>
      <c r="AK194" s="34" t="s">
        <v>4048</v>
      </c>
      <c r="AL194" s="34" t="s">
        <v>4118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7" t="str">
        <f>IFERROR(INDEX(Структура_ассортимента[SuperCategory],MATCH(Товары[[#This Row],[SubGroup]],Структура_ассортимента[Subgroup],0)),"")</f>
        <v>A</v>
      </c>
      <c r="D1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7" t="str">
        <f>IFERROR(INDEX(Структура_ассортимента[Product group],MATCH(Товары[[#This Row],[SubGroup]],Структура_ассортимента[Subgroup],0)),"")</f>
        <v>AMC_C</v>
      </c>
      <c r="G1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7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1744</v>
      </c>
      <c r="O195" s="37" t="s">
        <v>4119</v>
      </c>
      <c r="P195" s="37" t="s">
        <v>4120</v>
      </c>
      <c r="Q195" s="39" t="s">
        <v>3416</v>
      </c>
      <c r="R195" s="34" t="s">
        <v>3407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3415</v>
      </c>
      <c r="X195" s="34" t="s">
        <v>3446</v>
      </c>
      <c r="Y195" s="34" t="s">
        <v>3409</v>
      </c>
      <c r="Z195" s="34">
        <v>2</v>
      </c>
      <c r="AA195" s="34" t="s">
        <v>4121</v>
      </c>
      <c r="AB195" s="34" t="s">
        <v>4121</v>
      </c>
      <c r="AC195" s="34" t="s">
        <v>4122</v>
      </c>
      <c r="AD195" s="34" t="s">
        <v>4122</v>
      </c>
      <c r="AE195" s="34" t="s">
        <v>4123</v>
      </c>
      <c r="AF195" s="34" t="s">
        <v>4124</v>
      </c>
      <c r="AG195" s="34" t="s">
        <v>4088</v>
      </c>
      <c r="AH195" s="34" t="s">
        <v>4125</v>
      </c>
      <c r="AI195" s="34" t="s">
        <v>4126</v>
      </c>
      <c r="AJ195" s="34" t="s">
        <v>4127</v>
      </c>
      <c r="AK195" s="34" t="s">
        <v>4128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7" t="str">
        <f>IFERROR(INDEX(Структура_ассортимента[SuperCategory],MATCH(Товары[[#This Row],[SubGroup]],Структура_ассортимента[Subgroup],0)),"")</f>
        <v>A</v>
      </c>
      <c r="D1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7" t="str">
        <f>IFERROR(INDEX(Структура_ассортимента[Product group],MATCH(Товары[[#This Row],[SubGroup]],Структура_ассортимента[Subgroup],0)),"")</f>
        <v>AMC_C</v>
      </c>
      <c r="G1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7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1745</v>
      </c>
      <c r="O196" s="37" t="s">
        <v>4129</v>
      </c>
      <c r="P196" s="37" t="s">
        <v>4130</v>
      </c>
      <c r="Q196" s="39" t="s">
        <v>3416</v>
      </c>
      <c r="R196" s="34" t="s">
        <v>3407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3415</v>
      </c>
      <c r="X196" s="34" t="s">
        <v>3446</v>
      </c>
      <c r="Y196" s="34" t="s">
        <v>3409</v>
      </c>
      <c r="Z196" s="34">
        <v>4</v>
      </c>
      <c r="AA196" s="34" t="s">
        <v>3465</v>
      </c>
      <c r="AB196" s="34" t="s">
        <v>4131</v>
      </c>
      <c r="AC196" s="34" t="s">
        <v>4132</v>
      </c>
      <c r="AD196" s="34" t="s">
        <v>3453</v>
      </c>
      <c r="AE196" s="34" t="s">
        <v>4133</v>
      </c>
      <c r="AF196" s="34" t="s">
        <v>3685</v>
      </c>
      <c r="AG196" s="34" t="s">
        <v>3539</v>
      </c>
      <c r="AH196" s="34" t="s">
        <v>4134</v>
      </c>
      <c r="AI196" s="34" t="s">
        <v>4090</v>
      </c>
      <c r="AJ196" s="34" t="s">
        <v>4127</v>
      </c>
      <c r="AK196" s="34" t="s">
        <v>3575</v>
      </c>
      <c r="AL196" s="34" t="s">
        <v>4135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7" t="str">
        <f>IFERROR(INDEX(Структура_ассортимента[SuperCategory],MATCH(Товары[[#This Row],[SubGroup]],Структура_ассортимента[Subgroup],0)),"")</f>
        <v>A</v>
      </c>
      <c r="D1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7" t="str">
        <f>IFERROR(INDEX(Структура_ассортимента[Product group],MATCH(Товары[[#This Row],[SubGroup]],Структура_ассортимента[Subgroup],0)),"")</f>
        <v>AMC_C</v>
      </c>
      <c r="G1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7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1746</v>
      </c>
      <c r="O197" s="37" t="s">
        <v>4136</v>
      </c>
      <c r="P197" s="37" t="s">
        <v>4137</v>
      </c>
      <c r="Q197" s="39" t="s">
        <v>3416</v>
      </c>
      <c r="R197" s="34" t="s">
        <v>3407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3415</v>
      </c>
      <c r="X197" s="34" t="s">
        <v>3446</v>
      </c>
      <c r="Y197" s="34" t="s">
        <v>3409</v>
      </c>
      <c r="Z197" s="34">
        <v>4</v>
      </c>
      <c r="AA197" s="34" t="s">
        <v>3501</v>
      </c>
      <c r="AB197" s="34" t="s">
        <v>4068</v>
      </c>
      <c r="AC197" s="34" t="s">
        <v>3503</v>
      </c>
      <c r="AD197" s="34" t="s">
        <v>3421</v>
      </c>
      <c r="AE197" s="34" t="s">
        <v>4138</v>
      </c>
      <c r="AF197" s="34" t="s">
        <v>3692</v>
      </c>
      <c r="AG197" s="34" t="s">
        <v>4139</v>
      </c>
      <c r="AH197" s="34" t="s">
        <v>4140</v>
      </c>
      <c r="AI197" s="34" t="s">
        <v>4138</v>
      </c>
      <c r="AJ197" s="34" t="s">
        <v>4139</v>
      </c>
      <c r="AK197" s="34" t="s">
        <v>3692</v>
      </c>
      <c r="AL197" s="34" t="s">
        <v>4141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7" t="str">
        <f>IFERROR(INDEX(Структура_ассортимента[SuperCategory],MATCH(Товары[[#This Row],[SubGroup]],Структура_ассортимента[Subgroup],0)),"")</f>
        <v>A</v>
      </c>
      <c r="D1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7" t="str">
        <f>IFERROR(INDEX(Структура_ассортимента[Product group],MATCH(Товары[[#This Row],[SubGroup]],Структура_ассортимента[Subgroup],0)),"")</f>
        <v>AMC_C</v>
      </c>
      <c r="G1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7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1747</v>
      </c>
      <c r="O198" s="37" t="s">
        <v>4142</v>
      </c>
      <c r="P198" s="37" t="s">
        <v>4143</v>
      </c>
      <c r="Q198" s="39" t="s">
        <v>3416</v>
      </c>
      <c r="R198" s="34" t="s">
        <v>3407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3415</v>
      </c>
      <c r="X198" s="34" t="s">
        <v>3446</v>
      </c>
      <c r="Y198" s="34" t="s">
        <v>3409</v>
      </c>
      <c r="Z198" s="34">
        <v>12</v>
      </c>
      <c r="AA198" s="34" t="s">
        <v>4144</v>
      </c>
      <c r="AB198" s="34" t="s">
        <v>4068</v>
      </c>
      <c r="AC198" s="34" t="s">
        <v>4145</v>
      </c>
      <c r="AD198" s="34" t="s">
        <v>3421</v>
      </c>
      <c r="AE198" s="34" t="s">
        <v>4138</v>
      </c>
      <c r="AF198" s="34" t="s">
        <v>3692</v>
      </c>
      <c r="AG198" s="34" t="s">
        <v>4139</v>
      </c>
      <c r="AH198" s="34" t="s">
        <v>4146</v>
      </c>
      <c r="AI198" s="34" t="s">
        <v>4138</v>
      </c>
      <c r="AJ198" s="34" t="s">
        <v>4109</v>
      </c>
      <c r="AK198" s="34" t="s">
        <v>3692</v>
      </c>
      <c r="AL198" s="34" t="s">
        <v>4081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7" t="str">
        <f>IFERROR(INDEX(Структура_ассортимента[SuperCategory],MATCH(Товары[[#This Row],[SubGroup]],Структура_ассортимента[Subgroup],0)),"")</f>
        <v>A</v>
      </c>
      <c r="D1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7" t="str">
        <f>IFERROR(INDEX(Структура_ассортимента[Product group],MATCH(Товары[[#This Row],[SubGroup]],Структура_ассортимента[Subgroup],0)),"")</f>
        <v>AMC_C</v>
      </c>
      <c r="G1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7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1748</v>
      </c>
      <c r="O199" s="37" t="s">
        <v>4147</v>
      </c>
      <c r="P199" s="37" t="s">
        <v>4148</v>
      </c>
      <c r="Q199" s="39" t="s">
        <v>3416</v>
      </c>
      <c r="R199" s="34" t="s">
        <v>3407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3415</v>
      </c>
      <c r="X199" s="34" t="s">
        <v>3446</v>
      </c>
      <c r="Y199" s="34" t="s">
        <v>3409</v>
      </c>
      <c r="Z199" s="34">
        <v>4</v>
      </c>
      <c r="AA199" s="34" t="s">
        <v>3501</v>
      </c>
      <c r="AB199" s="34" t="s">
        <v>4149</v>
      </c>
      <c r="AC199" s="34" t="s">
        <v>3503</v>
      </c>
      <c r="AD199" s="34" t="s">
        <v>3759</v>
      </c>
      <c r="AE199" s="34" t="s">
        <v>4150</v>
      </c>
      <c r="AF199" s="34" t="s">
        <v>3692</v>
      </c>
      <c r="AG199" s="34" t="s">
        <v>3799</v>
      </c>
      <c r="AH199" s="34" t="s">
        <v>4151</v>
      </c>
      <c r="AI199" s="34" t="s">
        <v>4150</v>
      </c>
      <c r="AJ199" s="34" t="s">
        <v>3799</v>
      </c>
      <c r="AK199" s="34" t="s">
        <v>3692</v>
      </c>
      <c r="AL199" s="34" t="s">
        <v>3445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7" t="str">
        <f>IFERROR(INDEX(Структура_ассортимента[SuperCategory],MATCH(Товары[[#This Row],[SubGroup]],Структура_ассортимента[Subgroup],0)),"")</f>
        <v>A</v>
      </c>
      <c r="D2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7" t="str">
        <f>IFERROR(INDEX(Структура_ассортимента[Product group],MATCH(Товары[[#This Row],[SubGroup]],Структура_ассортимента[Subgroup],0)),"")</f>
        <v>AMC_C</v>
      </c>
      <c r="G2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7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1749</v>
      </c>
      <c r="O200" s="37" t="s">
        <v>4152</v>
      </c>
      <c r="P200" s="37" t="s">
        <v>4153</v>
      </c>
      <c r="Q200" s="39" t="s">
        <v>3416</v>
      </c>
      <c r="R200" s="34" t="s">
        <v>3407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3415</v>
      </c>
      <c r="X200" s="34" t="s">
        <v>3446</v>
      </c>
      <c r="Y200" s="34" t="s">
        <v>3409</v>
      </c>
      <c r="Z200" s="34">
        <v>4</v>
      </c>
      <c r="AA200" s="34" t="s">
        <v>3501</v>
      </c>
      <c r="AB200" s="34" t="s">
        <v>4149</v>
      </c>
      <c r="AC200" s="34" t="s">
        <v>3503</v>
      </c>
      <c r="AD200" s="34" t="s">
        <v>3759</v>
      </c>
      <c r="AE200" s="34" t="s">
        <v>4154</v>
      </c>
      <c r="AF200" s="34" t="s">
        <v>3575</v>
      </c>
      <c r="AG200" s="34" t="s">
        <v>3799</v>
      </c>
      <c r="AH200" s="34" t="s">
        <v>4155</v>
      </c>
      <c r="AI200" s="34" t="s">
        <v>4154</v>
      </c>
      <c r="AJ200" s="34" t="s">
        <v>3799</v>
      </c>
      <c r="AK200" s="34" t="s">
        <v>3575</v>
      </c>
      <c r="AL200" s="34" t="s">
        <v>3735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7" t="str">
        <f>IFERROR(INDEX(Структура_ассортимента[SuperCategory],MATCH(Товары[[#This Row],[SubGroup]],Структура_ассортимента[Subgroup],0)),"")</f>
        <v>A</v>
      </c>
      <c r="D2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7" t="str">
        <f>IFERROR(INDEX(Структура_ассортимента[Product group],MATCH(Товары[[#This Row],[SubGroup]],Структура_ассортимента[Subgroup],0)),"")</f>
        <v>AMC_C</v>
      </c>
      <c r="G2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7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1750</v>
      </c>
      <c r="O201" s="37" t="s">
        <v>4156</v>
      </c>
      <c r="P201" s="37" t="s">
        <v>4157</v>
      </c>
      <c r="Q201" s="39" t="s">
        <v>3416</v>
      </c>
      <c r="R201" s="34" t="s">
        <v>3407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3415</v>
      </c>
      <c r="X201" s="34" t="s">
        <v>3446</v>
      </c>
      <c r="Y201" s="34" t="s">
        <v>3409</v>
      </c>
      <c r="Z201" s="34">
        <v>12</v>
      </c>
      <c r="AA201" s="34" t="s">
        <v>3501</v>
      </c>
      <c r="AB201" s="34" t="s">
        <v>3501</v>
      </c>
      <c r="AC201" s="34" t="s">
        <v>3503</v>
      </c>
      <c r="AD201" s="34" t="s">
        <v>3503</v>
      </c>
      <c r="AE201" s="34" t="s">
        <v>4154</v>
      </c>
      <c r="AF201" s="34" t="s">
        <v>3575</v>
      </c>
      <c r="AG201" s="34" t="s">
        <v>3799</v>
      </c>
      <c r="AH201" s="34" t="s">
        <v>4155</v>
      </c>
      <c r="AI201" s="34" t="s">
        <v>4154</v>
      </c>
      <c r="AJ201" s="34" t="s">
        <v>3799</v>
      </c>
      <c r="AK201" s="34" t="s">
        <v>3575</v>
      </c>
      <c r="AL201" s="34" t="s">
        <v>3525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7" t="str">
        <f>IFERROR(INDEX(Структура_ассортимента[SuperCategory],MATCH(Товары[[#This Row],[SubGroup]],Структура_ассортимента[Subgroup],0)),"")</f>
        <v>A</v>
      </c>
      <c r="D2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7" t="str">
        <f>IFERROR(INDEX(Структура_ассортимента[Product group],MATCH(Товары[[#This Row],[SubGroup]],Структура_ассортимента[Subgroup],0)),"")</f>
        <v>AMC_C</v>
      </c>
      <c r="G2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7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1751</v>
      </c>
      <c r="O202" s="37" t="s">
        <v>4158</v>
      </c>
      <c r="P202" s="37" t="s">
        <v>4159</v>
      </c>
      <c r="Q202" s="39" t="s">
        <v>3416</v>
      </c>
      <c r="R202" s="34" t="s">
        <v>3407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3415</v>
      </c>
      <c r="X202" s="34" t="s">
        <v>3446</v>
      </c>
      <c r="Y202" s="34" t="s">
        <v>3409</v>
      </c>
      <c r="Z202" s="34">
        <v>2</v>
      </c>
      <c r="AA202" s="34" t="s">
        <v>3501</v>
      </c>
      <c r="AB202" s="34" t="s">
        <v>3501</v>
      </c>
      <c r="AC202" s="34" t="s">
        <v>3503</v>
      </c>
      <c r="AD202" s="34" t="s">
        <v>3503</v>
      </c>
      <c r="AE202" s="34" t="s">
        <v>4160</v>
      </c>
      <c r="AF202" s="34" t="s">
        <v>3787</v>
      </c>
      <c r="AG202" s="34" t="s">
        <v>3539</v>
      </c>
      <c r="AH202" s="34" t="s">
        <v>4161</v>
      </c>
      <c r="AI202" s="34" t="s">
        <v>4160</v>
      </c>
      <c r="AJ202" s="34" t="s">
        <v>3539</v>
      </c>
      <c r="AK202" s="34" t="s">
        <v>3787</v>
      </c>
      <c r="AL202" s="34" t="s">
        <v>4162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7" t="str">
        <f>IFERROR(INDEX(Структура_ассортимента[SuperCategory],MATCH(Товары[[#This Row],[SubGroup]],Структура_ассортимента[Subgroup],0)),"")</f>
        <v>A</v>
      </c>
      <c r="D2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7" t="str">
        <f>IFERROR(INDEX(Структура_ассортимента[Product group],MATCH(Товары[[#This Row],[SubGroup]],Структура_ассортимента[Subgroup],0)),"")</f>
        <v>AMC_C</v>
      </c>
      <c r="G2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7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1752</v>
      </c>
      <c r="O203" s="37" t="s">
        <v>4163</v>
      </c>
      <c r="P203" s="37" t="s">
        <v>4164</v>
      </c>
      <c r="Q203" s="39" t="s">
        <v>3416</v>
      </c>
      <c r="R203" s="34" t="s">
        <v>3407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3415</v>
      </c>
      <c r="X203" s="34" t="s">
        <v>3446</v>
      </c>
      <c r="Y203" s="34" t="s">
        <v>3409</v>
      </c>
      <c r="Z203" s="34">
        <v>12</v>
      </c>
      <c r="AA203" s="34" t="s">
        <v>3501</v>
      </c>
      <c r="AB203" s="34" t="s">
        <v>3501</v>
      </c>
      <c r="AC203" s="34" t="s">
        <v>3503</v>
      </c>
      <c r="AD203" s="34" t="s">
        <v>3503</v>
      </c>
      <c r="AE203" s="34" t="s">
        <v>4160</v>
      </c>
      <c r="AF203" s="34" t="s">
        <v>3787</v>
      </c>
      <c r="AG203" s="34" t="s">
        <v>3539</v>
      </c>
      <c r="AH203" s="34" t="s">
        <v>4161</v>
      </c>
      <c r="AI203" s="34" t="s">
        <v>4160</v>
      </c>
      <c r="AJ203" s="34" t="s">
        <v>3539</v>
      </c>
      <c r="AK203" s="34" t="s">
        <v>3787</v>
      </c>
      <c r="AL203" s="34" t="s">
        <v>3525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7" t="str">
        <f>IFERROR(INDEX(Структура_ассортимента[SuperCategory],MATCH(Товары[[#This Row],[SubGroup]],Структура_ассортимента[Subgroup],0)),"")</f>
        <v>A</v>
      </c>
      <c r="D2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7" t="str">
        <f>IFERROR(INDEX(Структура_ассортимента[Product group],MATCH(Товары[[#This Row],[SubGroup]],Структура_ассортимента[Subgroup],0)),"")</f>
        <v>AMC_C</v>
      </c>
      <c r="G2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7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1753</v>
      </c>
      <c r="O204" s="37" t="s">
        <v>4165</v>
      </c>
      <c r="P204" s="37" t="s">
        <v>4166</v>
      </c>
      <c r="Q204" s="39" t="s">
        <v>3416</v>
      </c>
      <c r="R204" s="34" t="s">
        <v>3407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3415</v>
      </c>
      <c r="X204" s="34" t="s">
        <v>3446</v>
      </c>
      <c r="Y204" s="34" t="s">
        <v>3409</v>
      </c>
      <c r="Z204" s="34">
        <v>2</v>
      </c>
      <c r="AA204" s="34" t="s">
        <v>3501</v>
      </c>
      <c r="AB204" s="34" t="s">
        <v>4167</v>
      </c>
      <c r="AC204" s="34" t="s">
        <v>3503</v>
      </c>
      <c r="AD204" s="34" t="s">
        <v>3743</v>
      </c>
      <c r="AE204" s="34" t="s">
        <v>3885</v>
      </c>
      <c r="AF204" s="34" t="s">
        <v>3811</v>
      </c>
      <c r="AG204" s="34" t="s">
        <v>3539</v>
      </c>
      <c r="AH204" s="34" t="s">
        <v>4168</v>
      </c>
      <c r="AI204" s="34" t="s">
        <v>3885</v>
      </c>
      <c r="AJ204" s="34" t="s">
        <v>4101</v>
      </c>
      <c r="AK204" s="34" t="s">
        <v>3787</v>
      </c>
      <c r="AL204" s="34" t="s">
        <v>4169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7" t="str">
        <f>IFERROR(INDEX(Структура_ассортимента[SuperCategory],MATCH(Товары[[#This Row],[SubGroup]],Структура_ассортимента[Subgroup],0)),"")</f>
        <v>A</v>
      </c>
      <c r="D2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7" t="str">
        <f>IFERROR(INDEX(Структура_ассортимента[Product group],MATCH(Товары[[#This Row],[SubGroup]],Структура_ассортимента[Subgroup],0)),"")</f>
        <v>AMC_C</v>
      </c>
      <c r="G2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7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1754</v>
      </c>
      <c r="O205" s="37" t="s">
        <v>4170</v>
      </c>
      <c r="P205" s="37" t="s">
        <v>4171</v>
      </c>
      <c r="Q205" s="39" t="s">
        <v>3416</v>
      </c>
      <c r="R205" s="34" t="s">
        <v>3407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3415</v>
      </c>
      <c r="X205" s="34" t="s">
        <v>3446</v>
      </c>
      <c r="Y205" s="34" t="s">
        <v>3409</v>
      </c>
      <c r="Z205" s="34">
        <v>2</v>
      </c>
      <c r="AA205" s="34" t="s">
        <v>3501</v>
      </c>
      <c r="AB205" s="34" t="s">
        <v>3501</v>
      </c>
      <c r="AC205" s="34" t="s">
        <v>3503</v>
      </c>
      <c r="AD205" s="34" t="s">
        <v>3503</v>
      </c>
      <c r="AE205" s="34" t="s">
        <v>4012</v>
      </c>
      <c r="AF205" s="34" t="s">
        <v>3610</v>
      </c>
      <c r="AG205" s="34" t="s">
        <v>3539</v>
      </c>
      <c r="AH205" s="34" t="s">
        <v>4172</v>
      </c>
      <c r="AI205" s="34" t="s">
        <v>4012</v>
      </c>
      <c r="AJ205" s="34" t="s">
        <v>3539</v>
      </c>
      <c r="AK205" s="34" t="s">
        <v>3610</v>
      </c>
      <c r="AL205" s="34" t="s">
        <v>4173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7" t="str">
        <f>IFERROR(INDEX(Структура_ассортимента[SuperCategory],MATCH(Товары[[#This Row],[SubGroup]],Структура_ассортимента[Subgroup],0)),"")</f>
        <v>A</v>
      </c>
      <c r="D2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7" t="str">
        <f>IFERROR(INDEX(Структура_ассортимента[Product group],MATCH(Товары[[#This Row],[SubGroup]],Структура_ассортимента[Subgroup],0)),"")</f>
        <v>AMC_C</v>
      </c>
      <c r="G2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7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1755</v>
      </c>
      <c r="O206" s="37" t="s">
        <v>4174</v>
      </c>
      <c r="P206" s="37" t="s">
        <v>4175</v>
      </c>
      <c r="Q206" s="39" t="s">
        <v>3416</v>
      </c>
      <c r="R206" s="34" t="s">
        <v>3407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3415</v>
      </c>
      <c r="X206" s="34" t="s">
        <v>3446</v>
      </c>
      <c r="Y206" s="34" t="s">
        <v>3409</v>
      </c>
      <c r="Z206" s="34">
        <v>2</v>
      </c>
      <c r="AA206" s="34" t="s">
        <v>3501</v>
      </c>
      <c r="AB206" s="34" t="s">
        <v>3501</v>
      </c>
      <c r="AC206" s="34" t="s">
        <v>3503</v>
      </c>
      <c r="AD206" s="34" t="s">
        <v>3503</v>
      </c>
      <c r="AE206" s="34" t="s">
        <v>4012</v>
      </c>
      <c r="AF206" s="34" t="s">
        <v>4176</v>
      </c>
      <c r="AG206" s="34" t="s">
        <v>3539</v>
      </c>
      <c r="AH206" s="34" t="s">
        <v>4177</v>
      </c>
      <c r="AI206" s="34" t="s">
        <v>4012</v>
      </c>
      <c r="AJ206" s="34" t="s">
        <v>3539</v>
      </c>
      <c r="AK206" s="34" t="s">
        <v>4176</v>
      </c>
      <c r="AL206" s="34" t="s">
        <v>4173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7" t="str">
        <f>IFERROR(INDEX(Структура_ассортимента[SuperCategory],MATCH(Товары[[#This Row],[SubGroup]],Структура_ассортимента[Subgroup],0)),"")</f>
        <v>A</v>
      </c>
      <c r="D2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7" t="str">
        <f>IFERROR(INDEX(Структура_ассортимента[Product group],MATCH(Товары[[#This Row],[SubGroup]],Структура_ассортимента[Subgroup],0)),"")</f>
        <v>AMC_C</v>
      </c>
      <c r="G2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7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1756</v>
      </c>
      <c r="O207" s="37" t="s">
        <v>4178</v>
      </c>
      <c r="P207" s="37" t="s">
        <v>4179</v>
      </c>
      <c r="Q207" s="39" t="s">
        <v>3416</v>
      </c>
      <c r="R207" s="34" t="s">
        <v>3407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3413</v>
      </c>
      <c r="X207" s="34" t="s">
        <v>3654</v>
      </c>
      <c r="Y207" s="34" t="s">
        <v>3409</v>
      </c>
      <c r="Z207" s="34">
        <v>2</v>
      </c>
      <c r="AA207" s="34" t="s">
        <v>4180</v>
      </c>
      <c r="AB207" s="34" t="s">
        <v>4180</v>
      </c>
      <c r="AC207" s="34" t="s">
        <v>3465</v>
      </c>
      <c r="AD207" s="34" t="s">
        <v>3465</v>
      </c>
      <c r="AE207" s="34" t="s">
        <v>4181</v>
      </c>
      <c r="AF207" s="34" t="s">
        <v>4182</v>
      </c>
      <c r="AG207" s="34" t="s">
        <v>3443</v>
      </c>
      <c r="AH207" s="34" t="s">
        <v>4183</v>
      </c>
      <c r="AI207" s="34" t="s">
        <v>4181</v>
      </c>
      <c r="AJ207" s="34" t="s">
        <v>3443</v>
      </c>
      <c r="AK207" s="34" t="s">
        <v>4182</v>
      </c>
      <c r="AL207" s="34" t="s">
        <v>4081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7" t="str">
        <f>IFERROR(INDEX(Структура_ассортимента[SuperCategory],MATCH(Товары[[#This Row],[SubGroup]],Структура_ассортимента[Subgroup],0)),"")</f>
        <v>A</v>
      </c>
      <c r="D2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7" t="str">
        <f>IFERROR(INDEX(Структура_ассортимента[Product group],MATCH(Товары[[#This Row],[SubGroup]],Структура_ассортимента[Subgroup],0)),"")</f>
        <v>AMC_C</v>
      </c>
      <c r="G2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7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1757</v>
      </c>
      <c r="O208" s="37" t="s">
        <v>4184</v>
      </c>
      <c r="P208" s="37" t="s">
        <v>4185</v>
      </c>
      <c r="Q208" s="39" t="s">
        <v>3416</v>
      </c>
      <c r="R208" s="34" t="s">
        <v>3407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3410</v>
      </c>
      <c r="X208" s="34" t="s">
        <v>3654</v>
      </c>
      <c r="Y208" s="34" t="s">
        <v>3409</v>
      </c>
      <c r="Z208" s="34">
        <v>8</v>
      </c>
      <c r="AA208" s="34" t="s">
        <v>4180</v>
      </c>
      <c r="AB208" s="34" t="s">
        <v>4186</v>
      </c>
      <c r="AC208" s="34" t="s">
        <v>3465</v>
      </c>
      <c r="AD208" s="34" t="s">
        <v>3465</v>
      </c>
      <c r="AE208" s="34" t="s">
        <v>4181</v>
      </c>
      <c r="AF208" s="34" t="s">
        <v>4182</v>
      </c>
      <c r="AG208" s="34" t="s">
        <v>3443</v>
      </c>
      <c r="AH208" s="34" t="s">
        <v>4187</v>
      </c>
      <c r="AI208" s="34" t="s">
        <v>4181</v>
      </c>
      <c r="AJ208" s="34" t="s">
        <v>3443</v>
      </c>
      <c r="AK208" s="34" t="s">
        <v>4182</v>
      </c>
      <c r="AL208" s="34" t="s">
        <v>4188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7" t="str">
        <f>IFERROR(INDEX(Структура_ассортимента[SuperCategory],MATCH(Товары[[#This Row],[SubGroup]],Структура_ассортимента[Subgroup],0)),"")</f>
        <v>A</v>
      </c>
      <c r="D2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7" t="str">
        <f>IFERROR(INDEX(Структура_ассортимента[Product group],MATCH(Товары[[#This Row],[SubGroup]],Структура_ассортимента[Subgroup],0)),"")</f>
        <v>AMC_C</v>
      </c>
      <c r="G2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1758</v>
      </c>
      <c r="Q209" s="39" t="s">
        <v>3580</v>
      </c>
      <c r="R209" s="34" t="s">
        <v>3407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3417</v>
      </c>
      <c r="Y209" s="34" t="s">
        <v>3409</v>
      </c>
      <c r="Z209" s="34">
        <v>4</v>
      </c>
      <c r="AA209" s="34" t="s">
        <v>4189</v>
      </c>
      <c r="AB209" s="34" t="s">
        <v>4189</v>
      </c>
      <c r="AC209" s="34" t="s">
        <v>3682</v>
      </c>
      <c r="AD209" s="34" t="s">
        <v>3682</v>
      </c>
      <c r="AE209" s="34" t="s">
        <v>4190</v>
      </c>
      <c r="AF209" s="34" t="s">
        <v>3835</v>
      </c>
      <c r="AG209" s="34" t="s">
        <v>4191</v>
      </c>
      <c r="AH209" s="34" t="s">
        <v>4192</v>
      </c>
      <c r="AI209" s="34" t="s">
        <v>4193</v>
      </c>
      <c r="AL209" s="34">
        <v>112</v>
      </c>
      <c r="AM209" s="34" t="s">
        <v>7961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7" t="str">
        <f>IFERROR(INDEX(Структура_ассортимента[SuperCategory],MATCH(Товары[[#This Row],[SubGroup]],Структура_ассортимента[Subgroup],0)),"")</f>
        <v>A</v>
      </c>
      <c r="D2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7" t="str">
        <f>IFERROR(INDEX(Структура_ассортимента[Product group],MATCH(Товары[[#This Row],[SubGroup]],Структура_ассортимента[Subgroup],0)),"")</f>
        <v>AMC_C</v>
      </c>
      <c r="G2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1759</v>
      </c>
      <c r="P210" s="37" t="s">
        <v>4194</v>
      </c>
      <c r="Q210" s="39" t="s">
        <v>3580</v>
      </c>
      <c r="R210" s="34" t="s">
        <v>3407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3417</v>
      </c>
      <c r="Y210" s="34" t="s">
        <v>3409</v>
      </c>
      <c r="Z210" s="34">
        <v>4</v>
      </c>
      <c r="AA210" s="34" t="s">
        <v>4189</v>
      </c>
      <c r="AB210" s="34" t="s">
        <v>3743</v>
      </c>
      <c r="AC210" s="34" t="s">
        <v>3682</v>
      </c>
      <c r="AD210" s="34" t="s">
        <v>4195</v>
      </c>
      <c r="AE210" s="34" t="s">
        <v>4190</v>
      </c>
      <c r="AF210" s="34" t="s">
        <v>3835</v>
      </c>
      <c r="AG210" s="34" t="s">
        <v>4191</v>
      </c>
      <c r="AH210" s="34" t="s">
        <v>4192</v>
      </c>
      <c r="AI210" s="34" t="s">
        <v>4193</v>
      </c>
      <c r="AL210" s="34" t="s">
        <v>3445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7" t="str">
        <f>IFERROR(INDEX(Структура_ассортимента[SuperCategory],MATCH(Товары[[#This Row],[SubGroup]],Структура_ассортимента[Subgroup],0)),"")</f>
        <v>A</v>
      </c>
      <c r="D2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7" t="str">
        <f>IFERROR(INDEX(Структура_ассортимента[Product group],MATCH(Товары[[#This Row],[SubGroup]],Структура_ассортимента[Subgroup],0)),"")</f>
        <v>AMC_C</v>
      </c>
      <c r="G2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1760</v>
      </c>
      <c r="P211" s="37" t="s">
        <v>4196</v>
      </c>
      <c r="Q211" s="39" t="s">
        <v>3580</v>
      </c>
      <c r="R211" s="34" t="s">
        <v>3407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3410</v>
      </c>
      <c r="Y211" s="34" t="s">
        <v>3409</v>
      </c>
      <c r="Z211" s="34">
        <v>12</v>
      </c>
      <c r="AB211" s="34" t="s">
        <v>3743</v>
      </c>
      <c r="AD211" s="34" t="s">
        <v>3682</v>
      </c>
      <c r="AE211" s="34" t="s">
        <v>4190</v>
      </c>
      <c r="AF211" s="34" t="s">
        <v>3835</v>
      </c>
      <c r="AG211" s="34" t="s">
        <v>4191</v>
      </c>
      <c r="AH211" s="34" t="s">
        <v>4192</v>
      </c>
      <c r="AI211" s="34" t="s">
        <v>4193</v>
      </c>
      <c r="AL211" s="34" t="s">
        <v>4081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7" t="str">
        <f>IFERROR(INDEX(Структура_ассортимента[SuperCategory],MATCH(Товары[[#This Row],[SubGroup]],Структура_ассортимента[Subgroup],0)),"")</f>
        <v>A</v>
      </c>
      <c r="D2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7" t="str">
        <f>IFERROR(INDEX(Структура_ассортимента[Product group],MATCH(Товары[[#This Row],[SubGroup]],Структура_ассортимента[Subgroup],0)),"")</f>
        <v>AMC_C</v>
      </c>
      <c r="G2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1761</v>
      </c>
      <c r="Q212" s="39" t="s">
        <v>3580</v>
      </c>
      <c r="R212" s="34" t="s">
        <v>3407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3417</v>
      </c>
      <c r="Y212" s="34" t="s">
        <v>3409</v>
      </c>
      <c r="Z212" s="34">
        <v>4</v>
      </c>
      <c r="AA212" s="34" t="s">
        <v>4197</v>
      </c>
      <c r="AB212" s="34" t="s">
        <v>4197</v>
      </c>
      <c r="AC212" s="34" t="s">
        <v>3683</v>
      </c>
      <c r="AD212" s="34" t="s">
        <v>4198</v>
      </c>
      <c r="AE212" s="34" t="s">
        <v>3555</v>
      </c>
      <c r="AF212" s="34" t="s">
        <v>3835</v>
      </c>
      <c r="AG212" s="34" t="s">
        <v>4191</v>
      </c>
      <c r="AH212" s="34" t="s">
        <v>4199</v>
      </c>
      <c r="AI212" s="34" t="s">
        <v>4084</v>
      </c>
      <c r="AL212" s="34" t="s">
        <v>3445</v>
      </c>
      <c r="AM212" s="34" t="s">
        <v>7961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7" t="str">
        <f>IFERROR(INDEX(Структура_ассортимента[SuperCategory],MATCH(Товары[[#This Row],[SubGroup]],Структура_ассортимента[Subgroup],0)),"")</f>
        <v>A</v>
      </c>
      <c r="D2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7" t="str">
        <f>IFERROR(INDEX(Структура_ассортимента[Product group],MATCH(Товары[[#This Row],[SubGroup]],Структура_ассортимента[Subgroup],0)),"")</f>
        <v>AMC_C</v>
      </c>
      <c r="G2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1762</v>
      </c>
      <c r="Q213" s="39" t="s">
        <v>3580</v>
      </c>
      <c r="R213" s="34" t="s">
        <v>3407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3410</v>
      </c>
      <c r="Y213" s="34" t="s">
        <v>3409</v>
      </c>
      <c r="Z213" s="34">
        <v>4</v>
      </c>
      <c r="AA213" s="34" t="s">
        <v>4200</v>
      </c>
      <c r="AB213" s="34" t="s">
        <v>4200</v>
      </c>
      <c r="AC213" s="34" t="s">
        <v>3453</v>
      </c>
      <c r="AD213" s="34" t="s">
        <v>3453</v>
      </c>
      <c r="AE213" s="34" t="s">
        <v>4201</v>
      </c>
      <c r="AF213" s="34" t="s">
        <v>3787</v>
      </c>
      <c r="AG213" s="34" t="s">
        <v>4202</v>
      </c>
      <c r="AH213" s="34" t="s">
        <v>4203</v>
      </c>
      <c r="AI213" s="34" t="s">
        <v>4084</v>
      </c>
      <c r="AL213" s="34">
        <v>112</v>
      </c>
      <c r="AM213" s="34" t="s">
        <v>7961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7" t="str">
        <f>IFERROR(INDEX(Структура_ассортимента[SuperCategory],MATCH(Товары[[#This Row],[SubGroup]],Структура_ассортимента[Subgroup],0)),"")</f>
        <v>A</v>
      </c>
      <c r="D2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7" t="str">
        <f>IFERROR(INDEX(Структура_ассортимента[Product group],MATCH(Товары[[#This Row],[SubGroup]],Структура_ассортимента[Subgroup],0)),"")</f>
        <v>AMC_C</v>
      </c>
      <c r="G2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1763</v>
      </c>
      <c r="P214" s="37" t="s">
        <v>4194</v>
      </c>
      <c r="Q214" s="39" t="s">
        <v>3580</v>
      </c>
      <c r="R214" s="34" t="s">
        <v>3407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3417</v>
      </c>
      <c r="Y214" s="34" t="s">
        <v>3409</v>
      </c>
      <c r="Z214" s="34">
        <v>4</v>
      </c>
      <c r="AA214" s="34" t="s">
        <v>4204</v>
      </c>
      <c r="AB214" s="34" t="s">
        <v>4204</v>
      </c>
      <c r="AC214" s="34" t="s">
        <v>3453</v>
      </c>
      <c r="AD214" s="34" t="s">
        <v>3453</v>
      </c>
      <c r="AE214" s="34" t="s">
        <v>3555</v>
      </c>
      <c r="AF214" s="34" t="s">
        <v>3835</v>
      </c>
      <c r="AG214" s="34" t="s">
        <v>4191</v>
      </c>
      <c r="AH214" s="34" t="s">
        <v>4199</v>
      </c>
      <c r="AI214" s="34" t="s">
        <v>4193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7" t="str">
        <f>IFERROR(INDEX(Структура_ассортимента[SuperCategory],MATCH(Товары[[#This Row],[SubGroup]],Структура_ассортимента[Subgroup],0)),"")</f>
        <v>A</v>
      </c>
      <c r="D2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7" t="str">
        <f>IFERROR(INDEX(Структура_ассортимента[Product group],MATCH(Товары[[#This Row],[SubGroup]],Структура_ассортимента[Subgroup],0)),"")</f>
        <v>AMC_C</v>
      </c>
      <c r="G2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1764</v>
      </c>
      <c r="P215" s="37" t="s">
        <v>4205</v>
      </c>
      <c r="Q215" s="39" t="s">
        <v>3580</v>
      </c>
      <c r="R215" s="34" t="s">
        <v>3407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3417</v>
      </c>
      <c r="Y215" s="34" t="s">
        <v>3409</v>
      </c>
      <c r="Z215" s="34">
        <v>4</v>
      </c>
      <c r="AA215" s="34" t="s">
        <v>4206</v>
      </c>
      <c r="AB215" s="34" t="s">
        <v>4206</v>
      </c>
      <c r="AC215" s="34" t="s">
        <v>4207</v>
      </c>
      <c r="AD215" s="34" t="s">
        <v>4207</v>
      </c>
      <c r="AE215" s="34" t="s">
        <v>4208</v>
      </c>
      <c r="AF215" s="34" t="s">
        <v>3835</v>
      </c>
      <c r="AG215" s="34" t="s">
        <v>4202</v>
      </c>
      <c r="AH215" s="34" t="s">
        <v>4209</v>
      </c>
      <c r="AI215" s="34" t="s">
        <v>3732</v>
      </c>
      <c r="AJ215" s="34" t="s">
        <v>4210</v>
      </c>
      <c r="AK215" s="34" t="s">
        <v>4059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7" t="str">
        <f>IFERROR(INDEX(Структура_ассортимента[SuperCategory],MATCH(Товары[[#This Row],[SubGroup]],Структура_ассортимента[Subgroup],0)),"")</f>
        <v>A</v>
      </c>
      <c r="D2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7" t="str">
        <f>IFERROR(INDEX(Структура_ассортимента[Product group],MATCH(Товары[[#This Row],[SubGroup]],Структура_ассортимента[Subgroup],0)),"")</f>
        <v>AMC_C</v>
      </c>
      <c r="G2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1765</v>
      </c>
      <c r="Q216" s="39" t="s">
        <v>3580</v>
      </c>
      <c r="R216" s="34" t="s">
        <v>3407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3415</v>
      </c>
      <c r="Y216" s="34" t="s">
        <v>3409</v>
      </c>
      <c r="Z216" s="34">
        <v>4</v>
      </c>
      <c r="AA216" s="34" t="s">
        <v>4211</v>
      </c>
      <c r="AB216" s="34" t="s">
        <v>4211</v>
      </c>
      <c r="AC216" s="34" t="s">
        <v>3628</v>
      </c>
      <c r="AD216" s="34" t="s">
        <v>3628</v>
      </c>
      <c r="AE216" s="34" t="s">
        <v>3721</v>
      </c>
      <c r="AF216" s="34" t="s">
        <v>3693</v>
      </c>
      <c r="AG216" s="34" t="s">
        <v>3539</v>
      </c>
      <c r="AH216" s="34" t="s">
        <v>4212</v>
      </c>
      <c r="AI216" s="34" t="s">
        <v>4154</v>
      </c>
      <c r="AJ216" s="34" t="s">
        <v>3732</v>
      </c>
      <c r="AK216" s="34" t="s">
        <v>4213</v>
      </c>
      <c r="AL216" s="34">
        <v>140</v>
      </c>
      <c r="AM216" s="34" t="s">
        <v>7961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7" t="str">
        <f>IFERROR(INDEX(Структура_ассортимента[SuperCategory],MATCH(Товары[[#This Row],[SubGroup]],Структура_ассортимента[Subgroup],0)),"")</f>
        <v>A</v>
      </c>
      <c r="D2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7" t="str">
        <f>IFERROR(INDEX(Структура_ассортимента[Product group],MATCH(Товары[[#This Row],[SubGroup]],Структура_ассортимента[Subgroup],0)),"")</f>
        <v>AMC_C</v>
      </c>
      <c r="G2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1766</v>
      </c>
      <c r="P217" s="37" t="s">
        <v>4214</v>
      </c>
      <c r="Q217" s="39" t="s">
        <v>3580</v>
      </c>
      <c r="R217" s="34" t="s">
        <v>3407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3415</v>
      </c>
      <c r="Y217" s="34" t="s">
        <v>3409</v>
      </c>
      <c r="Z217" s="34">
        <v>4</v>
      </c>
      <c r="AA217" s="34" t="s">
        <v>4215</v>
      </c>
      <c r="AB217" s="34" t="s">
        <v>4215</v>
      </c>
      <c r="AC217" s="34" t="s">
        <v>4216</v>
      </c>
      <c r="AD217" s="34" t="s">
        <v>4216</v>
      </c>
      <c r="AE217" s="34" t="s">
        <v>4217</v>
      </c>
      <c r="AF217" s="34" t="s">
        <v>3835</v>
      </c>
      <c r="AG217" s="34" t="s">
        <v>4218</v>
      </c>
      <c r="AH217" s="34" t="s">
        <v>4219</v>
      </c>
      <c r="AI217" s="34" t="s">
        <v>4220</v>
      </c>
      <c r="AJ217" s="34" t="s">
        <v>4221</v>
      </c>
      <c r="AK217" s="34" t="s">
        <v>4213</v>
      </c>
      <c r="AL217" s="34" t="s">
        <v>4141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7" t="str">
        <f>IFERROR(INDEX(Структура_ассортимента[SuperCategory],MATCH(Товары[[#This Row],[SubGroup]],Структура_ассортимента[Subgroup],0)),"")</f>
        <v>A</v>
      </c>
      <c r="D2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7" t="str">
        <f>IFERROR(INDEX(Структура_ассортимента[Product group],MATCH(Товары[[#This Row],[SubGroup]],Структура_ассортимента[Subgroup],0)),"")</f>
        <v>AMC_C</v>
      </c>
      <c r="G2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1767</v>
      </c>
      <c r="P218" s="37" t="s">
        <v>4222</v>
      </c>
      <c r="Q218" s="39" t="s">
        <v>3580</v>
      </c>
      <c r="R218" s="34" t="s">
        <v>3407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3417</v>
      </c>
      <c r="Y218" s="34" t="s">
        <v>3409</v>
      </c>
      <c r="Z218" s="34">
        <v>4</v>
      </c>
      <c r="AA218" s="34" t="s">
        <v>4223</v>
      </c>
      <c r="AB218" s="34" t="s">
        <v>4223</v>
      </c>
      <c r="AC218" s="34" t="s">
        <v>4224</v>
      </c>
      <c r="AD218" s="34" t="s">
        <v>4224</v>
      </c>
      <c r="AE218" s="34" t="s">
        <v>4225</v>
      </c>
      <c r="AF218" s="34" t="s">
        <v>3610</v>
      </c>
      <c r="AG218" s="34" t="s">
        <v>4048</v>
      </c>
      <c r="AH218" s="34" t="s">
        <v>4226</v>
      </c>
      <c r="AI218" s="34" t="s">
        <v>4227</v>
      </c>
      <c r="AJ218" s="34" t="s">
        <v>4221</v>
      </c>
      <c r="AK218" s="34" t="s">
        <v>4228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7" t="str">
        <f>IFERROR(INDEX(Структура_ассортимента[SuperCategory],MATCH(Товары[[#This Row],[SubGroup]],Структура_ассортимента[Subgroup],0)),"")</f>
        <v>A</v>
      </c>
      <c r="D2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7" t="str">
        <f>IFERROR(INDEX(Структура_ассортимента[Product group],MATCH(Товары[[#This Row],[SubGroup]],Структура_ассортимента[Subgroup],0)),"")</f>
        <v>AMC_C</v>
      </c>
      <c r="G2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1768</v>
      </c>
      <c r="P219" s="37" t="s">
        <v>4229</v>
      </c>
      <c r="Q219" s="39" t="s">
        <v>3580</v>
      </c>
      <c r="R219" s="34" t="s">
        <v>3407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3410</v>
      </c>
      <c r="Y219" s="34" t="s">
        <v>3409</v>
      </c>
      <c r="Z219" s="34">
        <v>12</v>
      </c>
      <c r="AB219" s="34" t="s">
        <v>4223</v>
      </c>
      <c r="AD219" s="34" t="s">
        <v>4224</v>
      </c>
      <c r="AE219" s="34" t="s">
        <v>4225</v>
      </c>
      <c r="AF219" s="34" t="s">
        <v>3610</v>
      </c>
      <c r="AG219" s="34" t="s">
        <v>4048</v>
      </c>
      <c r="AH219" s="34" t="s">
        <v>4226</v>
      </c>
      <c r="AI219" s="34" t="s">
        <v>4227</v>
      </c>
      <c r="AJ219" s="34" t="s">
        <v>4221</v>
      </c>
      <c r="AK219" s="34" t="s">
        <v>4228</v>
      </c>
      <c r="AL219" s="34" t="s">
        <v>4081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7" t="str">
        <f>IFERROR(INDEX(Структура_ассортимента[SuperCategory],MATCH(Товары[[#This Row],[SubGroup]],Структура_ассортимента[Subgroup],0)),"")</f>
        <v>A</v>
      </c>
      <c r="D2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7" t="str">
        <f>IFERROR(INDEX(Структура_ассортимента[Product group],MATCH(Товары[[#This Row],[SubGroup]],Структура_ассортимента[Subgroup],0)),"")</f>
        <v>AMC_C</v>
      </c>
      <c r="G2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1769</v>
      </c>
      <c r="Q220" s="39" t="s">
        <v>3580</v>
      </c>
      <c r="R220" s="34" t="s">
        <v>3407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3410</v>
      </c>
      <c r="Y220" s="34" t="s">
        <v>3409</v>
      </c>
      <c r="Z220" s="34">
        <v>16</v>
      </c>
      <c r="AA220" s="34" t="s">
        <v>3502</v>
      </c>
      <c r="AB220" s="34" t="s">
        <v>3502</v>
      </c>
      <c r="AC220" s="34" t="s">
        <v>4207</v>
      </c>
      <c r="AD220" s="34" t="s">
        <v>4207</v>
      </c>
      <c r="AE220" s="34" t="s">
        <v>4208</v>
      </c>
      <c r="AF220" s="34" t="s">
        <v>3835</v>
      </c>
      <c r="AG220" s="34" t="s">
        <v>4202</v>
      </c>
      <c r="AH220" s="34" t="s">
        <v>4209</v>
      </c>
      <c r="AI220" s="34" t="s">
        <v>3609</v>
      </c>
      <c r="AL220" s="34">
        <v>96</v>
      </c>
      <c r="AM220" s="34" t="s">
        <v>7961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7" t="str">
        <f>IFERROR(INDEX(Структура_ассортимента[SuperCategory],MATCH(Товары[[#This Row],[SubGroup]],Структура_ассортимента[Subgroup],0)),"")</f>
        <v>A</v>
      </c>
      <c r="D2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7" t="str">
        <f>IFERROR(INDEX(Структура_ассортимента[Product group],MATCH(Товары[[#This Row],[SubGroup]],Структура_ассортимента[Subgroup],0)),"")</f>
        <v>AMC_C</v>
      </c>
      <c r="G2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1770</v>
      </c>
      <c r="P221" s="37" t="s">
        <v>4230</v>
      </c>
      <c r="Q221" s="39" t="s">
        <v>3580</v>
      </c>
      <c r="R221" s="34" t="s">
        <v>3407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3415</v>
      </c>
      <c r="Y221" s="34" t="s">
        <v>3409</v>
      </c>
      <c r="Z221" s="34">
        <v>2</v>
      </c>
      <c r="AA221" s="34" t="s">
        <v>4167</v>
      </c>
      <c r="AB221" s="34" t="s">
        <v>4167</v>
      </c>
      <c r="AC221" s="34" t="s">
        <v>3476</v>
      </c>
      <c r="AD221" s="34" t="s">
        <v>3476</v>
      </c>
      <c r="AE221" s="34" t="s">
        <v>4231</v>
      </c>
      <c r="AF221" s="34" t="s">
        <v>3835</v>
      </c>
      <c r="AG221" s="34" t="s">
        <v>4218</v>
      </c>
      <c r="AH221" s="34" t="s">
        <v>4232</v>
      </c>
      <c r="AI221" s="34" t="s">
        <v>4233</v>
      </c>
      <c r="AJ221" s="34" t="s">
        <v>4128</v>
      </c>
      <c r="AK221" s="34" t="s">
        <v>3667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7" t="str">
        <f>IFERROR(INDEX(Структура_ассортимента[SuperCategory],MATCH(Товары[[#This Row],[SubGroup]],Структура_ассортимента[Subgroup],0)),"")</f>
        <v>A</v>
      </c>
      <c r="D2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7" t="str">
        <f>IFERROR(INDEX(Структура_ассортимента[Product group],MATCH(Товары[[#This Row],[SubGroup]],Структура_ассортимента[Subgroup],0)),"")</f>
        <v>AMC_C</v>
      </c>
      <c r="G2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1771</v>
      </c>
      <c r="Q222" s="39" t="s">
        <v>3416</v>
      </c>
      <c r="R222" s="34" t="s">
        <v>3407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3417</v>
      </c>
      <c r="X222" s="34" t="s">
        <v>3654</v>
      </c>
      <c r="Y222" s="34" t="s">
        <v>3409</v>
      </c>
      <c r="Z222" s="34">
        <v>6</v>
      </c>
      <c r="AA222" s="34" t="s">
        <v>4216</v>
      </c>
      <c r="AB222" s="34" t="s">
        <v>4216</v>
      </c>
      <c r="AC222" s="34" t="s">
        <v>4234</v>
      </c>
      <c r="AD222" s="34" t="s">
        <v>4234</v>
      </c>
      <c r="AE222" s="34" t="s">
        <v>4235</v>
      </c>
      <c r="AF222" s="34" t="s">
        <v>3854</v>
      </c>
      <c r="AG222" s="34" t="s">
        <v>4127</v>
      </c>
      <c r="AH222" s="34" t="s">
        <v>4236</v>
      </c>
      <c r="AL222" s="34">
        <v>120</v>
      </c>
      <c r="AM222" s="34" t="s">
        <v>7962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7" t="str">
        <f>IFERROR(INDEX(Структура_ассортимента[SuperCategory],MATCH(Товары[[#This Row],[SubGroup]],Структура_ассортимента[Subgroup],0)),"")</f>
        <v>A</v>
      </c>
      <c r="D2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7" t="str">
        <f>IFERROR(INDEX(Структура_ассортимента[Product group],MATCH(Товары[[#This Row],[SubGroup]],Структура_ассортимента[Subgroup],0)),"")</f>
        <v>AMC_C</v>
      </c>
      <c r="G2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1772</v>
      </c>
      <c r="Q223" s="39" t="s">
        <v>3416</v>
      </c>
      <c r="R223" s="34" t="s">
        <v>3407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3417</v>
      </c>
      <c r="X223" s="34" t="s">
        <v>3654</v>
      </c>
      <c r="Y223" s="34" t="s">
        <v>3409</v>
      </c>
      <c r="Z223" s="34">
        <v>6</v>
      </c>
      <c r="AA223" s="34" t="s">
        <v>4237</v>
      </c>
      <c r="AB223" s="34" t="s">
        <v>4237</v>
      </c>
      <c r="AC223" s="34" t="s">
        <v>4238</v>
      </c>
      <c r="AD223" s="34" t="s">
        <v>4238</v>
      </c>
      <c r="AE223" s="34" t="s">
        <v>4239</v>
      </c>
      <c r="AF223" s="34" t="s">
        <v>3854</v>
      </c>
      <c r="AG223" s="34" t="s">
        <v>4127</v>
      </c>
      <c r="AH223" s="34" t="s">
        <v>4240</v>
      </c>
      <c r="AL223" s="34">
        <v>90</v>
      </c>
      <c r="AM223" s="34" t="s">
        <v>7962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7" t="str">
        <f>IFERROR(INDEX(Структура_ассортимента[SuperCategory],MATCH(Товары[[#This Row],[SubGroup]],Структура_ассортимента[Subgroup],0)),"")</f>
        <v>A</v>
      </c>
      <c r="D2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7" t="str">
        <f>IFERROR(INDEX(Структура_ассортимента[Product group],MATCH(Товары[[#This Row],[SubGroup]],Структура_ассортимента[Subgroup],0)),"")</f>
        <v>AMC_C</v>
      </c>
      <c r="G2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1773</v>
      </c>
      <c r="Q224" s="39" t="s">
        <v>3416</v>
      </c>
      <c r="R224" s="34" t="s">
        <v>3407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3417</v>
      </c>
      <c r="X224" s="34" t="s">
        <v>3774</v>
      </c>
      <c r="Y224" s="34" t="s">
        <v>3409</v>
      </c>
      <c r="Z224" s="34">
        <v>5</v>
      </c>
      <c r="AA224" s="34" t="s">
        <v>4241</v>
      </c>
      <c r="AB224" s="34" t="s">
        <v>4241</v>
      </c>
      <c r="AC224" s="34" t="s">
        <v>3421</v>
      </c>
      <c r="AD224" s="34" t="s">
        <v>3421</v>
      </c>
      <c r="AE224" s="34" t="s">
        <v>4242</v>
      </c>
      <c r="AF224" s="34" t="s">
        <v>4027</v>
      </c>
      <c r="AG224" s="34" t="s">
        <v>3799</v>
      </c>
      <c r="AH224" s="34" t="s">
        <v>4243</v>
      </c>
      <c r="AL224" s="34">
        <v>180</v>
      </c>
      <c r="AM224" s="34" t="s">
        <v>7962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7" t="str">
        <f>IFERROR(INDEX(Структура_ассортимента[SuperCategory],MATCH(Товары[[#This Row],[SubGroup]],Структура_ассортимента[Subgroup],0)),"")</f>
        <v>A</v>
      </c>
      <c r="D2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7" t="str">
        <f>IFERROR(INDEX(Структура_ассортимента[Product group],MATCH(Товары[[#This Row],[SubGroup]],Структура_ассортимента[Subgroup],0)),"")</f>
        <v>AMC_C</v>
      </c>
      <c r="G2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1774</v>
      </c>
      <c r="O225" s="37" t="s">
        <v>4244</v>
      </c>
      <c r="P225" s="37" t="s">
        <v>4245</v>
      </c>
      <c r="Q225" s="39" t="s">
        <v>3416</v>
      </c>
      <c r="R225" s="34" t="s">
        <v>3407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3410</v>
      </c>
      <c r="X225" s="34" t="s">
        <v>3446</v>
      </c>
      <c r="Y225" s="34" t="s">
        <v>3409</v>
      </c>
      <c r="Z225" s="34">
        <v>6</v>
      </c>
      <c r="AA225" s="34" t="s">
        <v>4246</v>
      </c>
      <c r="AB225" s="34" t="s">
        <v>4246</v>
      </c>
      <c r="AC225" s="34" t="s">
        <v>3558</v>
      </c>
      <c r="AD225" s="34" t="s">
        <v>3558</v>
      </c>
      <c r="AE225" s="34" t="s">
        <v>4247</v>
      </c>
      <c r="AF225" s="34" t="s">
        <v>4248</v>
      </c>
      <c r="AG225" s="34" t="s">
        <v>4074</v>
      </c>
      <c r="AH225" s="34" t="s">
        <v>4249</v>
      </c>
      <c r="AI225" s="34" t="s">
        <v>4250</v>
      </c>
      <c r="AJ225" s="34" t="s">
        <v>4251</v>
      </c>
      <c r="AK225" s="34" t="s">
        <v>4074</v>
      </c>
      <c r="AL225" s="34" t="s">
        <v>4252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7" t="str">
        <f>IFERROR(INDEX(Структура_ассортимента[SuperCategory],MATCH(Товары[[#This Row],[SubGroup]],Структура_ассортимента[Subgroup],0)),"")</f>
        <v>A</v>
      </c>
      <c r="D2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7" t="str">
        <f>IFERROR(INDEX(Структура_ассортимента[Product group],MATCH(Товары[[#This Row],[SubGroup]],Структура_ассортимента[Subgroup],0)),"")</f>
        <v>AMC_C</v>
      </c>
      <c r="G2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1775</v>
      </c>
      <c r="O226" s="37" t="s">
        <v>4253</v>
      </c>
      <c r="P226" s="37" t="s">
        <v>4254</v>
      </c>
      <c r="Q226" s="39" t="s">
        <v>3416</v>
      </c>
      <c r="R226" s="34" t="s">
        <v>3407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3410</v>
      </c>
      <c r="X226" s="34" t="s">
        <v>3446</v>
      </c>
      <c r="Y226" s="34" t="s">
        <v>3409</v>
      </c>
      <c r="Z226" s="34">
        <v>6</v>
      </c>
      <c r="AA226" s="34" t="s">
        <v>4246</v>
      </c>
      <c r="AB226" s="34" t="s">
        <v>4255</v>
      </c>
      <c r="AC226" s="34" t="s">
        <v>3558</v>
      </c>
      <c r="AD226" s="34" t="s">
        <v>4256</v>
      </c>
      <c r="AE226" s="34" t="s">
        <v>4257</v>
      </c>
      <c r="AF226" s="34" t="s">
        <v>4258</v>
      </c>
      <c r="AG226" s="34" t="s">
        <v>4074</v>
      </c>
      <c r="AH226" s="34" t="s">
        <v>4259</v>
      </c>
      <c r="AI226" s="34" t="s">
        <v>4260</v>
      </c>
      <c r="AJ226" s="34" t="s">
        <v>4261</v>
      </c>
      <c r="AK226" s="34" t="s">
        <v>4074</v>
      </c>
      <c r="AL226" s="34" t="s">
        <v>4252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7" t="str">
        <f>IFERROR(INDEX(Структура_ассортимента[SuperCategory],MATCH(Товары[[#This Row],[SubGroup]],Структура_ассортимента[Subgroup],0)),"")</f>
        <v>A</v>
      </c>
      <c r="D2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7" t="str">
        <f>IFERROR(INDEX(Структура_ассортимента[Product group],MATCH(Товары[[#This Row],[SubGroup]],Структура_ассортимента[Subgroup],0)),"")</f>
        <v>AMC_C</v>
      </c>
      <c r="G2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1776</v>
      </c>
      <c r="Q227" s="39" t="s">
        <v>3416</v>
      </c>
      <c r="R227" s="34" t="s">
        <v>3407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3410</v>
      </c>
      <c r="X227" s="34" t="s">
        <v>3446</v>
      </c>
      <c r="Y227" s="34" t="s">
        <v>3409</v>
      </c>
      <c r="Z227" s="34">
        <v>6</v>
      </c>
      <c r="AA227" s="34" t="s">
        <v>4246</v>
      </c>
      <c r="AB227" s="34" t="s">
        <v>4255</v>
      </c>
      <c r="AC227" s="34" t="s">
        <v>3558</v>
      </c>
      <c r="AD227" s="34" t="s">
        <v>3558</v>
      </c>
      <c r="AE227" s="34" t="s">
        <v>4257</v>
      </c>
      <c r="AF227" s="34" t="s">
        <v>4258</v>
      </c>
      <c r="AG227" s="34" t="s">
        <v>4074</v>
      </c>
      <c r="AH227" s="34" t="s">
        <v>4259</v>
      </c>
      <c r="AI227" s="34" t="s">
        <v>4260</v>
      </c>
      <c r="AJ227" s="34" t="s">
        <v>4261</v>
      </c>
      <c r="AK227" s="34" t="s">
        <v>4074</v>
      </c>
      <c r="AL227" s="34" t="s">
        <v>4252</v>
      </c>
      <c r="AM227" s="34" t="s">
        <v>7962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7" t="str">
        <f>IFERROR(INDEX(Структура_ассортимента[SuperCategory],MATCH(Товары[[#This Row],[SubGroup]],Структура_ассортимента[Subgroup],0)),"")</f>
        <v>A</v>
      </c>
      <c r="D2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7" t="str">
        <f>IFERROR(INDEX(Структура_ассортимента[Product group],MATCH(Товары[[#This Row],[SubGroup]],Структура_ассортимента[Subgroup],0)),"")</f>
        <v>AMC_C</v>
      </c>
      <c r="G2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1777</v>
      </c>
      <c r="Q228" s="39" t="s">
        <v>3416</v>
      </c>
      <c r="R228" s="34" t="s">
        <v>3407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3410</v>
      </c>
      <c r="X228" s="34" t="s">
        <v>3446</v>
      </c>
      <c r="Y228" s="34" t="s">
        <v>3409</v>
      </c>
      <c r="Z228" s="34">
        <v>15</v>
      </c>
      <c r="AA228" s="34" t="s">
        <v>3501</v>
      </c>
      <c r="AB228" s="34" t="s">
        <v>3501</v>
      </c>
      <c r="AC228" s="34" t="s">
        <v>3766</v>
      </c>
      <c r="AD228" s="34" t="s">
        <v>3766</v>
      </c>
      <c r="AE228" s="34" t="s">
        <v>4262</v>
      </c>
      <c r="AF228" s="34" t="s">
        <v>3822</v>
      </c>
      <c r="AG228" s="34" t="s">
        <v>3545</v>
      </c>
      <c r="AH228" s="34" t="s">
        <v>4263</v>
      </c>
      <c r="AL228" s="34" t="s">
        <v>4264</v>
      </c>
      <c r="AM228" s="34" t="s">
        <v>7962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7" t="str">
        <f>IFERROR(INDEX(Структура_ассортимента[SuperCategory],MATCH(Товары[[#This Row],[SubGroup]],Структура_ассортимента[Subgroup],0)),"")</f>
        <v>A</v>
      </c>
      <c r="D2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7" t="str">
        <f>IFERROR(INDEX(Структура_ассортимента[Product group],MATCH(Товары[[#This Row],[SubGroup]],Структура_ассортимента[Subgroup],0)),"")</f>
        <v>AMC_C</v>
      </c>
      <c r="G2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1778</v>
      </c>
      <c r="O229" s="37" t="s">
        <v>4265</v>
      </c>
      <c r="P229" s="37" t="s">
        <v>4266</v>
      </c>
      <c r="Q229" s="39" t="s">
        <v>3416</v>
      </c>
      <c r="R229" s="34" t="s">
        <v>3407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3410</v>
      </c>
      <c r="X229" s="34" t="s">
        <v>3446</v>
      </c>
      <c r="Y229" s="34" t="s">
        <v>3409</v>
      </c>
      <c r="Z229" s="34">
        <v>4</v>
      </c>
      <c r="AA229" s="34" t="s">
        <v>4019</v>
      </c>
      <c r="AB229" s="34" t="s">
        <v>4014</v>
      </c>
      <c r="AC229" s="34" t="s">
        <v>3999</v>
      </c>
      <c r="AD229" s="34" t="s">
        <v>4267</v>
      </c>
      <c r="AE229" s="34" t="s">
        <v>4268</v>
      </c>
      <c r="AF229" s="34" t="s">
        <v>4269</v>
      </c>
      <c r="AG229" s="34" t="s">
        <v>4101</v>
      </c>
      <c r="AH229" s="34" t="s">
        <v>4270</v>
      </c>
      <c r="AI229" s="34" t="s">
        <v>4271</v>
      </c>
      <c r="AJ229" s="34" t="s">
        <v>4272</v>
      </c>
      <c r="AK229" s="34" t="s">
        <v>4273</v>
      </c>
      <c r="AL229" s="34" t="s">
        <v>4274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7" t="str">
        <f>IFERROR(INDEX(Структура_ассортимента[SuperCategory],MATCH(Товары[[#This Row],[SubGroup]],Структура_ассортимента[Subgroup],0)),"")</f>
        <v>A</v>
      </c>
      <c r="D2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7" t="str">
        <f>IFERROR(INDEX(Структура_ассортимента[Product group],MATCH(Товары[[#This Row],[SubGroup]],Структура_ассортимента[Subgroup],0)),"")</f>
        <v>AMC_C</v>
      </c>
      <c r="G2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1779</v>
      </c>
      <c r="O230" s="37" t="s">
        <v>4275</v>
      </c>
      <c r="P230" s="37" t="s">
        <v>4276</v>
      </c>
      <c r="Q230" s="39" t="s">
        <v>3416</v>
      </c>
      <c r="R230" s="34" t="s">
        <v>3407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3410</v>
      </c>
      <c r="X230" s="34" t="s">
        <v>3446</v>
      </c>
      <c r="Y230" s="34" t="s">
        <v>3409</v>
      </c>
      <c r="Z230" s="34">
        <v>4</v>
      </c>
      <c r="AA230" s="34" t="s">
        <v>4277</v>
      </c>
      <c r="AB230" s="34" t="s">
        <v>4277</v>
      </c>
      <c r="AC230" s="34" t="s">
        <v>4003</v>
      </c>
      <c r="AD230" s="34" t="s">
        <v>4003</v>
      </c>
      <c r="AE230" s="34" t="s">
        <v>4278</v>
      </c>
      <c r="AF230" s="34" t="s">
        <v>4000</v>
      </c>
      <c r="AG230" s="34" t="s">
        <v>4101</v>
      </c>
      <c r="AH230" s="34" t="s">
        <v>4279</v>
      </c>
      <c r="AI230" s="34" t="s">
        <v>4280</v>
      </c>
      <c r="AJ230" s="34" t="s">
        <v>4272</v>
      </c>
      <c r="AK230" s="34" t="s">
        <v>4273</v>
      </c>
      <c r="AL230" s="34" t="s">
        <v>4281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7" t="str">
        <f>IFERROR(INDEX(Структура_ассортимента[SuperCategory],MATCH(Товары[[#This Row],[SubGroup]],Структура_ассортимента[Subgroup],0)),"")</f>
        <v>A</v>
      </c>
      <c r="D2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7" t="str">
        <f>IFERROR(INDEX(Структура_ассортимента[Product group],MATCH(Товары[[#This Row],[SubGroup]],Структура_ассортимента[Subgroup],0)),"")</f>
        <v>AMC_C</v>
      </c>
      <c r="G2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1780</v>
      </c>
      <c r="O231" s="37" t="s">
        <v>4282</v>
      </c>
      <c r="P231" s="37" t="s">
        <v>4283</v>
      </c>
      <c r="Q231" s="39" t="s">
        <v>3416</v>
      </c>
      <c r="R231" s="34" t="s">
        <v>3407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3410</v>
      </c>
      <c r="X231" s="34" t="s">
        <v>3446</v>
      </c>
      <c r="Y231" s="34" t="s">
        <v>3409</v>
      </c>
      <c r="Z231" s="34">
        <v>4</v>
      </c>
      <c r="AA231" s="34" t="s">
        <v>4284</v>
      </c>
      <c r="AB231" s="34" t="s">
        <v>4285</v>
      </c>
      <c r="AC231" s="34" t="s">
        <v>4286</v>
      </c>
      <c r="AD231" s="34" t="s">
        <v>4286</v>
      </c>
      <c r="AE231" s="34" t="s">
        <v>4287</v>
      </c>
      <c r="AF231" s="34" t="s">
        <v>4228</v>
      </c>
      <c r="AG231" s="34" t="s">
        <v>4288</v>
      </c>
      <c r="AH231" s="34" t="s">
        <v>4289</v>
      </c>
      <c r="AI231" s="34" t="s">
        <v>4090</v>
      </c>
      <c r="AJ231" s="34" t="s">
        <v>3753</v>
      </c>
      <c r="AK231" s="34" t="s">
        <v>3978</v>
      </c>
      <c r="AL231" s="34" t="s">
        <v>4290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7" t="str">
        <f>IFERROR(INDEX(Структура_ассортимента[SuperCategory],MATCH(Товары[[#This Row],[SubGroup]],Структура_ассортимента[Subgroup],0)),"")</f>
        <v>A</v>
      </c>
      <c r="D2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7" t="str">
        <f>IFERROR(INDEX(Структура_ассортимента[Product group],MATCH(Товары[[#This Row],[SubGroup]],Структура_ассортимента[Subgroup],0)),"")</f>
        <v>AMC_C</v>
      </c>
      <c r="G2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1781</v>
      </c>
      <c r="O232" s="37" t="s">
        <v>4291</v>
      </c>
      <c r="P232" s="37" t="s">
        <v>4292</v>
      </c>
      <c r="Q232" s="39" t="s">
        <v>3416</v>
      </c>
      <c r="R232" s="34" t="s">
        <v>3407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3408</v>
      </c>
      <c r="X232" s="34" t="s">
        <v>3571</v>
      </c>
      <c r="Y232" s="34" t="s">
        <v>3409</v>
      </c>
      <c r="Z232" s="34">
        <v>4</v>
      </c>
      <c r="AA232" s="34" t="s">
        <v>3453</v>
      </c>
      <c r="AB232" s="34" t="s">
        <v>3453</v>
      </c>
      <c r="AC232" s="34" t="s">
        <v>4293</v>
      </c>
      <c r="AD232" s="34" t="s">
        <v>4293</v>
      </c>
      <c r="AE232" s="34" t="s">
        <v>4294</v>
      </c>
      <c r="AF232" s="34" t="s">
        <v>4295</v>
      </c>
      <c r="AG232" s="34" t="s">
        <v>4218</v>
      </c>
      <c r="AH232" s="34" t="s">
        <v>4296</v>
      </c>
      <c r="AI232" s="34" t="s">
        <v>4297</v>
      </c>
      <c r="AJ232" s="34" t="s">
        <v>4298</v>
      </c>
      <c r="AK232" s="34" t="s">
        <v>4299</v>
      </c>
      <c r="AL232" s="34" t="s">
        <v>4300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7" t="str">
        <f>IFERROR(INDEX(Структура_ассортимента[SuperCategory],MATCH(Товары[[#This Row],[SubGroup]],Структура_ассортимента[Subgroup],0)),"")</f>
        <v>A</v>
      </c>
      <c r="D2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7" t="str">
        <f>IFERROR(INDEX(Структура_ассортимента[Product group],MATCH(Товары[[#This Row],[SubGroup]],Структура_ассортимента[Subgroup],0)),"")</f>
        <v>AMC_C</v>
      </c>
      <c r="G23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1782</v>
      </c>
      <c r="O233" s="37" t="s">
        <v>4301</v>
      </c>
      <c r="P233" s="37" t="s">
        <v>4302</v>
      </c>
      <c r="Q233" s="39" t="s">
        <v>3416</v>
      </c>
      <c r="R233" s="34" t="s">
        <v>3407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3408</v>
      </c>
      <c r="X233" s="34" t="s">
        <v>3571</v>
      </c>
      <c r="Y233" s="34" t="s">
        <v>3409</v>
      </c>
      <c r="Z233" s="34">
        <v>2</v>
      </c>
      <c r="AA233" s="34" t="s">
        <v>3850</v>
      </c>
      <c r="AB233" s="34" t="s">
        <v>3850</v>
      </c>
      <c r="AC233" s="34" t="s">
        <v>4303</v>
      </c>
      <c r="AD233" s="34" t="s">
        <v>4303</v>
      </c>
      <c r="AE233" s="34" t="s">
        <v>4304</v>
      </c>
      <c r="AF233" s="34" t="s">
        <v>3856</v>
      </c>
      <c r="AG233" s="34" t="s">
        <v>4218</v>
      </c>
      <c r="AH233" s="34" t="s">
        <v>4305</v>
      </c>
      <c r="AI233" s="34" t="s">
        <v>4306</v>
      </c>
      <c r="AJ233" s="34" t="s">
        <v>4307</v>
      </c>
      <c r="AK233" s="34" t="s">
        <v>4299</v>
      </c>
      <c r="AL233" s="34" t="s">
        <v>3471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7" t="str">
        <f>IFERROR(INDEX(Структура_ассортимента[SuperCategory],MATCH(Товары[[#This Row],[SubGroup]],Структура_ассортимента[Subgroup],0)),"")</f>
        <v>A</v>
      </c>
      <c r="D2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7" t="str">
        <f>IFERROR(INDEX(Структура_ассортимента[Product group],MATCH(Товары[[#This Row],[SubGroup]],Структура_ассортимента[Subgroup],0)),"")</f>
        <v>AMC_C</v>
      </c>
      <c r="G23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1783</v>
      </c>
      <c r="O234" s="37" t="s">
        <v>4308</v>
      </c>
      <c r="P234" s="37" t="s">
        <v>4309</v>
      </c>
      <c r="Q234" s="39" t="s">
        <v>3416</v>
      </c>
      <c r="R234" s="34" t="s">
        <v>3407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3408</v>
      </c>
      <c r="X234" s="34" t="s">
        <v>3446</v>
      </c>
      <c r="Y234" s="34" t="s">
        <v>3409</v>
      </c>
      <c r="Z234" s="34">
        <v>8</v>
      </c>
      <c r="AB234" s="34" t="s">
        <v>4310</v>
      </c>
      <c r="AD234" s="34" t="s">
        <v>4113</v>
      </c>
      <c r="AE234" s="34" t="s">
        <v>4311</v>
      </c>
      <c r="AF234" s="34" t="s">
        <v>3977</v>
      </c>
      <c r="AG234" s="34" t="s">
        <v>3798</v>
      </c>
      <c r="AH234" s="34" t="s">
        <v>4312</v>
      </c>
      <c r="AI234" s="34" t="s">
        <v>4306</v>
      </c>
      <c r="AJ234" s="34" t="s">
        <v>4307</v>
      </c>
      <c r="AK234" s="34" t="s">
        <v>4299</v>
      </c>
      <c r="AL234" s="34" t="s">
        <v>4188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7" t="str">
        <f>IFERROR(INDEX(Структура_ассортимента[SuperCategory],MATCH(Товары[[#This Row],[SubGroup]],Структура_ассортимента[Subgroup],0)),"")</f>
        <v>A</v>
      </c>
      <c r="D2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7" t="str">
        <f>IFERROR(INDEX(Структура_ассортимента[Product group],MATCH(Товары[[#This Row],[SubGroup]],Структура_ассортимента[Subgroup],0)),"")</f>
        <v>AMC_C</v>
      </c>
      <c r="G23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1784</v>
      </c>
      <c r="O235" s="37" t="s">
        <v>4313</v>
      </c>
      <c r="P235" s="37" t="s">
        <v>4314</v>
      </c>
      <c r="Q235" s="39" t="s">
        <v>3416</v>
      </c>
      <c r="R235" s="34" t="s">
        <v>3407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3408</v>
      </c>
      <c r="X235" s="34" t="s">
        <v>3571</v>
      </c>
      <c r="Y235" s="34" t="s">
        <v>3409</v>
      </c>
      <c r="Z235" s="34">
        <v>2</v>
      </c>
      <c r="AA235" s="34" t="s">
        <v>4315</v>
      </c>
      <c r="AB235" s="34" t="s">
        <v>4315</v>
      </c>
      <c r="AC235" s="34" t="s">
        <v>4316</v>
      </c>
      <c r="AD235" s="34" t="s">
        <v>4316</v>
      </c>
      <c r="AE235" s="34" t="s">
        <v>4317</v>
      </c>
      <c r="AF235" s="34" t="s">
        <v>4318</v>
      </c>
      <c r="AG235" s="34" t="s">
        <v>4074</v>
      </c>
      <c r="AH235" s="34" t="s">
        <v>4319</v>
      </c>
      <c r="AI235" s="34" t="s">
        <v>4126</v>
      </c>
      <c r="AJ235" s="34" t="s">
        <v>4261</v>
      </c>
      <c r="AK235" s="34" t="s">
        <v>4299</v>
      </c>
      <c r="AL235" s="34" t="s">
        <v>4320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7" t="str">
        <f>IFERROR(INDEX(Структура_ассортимента[SuperCategory],MATCH(Товары[[#This Row],[SubGroup]],Структура_ассортимента[Subgroup],0)),"")</f>
        <v>A</v>
      </c>
      <c r="D2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7" t="str">
        <f>IFERROR(INDEX(Структура_ассортимента[Product group],MATCH(Товары[[#This Row],[SubGroup]],Структура_ассортимента[Subgroup],0)),"")</f>
        <v>AMC_C</v>
      </c>
      <c r="G23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1785</v>
      </c>
      <c r="O236" s="37" t="s">
        <v>4321</v>
      </c>
      <c r="P236" s="37" t="s">
        <v>4322</v>
      </c>
      <c r="Q236" s="39" t="s">
        <v>3416</v>
      </c>
      <c r="R236" s="34" t="s">
        <v>3407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3408</v>
      </c>
      <c r="X236" s="34" t="s">
        <v>3571</v>
      </c>
      <c r="Y236" s="34" t="s">
        <v>3409</v>
      </c>
      <c r="Z236" s="34">
        <v>4</v>
      </c>
      <c r="AA236" s="34" t="s">
        <v>4068</v>
      </c>
      <c r="AB236" s="34" t="s">
        <v>4068</v>
      </c>
      <c r="AC236" s="34" t="s">
        <v>4323</v>
      </c>
      <c r="AD236" s="34" t="s">
        <v>4323</v>
      </c>
      <c r="AE236" s="34" t="s">
        <v>4324</v>
      </c>
      <c r="AF236" s="34" t="s">
        <v>4325</v>
      </c>
      <c r="AG236" s="34" t="s">
        <v>3798</v>
      </c>
      <c r="AH236" s="34" t="s">
        <v>4326</v>
      </c>
      <c r="AI236" s="34" t="s">
        <v>3881</v>
      </c>
      <c r="AJ236" s="34" t="s">
        <v>4298</v>
      </c>
      <c r="AK236" s="34" t="s">
        <v>4299</v>
      </c>
      <c r="AL236" s="34" t="s">
        <v>3735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7" t="str">
        <f>IFERROR(INDEX(Структура_ассортимента[SuperCategory],MATCH(Товары[[#This Row],[SubGroup]],Структура_ассортимента[Subgroup],0)),"")</f>
        <v>A</v>
      </c>
      <c r="D2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7" t="str">
        <f>IFERROR(INDEX(Структура_ассортимента[Product group],MATCH(Товары[[#This Row],[SubGroup]],Структура_ассортимента[Subgroup],0)),"")</f>
        <v>AMC_C</v>
      </c>
      <c r="G23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1786</v>
      </c>
      <c r="O237" s="37" t="s">
        <v>4327</v>
      </c>
      <c r="P237" s="37" t="s">
        <v>4328</v>
      </c>
      <c r="Q237" s="39" t="s">
        <v>3416</v>
      </c>
      <c r="R237" s="34" t="s">
        <v>3407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3408</v>
      </c>
      <c r="X237" s="34" t="s">
        <v>3571</v>
      </c>
      <c r="Y237" s="34" t="s">
        <v>3409</v>
      </c>
      <c r="Z237" s="34">
        <v>2</v>
      </c>
      <c r="AA237" s="34" t="s">
        <v>4329</v>
      </c>
      <c r="AB237" s="34" t="s">
        <v>4329</v>
      </c>
      <c r="AC237" s="34" t="s">
        <v>3838</v>
      </c>
      <c r="AD237" s="34" t="s">
        <v>3838</v>
      </c>
      <c r="AE237" s="34" t="s">
        <v>4304</v>
      </c>
      <c r="AF237" s="34" t="s">
        <v>3856</v>
      </c>
      <c r="AG237" s="34" t="s">
        <v>4330</v>
      </c>
      <c r="AH237" s="34" t="s">
        <v>4331</v>
      </c>
      <c r="AI237" s="34" t="s">
        <v>4306</v>
      </c>
      <c r="AJ237" s="34" t="s">
        <v>3745</v>
      </c>
      <c r="AK237" s="34" t="s">
        <v>4299</v>
      </c>
      <c r="AL237" s="34" t="s">
        <v>3471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7" t="str">
        <f>IFERROR(INDEX(Структура_ассортимента[SuperCategory],MATCH(Товары[[#This Row],[SubGroup]],Структура_ассортимента[Subgroup],0)),"")</f>
        <v>A</v>
      </c>
      <c r="D2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7" t="str">
        <f>IFERROR(INDEX(Структура_ассортимента[Product group],MATCH(Товары[[#This Row],[SubGroup]],Структура_ассортимента[Subgroup],0)),"")</f>
        <v>AMC_C</v>
      </c>
      <c r="G23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1787</v>
      </c>
      <c r="O238" s="37" t="s">
        <v>4332</v>
      </c>
      <c r="P238" s="37" t="s">
        <v>4333</v>
      </c>
      <c r="Q238" s="39" t="s">
        <v>3416</v>
      </c>
      <c r="R238" s="34" t="s">
        <v>3407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3415</v>
      </c>
      <c r="X238" s="34" t="s">
        <v>3446</v>
      </c>
      <c r="Y238" s="34" t="s">
        <v>3409</v>
      </c>
      <c r="Z238" s="34">
        <v>10</v>
      </c>
      <c r="AA238" s="34" t="s">
        <v>4035</v>
      </c>
      <c r="AB238" s="34" t="s">
        <v>4035</v>
      </c>
      <c r="AC238" s="34" t="s">
        <v>3558</v>
      </c>
      <c r="AD238" s="34" t="s">
        <v>3558</v>
      </c>
      <c r="AE238" s="34" t="s">
        <v>4334</v>
      </c>
      <c r="AF238" s="34" t="s">
        <v>4251</v>
      </c>
      <c r="AG238" s="34" t="s">
        <v>4335</v>
      </c>
      <c r="AH238" s="34" t="s">
        <v>4336</v>
      </c>
      <c r="AI238" s="34" t="s">
        <v>4337</v>
      </c>
      <c r="AJ238" s="34" t="s">
        <v>4338</v>
      </c>
      <c r="AK238" s="34" t="s">
        <v>4339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7" t="str">
        <f>IFERROR(INDEX(Структура_ассортимента[SuperCategory],MATCH(Товары[[#This Row],[SubGroup]],Структура_ассортимента[Subgroup],0)),"")</f>
        <v>A</v>
      </c>
      <c r="D2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7" t="str">
        <f>IFERROR(INDEX(Структура_ассортимента[Product group],MATCH(Товары[[#This Row],[SubGroup]],Структура_ассортимента[Subgroup],0)),"")</f>
        <v>AMC_C</v>
      </c>
      <c r="G23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1788</v>
      </c>
      <c r="Q239" s="39" t="s">
        <v>3416</v>
      </c>
      <c r="R239" s="34" t="s">
        <v>3407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3415</v>
      </c>
      <c r="X239" s="34" t="s">
        <v>3446</v>
      </c>
      <c r="Y239" s="34" t="s">
        <v>3409</v>
      </c>
      <c r="Z239" s="34">
        <v>30</v>
      </c>
      <c r="AA239" s="34" t="s">
        <v>3558</v>
      </c>
      <c r="AB239" s="34" t="s">
        <v>3558</v>
      </c>
      <c r="AC239" s="34" t="s">
        <v>4340</v>
      </c>
      <c r="AD239" s="34" t="s">
        <v>4340</v>
      </c>
      <c r="AE239" s="34" t="s">
        <v>4294</v>
      </c>
      <c r="AF239" s="34" t="s">
        <v>3565</v>
      </c>
      <c r="AG239" s="34" t="s">
        <v>3798</v>
      </c>
      <c r="AH239" s="34" t="s">
        <v>4341</v>
      </c>
      <c r="AI239" s="34" t="s">
        <v>4337</v>
      </c>
      <c r="AJ239" s="34" t="s">
        <v>4338</v>
      </c>
      <c r="AK239" s="34" t="s">
        <v>4339</v>
      </c>
      <c r="AL239" s="34">
        <v>180</v>
      </c>
      <c r="AM239" s="34" t="s">
        <v>7962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7" t="str">
        <f>IFERROR(INDEX(Структура_ассортимента[SuperCategory],MATCH(Товары[[#This Row],[SubGroup]],Структура_ассортимента[Subgroup],0)),"")</f>
        <v>A</v>
      </c>
      <c r="D2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7" t="str">
        <f>IFERROR(INDEX(Структура_ассортимента[Product group],MATCH(Товары[[#This Row],[SubGroup]],Структура_ассортимента[Subgroup],0)),"")</f>
        <v>AMC_C</v>
      </c>
      <c r="G24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1789</v>
      </c>
      <c r="Q240" s="39" t="s">
        <v>3416</v>
      </c>
      <c r="R240" s="34" t="s">
        <v>3407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3415</v>
      </c>
      <c r="X240" s="34" t="s">
        <v>3446</v>
      </c>
      <c r="Y240" s="34" t="s">
        <v>3409</v>
      </c>
      <c r="Z240" s="34">
        <v>10</v>
      </c>
      <c r="AA240" s="34" t="s">
        <v>4342</v>
      </c>
      <c r="AB240" s="34" t="s">
        <v>4342</v>
      </c>
      <c r="AC240" s="34" t="s">
        <v>4026</v>
      </c>
      <c r="AD240" s="34" t="s">
        <v>4026</v>
      </c>
      <c r="AE240" s="34" t="s">
        <v>4334</v>
      </c>
      <c r="AF240" s="34" t="s">
        <v>4258</v>
      </c>
      <c r="AG240" s="34" t="s">
        <v>3798</v>
      </c>
      <c r="AH240" s="34" t="s">
        <v>4343</v>
      </c>
      <c r="AI240" s="34" t="s">
        <v>4337</v>
      </c>
      <c r="AJ240" s="34" t="s">
        <v>4338</v>
      </c>
      <c r="AK240" s="34" t="s">
        <v>4339</v>
      </c>
      <c r="AL240" s="34">
        <v>440</v>
      </c>
      <c r="AM240" s="34" t="s">
        <v>7962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7" t="str">
        <f>IFERROR(INDEX(Структура_ассортимента[SuperCategory],MATCH(Товары[[#This Row],[SubGroup]],Структура_ассортимента[Subgroup],0)),"")</f>
        <v>A</v>
      </c>
      <c r="D2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7" t="str">
        <f>IFERROR(INDEX(Структура_ассортимента[Product group],MATCH(Товары[[#This Row],[SubGroup]],Структура_ассортимента[Subgroup],0)),"")</f>
        <v>AMC_C</v>
      </c>
      <c r="G24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1790</v>
      </c>
      <c r="Q241" s="39" t="s">
        <v>3416</v>
      </c>
      <c r="R241" s="34" t="s">
        <v>3407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3415</v>
      </c>
      <c r="X241" s="34" t="s">
        <v>3446</v>
      </c>
      <c r="Y241" s="34" t="s">
        <v>3409</v>
      </c>
      <c r="Z241" s="34">
        <v>30</v>
      </c>
      <c r="AA241" s="34">
        <v>244</v>
      </c>
      <c r="AB241" s="34" t="s">
        <v>4344</v>
      </c>
      <c r="AC241" s="34">
        <v>240</v>
      </c>
      <c r="AD241" s="34" t="s">
        <v>3558</v>
      </c>
      <c r="AE241" s="34" t="s">
        <v>4334</v>
      </c>
      <c r="AF241" s="34" t="s">
        <v>4251</v>
      </c>
      <c r="AG241" s="34" t="s">
        <v>4335</v>
      </c>
      <c r="AH241" s="34" t="s">
        <v>4336</v>
      </c>
      <c r="AI241" s="34" t="s">
        <v>4337</v>
      </c>
      <c r="AJ241" s="34" t="s">
        <v>4338</v>
      </c>
      <c r="AK241" s="34" t="s">
        <v>4339</v>
      </c>
      <c r="AL241" s="34" t="s">
        <v>4345</v>
      </c>
      <c r="AM241" s="34" t="s">
        <v>7962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7" t="str">
        <f>IFERROR(INDEX(Структура_ассортимента[SuperCategory],MATCH(Товары[[#This Row],[SubGroup]],Структура_ассортимента[Subgroup],0)),"")</f>
        <v>A</v>
      </c>
      <c r="D2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7" t="str">
        <f>IFERROR(INDEX(Структура_ассортимента[Product group],MATCH(Товары[[#This Row],[SubGroup]],Структура_ассортимента[Subgroup],0)),"")</f>
        <v>AMC_C</v>
      </c>
      <c r="G24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1791</v>
      </c>
      <c r="Q242" s="39" t="s">
        <v>3416</v>
      </c>
      <c r="R242" s="34" t="s">
        <v>3407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3415</v>
      </c>
      <c r="X242" s="34" t="s">
        <v>3446</v>
      </c>
      <c r="Y242" s="34" t="s">
        <v>3409</v>
      </c>
      <c r="Z242" s="34">
        <v>30</v>
      </c>
      <c r="AA242" s="34" t="s">
        <v>4346</v>
      </c>
      <c r="AB242" s="34" t="s">
        <v>4346</v>
      </c>
      <c r="AC242" s="34" t="s">
        <v>4007</v>
      </c>
      <c r="AD242" s="34" t="s">
        <v>4007</v>
      </c>
      <c r="AE242" s="34" t="s">
        <v>4334</v>
      </c>
      <c r="AF242" s="34" t="s">
        <v>4251</v>
      </c>
      <c r="AG242" s="34" t="s">
        <v>4335</v>
      </c>
      <c r="AH242" s="34" t="s">
        <v>4336</v>
      </c>
      <c r="AI242" s="34" t="s">
        <v>4337</v>
      </c>
      <c r="AJ242" s="34" t="s">
        <v>3466</v>
      </c>
      <c r="AK242" s="34" t="s">
        <v>4335</v>
      </c>
      <c r="AL242" s="34">
        <v>180</v>
      </c>
      <c r="AM242" s="34" t="s">
        <v>7962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7" t="str">
        <f>IFERROR(INDEX(Структура_ассортимента[SuperCategory],MATCH(Товары[[#This Row],[SubGroup]],Структура_ассортимента[Subgroup],0)),"")</f>
        <v>A</v>
      </c>
      <c r="D2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7" t="str">
        <f>IFERROR(INDEX(Структура_ассортимента[Product group],MATCH(Товары[[#This Row],[SubGroup]],Структура_ассортимента[Subgroup],0)),"")</f>
        <v>AMC_C</v>
      </c>
      <c r="G24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1792</v>
      </c>
      <c r="Q243" s="39" t="s">
        <v>3416</v>
      </c>
      <c r="R243" s="34" t="s">
        <v>3407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3415</v>
      </c>
      <c r="X243" s="34" t="s">
        <v>3446</v>
      </c>
      <c r="Y243" s="34" t="s">
        <v>3409</v>
      </c>
      <c r="Z243" s="34">
        <v>10</v>
      </c>
      <c r="AA243" s="34" t="s">
        <v>3557</v>
      </c>
      <c r="AB243" s="34" t="s">
        <v>3557</v>
      </c>
      <c r="AC243" s="34" t="s">
        <v>4007</v>
      </c>
      <c r="AD243" s="34" t="s">
        <v>4007</v>
      </c>
      <c r="AE243" s="34" t="s">
        <v>4334</v>
      </c>
      <c r="AF243" s="34" t="s">
        <v>4251</v>
      </c>
      <c r="AG243" s="34" t="s">
        <v>4335</v>
      </c>
      <c r="AH243" s="34" t="s">
        <v>4336</v>
      </c>
      <c r="AI243" s="34" t="s">
        <v>4337</v>
      </c>
      <c r="AJ243" s="34" t="s">
        <v>3466</v>
      </c>
      <c r="AK243" s="34" t="s">
        <v>4335</v>
      </c>
      <c r="AL243" s="34">
        <v>360</v>
      </c>
      <c r="AM243" s="34" t="s">
        <v>7962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7" t="str">
        <f>IFERROR(INDEX(Структура_ассортимента[SuperCategory],MATCH(Товары[[#This Row],[SubGroup]],Структура_ассортимента[Subgroup],0)),"")</f>
        <v>A</v>
      </c>
      <c r="D2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7" t="str">
        <f>IFERROR(INDEX(Структура_ассортимента[Product group],MATCH(Товары[[#This Row],[SubGroup]],Структура_ассортимента[Subgroup],0)),"")</f>
        <v>AMC_C</v>
      </c>
      <c r="G24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1793</v>
      </c>
      <c r="Q244" s="39" t="s">
        <v>3416</v>
      </c>
      <c r="R244" s="34" t="s">
        <v>3407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3415</v>
      </c>
      <c r="X244" s="34" t="s">
        <v>3446</v>
      </c>
      <c r="Y244" s="34" t="s">
        <v>3409</v>
      </c>
      <c r="Z244" s="34">
        <v>10</v>
      </c>
      <c r="AA244" s="34" t="s">
        <v>4007</v>
      </c>
      <c r="AB244" s="34" t="s">
        <v>4007</v>
      </c>
      <c r="AC244" s="34" t="s">
        <v>4347</v>
      </c>
      <c r="AD244" s="34" t="s">
        <v>4347</v>
      </c>
      <c r="AE244" s="34" t="s">
        <v>4294</v>
      </c>
      <c r="AF244" s="34" t="s">
        <v>3798</v>
      </c>
      <c r="AG244" s="34" t="s">
        <v>3427</v>
      </c>
      <c r="AH244" s="34" t="s">
        <v>4348</v>
      </c>
      <c r="AI244" s="34" t="s">
        <v>4337</v>
      </c>
      <c r="AJ244" s="34" t="s">
        <v>3466</v>
      </c>
      <c r="AK244" s="34" t="s">
        <v>4335</v>
      </c>
      <c r="AL244" s="34">
        <v>440</v>
      </c>
      <c r="AM244" s="34" t="s">
        <v>7962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7" t="str">
        <f>IFERROR(INDEX(Структура_ассортимента[SuperCategory],MATCH(Товары[[#This Row],[SubGroup]],Структура_ассортимента[Subgroup],0)),"")</f>
        <v>A</v>
      </c>
      <c r="D2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7" t="str">
        <f>IFERROR(INDEX(Структура_ассортимента[Product group],MATCH(Товары[[#This Row],[SubGroup]],Структура_ассортимента[Subgroup],0)),"")</f>
        <v>AMC_C</v>
      </c>
      <c r="G24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1794</v>
      </c>
      <c r="Q245" s="39" t="s">
        <v>3416</v>
      </c>
      <c r="R245" s="34" t="s">
        <v>3407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3415</v>
      </c>
      <c r="X245" s="34" t="s">
        <v>3446</v>
      </c>
      <c r="Y245" s="34" t="s">
        <v>3409</v>
      </c>
      <c r="Z245" s="34">
        <v>30</v>
      </c>
      <c r="AA245" s="34">
        <v>265</v>
      </c>
      <c r="AB245" s="34" t="s">
        <v>4346</v>
      </c>
      <c r="AC245" s="34">
        <v>264</v>
      </c>
      <c r="AD245" s="34" t="s">
        <v>4007</v>
      </c>
      <c r="AE245" s="34" t="s">
        <v>4334</v>
      </c>
      <c r="AF245" s="34" t="s">
        <v>4251</v>
      </c>
      <c r="AG245" s="34" t="s">
        <v>4335</v>
      </c>
      <c r="AH245" s="34" t="s">
        <v>4336</v>
      </c>
      <c r="AI245" s="34" t="s">
        <v>4337</v>
      </c>
      <c r="AJ245" s="34" t="s">
        <v>3466</v>
      </c>
      <c r="AK245" s="34" t="s">
        <v>4335</v>
      </c>
      <c r="AL245" s="34" t="s">
        <v>4345</v>
      </c>
      <c r="AM245" s="34" t="s">
        <v>7962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7" t="str">
        <f>IFERROR(INDEX(Структура_ассортимента[SuperCategory],MATCH(Товары[[#This Row],[SubGroup]],Структура_ассортимента[Subgroup],0)),"")</f>
        <v>A</v>
      </c>
      <c r="D2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7" t="str">
        <f>IFERROR(INDEX(Структура_ассортимента[Product group],MATCH(Товары[[#This Row],[SubGroup]],Структура_ассортимента[Subgroup],0)),"")</f>
        <v>AMC_C</v>
      </c>
      <c r="G24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1795</v>
      </c>
      <c r="O246" s="37" t="s">
        <v>4349</v>
      </c>
      <c r="P246" s="37" t="s">
        <v>4350</v>
      </c>
      <c r="Q246" s="39" t="s">
        <v>3416</v>
      </c>
      <c r="R246" s="34" t="s">
        <v>3407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3415</v>
      </c>
      <c r="X246" s="34" t="s">
        <v>3446</v>
      </c>
      <c r="Y246" s="34" t="s">
        <v>3409</v>
      </c>
      <c r="Z246" s="34">
        <v>10</v>
      </c>
      <c r="AA246" s="34" t="s">
        <v>4351</v>
      </c>
      <c r="AB246" s="34" t="s">
        <v>4351</v>
      </c>
      <c r="AC246" s="34" t="s">
        <v>4352</v>
      </c>
      <c r="AD246" s="34" t="s">
        <v>4352</v>
      </c>
      <c r="AE246" s="34" t="s">
        <v>4334</v>
      </c>
      <c r="AF246" s="34" t="s">
        <v>4353</v>
      </c>
      <c r="AG246" s="34" t="s">
        <v>4335</v>
      </c>
      <c r="AH246" s="34" t="s">
        <v>4354</v>
      </c>
      <c r="AI246" s="34" t="s">
        <v>4337</v>
      </c>
      <c r="AJ246" s="34" t="s">
        <v>3466</v>
      </c>
      <c r="AK246" s="34" t="s">
        <v>4335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7" t="str">
        <f>IFERROR(INDEX(Структура_ассортимента[SuperCategory],MATCH(Товары[[#This Row],[SubGroup]],Структура_ассортимента[Subgroup],0)),"")</f>
        <v>A</v>
      </c>
      <c r="D2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7" t="str">
        <f>IFERROR(INDEX(Структура_ассортимента[Product group],MATCH(Товары[[#This Row],[SubGroup]],Структура_ассортимента[Subgroup],0)),"")</f>
        <v>AMC_C</v>
      </c>
      <c r="G24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1796</v>
      </c>
      <c r="O247" s="37" t="s">
        <v>4355</v>
      </c>
      <c r="P247" s="37" t="s">
        <v>4350</v>
      </c>
      <c r="Q247" s="39" t="s">
        <v>3416</v>
      </c>
      <c r="R247" s="34" t="s">
        <v>3407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3415</v>
      </c>
      <c r="X247" s="34" t="s">
        <v>3446</v>
      </c>
      <c r="Y247" s="34" t="s">
        <v>3409</v>
      </c>
      <c r="Z247" s="34">
        <v>10</v>
      </c>
      <c r="AA247" s="34" t="s">
        <v>4356</v>
      </c>
      <c r="AB247" s="34" t="s">
        <v>4356</v>
      </c>
      <c r="AC247" s="34" t="s">
        <v>4284</v>
      </c>
      <c r="AD247" s="34" t="s">
        <v>4284</v>
      </c>
      <c r="AE247" s="34" t="s">
        <v>4334</v>
      </c>
      <c r="AF247" s="34" t="s">
        <v>4353</v>
      </c>
      <c r="AG247" s="34" t="s">
        <v>4335</v>
      </c>
      <c r="AH247" s="34" t="s">
        <v>4354</v>
      </c>
      <c r="AI247" s="34" t="s">
        <v>4337</v>
      </c>
      <c r="AJ247" s="34" t="s">
        <v>3466</v>
      </c>
      <c r="AK247" s="34" t="s">
        <v>4335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7" t="str">
        <f>IFERROR(INDEX(Структура_ассортимента[SuperCategory],MATCH(Товары[[#This Row],[SubGroup]],Структура_ассортимента[Subgroup],0)),"")</f>
        <v>A</v>
      </c>
      <c r="D2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7" t="str">
        <f>IFERROR(INDEX(Структура_ассортимента[Product group],MATCH(Товары[[#This Row],[SubGroup]],Структура_ассортимента[Subgroup],0)),"")</f>
        <v>AMC_C</v>
      </c>
      <c r="G24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1797</v>
      </c>
      <c r="Q248" s="39" t="s">
        <v>3416</v>
      </c>
      <c r="R248" s="34" t="s">
        <v>3407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3415</v>
      </c>
      <c r="X248" s="34" t="s">
        <v>3446</v>
      </c>
      <c r="Y248" s="34" t="s">
        <v>3409</v>
      </c>
      <c r="Z248" s="34">
        <v>10</v>
      </c>
      <c r="AA248" s="34" t="s">
        <v>4007</v>
      </c>
      <c r="AB248" s="34" t="s">
        <v>4007</v>
      </c>
      <c r="AC248" s="34" t="s">
        <v>4007</v>
      </c>
      <c r="AD248" s="34" t="s">
        <v>4007</v>
      </c>
      <c r="AE248" s="34" t="s">
        <v>4357</v>
      </c>
      <c r="AF248" s="34" t="s">
        <v>3442</v>
      </c>
      <c r="AG248" s="34" t="s">
        <v>3798</v>
      </c>
      <c r="AH248" s="34" t="s">
        <v>4358</v>
      </c>
      <c r="AI248" s="34" t="s">
        <v>4337</v>
      </c>
      <c r="AJ248" s="34" t="s">
        <v>3466</v>
      </c>
      <c r="AK248" s="34" t="s">
        <v>4335</v>
      </c>
      <c r="AL248" s="34">
        <v>400</v>
      </c>
      <c r="AM248" s="34" t="s">
        <v>7962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7" t="str">
        <f>IFERROR(INDEX(Структура_ассортимента[SuperCategory],MATCH(Товары[[#This Row],[SubGroup]],Структура_ассортимента[Subgroup],0)),"")</f>
        <v>A</v>
      </c>
      <c r="D2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7" t="str">
        <f>IFERROR(INDEX(Структура_ассортимента[Product group],MATCH(Товары[[#This Row],[SubGroup]],Структура_ассортимента[Subgroup],0)),"")</f>
        <v>AMC_C</v>
      </c>
      <c r="G24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1798</v>
      </c>
      <c r="O249" s="37" t="s">
        <v>4359</v>
      </c>
      <c r="P249" s="37" t="s">
        <v>4360</v>
      </c>
      <c r="Q249" s="39" t="s">
        <v>3416</v>
      </c>
      <c r="R249" s="34" t="s">
        <v>3407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3415</v>
      </c>
      <c r="X249" s="34" t="s">
        <v>3446</v>
      </c>
      <c r="Y249" s="34" t="s">
        <v>3409</v>
      </c>
      <c r="Z249" s="34">
        <v>10</v>
      </c>
      <c r="AA249" s="34" t="s">
        <v>3617</v>
      </c>
      <c r="AB249" s="34" t="s">
        <v>3617</v>
      </c>
      <c r="AC249" s="34" t="s">
        <v>4347</v>
      </c>
      <c r="AD249" s="34" t="s">
        <v>4347</v>
      </c>
      <c r="AE249" s="34" t="s">
        <v>4334</v>
      </c>
      <c r="AF249" s="34" t="s">
        <v>4353</v>
      </c>
      <c r="AG249" s="34" t="s">
        <v>4335</v>
      </c>
      <c r="AH249" s="34" t="s">
        <v>4354</v>
      </c>
      <c r="AI249" s="34" t="s">
        <v>4337</v>
      </c>
      <c r="AJ249" s="34" t="s">
        <v>3466</v>
      </c>
      <c r="AK249" s="34" t="s">
        <v>4335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7" t="str">
        <f>IFERROR(INDEX(Структура_ассортимента[SuperCategory],MATCH(Товары[[#This Row],[SubGroup]],Структура_ассортимента[Subgroup],0)),"")</f>
        <v>A</v>
      </c>
      <c r="D2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7" t="str">
        <f>IFERROR(INDEX(Структура_ассортимента[Product group],MATCH(Товары[[#This Row],[SubGroup]],Структура_ассортимента[Subgroup],0)),"")</f>
        <v>AMC_C</v>
      </c>
      <c r="G25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1799</v>
      </c>
      <c r="Q250" s="39" t="s">
        <v>3416</v>
      </c>
      <c r="R250" s="34" t="s">
        <v>3407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3415</v>
      </c>
      <c r="X250" s="34" t="s">
        <v>3446</v>
      </c>
      <c r="Y250" s="34" t="s">
        <v>3409</v>
      </c>
      <c r="Z250" s="34">
        <v>10</v>
      </c>
      <c r="AA250" s="34" t="s">
        <v>4007</v>
      </c>
      <c r="AB250" s="34" t="s">
        <v>4007</v>
      </c>
      <c r="AC250" s="34" t="s">
        <v>4007</v>
      </c>
      <c r="AD250" s="34" t="s">
        <v>4007</v>
      </c>
      <c r="AE250" s="34" t="s">
        <v>4357</v>
      </c>
      <c r="AF250" s="34" t="s">
        <v>3442</v>
      </c>
      <c r="AG250" s="34" t="s">
        <v>3798</v>
      </c>
      <c r="AH250" s="34" t="s">
        <v>4358</v>
      </c>
      <c r="AI250" s="34" t="s">
        <v>4337</v>
      </c>
      <c r="AJ250" s="34" t="s">
        <v>3466</v>
      </c>
      <c r="AK250" s="34" t="s">
        <v>4335</v>
      </c>
      <c r="AL250" s="34">
        <v>400</v>
      </c>
      <c r="AM250" s="34" t="s">
        <v>7962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7" t="str">
        <f>IFERROR(INDEX(Структура_ассортимента[SuperCategory],MATCH(Товары[[#This Row],[SubGroup]],Структура_ассортимента[Subgroup],0)),"")</f>
        <v>A</v>
      </c>
      <c r="D2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7" t="str">
        <f>IFERROR(INDEX(Структура_ассортимента[Product group],MATCH(Товары[[#This Row],[SubGroup]],Структура_ассортимента[Subgroup],0)),"")</f>
        <v>AMC_C</v>
      </c>
      <c r="G25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1800</v>
      </c>
      <c r="O251" s="37" t="s">
        <v>4361</v>
      </c>
      <c r="P251" s="37" t="s">
        <v>4362</v>
      </c>
      <c r="Q251" s="39" t="s">
        <v>3416</v>
      </c>
      <c r="R251" s="34" t="s">
        <v>3407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3415</v>
      </c>
      <c r="X251" s="34" t="s">
        <v>3446</v>
      </c>
      <c r="Y251" s="34" t="s">
        <v>3409</v>
      </c>
      <c r="Z251" s="34">
        <v>10</v>
      </c>
      <c r="AA251" s="34" t="s">
        <v>4363</v>
      </c>
      <c r="AB251" s="34" t="s">
        <v>4363</v>
      </c>
      <c r="AC251" s="34" t="s">
        <v>4364</v>
      </c>
      <c r="AD251" s="34" t="s">
        <v>4364</v>
      </c>
      <c r="AE251" s="34" t="s">
        <v>4334</v>
      </c>
      <c r="AF251" s="34" t="s">
        <v>4353</v>
      </c>
      <c r="AG251" s="34" t="s">
        <v>4335</v>
      </c>
      <c r="AH251" s="34" t="s">
        <v>4354</v>
      </c>
      <c r="AI251" s="34" t="s">
        <v>4365</v>
      </c>
      <c r="AJ251" s="34" t="s">
        <v>4366</v>
      </c>
      <c r="AK251" s="34" t="s">
        <v>4335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7" t="str">
        <f>IFERROR(INDEX(Структура_ассортимента[SuperCategory],MATCH(Товары[[#This Row],[SubGroup]],Структура_ассортимента[Subgroup],0)),"")</f>
        <v>A</v>
      </c>
      <c r="D2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7" t="str">
        <f>IFERROR(INDEX(Структура_ассортимента[Product group],MATCH(Товары[[#This Row],[SubGroup]],Структура_ассортимента[Subgroup],0)),"")</f>
        <v>AMC_C</v>
      </c>
      <c r="G25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1801</v>
      </c>
      <c r="O252" s="37" t="s">
        <v>4367</v>
      </c>
      <c r="P252" s="37" t="s">
        <v>4362</v>
      </c>
      <c r="Q252" s="39" t="s">
        <v>3416</v>
      </c>
      <c r="R252" s="34" t="s">
        <v>3407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3415</v>
      </c>
      <c r="X252" s="34" t="s">
        <v>3446</v>
      </c>
      <c r="Y252" s="34" t="s">
        <v>3409</v>
      </c>
      <c r="Z252" s="34">
        <v>10</v>
      </c>
      <c r="AA252" s="34" t="s">
        <v>4368</v>
      </c>
      <c r="AB252" s="34" t="s">
        <v>4368</v>
      </c>
      <c r="AC252" s="34" t="s">
        <v>4369</v>
      </c>
      <c r="AD252" s="34" t="s">
        <v>4369</v>
      </c>
      <c r="AE252" s="34" t="s">
        <v>4334</v>
      </c>
      <c r="AF252" s="34" t="s">
        <v>4353</v>
      </c>
      <c r="AG252" s="34" t="s">
        <v>4335</v>
      </c>
      <c r="AH252" s="34" t="s">
        <v>4354</v>
      </c>
      <c r="AI252" s="34" t="s">
        <v>4365</v>
      </c>
      <c r="AJ252" s="34" t="s">
        <v>4366</v>
      </c>
      <c r="AK252" s="34" t="s">
        <v>4335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7" t="str">
        <f>IFERROR(INDEX(Структура_ассортимента[SuperCategory],MATCH(Товары[[#This Row],[SubGroup]],Структура_ассортимента[Subgroup],0)),"")</f>
        <v>A</v>
      </c>
      <c r="D2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7" t="str">
        <f>IFERROR(INDEX(Структура_ассортимента[Product group],MATCH(Товары[[#This Row],[SubGroup]],Структура_ассортимента[Subgroup],0)),"")</f>
        <v>AMC_C</v>
      </c>
      <c r="G25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1802</v>
      </c>
      <c r="Q253" s="39" t="s">
        <v>3416</v>
      </c>
      <c r="R253" s="34" t="s">
        <v>3407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3415</v>
      </c>
      <c r="X253" s="34" t="s">
        <v>3446</v>
      </c>
      <c r="Y253" s="34" t="s">
        <v>3409</v>
      </c>
      <c r="Z253" s="34">
        <v>10</v>
      </c>
      <c r="AA253" s="34" t="s">
        <v>4370</v>
      </c>
      <c r="AB253" s="34" t="s">
        <v>4370</v>
      </c>
      <c r="AC253" s="34" t="s">
        <v>4003</v>
      </c>
      <c r="AD253" s="34" t="s">
        <v>4003</v>
      </c>
      <c r="AE253" s="34" t="s">
        <v>4371</v>
      </c>
      <c r="AF253" s="34" t="s">
        <v>4372</v>
      </c>
      <c r="AG253" s="34" t="s">
        <v>3798</v>
      </c>
      <c r="AH253" s="34" t="s">
        <v>4373</v>
      </c>
      <c r="AI253" s="34" t="s">
        <v>4365</v>
      </c>
      <c r="AJ253" s="34" t="s">
        <v>4366</v>
      </c>
      <c r="AK253" s="34" t="s">
        <v>4335</v>
      </c>
      <c r="AL253" s="34">
        <v>270</v>
      </c>
      <c r="AM253" s="34" t="s">
        <v>7962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7" t="str">
        <f>IFERROR(INDEX(Структура_ассортимента[SuperCategory],MATCH(Товары[[#This Row],[SubGroup]],Структура_ассортимента[Subgroup],0)),"")</f>
        <v>A</v>
      </c>
      <c r="D2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7" t="str">
        <f>IFERROR(INDEX(Структура_ассортимента[Product group],MATCH(Товары[[#This Row],[SubGroup]],Структура_ассортимента[Subgroup],0)),"")</f>
        <v>AMC_C</v>
      </c>
      <c r="G25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1803</v>
      </c>
      <c r="O254" s="37" t="s">
        <v>4374</v>
      </c>
      <c r="P254" s="37" t="s">
        <v>4375</v>
      </c>
      <c r="Q254" s="39" t="s">
        <v>3416</v>
      </c>
      <c r="R254" s="34" t="s">
        <v>3407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3413</v>
      </c>
      <c r="X254" s="34" t="s">
        <v>3654</v>
      </c>
      <c r="Y254" s="34" t="s">
        <v>3409</v>
      </c>
      <c r="Z254" s="34">
        <v>5</v>
      </c>
      <c r="AB254" s="34" t="s">
        <v>4376</v>
      </c>
      <c r="AD254" s="34" t="s">
        <v>4131</v>
      </c>
      <c r="AE254" s="34" t="s">
        <v>4181</v>
      </c>
      <c r="AF254" s="34" t="s">
        <v>4377</v>
      </c>
      <c r="AG254" s="34" t="s">
        <v>3667</v>
      </c>
      <c r="AH254" s="34" t="s">
        <v>4378</v>
      </c>
      <c r="AI254" s="34" t="s">
        <v>4379</v>
      </c>
      <c r="AJ254" s="34" t="s">
        <v>4041</v>
      </c>
      <c r="AK254" s="34" t="s">
        <v>4248</v>
      </c>
      <c r="AL254" s="34" t="s">
        <v>4380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7" t="str">
        <f>IFERROR(INDEX(Структура_ассортимента[SuperCategory],MATCH(Товары[[#This Row],[SubGroup]],Структура_ассортимента[Subgroup],0)),"")</f>
        <v>A</v>
      </c>
      <c r="D2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7" t="str">
        <f>IFERROR(INDEX(Структура_ассортимента[Product group],MATCH(Товары[[#This Row],[SubGroup]],Структура_ассортимента[Subgroup],0)),"")</f>
        <v>AMC_C</v>
      </c>
      <c r="G25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1804</v>
      </c>
      <c r="Q255" s="39" t="s">
        <v>3416</v>
      </c>
      <c r="R255" s="34" t="s">
        <v>3407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3410</v>
      </c>
      <c r="X255" s="34" t="s">
        <v>3654</v>
      </c>
      <c r="Y255" s="34" t="s">
        <v>3409</v>
      </c>
      <c r="Z255" s="34">
        <v>20</v>
      </c>
      <c r="AB255" s="34" t="s">
        <v>4376</v>
      </c>
      <c r="AD255" s="34" t="s">
        <v>4131</v>
      </c>
      <c r="AE255" s="34" t="s">
        <v>4181</v>
      </c>
      <c r="AF255" s="34" t="s">
        <v>4377</v>
      </c>
      <c r="AG255" s="34" t="s">
        <v>3667</v>
      </c>
      <c r="AH255" s="34" t="s">
        <v>4378</v>
      </c>
      <c r="AI255" s="34" t="s">
        <v>4379</v>
      </c>
      <c r="AJ255" s="34" t="s">
        <v>4041</v>
      </c>
      <c r="AK255" s="34" t="s">
        <v>4248</v>
      </c>
      <c r="AL255" s="34" t="s">
        <v>4381</v>
      </c>
      <c r="AM255" s="34" t="s">
        <v>7962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7" t="str">
        <f>IFERROR(INDEX(Структура_ассортимента[SuperCategory],MATCH(Товары[[#This Row],[SubGroup]],Структура_ассортимента[Subgroup],0)),"")</f>
        <v>A</v>
      </c>
      <c r="D2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7" t="str">
        <f>IFERROR(INDEX(Структура_ассортимента[Product group],MATCH(Товары[[#This Row],[SubGroup]],Структура_ассортимента[Subgroup],0)),"")</f>
        <v>AMC_C</v>
      </c>
      <c r="G25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1805</v>
      </c>
      <c r="O256" s="37" t="s">
        <v>4382</v>
      </c>
      <c r="P256" s="37" t="s">
        <v>4383</v>
      </c>
      <c r="Q256" s="39" t="s">
        <v>3416</v>
      </c>
      <c r="R256" s="34" t="s">
        <v>3407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3410</v>
      </c>
      <c r="X256" s="34" t="s">
        <v>3418</v>
      </c>
      <c r="Y256" s="34" t="s">
        <v>3409</v>
      </c>
      <c r="Z256" s="34">
        <v>4</v>
      </c>
      <c r="AB256" s="34" t="s">
        <v>4384</v>
      </c>
      <c r="AD256" s="34" t="s">
        <v>3601</v>
      </c>
      <c r="AE256" s="34" t="s">
        <v>3457</v>
      </c>
      <c r="AF256" s="34" t="s">
        <v>4258</v>
      </c>
      <c r="AG256" s="34" t="s">
        <v>3578</v>
      </c>
      <c r="AH256" s="34" t="s">
        <v>4385</v>
      </c>
      <c r="AI256" s="34" t="s">
        <v>3787</v>
      </c>
      <c r="AJ256" s="34" t="s">
        <v>3578</v>
      </c>
      <c r="AK256" s="34" t="s">
        <v>4048</v>
      </c>
      <c r="AL256" s="34" t="s">
        <v>4300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7" t="str">
        <f>IFERROR(INDEX(Структура_ассортимента[SuperCategory],MATCH(Товары[[#This Row],[SubGroup]],Структура_ассортимента[Subgroup],0)),"")</f>
        <v>A</v>
      </c>
      <c r="D2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7" t="str">
        <f>IFERROR(INDEX(Структура_ассортимента[Product group],MATCH(Товары[[#This Row],[SubGroup]],Структура_ассортимента[Subgroup],0)),"")</f>
        <v>AMC_C</v>
      </c>
      <c r="G25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7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1806</v>
      </c>
      <c r="Q257" s="39" t="s">
        <v>3416</v>
      </c>
      <c r="R257" s="34" t="s">
        <v>3407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3415</v>
      </c>
      <c r="X257" s="34" t="s">
        <v>3446</v>
      </c>
      <c r="Y257" s="34" t="s">
        <v>3409</v>
      </c>
      <c r="Z257" s="34">
        <v>30</v>
      </c>
      <c r="AM257" s="34" t="s">
        <v>7962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7" t="str">
        <f>IFERROR(INDEX(Структура_ассортимента[SuperCategory],MATCH(Товары[[#This Row],[SubGroup]],Структура_ассортимента[Subgroup],0)),"")</f>
        <v>A</v>
      </c>
      <c r="D2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7" t="str">
        <f>IFERROR(INDEX(Структура_ассортимента[Product group],MATCH(Товары[[#This Row],[SubGroup]],Структура_ассортимента[Subgroup],0)),"")</f>
        <v>AMC_C</v>
      </c>
      <c r="G25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7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1807</v>
      </c>
      <c r="Q258" s="39" t="s">
        <v>3416</v>
      </c>
      <c r="R258" s="34" t="s">
        <v>3407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3415</v>
      </c>
      <c r="X258" s="34" t="s">
        <v>3446</v>
      </c>
      <c r="Y258" s="34" t="s">
        <v>3409</v>
      </c>
      <c r="Z258" s="34">
        <v>15</v>
      </c>
      <c r="AB258" s="34" t="s">
        <v>4386</v>
      </c>
      <c r="AD258" s="34" t="s">
        <v>4256</v>
      </c>
      <c r="AE258" s="34" t="s">
        <v>3619</v>
      </c>
      <c r="AF258" s="34" t="s">
        <v>3835</v>
      </c>
      <c r="AG258" s="34" t="s">
        <v>3798</v>
      </c>
      <c r="AH258" s="34" t="s">
        <v>4387</v>
      </c>
      <c r="AL258" s="34" t="s">
        <v>4173</v>
      </c>
      <c r="AM258" s="34" t="s">
        <v>7962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7" t="str">
        <f>IFERROR(INDEX(Структура_ассортимента[SuperCategory],MATCH(Товары[[#This Row],[SubGroup]],Структура_ассортимента[Subgroup],0)),"")</f>
        <v>A</v>
      </c>
      <c r="D2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7" t="str">
        <f>IFERROR(INDEX(Структура_ассортимента[Product group],MATCH(Товары[[#This Row],[SubGroup]],Структура_ассортимента[Subgroup],0)),"")</f>
        <v>AMC_C</v>
      </c>
      <c r="G25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1808</v>
      </c>
      <c r="O259" s="37" t="s">
        <v>4388</v>
      </c>
      <c r="P259" s="37" t="s">
        <v>4389</v>
      </c>
      <c r="Q259" s="39" t="s">
        <v>3416</v>
      </c>
      <c r="R259" s="34" t="s">
        <v>3407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3413</v>
      </c>
      <c r="X259" s="34" t="s">
        <v>3418</v>
      </c>
      <c r="Y259" s="34" t="s">
        <v>3409</v>
      </c>
      <c r="Z259" s="34">
        <v>4</v>
      </c>
      <c r="AA259" s="34" t="s">
        <v>4390</v>
      </c>
      <c r="AB259" s="34" t="s">
        <v>4391</v>
      </c>
      <c r="AC259" s="34" t="s">
        <v>4392</v>
      </c>
      <c r="AD259" s="34" t="s">
        <v>4393</v>
      </c>
      <c r="AE259" s="34" t="s">
        <v>3721</v>
      </c>
      <c r="AF259" s="34" t="s">
        <v>3835</v>
      </c>
      <c r="AG259" s="34" t="s">
        <v>3778</v>
      </c>
      <c r="AH259" s="34" t="s">
        <v>4394</v>
      </c>
      <c r="AI259" s="34" t="s">
        <v>4395</v>
      </c>
      <c r="AJ259" s="34" t="s">
        <v>3424</v>
      </c>
      <c r="AK259" s="34" t="s">
        <v>3856</v>
      </c>
      <c r="AL259" s="34" t="s">
        <v>3445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7" t="str">
        <f>IFERROR(INDEX(Структура_ассортимента[SuperCategory],MATCH(Товары[[#This Row],[SubGroup]],Структура_ассортимента[Subgroup],0)),"")</f>
        <v>A</v>
      </c>
      <c r="D2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7" t="str">
        <f>IFERROR(INDEX(Структура_ассортимента[Product group],MATCH(Товары[[#This Row],[SubGroup]],Структура_ассортимента[Subgroup],0)),"")</f>
        <v>AMC_C</v>
      </c>
      <c r="G26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1809</v>
      </c>
      <c r="Q260" s="39" t="s">
        <v>3416</v>
      </c>
      <c r="R260" s="34" t="s">
        <v>3407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3410</v>
      </c>
      <c r="X260" s="34" t="s">
        <v>3418</v>
      </c>
      <c r="Y260" s="34" t="s">
        <v>3409</v>
      </c>
      <c r="Z260" s="34">
        <v>12</v>
      </c>
      <c r="AA260" s="34" t="s">
        <v>4390</v>
      </c>
      <c r="AB260" s="34" t="s">
        <v>4396</v>
      </c>
      <c r="AC260" s="34" t="s">
        <v>4392</v>
      </c>
      <c r="AD260" s="34" t="s">
        <v>4397</v>
      </c>
      <c r="AE260" s="34" t="s">
        <v>3721</v>
      </c>
      <c r="AF260" s="34" t="s">
        <v>3835</v>
      </c>
      <c r="AG260" s="34" t="s">
        <v>3778</v>
      </c>
      <c r="AH260" s="34" t="s">
        <v>4394</v>
      </c>
      <c r="AI260" s="34" t="s">
        <v>4395</v>
      </c>
      <c r="AJ260" s="34" t="s">
        <v>3424</v>
      </c>
      <c r="AK260" s="34" t="s">
        <v>3856</v>
      </c>
      <c r="AL260" s="34" t="s">
        <v>4081</v>
      </c>
      <c r="AM260" s="34" t="s">
        <v>7962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7" t="str">
        <f>IFERROR(INDEX(Структура_ассортимента[SuperCategory],MATCH(Товары[[#This Row],[SubGroup]],Структура_ассортимента[Subgroup],0)),"")</f>
        <v>A</v>
      </c>
      <c r="D2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7" t="str">
        <f>IFERROR(INDEX(Структура_ассортимента[Product group],MATCH(Товары[[#This Row],[SubGroup]],Структура_ассортимента[Subgroup],0)),"")</f>
        <v>AMC_C</v>
      </c>
      <c r="G26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1810</v>
      </c>
      <c r="O261" s="37" t="s">
        <v>4398</v>
      </c>
      <c r="P261" s="37" t="s">
        <v>4399</v>
      </c>
      <c r="Q261" s="39" t="s">
        <v>3416</v>
      </c>
      <c r="R261" s="34" t="s">
        <v>3407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3413</v>
      </c>
      <c r="X261" s="34" t="s">
        <v>3418</v>
      </c>
      <c r="Y261" s="34" t="s">
        <v>3409</v>
      </c>
      <c r="Z261" s="34">
        <v>4</v>
      </c>
      <c r="AA261" s="34" t="s">
        <v>4211</v>
      </c>
      <c r="AB261" s="34" t="s">
        <v>4241</v>
      </c>
      <c r="AC261" s="34" t="s">
        <v>3628</v>
      </c>
      <c r="AD261" s="34" t="s">
        <v>4400</v>
      </c>
      <c r="AE261" s="34" t="s">
        <v>4401</v>
      </c>
      <c r="AF261" s="34" t="s">
        <v>3835</v>
      </c>
      <c r="AG261" s="34" t="s">
        <v>4048</v>
      </c>
      <c r="AH261" s="34" t="s">
        <v>4402</v>
      </c>
      <c r="AI261" s="34" t="s">
        <v>4190</v>
      </c>
      <c r="AJ261" s="34" t="s">
        <v>3578</v>
      </c>
      <c r="AK261" s="34" t="s">
        <v>3835</v>
      </c>
      <c r="AL261" s="34" t="s">
        <v>3445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7" t="str">
        <f>IFERROR(INDEX(Структура_ассортимента[SuperCategory],MATCH(Товары[[#This Row],[SubGroup]],Структура_ассортимента[Subgroup],0)),"")</f>
        <v>A</v>
      </c>
      <c r="D2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7" t="str">
        <f>IFERROR(INDEX(Структура_ассортимента[Product group],MATCH(Товары[[#This Row],[SubGroup]],Структура_ассортимента[Subgroup],0)),"")</f>
        <v>AMC_C</v>
      </c>
      <c r="G26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1811</v>
      </c>
      <c r="O262" s="37" t="s">
        <v>4403</v>
      </c>
      <c r="P262" s="37" t="s">
        <v>4404</v>
      </c>
      <c r="Q262" s="39" t="s">
        <v>3416</v>
      </c>
      <c r="R262" s="34" t="s">
        <v>3407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3413</v>
      </c>
      <c r="X262" s="34" t="s">
        <v>3418</v>
      </c>
      <c r="Y262" s="34" t="s">
        <v>3409</v>
      </c>
      <c r="Z262" s="34">
        <v>4</v>
      </c>
      <c r="AA262" s="34" t="s">
        <v>4206</v>
      </c>
      <c r="AB262" s="34" t="s">
        <v>4405</v>
      </c>
      <c r="AC262" s="34" t="s">
        <v>4207</v>
      </c>
      <c r="AD262" s="34" t="s">
        <v>4406</v>
      </c>
      <c r="AE262" s="34" t="s">
        <v>4407</v>
      </c>
      <c r="AF262" s="34" t="s">
        <v>3822</v>
      </c>
      <c r="AG262" s="34" t="s">
        <v>4191</v>
      </c>
      <c r="AH262" s="34" t="s">
        <v>4408</v>
      </c>
      <c r="AI262" s="34" t="s">
        <v>4208</v>
      </c>
      <c r="AJ262" s="34" t="s">
        <v>3667</v>
      </c>
      <c r="AK262" s="34" t="s">
        <v>3744</v>
      </c>
      <c r="AL262" s="34" t="s">
        <v>3429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7" t="str">
        <f>IFERROR(INDEX(Структура_ассортимента[SuperCategory],MATCH(Товары[[#This Row],[SubGroup]],Структура_ассортимента[Subgroup],0)),"")</f>
        <v>A</v>
      </c>
      <c r="D2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7" t="str">
        <f>IFERROR(INDEX(Структура_ассортимента[Product group],MATCH(Товары[[#This Row],[SubGroup]],Структура_ассортимента[Subgroup],0)),"")</f>
        <v>AMC_C</v>
      </c>
      <c r="G26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1812</v>
      </c>
      <c r="Q263" s="39" t="s">
        <v>3416</v>
      </c>
      <c r="R263" s="34" t="s">
        <v>3407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3410</v>
      </c>
      <c r="X263" s="34" t="s">
        <v>3418</v>
      </c>
      <c r="Y263" s="34" t="s">
        <v>3409</v>
      </c>
      <c r="Z263" s="34">
        <v>16</v>
      </c>
      <c r="AA263" s="34" t="s">
        <v>4206</v>
      </c>
      <c r="AB263" s="34" t="s">
        <v>4206</v>
      </c>
      <c r="AC263" s="34" t="s">
        <v>4207</v>
      </c>
      <c r="AD263" s="34" t="s">
        <v>4409</v>
      </c>
      <c r="AE263" s="34" t="s">
        <v>4407</v>
      </c>
      <c r="AF263" s="34" t="s">
        <v>3822</v>
      </c>
      <c r="AG263" s="34" t="s">
        <v>4191</v>
      </c>
      <c r="AH263" s="34" t="s">
        <v>4408</v>
      </c>
      <c r="AI263" s="34" t="s">
        <v>4208</v>
      </c>
      <c r="AJ263" s="34" t="s">
        <v>3667</v>
      </c>
      <c r="AK263" s="34" t="s">
        <v>3744</v>
      </c>
      <c r="AL263" s="34" t="s">
        <v>3848</v>
      </c>
      <c r="AM263" s="34" t="s">
        <v>7962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7" t="str">
        <f>IFERROR(INDEX(Структура_ассортимента[SuperCategory],MATCH(Товары[[#This Row],[SubGroup]],Структура_ассортимента[Subgroup],0)),"")</f>
        <v>A</v>
      </c>
      <c r="D2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7" t="str">
        <f>IFERROR(INDEX(Структура_ассортимента[Product group],MATCH(Товары[[#This Row],[SubGroup]],Структура_ассортимента[Subgroup],0)),"")</f>
        <v>AMC_C</v>
      </c>
      <c r="G26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1813</v>
      </c>
      <c r="O264" s="37" t="s">
        <v>4410</v>
      </c>
      <c r="P264" s="37" t="s">
        <v>4411</v>
      </c>
      <c r="Q264" s="39" t="s">
        <v>3416</v>
      </c>
      <c r="R264" s="34" t="s">
        <v>3407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3413</v>
      </c>
      <c r="X264" s="34" t="s">
        <v>3418</v>
      </c>
      <c r="Y264" s="34" t="s">
        <v>3409</v>
      </c>
      <c r="Z264" s="34">
        <v>4</v>
      </c>
      <c r="AA264" s="34" t="s">
        <v>4215</v>
      </c>
      <c r="AB264" s="34" t="s">
        <v>3743</v>
      </c>
      <c r="AC264" s="34" t="s">
        <v>4216</v>
      </c>
      <c r="AD264" s="34" t="s">
        <v>4412</v>
      </c>
      <c r="AE264" s="34" t="s">
        <v>3885</v>
      </c>
      <c r="AF264" s="34" t="s">
        <v>3787</v>
      </c>
      <c r="AG264" s="34" t="s">
        <v>4413</v>
      </c>
      <c r="AH264" s="34" t="s">
        <v>4414</v>
      </c>
      <c r="AI264" s="34" t="s">
        <v>4415</v>
      </c>
      <c r="AJ264" s="34" t="s">
        <v>4416</v>
      </c>
      <c r="AK264" s="34" t="s">
        <v>3693</v>
      </c>
      <c r="AL264" s="34" t="s">
        <v>4320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7" t="str">
        <f>IFERROR(INDEX(Структура_ассортимента[SuperCategory],MATCH(Товары[[#This Row],[SubGroup]],Структура_ассортимента[Subgroup],0)),"")</f>
        <v>A</v>
      </c>
      <c r="D2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7" t="str">
        <f>IFERROR(INDEX(Структура_ассортимента[Product group],MATCH(Товары[[#This Row],[SubGroup]],Структура_ассортимента[Subgroup],0)),"")</f>
        <v>AMC_C</v>
      </c>
      <c r="G26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1814</v>
      </c>
      <c r="Q265" s="39" t="s">
        <v>3416</v>
      </c>
      <c r="R265" s="34" t="s">
        <v>3407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3410</v>
      </c>
      <c r="X265" s="34" t="s">
        <v>3418</v>
      </c>
      <c r="Y265" s="34" t="s">
        <v>3409</v>
      </c>
      <c r="Z265" s="34">
        <v>12</v>
      </c>
      <c r="AA265" s="34" t="s">
        <v>4215</v>
      </c>
      <c r="AB265" s="34" t="s">
        <v>4417</v>
      </c>
      <c r="AC265" s="34" t="s">
        <v>4216</v>
      </c>
      <c r="AD265" s="34" t="s">
        <v>3463</v>
      </c>
      <c r="AE265" s="34" t="s">
        <v>3885</v>
      </c>
      <c r="AF265" s="34" t="s">
        <v>3787</v>
      </c>
      <c r="AG265" s="34" t="s">
        <v>4413</v>
      </c>
      <c r="AH265" s="34" t="s">
        <v>4418</v>
      </c>
      <c r="AI265" s="34" t="s">
        <v>4415</v>
      </c>
      <c r="AJ265" s="34" t="s">
        <v>4416</v>
      </c>
      <c r="AK265" s="34" t="s">
        <v>3693</v>
      </c>
      <c r="AL265" s="34" t="s">
        <v>4081</v>
      </c>
      <c r="AM265" s="34" t="s">
        <v>7962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7" t="str">
        <f>IFERROR(INDEX(Структура_ассортимента[SuperCategory],MATCH(Товары[[#This Row],[SubGroup]],Структура_ассортимента[Subgroup],0)),"")</f>
        <v>A</v>
      </c>
      <c r="D2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7" t="str">
        <f>IFERROR(INDEX(Структура_ассортимента[Product group],MATCH(Товары[[#This Row],[SubGroup]],Структура_ассортимента[Subgroup],0)),"")</f>
        <v>AMC_C</v>
      </c>
      <c r="G26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1815</v>
      </c>
      <c r="O266" s="37" t="s">
        <v>4419</v>
      </c>
      <c r="P266" s="37" t="s">
        <v>4420</v>
      </c>
      <c r="Q266" s="39" t="s">
        <v>3416</v>
      </c>
      <c r="R266" s="34" t="s">
        <v>3407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3413</v>
      </c>
      <c r="X266" s="34" t="s">
        <v>3418</v>
      </c>
      <c r="Y266" s="34" t="s">
        <v>3409</v>
      </c>
      <c r="Z266" s="34">
        <v>4</v>
      </c>
      <c r="AA266" s="34" t="s">
        <v>4421</v>
      </c>
      <c r="AB266" s="34" t="s">
        <v>4422</v>
      </c>
      <c r="AC266" s="34" t="s">
        <v>4423</v>
      </c>
      <c r="AD266" s="34" t="s">
        <v>4423</v>
      </c>
      <c r="AE266" s="34" t="s">
        <v>4424</v>
      </c>
      <c r="AF266" s="34" t="s">
        <v>3692</v>
      </c>
      <c r="AG266" s="34" t="s">
        <v>4048</v>
      </c>
      <c r="AH266" s="34" t="s">
        <v>4425</v>
      </c>
      <c r="AI266" s="34" t="s">
        <v>4426</v>
      </c>
      <c r="AJ266" s="34" t="s">
        <v>4427</v>
      </c>
      <c r="AK266" s="34" t="s">
        <v>4027</v>
      </c>
      <c r="AL266" s="34" t="s">
        <v>3697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7" t="str">
        <f>IFERROR(INDEX(Структура_ассортимента[SuperCategory],MATCH(Товары[[#This Row],[SubGroup]],Структура_ассортимента[Subgroup],0)),"")</f>
        <v>A</v>
      </c>
      <c r="D2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7" t="str">
        <f>IFERROR(INDEX(Структура_ассортимента[Product group],MATCH(Товары[[#This Row],[SubGroup]],Структура_ассортимента[Subgroup],0)),"")</f>
        <v>AMC_C</v>
      </c>
      <c r="G26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1816</v>
      </c>
      <c r="Q267" s="39" t="s">
        <v>3416</v>
      </c>
      <c r="R267" s="34" t="s">
        <v>3407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3410</v>
      </c>
      <c r="X267" s="34" t="s">
        <v>3418</v>
      </c>
      <c r="Y267" s="34" t="s">
        <v>3409</v>
      </c>
      <c r="Z267" s="34">
        <v>12</v>
      </c>
      <c r="AA267" s="34" t="s">
        <v>4421</v>
      </c>
      <c r="AB267" s="34" t="s">
        <v>4422</v>
      </c>
      <c r="AC267" s="34" t="s">
        <v>4423</v>
      </c>
      <c r="AD267" s="34" t="s">
        <v>4423</v>
      </c>
      <c r="AE267" s="34" t="s">
        <v>4426</v>
      </c>
      <c r="AF267" s="34" t="s">
        <v>4027</v>
      </c>
      <c r="AG267" s="34" t="s">
        <v>4427</v>
      </c>
      <c r="AH267" s="34" t="s">
        <v>4428</v>
      </c>
      <c r="AI267" s="34" t="s">
        <v>4426</v>
      </c>
      <c r="AJ267" s="34" t="s">
        <v>4427</v>
      </c>
      <c r="AK267" s="34" t="s">
        <v>4027</v>
      </c>
      <c r="AM267" s="34" t="s">
        <v>7962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7" t="str">
        <f>IFERROR(INDEX(Структура_ассортимента[SuperCategory],MATCH(Товары[[#This Row],[SubGroup]],Структура_ассортимента[Subgroup],0)),"")</f>
        <v>A</v>
      </c>
      <c r="D2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7" t="str">
        <f>IFERROR(INDEX(Структура_ассортимента[Product group],MATCH(Товары[[#This Row],[SubGroup]],Структура_ассортимента[Subgroup],0)),"")</f>
        <v>AMC_C</v>
      </c>
      <c r="G26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7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1817</v>
      </c>
      <c r="O268" s="37" t="s">
        <v>4429</v>
      </c>
      <c r="P268" s="37" t="s">
        <v>4430</v>
      </c>
      <c r="Q268" s="39" t="s">
        <v>3416</v>
      </c>
      <c r="R268" s="34" t="s">
        <v>3407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3415</v>
      </c>
      <c r="X268" s="34" t="s">
        <v>3446</v>
      </c>
      <c r="Y268" s="34" t="s">
        <v>3409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7" t="str">
        <f>IFERROR(INDEX(Структура_ассортимента[SuperCategory],MATCH(Товары[[#This Row],[SubGroup]],Структура_ассортимента[Subgroup],0)),"")</f>
        <v>A</v>
      </c>
      <c r="D2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7" t="str">
        <f>IFERROR(INDEX(Структура_ассортимента[Product group],MATCH(Товары[[#This Row],[SubGroup]],Структура_ассортимента[Subgroup],0)),"")</f>
        <v>AMC_C</v>
      </c>
      <c r="G26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7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1818</v>
      </c>
      <c r="Q269" s="39" t="s">
        <v>3416</v>
      </c>
      <c r="R269" s="34" t="s">
        <v>3407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3415</v>
      </c>
      <c r="Y269" s="34" t="s">
        <v>3409</v>
      </c>
      <c r="Z269" s="34">
        <v>14</v>
      </c>
      <c r="AM269" s="34" t="s">
        <v>7962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7" t="str">
        <f>IFERROR(INDEX(Структура_ассортимента[SuperCategory],MATCH(Товары[[#This Row],[SubGroup]],Структура_ассортимента[Subgroup],0)),"")</f>
        <v>A</v>
      </c>
      <c r="D2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7" t="str">
        <f>IFERROR(INDEX(Структура_ассортимента[Product group],MATCH(Товары[[#This Row],[SubGroup]],Структура_ассортимента[Subgroup],0)),"")</f>
        <v>AMC_C</v>
      </c>
      <c r="G27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7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1819</v>
      </c>
      <c r="Q270" s="39" t="s">
        <v>3416</v>
      </c>
      <c r="R270" s="34" t="s">
        <v>3407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3415</v>
      </c>
      <c r="Y270" s="34" t="s">
        <v>3409</v>
      </c>
      <c r="Z270" s="34">
        <v>30</v>
      </c>
      <c r="AM270" s="34" t="s">
        <v>7962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7" t="str">
        <f>IFERROR(INDEX(Структура_ассортимента[SuperCategory],MATCH(Товары[[#This Row],[SubGroup]],Структура_ассортимента[Subgroup],0)),"")</f>
        <v>A</v>
      </c>
      <c r="D2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7" t="str">
        <f>IFERROR(INDEX(Структура_ассортимента[Product group],MATCH(Товары[[#This Row],[SubGroup]],Структура_ассортимента[Subgroup],0)),"")</f>
        <v>AMC_C</v>
      </c>
      <c r="G27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7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1820</v>
      </c>
      <c r="Q271" s="39" t="s">
        <v>4431</v>
      </c>
      <c r="R271" s="34" t="s">
        <v>3407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3410</v>
      </c>
      <c r="Y271" s="34" t="s">
        <v>3409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7961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7" t="str">
        <f>IFERROR(INDEX(Структура_ассортимента[SuperCategory],MATCH(Товары[[#This Row],[SubGroup]],Структура_ассортимента[Subgroup],0)),"")</f>
        <v>A</v>
      </c>
      <c r="D2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7" t="str">
        <f>IFERROR(INDEX(Структура_ассортимента[Product group],MATCH(Товары[[#This Row],[SubGroup]],Структура_ассортимента[Subgroup],0)),"")</f>
        <v>AMC_C</v>
      </c>
      <c r="G27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7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1821</v>
      </c>
      <c r="Q272" s="39" t="s">
        <v>4431</v>
      </c>
      <c r="R272" s="34" t="s">
        <v>3407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3414</v>
      </c>
      <c r="Y272" s="34" t="s">
        <v>3409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7961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7" t="str">
        <f>IFERROR(INDEX(Структура_ассортимента[SuperCategory],MATCH(Товары[[#This Row],[SubGroup]],Структура_ассортимента[Subgroup],0)),"")</f>
        <v>A</v>
      </c>
      <c r="D2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7" t="str">
        <f>IFERROR(INDEX(Структура_ассортимента[Product group],MATCH(Товары[[#This Row],[SubGroup]],Структура_ассортимента[Subgroup],0)),"")</f>
        <v>AMC_C</v>
      </c>
      <c r="G27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7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1822</v>
      </c>
      <c r="Q273" s="39" t="s">
        <v>4431</v>
      </c>
      <c r="R273" s="34" t="s">
        <v>3407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3414</v>
      </c>
      <c r="Y273" s="34" t="s">
        <v>3409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7961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7" t="str">
        <f>IFERROR(INDEX(Структура_ассортимента[SuperCategory],MATCH(Товары[[#This Row],[SubGroup]],Структура_ассортимента[Subgroup],0)),"")</f>
        <v>A</v>
      </c>
      <c r="D2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7" t="str">
        <f>IFERROR(INDEX(Структура_ассортимента[Product group],MATCH(Товары[[#This Row],[SubGroup]],Структура_ассортимента[Subgroup],0)),"")</f>
        <v>AMC_C</v>
      </c>
      <c r="G27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7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1823</v>
      </c>
      <c r="Q274" s="39" t="s">
        <v>4431</v>
      </c>
      <c r="R274" s="34" t="s">
        <v>3407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3414</v>
      </c>
      <c r="Y274" s="34" t="s">
        <v>3409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7961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7" t="str">
        <f>IFERROR(INDEX(Структура_ассортимента[SuperCategory],MATCH(Товары[[#This Row],[SubGroup]],Структура_ассортимента[Subgroup],0)),"")</f>
        <v>A</v>
      </c>
      <c r="D2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7" t="str">
        <f>IFERROR(INDEX(Структура_ассортимента[Product group],MATCH(Товары[[#This Row],[SubGroup]],Структура_ассортимента[Subgroup],0)),"")</f>
        <v>AMC_C</v>
      </c>
      <c r="G27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1824</v>
      </c>
      <c r="Q275" s="39" t="s">
        <v>3411</v>
      </c>
      <c r="R275" s="34" t="s">
        <v>3407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3415</v>
      </c>
      <c r="Y275" s="34" t="s">
        <v>3409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7961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7" t="str">
        <f>IFERROR(INDEX(Структура_ассортимента[SuperCategory],MATCH(Товары[[#This Row],[SubGroup]],Структура_ассортимента[Subgroup],0)),"")</f>
        <v>A</v>
      </c>
      <c r="D2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7" t="str">
        <f>IFERROR(INDEX(Структура_ассортимента[Product group],MATCH(Товары[[#This Row],[SubGroup]],Структура_ассортимента[Subgroup],0)),"")</f>
        <v>AMC_C</v>
      </c>
      <c r="G27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7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1825</v>
      </c>
      <c r="Q276" s="39" t="s">
        <v>4431</v>
      </c>
      <c r="R276" s="34" t="s">
        <v>3407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3415</v>
      </c>
      <c r="Y276" s="34" t="s">
        <v>3409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7961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7" t="str">
        <f>IFERROR(INDEX(Структура_ассортимента[SuperCategory],MATCH(Товары[[#This Row],[SubGroup]],Структура_ассортимента[Subgroup],0)),"")</f>
        <v>A</v>
      </c>
      <c r="D2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7" t="str">
        <f>IFERROR(INDEX(Структура_ассортимента[Product group],MATCH(Товары[[#This Row],[SubGroup]],Структура_ассортимента[Subgroup],0)),"")</f>
        <v>AMC_C</v>
      </c>
      <c r="G27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7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1826</v>
      </c>
      <c r="Q277" s="39" t="s">
        <v>4431</v>
      </c>
      <c r="R277" s="34" t="s">
        <v>3407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3415</v>
      </c>
      <c r="Y277" s="34" t="s">
        <v>3409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7961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7" t="str">
        <f>IFERROR(INDEX(Структура_ассортимента[SuperCategory],MATCH(Товары[[#This Row],[SubGroup]],Структура_ассортимента[Subgroup],0)),"")</f>
        <v>A</v>
      </c>
      <c r="D2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7" t="str">
        <f>IFERROR(INDEX(Структура_ассортимента[Product group],MATCH(Товары[[#This Row],[SubGroup]],Структура_ассортимента[Subgroup],0)),"")</f>
        <v>AMC_C</v>
      </c>
      <c r="G27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7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1827</v>
      </c>
      <c r="Q278" s="39" t="s">
        <v>3411</v>
      </c>
      <c r="R278" s="34" t="s">
        <v>3407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3415</v>
      </c>
      <c r="Y278" s="34" t="s">
        <v>3409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7961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7" t="str">
        <f>IFERROR(INDEX(Структура_ассортимента[SuperCategory],MATCH(Товары[[#This Row],[SubGroup]],Структура_ассортимента[Subgroup],0)),"")</f>
        <v>A</v>
      </c>
      <c r="D2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7" t="str">
        <f>IFERROR(INDEX(Структура_ассортимента[Product group],MATCH(Товары[[#This Row],[SubGroup]],Структура_ассортимента[Subgroup],0)),"")</f>
        <v>AMC_C</v>
      </c>
      <c r="G27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1828</v>
      </c>
      <c r="Q279" s="39" t="s">
        <v>4431</v>
      </c>
      <c r="R279" s="34" t="s">
        <v>3407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3408</v>
      </c>
      <c r="Y279" s="34" t="s">
        <v>3409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7961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7" t="str">
        <f>IFERROR(INDEX(Структура_ассортимента[SuperCategory],MATCH(Товары[[#This Row],[SubGroup]],Структура_ассортимента[Subgroup],0)),"")</f>
        <v>A</v>
      </c>
      <c r="D2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7" t="str">
        <f>IFERROR(INDEX(Структура_ассортимента[Product group],MATCH(Товары[[#This Row],[SubGroup]],Структура_ассортимента[Subgroup],0)),"")</f>
        <v>AMC_C</v>
      </c>
      <c r="G28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1829</v>
      </c>
      <c r="Q280" s="39" t="s">
        <v>4431</v>
      </c>
      <c r="R280" s="34" t="s">
        <v>3407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3408</v>
      </c>
      <c r="Y280" s="34" t="s">
        <v>3409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7961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7" t="str">
        <f>IFERROR(INDEX(Структура_ассортимента[SuperCategory],MATCH(Товары[[#This Row],[SubGroup]],Структура_ассортимента[Subgroup],0)),"")</f>
        <v>A</v>
      </c>
      <c r="D2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7" t="str">
        <f>IFERROR(INDEX(Структура_ассортимента[Product group],MATCH(Товары[[#This Row],[SubGroup]],Структура_ассортимента[Subgroup],0)),"")</f>
        <v>AMC_C</v>
      </c>
      <c r="G28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1830</v>
      </c>
      <c r="Q281" s="39" t="s">
        <v>4431</v>
      </c>
      <c r="R281" s="34" t="s">
        <v>3407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3408</v>
      </c>
      <c r="Y281" s="34" t="s">
        <v>3409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7961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7" t="str">
        <f>IFERROR(INDEX(Структура_ассортимента[SuperCategory],MATCH(Товары[[#This Row],[SubGroup]],Структура_ассортимента[Subgroup],0)),"")</f>
        <v>A</v>
      </c>
      <c r="D2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7" t="str">
        <f>IFERROR(INDEX(Структура_ассортимента[Product group],MATCH(Товары[[#This Row],[SubGroup]],Структура_ассортимента[Subgroup],0)),"")</f>
        <v>AMC_C</v>
      </c>
      <c r="G28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1831</v>
      </c>
      <c r="Q282" s="39" t="s">
        <v>4431</v>
      </c>
      <c r="R282" s="34" t="s">
        <v>3407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3408</v>
      </c>
      <c r="Y282" s="34" t="s">
        <v>3409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7961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7" t="str">
        <f>IFERROR(INDEX(Структура_ассортимента[SuperCategory],MATCH(Товары[[#This Row],[SubGroup]],Структура_ассортимента[Subgroup],0)),"")</f>
        <v>A</v>
      </c>
      <c r="D2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7" t="str">
        <f>IFERROR(INDEX(Структура_ассортимента[Product group],MATCH(Товары[[#This Row],[SubGroup]],Структура_ассортимента[Subgroup],0)),"")</f>
        <v>AMC_C</v>
      </c>
      <c r="G28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7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1832</v>
      </c>
      <c r="Q283" s="39" t="s">
        <v>4431</v>
      </c>
      <c r="R283" s="34" t="s">
        <v>3407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3408</v>
      </c>
      <c r="Y283" s="34" t="s">
        <v>3409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7961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7" t="str">
        <f>IFERROR(INDEX(Структура_ассортимента[SuperCategory],MATCH(Товары[[#This Row],[SubGroup]],Структура_ассортимента[Subgroup],0)),"")</f>
        <v>A</v>
      </c>
      <c r="D2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7" t="str">
        <f>IFERROR(INDEX(Структура_ассортимента[Product group],MATCH(Товары[[#This Row],[SubGroup]],Структура_ассортимента[Subgroup],0)),"")</f>
        <v>AMC_C</v>
      </c>
      <c r="G28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7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1833</v>
      </c>
      <c r="Q284" s="39" t="s">
        <v>4431</v>
      </c>
      <c r="R284" s="34" t="s">
        <v>3407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3415</v>
      </c>
      <c r="Y284" s="34" t="s">
        <v>3409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7961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7" t="str">
        <f>IFERROR(INDEX(Структура_ассортимента[SuperCategory],MATCH(Товары[[#This Row],[SubGroup]],Структура_ассортимента[Subgroup],0)),"")</f>
        <v>A</v>
      </c>
      <c r="D2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7" t="str">
        <f>IFERROR(INDEX(Структура_ассортимента[Product group],MATCH(Товары[[#This Row],[SubGroup]],Структура_ассортимента[Subgroup],0)),"")</f>
        <v>AMC_C</v>
      </c>
      <c r="G28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7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1834</v>
      </c>
      <c r="Q285" s="39" t="s">
        <v>4431</v>
      </c>
      <c r="R285" s="34" t="s">
        <v>3407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3410</v>
      </c>
      <c r="Y285" s="34" t="s">
        <v>3409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7961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7" t="str">
        <f>IFERROR(INDEX(Структура_ассортимента[SuperCategory],MATCH(Товары[[#This Row],[SubGroup]],Структура_ассортимента[Subgroup],0)),"")</f>
        <v>A</v>
      </c>
      <c r="D2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7" t="str">
        <f>IFERROR(INDEX(Структура_ассортимента[Product group],MATCH(Товары[[#This Row],[SubGroup]],Структура_ассортимента[Subgroup],0)),"")</f>
        <v>AMC_C</v>
      </c>
      <c r="G28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1835</v>
      </c>
      <c r="Q286" s="39" t="s">
        <v>3411</v>
      </c>
      <c r="R286" s="34" t="s">
        <v>3407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3417</v>
      </c>
      <c r="Y286" s="34" t="s">
        <v>3409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7961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7" t="str">
        <f>IFERROR(INDEX(Структура_ассортимента[SuperCategory],MATCH(Товары[[#This Row],[SubGroup]],Структура_ассортимента[Subgroup],0)),"")</f>
        <v>A</v>
      </c>
      <c r="D2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7" t="str">
        <f>IFERROR(INDEX(Структура_ассортимента[Product group],MATCH(Товары[[#This Row],[SubGroup]],Структура_ассортимента[Subgroup],0)),"")</f>
        <v>AMC_C</v>
      </c>
      <c r="G28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1836</v>
      </c>
      <c r="Q287" s="39" t="s">
        <v>3411</v>
      </c>
      <c r="R287" s="34" t="s">
        <v>3407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3410</v>
      </c>
      <c r="Y287" s="34" t="s">
        <v>3409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7961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7" t="str">
        <f>IFERROR(INDEX(Структура_ассортимента[SuperCategory],MATCH(Товары[[#This Row],[SubGroup]],Структура_ассортимента[Subgroup],0)),"")</f>
        <v>A</v>
      </c>
      <c r="D2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7" t="str">
        <f>IFERROR(INDEX(Структура_ассортимента[Product group],MATCH(Товары[[#This Row],[SubGroup]],Структура_ассортимента[Subgroup],0)),"")</f>
        <v>AMC_C</v>
      </c>
      <c r="G28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7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1837</v>
      </c>
      <c r="Q288" s="39" t="s">
        <v>4431</v>
      </c>
      <c r="R288" s="34" t="s">
        <v>3407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3415</v>
      </c>
      <c r="Y288" s="34" t="s">
        <v>3409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7961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7" t="str">
        <f>IFERROR(INDEX(Структура_ассортимента[SuperCategory],MATCH(Товары[[#This Row],[SubGroup]],Структура_ассортимента[Subgroup],0)),"")</f>
        <v>A</v>
      </c>
      <c r="D2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7" t="str">
        <f>IFERROR(INDEX(Структура_ассортимента[Product group],MATCH(Товары[[#This Row],[SubGroup]],Структура_ассортимента[Subgroup],0)),"")</f>
        <v>AMC_C</v>
      </c>
      <c r="G28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7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1838</v>
      </c>
      <c r="Q289" s="39" t="s">
        <v>4431</v>
      </c>
      <c r="R289" s="34" t="s">
        <v>3407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3415</v>
      </c>
      <c r="Y289" s="34" t="s">
        <v>3409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7961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7" t="str">
        <f>IFERROR(INDEX(Структура_ассортимента[SuperCategory],MATCH(Товары[[#This Row],[SubGroup]],Структура_ассортимента[Subgroup],0)),"")</f>
        <v>A</v>
      </c>
      <c r="D2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7" t="str">
        <f>IFERROR(INDEX(Структура_ассортимента[Product group],MATCH(Товары[[#This Row],[SubGroup]],Структура_ассортимента[Subgroup],0)),"")</f>
        <v>AMC_C</v>
      </c>
      <c r="G29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7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1839</v>
      </c>
      <c r="Q290" s="39" t="s">
        <v>4431</v>
      </c>
      <c r="R290" s="34" t="s">
        <v>3407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3415</v>
      </c>
      <c r="Y290" s="34" t="s">
        <v>3409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7961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7" t="str">
        <f>IFERROR(INDEX(Структура_ассортимента[SuperCategory],MATCH(Товары[[#This Row],[SubGroup]],Структура_ассортимента[Subgroup],0)),"")</f>
        <v>A</v>
      </c>
      <c r="D2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7" t="str">
        <f>IFERROR(INDEX(Структура_ассортимента[Product group],MATCH(Товары[[#This Row],[SubGroup]],Структура_ассортимента[Subgroup],0)),"")</f>
        <v>AMC_C</v>
      </c>
      <c r="G29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7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1840</v>
      </c>
      <c r="Q291" s="39" t="s">
        <v>4431</v>
      </c>
      <c r="R291" s="34" t="s">
        <v>3407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3415</v>
      </c>
      <c r="Y291" s="34" t="s">
        <v>3409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7961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7" t="str">
        <f>IFERROR(INDEX(Структура_ассортимента[SuperCategory],MATCH(Товары[[#This Row],[SubGroup]],Структура_ассортимента[Subgroup],0)),"")</f>
        <v>A</v>
      </c>
      <c r="D2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7" t="str">
        <f>IFERROR(INDEX(Структура_ассортимента[Product group],MATCH(Товары[[#This Row],[SubGroup]],Структура_ассортимента[Subgroup],0)),"")</f>
        <v>AMC_C</v>
      </c>
      <c r="G29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7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1841</v>
      </c>
      <c r="Q292" s="39" t="s">
        <v>4431</v>
      </c>
      <c r="R292" s="34" t="s">
        <v>3407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3415</v>
      </c>
      <c r="Y292" s="34" t="s">
        <v>3409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7961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7" t="str">
        <f>IFERROR(INDEX(Структура_ассортимента[SuperCategory],MATCH(Товары[[#This Row],[SubGroup]],Структура_ассортимента[Subgroup],0)),"")</f>
        <v>A</v>
      </c>
      <c r="D2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7" t="str">
        <f>IFERROR(INDEX(Структура_ассортимента[Product group],MATCH(Товары[[#This Row],[SubGroup]],Структура_ассортимента[Subgroup],0)),"")</f>
        <v>AMC_C</v>
      </c>
      <c r="G29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7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1842</v>
      </c>
      <c r="Q293" s="39" t="s">
        <v>4431</v>
      </c>
      <c r="R293" s="34" t="s">
        <v>3407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3415</v>
      </c>
      <c r="Y293" s="34" t="s">
        <v>3409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7961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7" t="str">
        <f>IFERROR(INDEX(Структура_ассортимента[SuperCategory],MATCH(Товары[[#This Row],[SubGroup]],Структура_ассортимента[Subgroup],0)),"")</f>
        <v>A</v>
      </c>
      <c r="D2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7" t="str">
        <f>IFERROR(INDEX(Структура_ассортимента[Product group],MATCH(Товары[[#This Row],[SubGroup]],Структура_ассортимента[Subgroup],0)),"")</f>
        <v>AMC_C</v>
      </c>
      <c r="G29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7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1843</v>
      </c>
      <c r="Q294" s="39" t="s">
        <v>4431</v>
      </c>
      <c r="R294" s="34" t="s">
        <v>3407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3415</v>
      </c>
      <c r="Y294" s="34" t="s">
        <v>3409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7961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7" t="str">
        <f>IFERROR(INDEX(Структура_ассортимента[SuperCategory],MATCH(Товары[[#This Row],[SubGroup]],Структура_ассортимента[Subgroup],0)),"")</f>
        <v>A</v>
      </c>
      <c r="D2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7" t="str">
        <f>IFERROR(INDEX(Структура_ассортимента[Product group],MATCH(Товары[[#This Row],[SubGroup]],Структура_ассортимента[Subgroup],0)),"")</f>
        <v>AMC_C</v>
      </c>
      <c r="G29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7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1844</v>
      </c>
      <c r="Q295" s="39" t="s">
        <v>3411</v>
      </c>
      <c r="R295" s="34" t="s">
        <v>3407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3415</v>
      </c>
      <c r="Y295" s="34" t="s">
        <v>3409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7961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7" t="str">
        <f>IFERROR(INDEX(Структура_ассортимента[SuperCategory],MATCH(Товары[[#This Row],[SubGroup]],Структура_ассортимента[Subgroup],0)),"")</f>
        <v>A</v>
      </c>
      <c r="D2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7" t="str">
        <f>IFERROR(INDEX(Структура_ассортимента[Product group],MATCH(Товары[[#This Row],[SubGroup]],Структура_ассортимента[Subgroup],0)),"")</f>
        <v>AMC_C</v>
      </c>
      <c r="G29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7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1845</v>
      </c>
      <c r="Q296" s="39" t="s">
        <v>3411</v>
      </c>
      <c r="R296" s="34" t="s">
        <v>3407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3415</v>
      </c>
      <c r="Y296" s="34" t="s">
        <v>3409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7961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7" t="str">
        <f>IFERROR(INDEX(Структура_ассортимента[SuperCategory],MATCH(Товары[[#This Row],[SubGroup]],Структура_ассортимента[Subgroup],0)),"")</f>
        <v>A</v>
      </c>
      <c r="D2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7" t="str">
        <f>IFERROR(INDEX(Структура_ассортимента[Product group],MATCH(Товары[[#This Row],[SubGroup]],Структура_ассортимента[Subgroup],0)),"")</f>
        <v>AMC_C</v>
      </c>
      <c r="G29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7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1846</v>
      </c>
      <c r="Q297" s="39" t="s">
        <v>3411</v>
      </c>
      <c r="R297" s="34" t="s">
        <v>3407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3415</v>
      </c>
      <c r="Y297" s="34" t="s">
        <v>3409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7961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7" t="str">
        <f>IFERROR(INDEX(Структура_ассортимента[SuperCategory],MATCH(Товары[[#This Row],[SubGroup]],Структура_ассортимента[Subgroup],0)),"")</f>
        <v>A</v>
      </c>
      <c r="D2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7" t="str">
        <f>IFERROR(INDEX(Структура_ассортимента[Product group],MATCH(Товары[[#This Row],[SubGroup]],Структура_ассортимента[Subgroup],0)),"")</f>
        <v>AMC_C</v>
      </c>
      <c r="G29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7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1847</v>
      </c>
      <c r="Q298" s="39" t="s">
        <v>3411</v>
      </c>
      <c r="R298" s="34" t="s">
        <v>3407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3415</v>
      </c>
      <c r="Y298" s="34" t="s">
        <v>3409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7961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7" t="str">
        <f>IFERROR(INDEX(Структура_ассортимента[SuperCategory],MATCH(Товары[[#This Row],[SubGroup]],Структура_ассортимента[Subgroup],0)),"")</f>
        <v>A</v>
      </c>
      <c r="D2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7" t="str">
        <f>IFERROR(INDEX(Структура_ассортимента[Product group],MATCH(Товары[[#This Row],[SubGroup]],Структура_ассортимента[Subgroup],0)),"")</f>
        <v>AMC_C</v>
      </c>
      <c r="G29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7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1848</v>
      </c>
      <c r="Q299" s="39" t="s">
        <v>3411</v>
      </c>
      <c r="R299" s="34" t="s">
        <v>3407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3415</v>
      </c>
      <c r="Y299" s="34" t="s">
        <v>3409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7961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7" t="str">
        <f>IFERROR(INDEX(Структура_ассортимента[SuperCategory],MATCH(Товары[[#This Row],[SubGroup]],Структура_ассортимента[Subgroup],0)),"")</f>
        <v>A</v>
      </c>
      <c r="D3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7" t="str">
        <f>IFERROR(INDEX(Структура_ассортимента[Product group],MATCH(Товары[[#This Row],[SubGroup]],Структура_ассортимента[Subgroup],0)),"")</f>
        <v>AMC_C</v>
      </c>
      <c r="G30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7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1849</v>
      </c>
      <c r="Q300" s="39" t="s">
        <v>3411</v>
      </c>
      <c r="R300" s="34" t="s">
        <v>3407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3415</v>
      </c>
      <c r="Y300" s="34" t="s">
        <v>3409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7961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7" t="str">
        <f>IFERROR(INDEX(Структура_ассортимента[SuperCategory],MATCH(Товары[[#This Row],[SubGroup]],Структура_ассортимента[Subgroup],0)),"")</f>
        <v>A</v>
      </c>
      <c r="D3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7" t="str">
        <f>IFERROR(INDEX(Структура_ассортимента[Product group],MATCH(Товары[[#This Row],[SubGroup]],Структура_ассортимента[Subgroup],0)),"")</f>
        <v>AMC_C</v>
      </c>
      <c r="G30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7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1850</v>
      </c>
      <c r="Q301" s="39" t="s">
        <v>3411</v>
      </c>
      <c r="R301" s="34" t="s">
        <v>3407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3415</v>
      </c>
      <c r="Y301" s="34" t="s">
        <v>3409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7961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7" t="str">
        <f>IFERROR(INDEX(Структура_ассортимента[SuperCategory],MATCH(Товары[[#This Row],[SubGroup]],Структура_ассортимента[Subgroup],0)),"")</f>
        <v>A</v>
      </c>
      <c r="D3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7" t="str">
        <f>IFERROR(INDEX(Структура_ассортимента[Product group],MATCH(Товары[[#This Row],[SubGroup]],Структура_ассортимента[Subgroup],0)),"")</f>
        <v>AMC_C</v>
      </c>
      <c r="G30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7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1851</v>
      </c>
      <c r="Q302" s="39" t="s">
        <v>3411</v>
      </c>
      <c r="R302" s="34" t="s">
        <v>3407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3415</v>
      </c>
      <c r="Y302" s="34" t="s">
        <v>3409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7961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7" t="str">
        <f>IFERROR(INDEX(Структура_ассортимента[SuperCategory],MATCH(Товары[[#This Row],[SubGroup]],Структура_ассортимента[Subgroup],0)),"")</f>
        <v>A</v>
      </c>
      <c r="D3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7" t="str">
        <f>IFERROR(INDEX(Структура_ассортимента[Product group],MATCH(Товары[[#This Row],[SubGroup]],Структура_ассортимента[Subgroup],0)),"")</f>
        <v>AMC_C</v>
      </c>
      <c r="G30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7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1852</v>
      </c>
      <c r="Q303" s="39" t="s">
        <v>3411</v>
      </c>
      <c r="R303" s="34" t="s">
        <v>3407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3415</v>
      </c>
      <c r="Y303" s="34" t="s">
        <v>3409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7961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7" t="str">
        <f>IFERROR(INDEX(Структура_ассортимента[SuperCategory],MATCH(Товары[[#This Row],[SubGroup]],Структура_ассортимента[Subgroup],0)),"")</f>
        <v>A</v>
      </c>
      <c r="D3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7" t="str">
        <f>IFERROR(INDEX(Структура_ассортимента[Product group],MATCH(Товары[[#This Row],[SubGroup]],Структура_ассортимента[Subgroup],0)),"")</f>
        <v>AMC_C</v>
      </c>
      <c r="G30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7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1853</v>
      </c>
      <c r="Q304" s="39" t="s">
        <v>3411</v>
      </c>
      <c r="R304" s="34" t="s">
        <v>3407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3415</v>
      </c>
      <c r="Y304" s="34" t="s">
        <v>3409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7961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7" t="str">
        <f>IFERROR(INDEX(Структура_ассортимента[SuperCategory],MATCH(Товары[[#This Row],[SubGroup]],Структура_ассортимента[Subgroup],0)),"")</f>
        <v>A</v>
      </c>
      <c r="D3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7" t="str">
        <f>IFERROR(INDEX(Структура_ассортимента[Product group],MATCH(Товары[[#This Row],[SubGroup]],Структура_ассортимента[Subgroup],0)),"")</f>
        <v>AMC_C</v>
      </c>
      <c r="G30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7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1854</v>
      </c>
      <c r="Q305" s="39" t="s">
        <v>3411</v>
      </c>
      <c r="R305" s="34" t="s">
        <v>3407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3415</v>
      </c>
      <c r="Y305" s="34" t="s">
        <v>3409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7961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7" t="str">
        <f>IFERROR(INDEX(Структура_ассортимента[SuperCategory],MATCH(Товары[[#This Row],[SubGroup]],Структура_ассортимента[Subgroup],0)),"")</f>
        <v>A</v>
      </c>
      <c r="D3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7" t="str">
        <f>IFERROR(INDEX(Структура_ассортимента[Product group],MATCH(Товары[[#This Row],[SubGroup]],Структура_ассортимента[Subgroup],0)),"")</f>
        <v>AMC_C</v>
      </c>
      <c r="G30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7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1855</v>
      </c>
      <c r="Q306" s="39" t="s">
        <v>4431</v>
      </c>
      <c r="R306" s="34" t="s">
        <v>3407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3415</v>
      </c>
      <c r="Y306" s="34" t="s">
        <v>3409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7961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7" t="str">
        <f>IFERROR(INDEX(Структура_ассортимента[SuperCategory],MATCH(Товары[[#This Row],[SubGroup]],Структура_ассортимента[Subgroup],0)),"")</f>
        <v>A</v>
      </c>
      <c r="D3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7" t="str">
        <f>IFERROR(INDEX(Структура_ассортимента[Product group],MATCH(Товары[[#This Row],[SubGroup]],Структура_ассортимента[Subgroup],0)),"")</f>
        <v>AMC_C</v>
      </c>
      <c r="G30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7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1856</v>
      </c>
      <c r="Q307" s="39" t="s">
        <v>4431</v>
      </c>
      <c r="R307" s="34" t="s">
        <v>3407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3415</v>
      </c>
      <c r="Y307" s="34" t="s">
        <v>3409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7961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7" t="str">
        <f>IFERROR(INDEX(Структура_ассортимента[SuperCategory],MATCH(Товары[[#This Row],[SubGroup]],Структура_ассортимента[Subgroup],0)),"")</f>
        <v>A</v>
      </c>
      <c r="D3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7" t="str">
        <f>IFERROR(INDEX(Структура_ассортимента[Product group],MATCH(Товары[[#This Row],[SubGroup]],Структура_ассортимента[Subgroup],0)),"")</f>
        <v>AMC_C</v>
      </c>
      <c r="G30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7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1857</v>
      </c>
      <c r="Q308" s="39" t="s">
        <v>4431</v>
      </c>
      <c r="R308" s="34" t="s">
        <v>3407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3415</v>
      </c>
      <c r="Y308" s="34" t="s">
        <v>3409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7961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7" t="str">
        <f>IFERROR(INDEX(Структура_ассортимента[SuperCategory],MATCH(Товары[[#This Row],[SubGroup]],Структура_ассортимента[Subgroup],0)),"")</f>
        <v>A</v>
      </c>
      <c r="D3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7" t="str">
        <f>IFERROR(INDEX(Структура_ассортимента[Product group],MATCH(Товары[[#This Row],[SubGroup]],Структура_ассортимента[Subgroup],0)),"")</f>
        <v>AMC_C</v>
      </c>
      <c r="G30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7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1858</v>
      </c>
      <c r="Q309" s="39" t="s">
        <v>4431</v>
      </c>
      <c r="R309" s="34" t="s">
        <v>3407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3415</v>
      </c>
      <c r="Y309" s="34" t="s">
        <v>3409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7961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7" t="str">
        <f>IFERROR(INDEX(Структура_ассортимента[SuperCategory],MATCH(Товары[[#This Row],[SubGroup]],Структура_ассортимента[Subgroup],0)),"")</f>
        <v>A</v>
      </c>
      <c r="D3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7" t="str">
        <f>IFERROR(INDEX(Структура_ассортимента[Product group],MATCH(Товары[[#This Row],[SubGroup]],Структура_ассортимента[Subgroup],0)),"")</f>
        <v>AMC_C</v>
      </c>
      <c r="G31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7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1859</v>
      </c>
      <c r="Q310" s="39" t="s">
        <v>4432</v>
      </c>
      <c r="R310" s="34" t="s">
        <v>3407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3415</v>
      </c>
      <c r="Y310" s="34" t="s">
        <v>3409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7961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7" t="str">
        <f>IFERROR(INDEX(Структура_ассортимента[SuperCategory],MATCH(Товары[[#This Row],[SubGroup]],Структура_ассортимента[Subgroup],0)),"")</f>
        <v>A</v>
      </c>
      <c r="D3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7" t="str">
        <f>IFERROR(INDEX(Структура_ассортимента[Product group],MATCH(Товары[[#This Row],[SubGroup]],Структура_ассортимента[Subgroup],0)),"")</f>
        <v>AMC_C</v>
      </c>
      <c r="G31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7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1860</v>
      </c>
      <c r="Q311" s="39" t="s">
        <v>4431</v>
      </c>
      <c r="R311" s="34" t="s">
        <v>3407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3415</v>
      </c>
      <c r="Y311" s="34" t="s">
        <v>3409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7961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7" t="str">
        <f>IFERROR(INDEX(Структура_ассортимента[SuperCategory],MATCH(Товары[[#This Row],[SubGroup]],Структура_ассортимента[Subgroup],0)),"")</f>
        <v>A</v>
      </c>
      <c r="D3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7" t="str">
        <f>IFERROR(INDEX(Структура_ассортимента[Product group],MATCH(Товары[[#This Row],[SubGroup]],Структура_ассортимента[Subgroup],0)),"")</f>
        <v>AMC_C</v>
      </c>
      <c r="G31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7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1861</v>
      </c>
      <c r="Q312" s="39" t="s">
        <v>4431</v>
      </c>
      <c r="R312" s="34" t="s">
        <v>3407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3415</v>
      </c>
      <c r="Y312" s="34" t="s">
        <v>3409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7961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7" t="str">
        <f>IFERROR(INDEX(Структура_ассортимента[SuperCategory],MATCH(Товары[[#This Row],[SubGroup]],Структура_ассортимента[Subgroup],0)),"")</f>
        <v>A</v>
      </c>
      <c r="D3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7" t="str">
        <f>IFERROR(INDEX(Структура_ассортимента[Product group],MATCH(Товары[[#This Row],[SubGroup]],Структура_ассортимента[Subgroup],0)),"")</f>
        <v>AMC_C</v>
      </c>
      <c r="G31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7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1862</v>
      </c>
      <c r="Q313" s="39" t="s">
        <v>4431</v>
      </c>
      <c r="R313" s="34" t="s">
        <v>3407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3415</v>
      </c>
      <c r="Y313" s="34" t="s">
        <v>3409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7961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7" t="str">
        <f>IFERROR(INDEX(Структура_ассортимента[SuperCategory],MATCH(Товары[[#This Row],[SubGroup]],Структура_ассортимента[Subgroup],0)),"")</f>
        <v>A</v>
      </c>
      <c r="D3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7" t="str">
        <f>IFERROR(INDEX(Структура_ассортимента[Product group],MATCH(Товары[[#This Row],[SubGroup]],Структура_ассортимента[Subgroup],0)),"")</f>
        <v>AMC_C</v>
      </c>
      <c r="G31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7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1863</v>
      </c>
      <c r="Q314" s="39" t="s">
        <v>4431</v>
      </c>
      <c r="R314" s="34" t="s">
        <v>3407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3415</v>
      </c>
      <c r="Y314" s="34" t="s">
        <v>3409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7961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7" t="str">
        <f>IFERROR(INDEX(Структура_ассортимента[SuperCategory],MATCH(Товары[[#This Row],[SubGroup]],Структура_ассортимента[Subgroup],0)),"")</f>
        <v>A</v>
      </c>
      <c r="D3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7" t="str">
        <f>IFERROR(INDEX(Структура_ассортимента[Product group],MATCH(Товары[[#This Row],[SubGroup]],Структура_ассортимента[Subgroup],0)),"")</f>
        <v>AMC_C</v>
      </c>
      <c r="G31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7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1864</v>
      </c>
      <c r="Q315" s="39" t="s">
        <v>4431</v>
      </c>
      <c r="R315" s="34" t="s">
        <v>3407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3415</v>
      </c>
      <c r="Y315" s="34" t="s">
        <v>3409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7961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7" t="str">
        <f>IFERROR(INDEX(Структура_ассортимента[SuperCategory],MATCH(Товары[[#This Row],[SubGroup]],Структура_ассортимента[Subgroup],0)),"")</f>
        <v>A</v>
      </c>
      <c r="D3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7" t="str">
        <f>IFERROR(INDEX(Структура_ассортимента[Product group],MATCH(Товары[[#This Row],[SubGroup]],Структура_ассортимента[Subgroup],0)),"")</f>
        <v>AMC_C</v>
      </c>
      <c r="G31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7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1865</v>
      </c>
      <c r="Q316" s="39" t="s">
        <v>4431</v>
      </c>
      <c r="R316" s="34" t="s">
        <v>3407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3415</v>
      </c>
      <c r="Y316" s="34" t="s">
        <v>3409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7961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7" t="str">
        <f>IFERROR(INDEX(Структура_ассортимента[SuperCategory],MATCH(Товары[[#This Row],[SubGroup]],Структура_ассортимента[Subgroup],0)),"")</f>
        <v>A</v>
      </c>
      <c r="D3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7" t="str">
        <f>IFERROR(INDEX(Структура_ассортимента[Product group],MATCH(Товары[[#This Row],[SubGroup]],Структура_ассортимента[Subgroup],0)),"")</f>
        <v>AMC_C</v>
      </c>
      <c r="G31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7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1866</v>
      </c>
      <c r="Q317" s="39" t="s">
        <v>4431</v>
      </c>
      <c r="R317" s="34" t="s">
        <v>3407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3415</v>
      </c>
      <c r="Y317" s="34" t="s">
        <v>3409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7961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7" t="str">
        <f>IFERROR(INDEX(Структура_ассортимента[SuperCategory],MATCH(Товары[[#This Row],[SubGroup]],Структура_ассортимента[Subgroup],0)),"")</f>
        <v>A</v>
      </c>
      <c r="D3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7" t="str">
        <f>IFERROR(INDEX(Структура_ассортимента[Product group],MATCH(Товары[[#This Row],[SubGroup]],Структура_ассортимента[Subgroup],0)),"")</f>
        <v>AMC_C</v>
      </c>
      <c r="G31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7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1867</v>
      </c>
      <c r="Q318" s="39" t="s">
        <v>4431</v>
      </c>
      <c r="R318" s="34" t="s">
        <v>3407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3415</v>
      </c>
      <c r="Y318" s="34" t="s">
        <v>3409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7961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7" t="str">
        <f>IFERROR(INDEX(Структура_ассортимента[SuperCategory],MATCH(Товары[[#This Row],[SubGroup]],Структура_ассортимента[Subgroup],0)),"")</f>
        <v>A</v>
      </c>
      <c r="D3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7" t="str">
        <f>IFERROR(INDEX(Структура_ассортимента[Product group],MATCH(Товары[[#This Row],[SubGroup]],Структура_ассортимента[Subgroup],0)),"")</f>
        <v>AMC_C</v>
      </c>
      <c r="G31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7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1868</v>
      </c>
      <c r="Q319" s="39" t="s">
        <v>4431</v>
      </c>
      <c r="R319" s="34" t="s">
        <v>3407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3415</v>
      </c>
      <c r="Y319" s="34" t="s">
        <v>3409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7961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7" t="str">
        <f>IFERROR(INDEX(Структура_ассортимента[SuperCategory],MATCH(Товары[[#This Row],[SubGroup]],Структура_ассортимента[Subgroup],0)),"")</f>
        <v>A</v>
      </c>
      <c r="D3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7" t="str">
        <f>IFERROR(INDEX(Структура_ассортимента[Product group],MATCH(Товары[[#This Row],[SubGroup]],Структура_ассортимента[Subgroup],0)),"")</f>
        <v>AMC_C</v>
      </c>
      <c r="G32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7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1869</v>
      </c>
      <c r="Q320" s="39" t="s">
        <v>4431</v>
      </c>
      <c r="R320" s="34" t="s">
        <v>3407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3415</v>
      </c>
      <c r="Y320" s="34" t="s">
        <v>3409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7961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7" t="str">
        <f>IFERROR(INDEX(Структура_ассортимента[SuperCategory],MATCH(Товары[[#This Row],[SubGroup]],Структура_ассортимента[Subgroup],0)),"")</f>
        <v>A</v>
      </c>
      <c r="D3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7" t="str">
        <f>IFERROR(INDEX(Структура_ассортимента[Product group],MATCH(Товары[[#This Row],[SubGroup]],Структура_ассортимента[Subgroup],0)),"")</f>
        <v>AMC_C</v>
      </c>
      <c r="G32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7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1870</v>
      </c>
      <c r="Q321" s="39" t="s">
        <v>4431</v>
      </c>
      <c r="R321" s="34" t="s">
        <v>3407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3415</v>
      </c>
      <c r="Y321" s="34" t="s">
        <v>3409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7961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7" t="str">
        <f>IFERROR(INDEX(Структура_ассортимента[SuperCategory],MATCH(Товары[[#This Row],[SubGroup]],Структура_ассортимента[Subgroup],0)),"")</f>
        <v>A</v>
      </c>
      <c r="D3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7" t="str">
        <f>IFERROR(INDEX(Структура_ассортимента[Product group],MATCH(Товары[[#This Row],[SubGroup]],Структура_ассортимента[Subgroup],0)),"")</f>
        <v>AMC_C</v>
      </c>
      <c r="G32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7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1871</v>
      </c>
      <c r="Q322" s="39" t="s">
        <v>4431</v>
      </c>
      <c r="R322" s="34" t="s">
        <v>3407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3415</v>
      </c>
      <c r="Y322" s="34" t="s">
        <v>3409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7961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7" t="str">
        <f>IFERROR(INDEX(Структура_ассортимента[SuperCategory],MATCH(Товары[[#This Row],[SubGroup]],Структура_ассортимента[Subgroup],0)),"")</f>
        <v>A</v>
      </c>
      <c r="D3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7" t="str">
        <f>IFERROR(INDEX(Структура_ассортимента[Product group],MATCH(Товары[[#This Row],[SubGroup]],Структура_ассортимента[Subgroup],0)),"")</f>
        <v>AMC_C</v>
      </c>
      <c r="G323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7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1872</v>
      </c>
      <c r="Q323" s="39" t="s">
        <v>3411</v>
      </c>
      <c r="R323" s="34" t="s">
        <v>3407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3415</v>
      </c>
      <c r="Y323" s="34" t="s">
        <v>3409</v>
      </c>
      <c r="Z323" s="34">
        <v>1</v>
      </c>
      <c r="AM323" s="34" t="s">
        <v>7961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7" t="str">
        <f>IFERROR(INDEX(Структура_ассортимента[SuperCategory],MATCH(Товары[[#This Row],[SubGroup]],Структура_ассортимента[Subgroup],0)),"")</f>
        <v>A</v>
      </c>
      <c r="D3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7" t="str">
        <f>IFERROR(INDEX(Структура_ассортимента[Product group],MATCH(Товары[[#This Row],[SubGroup]],Структура_ассортимента[Subgroup],0)),"")</f>
        <v>AMC_C</v>
      </c>
      <c r="G324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7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1873</v>
      </c>
      <c r="Q324" s="39" t="s">
        <v>4431</v>
      </c>
      <c r="R324" s="34" t="s">
        <v>3407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3415</v>
      </c>
      <c r="AM324" s="34" t="s">
        <v>7961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7" t="str">
        <f>IFERROR(INDEX(Структура_ассортимента[SuperCategory],MATCH(Товары[[#This Row],[SubGroup]],Структура_ассортимента[Subgroup],0)),"")</f>
        <v>A</v>
      </c>
      <c r="D3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7" t="str">
        <f>IFERROR(INDEX(Структура_ассортимента[Product group],MATCH(Товары[[#This Row],[SubGroup]],Структура_ассортимента[Subgroup],0)),"")</f>
        <v>AMC_C</v>
      </c>
      <c r="G325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7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1874</v>
      </c>
      <c r="Q325" s="39" t="s">
        <v>4431</v>
      </c>
      <c r="R325" s="34" t="s">
        <v>3407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3415</v>
      </c>
      <c r="AM325" s="34" t="s">
        <v>7961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7" t="str">
        <f>IFERROR(INDEX(Структура_ассортимента[SuperCategory],MATCH(Товары[[#This Row],[SubGroup]],Структура_ассортимента[Subgroup],0)),"")</f>
        <v>A</v>
      </c>
      <c r="D3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7" t="str">
        <f>IFERROR(INDEX(Структура_ассортимента[Product group],MATCH(Товары[[#This Row],[SubGroup]],Структура_ассортимента[Subgroup],0)),"")</f>
        <v>AMC_C</v>
      </c>
      <c r="G326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7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1875</v>
      </c>
      <c r="Q326" s="39" t="s">
        <v>3411</v>
      </c>
      <c r="R326" s="34" t="s">
        <v>3407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3415</v>
      </c>
      <c r="Z326" s="34">
        <v>4</v>
      </c>
      <c r="AM326" s="34" t="s">
        <v>7961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7" t="str">
        <f>IFERROR(INDEX(Структура_ассортимента[SuperCategory],MATCH(Товары[[#This Row],[SubGroup]],Структура_ассортимента[Subgroup],0)),"")</f>
        <v>A</v>
      </c>
      <c r="D3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7" t="str">
        <f>IFERROR(INDEX(Структура_ассортимента[Product group],MATCH(Товары[[#This Row],[SubGroup]],Структура_ассортимента[Subgroup],0)),"")</f>
        <v>AMC_C</v>
      </c>
      <c r="G327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7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1876</v>
      </c>
      <c r="Q327" s="39" t="s">
        <v>3411</v>
      </c>
      <c r="R327" s="34" t="s">
        <v>3407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3415</v>
      </c>
      <c r="Y327" s="34" t="s">
        <v>3409</v>
      </c>
      <c r="Z327" s="34">
        <v>1</v>
      </c>
      <c r="AM327" s="34" t="s">
        <v>7961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7" t="str">
        <f>IFERROR(INDEX(Структура_ассортимента[SuperCategory],MATCH(Товары[[#This Row],[SubGroup]],Структура_ассортимента[Subgroup],0)),"")</f>
        <v>A</v>
      </c>
      <c r="D3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7" t="str">
        <f>IFERROR(INDEX(Структура_ассортимента[Product group],MATCH(Товары[[#This Row],[SubGroup]],Структура_ассортимента[Subgroup],0)),"")</f>
        <v>AMC_C</v>
      </c>
      <c r="G328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7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1877</v>
      </c>
      <c r="Q328" s="39" t="s">
        <v>3411</v>
      </c>
      <c r="R328" s="34" t="s">
        <v>3407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7961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7" t="str">
        <f>IFERROR(INDEX(Структура_ассортимента[SuperCategory],MATCH(Товары[[#This Row],[SubGroup]],Структура_ассортимента[Subgroup],0)),"")</f>
        <v>A</v>
      </c>
      <c r="D3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7" t="str">
        <f>IFERROR(INDEX(Структура_ассортимента[Product group],MATCH(Товары[[#This Row],[SubGroup]],Структура_ассортимента[Subgroup],0)),"")</f>
        <v>AMC_C</v>
      </c>
      <c r="G329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7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1878</v>
      </c>
      <c r="Q329" s="39" t="s">
        <v>3411</v>
      </c>
      <c r="R329" s="34" t="s">
        <v>3407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3415</v>
      </c>
      <c r="Y329" s="34" t="s">
        <v>3409</v>
      </c>
      <c r="Z329" s="34">
        <v>1</v>
      </c>
      <c r="AM329" s="34" t="s">
        <v>7961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7" t="str">
        <f>IFERROR(INDEX(Структура_ассортимента[SuperCategory],MATCH(Товары[[#This Row],[SubGroup]],Структура_ассортимента[Subgroup],0)),"")</f>
        <v>A</v>
      </c>
      <c r="D3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7" t="str">
        <f>IFERROR(INDEX(Структура_ассортимента[Product group],MATCH(Товары[[#This Row],[SubGroup]],Структура_ассортимента[Subgroup],0)),"")</f>
        <v>AMC_C</v>
      </c>
      <c r="G330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7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1879</v>
      </c>
      <c r="Q330" s="39" t="s">
        <v>3411</v>
      </c>
      <c r="R330" s="34" t="s">
        <v>3407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3415</v>
      </c>
      <c r="Y330" s="34" t="s">
        <v>3409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7961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7" t="str">
        <f>IFERROR(INDEX(Структура_ассортимента[SuperCategory],MATCH(Товары[[#This Row],[SubGroup]],Структура_ассортимента[Subgroup],0)),"")</f>
        <v>A</v>
      </c>
      <c r="D3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7" t="str">
        <f>IFERROR(INDEX(Структура_ассортимента[Product group],MATCH(Товары[[#This Row],[SubGroup]],Структура_ассортимента[Subgroup],0)),"")</f>
        <v>AMC_C</v>
      </c>
      <c r="G331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1880</v>
      </c>
      <c r="Q331" s="39" t="s">
        <v>3411</v>
      </c>
      <c r="R331" s="34" t="s">
        <v>3407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7961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7" t="str">
        <f>IFERROR(INDEX(Структура_ассортимента[SuperCategory],MATCH(Товары[[#This Row],[SubGroup]],Структура_ассортимента[Subgroup],0)),"")</f>
        <v>A</v>
      </c>
      <c r="D3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7" t="str">
        <f>IFERROR(INDEX(Структура_ассортимента[Product group],MATCH(Товары[[#This Row],[SubGroup]],Структура_ассортимента[Subgroup],0)),"")</f>
        <v>AMC_C</v>
      </c>
      <c r="G332" s="67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7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1881</v>
      </c>
      <c r="Q332" s="39" t="s">
        <v>3411</v>
      </c>
      <c r="R332" s="34" t="s">
        <v>3407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7961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7" t="str">
        <f>IFERROR(INDEX(Структура_ассортимента[SuperCategory],MATCH(Товары[[#This Row],[SubGroup]],Структура_ассортимента[Subgroup],0)),"")</f>
        <v>A</v>
      </c>
      <c r="D3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7" t="str">
        <f>IFERROR(INDEX(Структура_ассортимента[Product group],MATCH(Товары[[#This Row],[SubGroup]],Структура_ассортимента[Subgroup],0)),"")</f>
        <v>AMT_C</v>
      </c>
      <c r="G3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1882</v>
      </c>
      <c r="Q333" s="39" t="s">
        <v>3416</v>
      </c>
      <c r="R333" s="34" t="s">
        <v>3407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3570</v>
      </c>
      <c r="X333" s="34" t="s">
        <v>3571</v>
      </c>
      <c r="Y333" s="34" t="s">
        <v>3409</v>
      </c>
      <c r="Z333" s="34">
        <v>5</v>
      </c>
      <c r="AA333" s="34" t="s">
        <v>4082</v>
      </c>
      <c r="AB333" s="34" t="s">
        <v>4082</v>
      </c>
      <c r="AC333" s="34" t="s">
        <v>4433</v>
      </c>
      <c r="AD333" s="34" t="s">
        <v>4433</v>
      </c>
      <c r="AE333" s="34" t="s">
        <v>4434</v>
      </c>
      <c r="AF333" s="34" t="s">
        <v>4435</v>
      </c>
      <c r="AG333" s="34" t="s">
        <v>4436</v>
      </c>
      <c r="AH333" s="34" t="s">
        <v>4437</v>
      </c>
      <c r="AL333" s="34">
        <v>230</v>
      </c>
      <c r="AM333" s="34" t="s">
        <v>7962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7" t="str">
        <f>IFERROR(INDEX(Структура_ассортимента[SuperCategory],MATCH(Товары[[#This Row],[SubGroup]],Структура_ассортимента[Subgroup],0)),"")</f>
        <v>A</v>
      </c>
      <c r="D3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7" t="str">
        <f>IFERROR(INDEX(Структура_ассортимента[Product group],MATCH(Товары[[#This Row],[SubGroup]],Структура_ассортимента[Subgroup],0)),"")</f>
        <v>AMT_C</v>
      </c>
      <c r="G3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1883</v>
      </c>
      <c r="O334" s="37" t="s">
        <v>4438</v>
      </c>
      <c r="P334" s="37" t="s">
        <v>4439</v>
      </c>
      <c r="Q334" s="39" t="s">
        <v>3416</v>
      </c>
      <c r="R334" s="34" t="s">
        <v>3407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3570</v>
      </c>
      <c r="X334" s="34" t="s">
        <v>3571</v>
      </c>
      <c r="Y334" s="34" t="s">
        <v>3409</v>
      </c>
      <c r="Z334" s="34">
        <v>5</v>
      </c>
      <c r="AA334" s="34" t="s">
        <v>4440</v>
      </c>
      <c r="AB334" s="34" t="s">
        <v>4440</v>
      </c>
      <c r="AC334" s="34" t="s">
        <v>4267</v>
      </c>
      <c r="AD334" s="34" t="s">
        <v>4267</v>
      </c>
      <c r="AE334" s="34" t="s">
        <v>4441</v>
      </c>
      <c r="AF334" s="34" t="s">
        <v>3560</v>
      </c>
      <c r="AG334" s="34" t="s">
        <v>4085</v>
      </c>
      <c r="AH334" s="34" t="s">
        <v>4442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7" t="str">
        <f>IFERROR(INDEX(Структура_ассортимента[SuperCategory],MATCH(Товары[[#This Row],[SubGroup]],Структура_ассортимента[Subgroup],0)),"")</f>
        <v>A</v>
      </c>
      <c r="D3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7" t="str">
        <f>IFERROR(INDEX(Структура_ассортимента[Product group],MATCH(Товары[[#This Row],[SubGroup]],Структура_ассортимента[Subgroup],0)),"")</f>
        <v>AMT_C</v>
      </c>
      <c r="G3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1884</v>
      </c>
      <c r="Q335" s="39" t="s">
        <v>3416</v>
      </c>
      <c r="R335" s="34" t="s">
        <v>3407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3570</v>
      </c>
      <c r="X335" s="34" t="s">
        <v>3571</v>
      </c>
      <c r="Y335" s="34" t="s">
        <v>3409</v>
      </c>
      <c r="Z335" s="34">
        <v>5</v>
      </c>
      <c r="AA335" s="34" t="s">
        <v>4443</v>
      </c>
      <c r="AB335" s="34" t="s">
        <v>4443</v>
      </c>
      <c r="AC335" s="34" t="s">
        <v>4369</v>
      </c>
      <c r="AD335" s="34" t="s">
        <v>4369</v>
      </c>
      <c r="AE335" s="34" t="s">
        <v>3522</v>
      </c>
      <c r="AF335" s="34" t="s">
        <v>4353</v>
      </c>
      <c r="AG335" s="34" t="s">
        <v>4139</v>
      </c>
      <c r="AH335" s="34" t="s">
        <v>4444</v>
      </c>
      <c r="AL335" s="34">
        <v>360</v>
      </c>
      <c r="AM335" s="34" t="s">
        <v>7962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7" t="str">
        <f>IFERROR(INDEX(Структура_ассортимента[SuperCategory],MATCH(Товары[[#This Row],[SubGroup]],Структура_ассортимента[Subgroup],0)),"")</f>
        <v>A</v>
      </c>
      <c r="D3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7" t="str">
        <f>IFERROR(INDEX(Структура_ассортимента[Product group],MATCH(Товары[[#This Row],[SubGroup]],Структура_ассортимента[Subgroup],0)),"")</f>
        <v>AMT_C</v>
      </c>
      <c r="G3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1885</v>
      </c>
      <c r="O336" s="37" t="s">
        <v>4445</v>
      </c>
      <c r="P336" s="37" t="s">
        <v>4446</v>
      </c>
      <c r="Q336" s="39" t="s">
        <v>3416</v>
      </c>
      <c r="R336" s="34" t="s">
        <v>3407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3570</v>
      </c>
      <c r="X336" s="34" t="s">
        <v>3571</v>
      </c>
      <c r="Y336" s="34" t="s">
        <v>3409</v>
      </c>
      <c r="Z336" s="34">
        <v>5</v>
      </c>
      <c r="AA336" s="34" t="s">
        <v>4364</v>
      </c>
      <c r="AB336" s="34" t="s">
        <v>4364</v>
      </c>
      <c r="AC336" s="34" t="s">
        <v>4369</v>
      </c>
      <c r="AD336" s="34" t="s">
        <v>4369</v>
      </c>
      <c r="AE336" s="34" t="s">
        <v>3522</v>
      </c>
      <c r="AF336" s="34" t="s">
        <v>3423</v>
      </c>
      <c r="AG336" s="34" t="s">
        <v>3753</v>
      </c>
      <c r="AH336" s="34" t="s">
        <v>4447</v>
      </c>
      <c r="AL336" s="34" t="s">
        <v>4043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7" t="str">
        <f>IFERROR(INDEX(Структура_ассортимента[SuperCategory],MATCH(Товары[[#This Row],[SubGroup]],Структура_ассортимента[Subgroup],0)),"")</f>
        <v>A</v>
      </c>
      <c r="D3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7" t="str">
        <f>IFERROR(INDEX(Структура_ассортимента[Product group],MATCH(Товары[[#This Row],[SubGroup]],Структура_ассортимента[Subgroup],0)),"")</f>
        <v>AMT_C</v>
      </c>
      <c r="G3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1886</v>
      </c>
      <c r="Q337" s="39" t="s">
        <v>3416</v>
      </c>
      <c r="R337" s="34" t="s">
        <v>3407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3570</v>
      </c>
      <c r="X337" s="34" t="s">
        <v>3571</v>
      </c>
      <c r="Y337" s="34" t="s">
        <v>3409</v>
      </c>
      <c r="Z337" s="34">
        <v>3</v>
      </c>
      <c r="AA337" s="34" t="s">
        <v>4448</v>
      </c>
      <c r="AB337" s="34" t="s">
        <v>4448</v>
      </c>
      <c r="AC337" s="34" t="s">
        <v>3440</v>
      </c>
      <c r="AD337" s="34" t="s">
        <v>3440</v>
      </c>
      <c r="AE337" s="34" t="s">
        <v>4449</v>
      </c>
      <c r="AF337" s="34" t="s">
        <v>3478</v>
      </c>
      <c r="AG337" s="34" t="s">
        <v>4325</v>
      </c>
      <c r="AH337" s="34" t="s">
        <v>4450</v>
      </c>
      <c r="AL337" s="34">
        <v>60</v>
      </c>
      <c r="AM337" s="34" t="s">
        <v>7962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7" t="str">
        <f>IFERROR(INDEX(Структура_ассортимента[SuperCategory],MATCH(Товары[[#This Row],[SubGroup]],Структура_ассортимента[Subgroup],0)),"")</f>
        <v>A</v>
      </c>
      <c r="D3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7" t="str">
        <f>IFERROR(INDEX(Структура_ассортимента[Product group],MATCH(Товары[[#This Row],[SubGroup]],Структура_ассортимента[Subgroup],0)),"")</f>
        <v>AMT_C</v>
      </c>
      <c r="G3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1887</v>
      </c>
      <c r="O338" s="37" t="s">
        <v>4451</v>
      </c>
      <c r="P338" s="37" t="s">
        <v>4452</v>
      </c>
      <c r="Q338" s="39" t="s">
        <v>3416</v>
      </c>
      <c r="R338" s="34" t="s">
        <v>3407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3570</v>
      </c>
      <c r="X338" s="34" t="s">
        <v>3571</v>
      </c>
      <c r="Y338" s="34" t="s">
        <v>3409</v>
      </c>
      <c r="Z338" s="34">
        <v>3</v>
      </c>
      <c r="AA338" s="34" t="s">
        <v>4453</v>
      </c>
      <c r="AB338" s="34" t="s">
        <v>4453</v>
      </c>
      <c r="AC338" s="34" t="s">
        <v>4454</v>
      </c>
      <c r="AD338" s="34" t="s">
        <v>4454</v>
      </c>
      <c r="AE338" s="34" t="s">
        <v>3447</v>
      </c>
      <c r="AF338" s="34" t="s">
        <v>4455</v>
      </c>
      <c r="AG338" s="34" t="s">
        <v>4456</v>
      </c>
      <c r="AH338" s="34" t="s">
        <v>4457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7" t="str">
        <f>IFERROR(INDEX(Структура_ассортимента[SuperCategory],MATCH(Товары[[#This Row],[SubGroup]],Структура_ассортимента[Subgroup],0)),"")</f>
        <v>A</v>
      </c>
      <c r="D3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7" t="str">
        <f>IFERROR(INDEX(Структура_ассортимента[Product group],MATCH(Товары[[#This Row],[SubGroup]],Структура_ассортимента[Subgroup],0)),"")</f>
        <v>AMT_C</v>
      </c>
      <c r="G3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1888</v>
      </c>
      <c r="Q339" s="39" t="s">
        <v>3519</v>
      </c>
      <c r="R339" s="34" t="s">
        <v>3407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3410</v>
      </c>
      <c r="X339" s="34" t="s">
        <v>3446</v>
      </c>
      <c r="Y339" s="34" t="s">
        <v>3409</v>
      </c>
      <c r="Z339" s="34">
        <v>30</v>
      </c>
      <c r="AA339" s="34" t="s">
        <v>3421</v>
      </c>
      <c r="AB339" s="34" t="s">
        <v>3421</v>
      </c>
      <c r="AC339" s="34" t="s">
        <v>4132</v>
      </c>
      <c r="AD339" s="34" t="s">
        <v>4132</v>
      </c>
      <c r="AE339" s="34" t="s">
        <v>4458</v>
      </c>
      <c r="AF339" s="34" t="s">
        <v>3574</v>
      </c>
      <c r="AG339" s="34" t="s">
        <v>3455</v>
      </c>
      <c r="AH339" s="34" t="s">
        <v>4459</v>
      </c>
      <c r="AL339" s="34">
        <v>90</v>
      </c>
      <c r="AM339" s="34" t="s">
        <v>7962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7" t="str">
        <f>IFERROR(INDEX(Структура_ассортимента[SuperCategory],MATCH(Товары[[#This Row],[SubGroup]],Структура_ассортимента[Subgroup],0)),"")</f>
        <v>A</v>
      </c>
      <c r="D3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7" t="str">
        <f>IFERROR(INDEX(Структура_ассортимента[Product group],MATCH(Товары[[#This Row],[SubGroup]],Структура_ассортимента[Subgroup],0)),"")</f>
        <v>AMT_C</v>
      </c>
      <c r="G3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1889</v>
      </c>
      <c r="Q340" s="39" t="s">
        <v>3580</v>
      </c>
      <c r="R340" s="34" t="s">
        <v>3407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3410</v>
      </c>
      <c r="Y340" s="34" t="s">
        <v>3409</v>
      </c>
      <c r="Z340" s="34">
        <v>20</v>
      </c>
      <c r="AA340" s="34" t="s">
        <v>4460</v>
      </c>
      <c r="AB340" s="34" t="s">
        <v>3743</v>
      </c>
      <c r="AC340" s="34" t="s">
        <v>4460</v>
      </c>
      <c r="AD340" s="34" t="s">
        <v>3768</v>
      </c>
      <c r="AE340" s="34" t="s">
        <v>4461</v>
      </c>
      <c r="AF340" s="34" t="s">
        <v>4124</v>
      </c>
      <c r="AG340" s="34" t="s">
        <v>3835</v>
      </c>
      <c r="AH340" s="34" t="s">
        <v>4462</v>
      </c>
      <c r="AL340" s="34" t="s">
        <v>4264</v>
      </c>
      <c r="AM340" s="34" t="s">
        <v>7961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7" t="str">
        <f>IFERROR(INDEX(Структура_ассортимента[SuperCategory],MATCH(Товары[[#This Row],[SubGroup]],Структура_ассортимента[Subgroup],0)),"")</f>
        <v>A</v>
      </c>
      <c r="D3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7" t="str">
        <f>IFERROR(INDEX(Структура_ассортимента[Product group],MATCH(Товары[[#This Row],[SubGroup]],Структура_ассортимента[Subgroup],0)),"")</f>
        <v>AMT_C</v>
      </c>
      <c r="G3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1890</v>
      </c>
      <c r="Q341" s="39" t="s">
        <v>3416</v>
      </c>
      <c r="R341" s="34" t="s">
        <v>3407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3410</v>
      </c>
      <c r="X341" s="34" t="s">
        <v>3446</v>
      </c>
      <c r="Y341" s="34" t="s">
        <v>3409</v>
      </c>
      <c r="Z341" s="34">
        <v>20</v>
      </c>
      <c r="AA341" s="34" t="s">
        <v>4460</v>
      </c>
      <c r="AB341" s="34" t="s">
        <v>4463</v>
      </c>
      <c r="AC341" s="34" t="s">
        <v>4460</v>
      </c>
      <c r="AD341" s="34" t="s">
        <v>3465</v>
      </c>
      <c r="AE341" s="34" t="s">
        <v>3589</v>
      </c>
      <c r="AF341" s="34" t="s">
        <v>4109</v>
      </c>
      <c r="AG341" s="34" t="s">
        <v>3692</v>
      </c>
      <c r="AH341" s="34" t="s">
        <v>4464</v>
      </c>
      <c r="AL341" s="34" t="s">
        <v>4264</v>
      </c>
      <c r="AM341" s="34" t="s">
        <v>7962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7" t="str">
        <f>IFERROR(INDEX(Структура_ассортимента[SuperCategory],MATCH(Товары[[#This Row],[SubGroup]],Структура_ассортимента[Subgroup],0)),"")</f>
        <v>A</v>
      </c>
      <c r="D3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7" t="str">
        <f>IFERROR(INDEX(Структура_ассортимента[Product group],MATCH(Товары[[#This Row],[SubGroup]],Структура_ассортимента[Subgroup],0)),"")</f>
        <v>AMT_C</v>
      </c>
      <c r="G3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1891</v>
      </c>
      <c r="O342" s="37" t="s">
        <v>4465</v>
      </c>
      <c r="P342" s="37" t="s">
        <v>4466</v>
      </c>
      <c r="Q342" s="39" t="s">
        <v>3416</v>
      </c>
      <c r="R342" s="34" t="s">
        <v>3407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3410</v>
      </c>
      <c r="X342" s="34" t="s">
        <v>3446</v>
      </c>
      <c r="Y342" s="34" t="s">
        <v>3409</v>
      </c>
      <c r="Z342" s="34">
        <v>1</v>
      </c>
      <c r="AA342" s="34" t="s">
        <v>3829</v>
      </c>
      <c r="AB342" s="34" t="s">
        <v>3510</v>
      </c>
      <c r="AC342" s="34" t="s">
        <v>4104</v>
      </c>
      <c r="AD342" s="34" t="s">
        <v>4467</v>
      </c>
      <c r="AE342" s="34" t="s">
        <v>4468</v>
      </c>
      <c r="AF342" s="34" t="s">
        <v>4469</v>
      </c>
      <c r="AG342" s="34" t="s">
        <v>4470</v>
      </c>
      <c r="AH342" s="34" t="s">
        <v>4471</v>
      </c>
      <c r="AI342" s="34" t="s">
        <v>3609</v>
      </c>
      <c r="AJ342" s="34" t="s">
        <v>4472</v>
      </c>
      <c r="AK342" s="34" t="s">
        <v>4124</v>
      </c>
      <c r="AL342" s="34" t="s">
        <v>3709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7" t="str">
        <f>IFERROR(INDEX(Структура_ассортимента[SuperCategory],MATCH(Товары[[#This Row],[SubGroup]],Структура_ассортимента[Subgroup],0)),"")</f>
        <v>A</v>
      </c>
      <c r="D3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7" t="str">
        <f>IFERROR(INDEX(Структура_ассортимента[Product group],MATCH(Товары[[#This Row],[SubGroup]],Структура_ассортимента[Subgroup],0)),"")</f>
        <v>AMT_C</v>
      </c>
      <c r="G3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1892</v>
      </c>
      <c r="Q343" s="39" t="s">
        <v>3416</v>
      </c>
      <c r="R343" s="34" t="s">
        <v>3407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3410</v>
      </c>
      <c r="X343" s="34" t="s">
        <v>3446</v>
      </c>
      <c r="Y343" s="34" t="s">
        <v>3409</v>
      </c>
      <c r="Z343" s="34">
        <v>10</v>
      </c>
      <c r="AA343" s="34" t="s">
        <v>3419</v>
      </c>
      <c r="AB343" s="34" t="s">
        <v>4473</v>
      </c>
      <c r="AC343" s="34" t="s">
        <v>3419</v>
      </c>
      <c r="AD343" s="34" t="s">
        <v>4104</v>
      </c>
      <c r="AE343" s="34" t="s">
        <v>4474</v>
      </c>
      <c r="AF343" s="34" t="s">
        <v>4069</v>
      </c>
      <c r="AG343" s="34" t="s">
        <v>3692</v>
      </c>
      <c r="AH343" s="34" t="s">
        <v>4475</v>
      </c>
      <c r="AI343" s="34" t="s">
        <v>3609</v>
      </c>
      <c r="AJ343" s="34" t="s">
        <v>4472</v>
      </c>
      <c r="AK343" s="34" t="s">
        <v>4124</v>
      </c>
      <c r="AL343" s="34" t="s">
        <v>4476</v>
      </c>
      <c r="AM343" s="34" t="s">
        <v>7962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7" t="str">
        <f>IFERROR(INDEX(Структура_ассортимента[SuperCategory],MATCH(Товары[[#This Row],[SubGroup]],Структура_ассортимента[Subgroup],0)),"")</f>
        <v>A</v>
      </c>
      <c r="D3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7" t="str">
        <f>IFERROR(INDEX(Структура_ассортимента[Product group],MATCH(Товары[[#This Row],[SubGroup]],Структура_ассортимента[Subgroup],0)),"")</f>
        <v>AMT_C</v>
      </c>
      <c r="G3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1893</v>
      </c>
      <c r="O344" s="37" t="s">
        <v>4477</v>
      </c>
      <c r="P344" s="37" t="s">
        <v>4478</v>
      </c>
      <c r="Q344" s="39" t="s">
        <v>3416</v>
      </c>
      <c r="R344" s="34" t="s">
        <v>3407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3413</v>
      </c>
      <c r="X344" s="34" t="s">
        <v>3446</v>
      </c>
      <c r="Y344" s="34" t="s">
        <v>3409</v>
      </c>
      <c r="Z344" s="34">
        <v>5</v>
      </c>
      <c r="AB344" s="34" t="s">
        <v>4037</v>
      </c>
      <c r="AD344" s="34" t="s">
        <v>4479</v>
      </c>
      <c r="AE344" s="34" t="s">
        <v>3553</v>
      </c>
      <c r="AF344" s="34" t="s">
        <v>3685</v>
      </c>
      <c r="AG344" s="34" t="s">
        <v>4006</v>
      </c>
      <c r="AH344" s="34" t="s">
        <v>4480</v>
      </c>
      <c r="AI344" s="34" t="s">
        <v>4481</v>
      </c>
      <c r="AJ344" s="34" t="s">
        <v>4482</v>
      </c>
      <c r="AK344" s="34" t="s">
        <v>4325</v>
      </c>
      <c r="AL344" s="34" t="s">
        <v>4483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7" t="str">
        <f>IFERROR(INDEX(Структура_ассортимента[SuperCategory],MATCH(Товары[[#This Row],[SubGroup]],Структура_ассортимента[Subgroup],0)),"")</f>
        <v>A</v>
      </c>
      <c r="D3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7" t="str">
        <f>IFERROR(INDEX(Структура_ассортимента[Product group],MATCH(Товары[[#This Row],[SubGroup]],Структура_ассортимента[Subgroup],0)),"")</f>
        <v>AMT_C</v>
      </c>
      <c r="G3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1894</v>
      </c>
      <c r="O345" s="37" t="s">
        <v>4484</v>
      </c>
      <c r="P345" s="37" t="s">
        <v>4485</v>
      </c>
      <c r="Q345" s="39" t="s">
        <v>3416</v>
      </c>
      <c r="R345" s="34" t="s">
        <v>3407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3410</v>
      </c>
      <c r="X345" s="34" t="s">
        <v>3446</v>
      </c>
      <c r="Y345" s="34" t="s">
        <v>3409</v>
      </c>
      <c r="Z345" s="34">
        <v>20</v>
      </c>
      <c r="AB345" s="34" t="s">
        <v>4473</v>
      </c>
      <c r="AD345" s="34" t="s">
        <v>3501</v>
      </c>
      <c r="AE345" s="34" t="s">
        <v>4486</v>
      </c>
      <c r="AF345" s="34" t="s">
        <v>4325</v>
      </c>
      <c r="AG345" s="34" t="s">
        <v>4020</v>
      </c>
      <c r="AH345" s="34" t="s">
        <v>4487</v>
      </c>
      <c r="AI345" s="34" t="s">
        <v>4481</v>
      </c>
      <c r="AJ345" s="34" t="s">
        <v>4482</v>
      </c>
      <c r="AK345" s="34" t="s">
        <v>4325</v>
      </c>
      <c r="AL345" s="34" t="s">
        <v>4320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7" t="str">
        <f>IFERROR(INDEX(Структура_ассортимента[SuperCategory],MATCH(Товары[[#This Row],[SubGroup]],Структура_ассортимента[Subgroup],0)),"")</f>
        <v>A</v>
      </c>
      <c r="D3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7" t="str">
        <f>IFERROR(INDEX(Структура_ассортимента[Product group],MATCH(Товары[[#This Row],[SubGroup]],Структура_ассортимента[Subgroup],0)),"")</f>
        <v>AMT_C</v>
      </c>
      <c r="G3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1895</v>
      </c>
      <c r="Q346" s="39" t="s">
        <v>3416</v>
      </c>
      <c r="R346" s="34" t="s">
        <v>3407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3570</v>
      </c>
      <c r="X346" s="34" t="s">
        <v>3571</v>
      </c>
      <c r="Y346" s="34" t="s">
        <v>3409</v>
      </c>
      <c r="Z346" s="34">
        <v>5</v>
      </c>
      <c r="AA346" s="34" t="s">
        <v>4443</v>
      </c>
      <c r="AB346" s="34" t="s">
        <v>4443</v>
      </c>
      <c r="AC346" s="34" t="s">
        <v>4284</v>
      </c>
      <c r="AD346" s="34" t="s">
        <v>4284</v>
      </c>
      <c r="AE346" s="34" t="s">
        <v>3984</v>
      </c>
      <c r="AF346" s="34" t="s">
        <v>4325</v>
      </c>
      <c r="AG346" s="34" t="s">
        <v>4488</v>
      </c>
      <c r="AH346" s="34" t="s">
        <v>4489</v>
      </c>
      <c r="AI346" s="34" t="s">
        <v>4307</v>
      </c>
      <c r="AJ346" s="34" t="s">
        <v>4455</v>
      </c>
      <c r="AK346" s="34" t="s">
        <v>4325</v>
      </c>
      <c r="AL346" s="34">
        <v>450</v>
      </c>
      <c r="AM346" s="34" t="s">
        <v>7962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7" t="str">
        <f>IFERROR(INDEX(Структура_ассортимента[SuperCategory],MATCH(Товары[[#This Row],[SubGroup]],Структура_ассортимента[Subgroup],0)),"")</f>
        <v>A</v>
      </c>
      <c r="D3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7" t="str">
        <f>IFERROR(INDEX(Структура_ассортимента[Product group],MATCH(Товары[[#This Row],[SubGroup]],Структура_ассортимента[Subgroup],0)),"")</f>
        <v>AMT_C</v>
      </c>
      <c r="G3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1896</v>
      </c>
      <c r="O347" s="37" t="s">
        <v>4490</v>
      </c>
      <c r="P347" s="37" t="s">
        <v>4491</v>
      </c>
      <c r="Q347" s="39" t="s">
        <v>3519</v>
      </c>
      <c r="R347" s="34" t="s">
        <v>3407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3570</v>
      </c>
      <c r="X347" s="34" t="s">
        <v>3571</v>
      </c>
      <c r="Y347" s="34" t="s">
        <v>3409</v>
      </c>
      <c r="Z347" s="34">
        <v>5</v>
      </c>
      <c r="AA347" s="34" t="s">
        <v>3617</v>
      </c>
      <c r="AB347" s="34" t="s">
        <v>3617</v>
      </c>
      <c r="AC347" s="34" t="s">
        <v>4492</v>
      </c>
      <c r="AD347" s="34" t="s">
        <v>4492</v>
      </c>
      <c r="AE347" s="34" t="s">
        <v>3685</v>
      </c>
      <c r="AF347" s="34" t="s">
        <v>3778</v>
      </c>
      <c r="AG347" s="34" t="s">
        <v>3423</v>
      </c>
      <c r="AH347" s="34" t="s">
        <v>4493</v>
      </c>
      <c r="AI347" s="34" t="s">
        <v>4307</v>
      </c>
      <c r="AJ347" s="34" t="s">
        <v>4455</v>
      </c>
      <c r="AK347" s="34" t="s">
        <v>3778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7" t="str">
        <f>IFERROR(INDEX(Структура_ассортимента[SuperCategory],MATCH(Товары[[#This Row],[SubGroup]],Структура_ассортимента[Subgroup],0)),"")</f>
        <v>A</v>
      </c>
      <c r="D3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7" t="str">
        <f>IFERROR(INDEX(Структура_ассортимента[Product group],MATCH(Товары[[#This Row],[SubGroup]],Структура_ассортимента[Subgroup],0)),"")</f>
        <v>AMT_C</v>
      </c>
      <c r="G3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1897</v>
      </c>
      <c r="Q348" s="39" t="s">
        <v>3416</v>
      </c>
      <c r="R348" s="34" t="s">
        <v>3407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3570</v>
      </c>
      <c r="X348" s="34" t="s">
        <v>3571</v>
      </c>
      <c r="Y348" s="34" t="s">
        <v>3409</v>
      </c>
      <c r="Z348" s="34">
        <v>5</v>
      </c>
      <c r="AA348" s="34" t="s">
        <v>4494</v>
      </c>
      <c r="AB348" s="34" t="s">
        <v>4494</v>
      </c>
      <c r="AC348" s="34" t="s">
        <v>4046</v>
      </c>
      <c r="AD348" s="34" t="s">
        <v>4046</v>
      </c>
      <c r="AE348" s="34" t="s">
        <v>3822</v>
      </c>
      <c r="AF348" s="34" t="s">
        <v>4456</v>
      </c>
      <c r="AG348" s="34" t="s">
        <v>4098</v>
      </c>
      <c r="AH348" s="34" t="s">
        <v>4495</v>
      </c>
      <c r="AI348" s="34" t="s">
        <v>3693</v>
      </c>
      <c r="AJ348" s="34" t="s">
        <v>3566</v>
      </c>
      <c r="AK348" s="34" t="s">
        <v>4496</v>
      </c>
      <c r="AL348" s="34">
        <v>930</v>
      </c>
      <c r="AM348" s="34" t="s">
        <v>7962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7" t="str">
        <f>IFERROR(INDEX(Структура_ассортимента[SuperCategory],MATCH(Товары[[#This Row],[SubGroup]],Структура_ассортимента[Subgroup],0)),"")</f>
        <v>A</v>
      </c>
      <c r="D3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7" t="str">
        <f>IFERROR(INDEX(Структура_ассортимента[Product group],MATCH(Товары[[#This Row],[SubGroup]],Структура_ассортимента[Subgroup],0)),"")</f>
        <v>AMT_C</v>
      </c>
      <c r="G3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1898</v>
      </c>
      <c r="O349" s="37" t="s">
        <v>4497</v>
      </c>
      <c r="P349" s="37" t="s">
        <v>4498</v>
      </c>
      <c r="Q349" s="39" t="s">
        <v>3416</v>
      </c>
      <c r="R349" s="34" t="s">
        <v>3407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3570</v>
      </c>
      <c r="X349" s="34" t="s">
        <v>3571</v>
      </c>
      <c r="Y349" s="34" t="s">
        <v>3409</v>
      </c>
      <c r="Z349" s="34">
        <v>5</v>
      </c>
      <c r="AA349" s="34" t="s">
        <v>4037</v>
      </c>
      <c r="AB349" s="34" t="s">
        <v>4037</v>
      </c>
      <c r="AC349" s="34" t="s">
        <v>3558</v>
      </c>
      <c r="AD349" s="34" t="s">
        <v>3558</v>
      </c>
      <c r="AE349" s="34" t="s">
        <v>3864</v>
      </c>
      <c r="AF349" s="34" t="s">
        <v>4499</v>
      </c>
      <c r="AG349" s="34" t="s">
        <v>4500</v>
      </c>
      <c r="AH349" s="34" t="s">
        <v>4501</v>
      </c>
      <c r="AI349" s="34" t="s">
        <v>3975</v>
      </c>
      <c r="AJ349" s="34" t="s">
        <v>3433</v>
      </c>
      <c r="AK349" s="34" t="s">
        <v>3667</v>
      </c>
      <c r="AL349" s="34" t="s">
        <v>4502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7" t="str">
        <f>IFERROR(INDEX(Структура_ассортимента[SuperCategory],MATCH(Товары[[#This Row],[SubGroup]],Структура_ассортимента[Subgroup],0)),"")</f>
        <v>A</v>
      </c>
      <c r="D3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7" t="str">
        <f>IFERROR(INDEX(Структура_ассортимента[Product group],MATCH(Товары[[#This Row],[SubGroup]],Структура_ассортимента[Subgroup],0)),"")</f>
        <v>AMT_C</v>
      </c>
      <c r="G3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1899</v>
      </c>
      <c r="O350" s="37" t="s">
        <v>4503</v>
      </c>
      <c r="P350" s="37" t="s">
        <v>4504</v>
      </c>
      <c r="Q350" s="39" t="s">
        <v>3519</v>
      </c>
      <c r="R350" s="34" t="s">
        <v>3407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3570</v>
      </c>
      <c r="X350" s="34" t="s">
        <v>3571</v>
      </c>
      <c r="Y350" s="34" t="s">
        <v>3409</v>
      </c>
      <c r="Z350" s="34">
        <v>5</v>
      </c>
      <c r="AA350" s="34" t="s">
        <v>3617</v>
      </c>
      <c r="AB350" s="34" t="s">
        <v>3617</v>
      </c>
      <c r="AC350" s="34" t="s">
        <v>4505</v>
      </c>
      <c r="AD350" s="34" t="s">
        <v>4505</v>
      </c>
      <c r="AE350" s="34" t="s">
        <v>3854</v>
      </c>
      <c r="AF350" s="34" t="s">
        <v>3745</v>
      </c>
      <c r="AG350" s="34" t="s">
        <v>3483</v>
      </c>
      <c r="AH350" s="34" t="s">
        <v>4506</v>
      </c>
      <c r="AI350" s="34" t="s">
        <v>3975</v>
      </c>
      <c r="AJ350" s="34" t="s">
        <v>3433</v>
      </c>
      <c r="AK350" s="34" t="s">
        <v>4507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7" t="str">
        <f>IFERROR(INDEX(Структура_ассортимента[SuperCategory],MATCH(Товары[[#This Row],[SubGroup]],Структура_ассортимента[Subgroup],0)),"")</f>
        <v>A</v>
      </c>
      <c r="D3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7" t="str">
        <f>IFERROR(INDEX(Структура_ассортимента[Product group],MATCH(Товары[[#This Row],[SubGroup]],Структура_ассортимента[Subgroup],0)),"")</f>
        <v>AMT_C</v>
      </c>
      <c r="G3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1900</v>
      </c>
      <c r="Q351" s="39" t="s">
        <v>3416</v>
      </c>
      <c r="R351" s="34" t="s">
        <v>3407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3570</v>
      </c>
      <c r="X351" s="34" t="s">
        <v>3571</v>
      </c>
      <c r="Y351" s="34" t="s">
        <v>3409</v>
      </c>
      <c r="Z351" s="34">
        <v>5</v>
      </c>
      <c r="AA351" s="34" t="s">
        <v>4443</v>
      </c>
      <c r="AB351" s="34" t="s">
        <v>4443</v>
      </c>
      <c r="AC351" s="34" t="s">
        <v>4284</v>
      </c>
      <c r="AD351" s="34" t="s">
        <v>4284</v>
      </c>
      <c r="AE351" s="34" t="s">
        <v>4508</v>
      </c>
      <c r="AF351" s="34" t="s">
        <v>3856</v>
      </c>
      <c r="AG351" s="34" t="s">
        <v>4509</v>
      </c>
      <c r="AH351" s="34" t="s">
        <v>4510</v>
      </c>
      <c r="AI351" s="34" t="s">
        <v>3975</v>
      </c>
      <c r="AJ351" s="34" t="s">
        <v>3433</v>
      </c>
      <c r="AK351" s="34" t="s">
        <v>4511</v>
      </c>
      <c r="AL351" s="34">
        <v>350</v>
      </c>
      <c r="AM351" s="34" t="s">
        <v>7962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7" t="str">
        <f>IFERROR(INDEX(Структура_ассортимента[SuperCategory],MATCH(Товары[[#This Row],[SubGroup]],Структура_ассортимента[Subgroup],0)),"")</f>
        <v>A</v>
      </c>
      <c r="D3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7" t="str">
        <f>IFERROR(INDEX(Структура_ассортимента[Product group],MATCH(Товары[[#This Row],[SubGroup]],Структура_ассортимента[Subgroup],0)),"")</f>
        <v>AMT_C</v>
      </c>
      <c r="G3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1901</v>
      </c>
      <c r="Q352" s="39" t="s">
        <v>3416</v>
      </c>
      <c r="R352" s="34" t="s">
        <v>3407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3570</v>
      </c>
      <c r="X352" s="34" t="s">
        <v>3571</v>
      </c>
      <c r="Y352" s="34" t="s">
        <v>3409</v>
      </c>
      <c r="Z352" s="34">
        <v>5</v>
      </c>
      <c r="AA352" s="34" t="s">
        <v>4386</v>
      </c>
      <c r="AB352" s="34" t="s">
        <v>4386</v>
      </c>
      <c r="AC352" s="34" t="s">
        <v>4443</v>
      </c>
      <c r="AD352" s="34" t="s">
        <v>4443</v>
      </c>
      <c r="AE352" s="34" t="s">
        <v>4512</v>
      </c>
      <c r="AF352" s="34" t="s">
        <v>4507</v>
      </c>
      <c r="AG352" s="34" t="s">
        <v>4513</v>
      </c>
      <c r="AH352" s="34" t="s">
        <v>4514</v>
      </c>
      <c r="AI352" s="34" t="s">
        <v>4515</v>
      </c>
      <c r="AJ352" s="34" t="s">
        <v>3443</v>
      </c>
      <c r="AK352" s="34" t="s">
        <v>4507</v>
      </c>
      <c r="AL352" s="34">
        <v>300</v>
      </c>
      <c r="AM352" s="34" t="s">
        <v>7962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7" t="str">
        <f>IFERROR(INDEX(Структура_ассортимента[SuperCategory],MATCH(Товары[[#This Row],[SubGroup]],Структура_ассортимента[Subgroup],0)),"")</f>
        <v>A</v>
      </c>
      <c r="D3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7" t="str">
        <f>IFERROR(INDEX(Структура_ассортимента[Product group],MATCH(Товары[[#This Row],[SubGroup]],Структура_ассортимента[Subgroup],0)),"")</f>
        <v>AMT_C</v>
      </c>
      <c r="G3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1902</v>
      </c>
      <c r="O353" s="37" t="s">
        <v>4516</v>
      </c>
      <c r="P353" s="37" t="s">
        <v>4517</v>
      </c>
      <c r="Q353" s="39" t="s">
        <v>3416</v>
      </c>
      <c r="R353" s="34" t="s">
        <v>3407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3570</v>
      </c>
      <c r="X353" s="34" t="s">
        <v>3571</v>
      </c>
      <c r="Y353" s="34" t="s">
        <v>3409</v>
      </c>
      <c r="Z353" s="34">
        <v>5</v>
      </c>
      <c r="AA353" s="34" t="s">
        <v>4255</v>
      </c>
      <c r="AB353" s="34" t="s">
        <v>4255</v>
      </c>
      <c r="AC353" s="34" t="s">
        <v>4364</v>
      </c>
      <c r="AD353" s="34" t="s">
        <v>4364</v>
      </c>
      <c r="AE353" s="34" t="s">
        <v>4070</v>
      </c>
      <c r="AF353" s="34" t="s">
        <v>3732</v>
      </c>
      <c r="AG353" s="34" t="s">
        <v>3424</v>
      </c>
      <c r="AH353" s="34" t="s">
        <v>4518</v>
      </c>
      <c r="AI353" s="34" t="s">
        <v>4515</v>
      </c>
      <c r="AJ353" s="34" t="s">
        <v>3443</v>
      </c>
      <c r="AK353" s="34" t="s">
        <v>4519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7" t="str">
        <f>IFERROR(INDEX(Структура_ассортимента[SuperCategory],MATCH(Товары[[#This Row],[SubGroup]],Структура_ассортимента[Subgroup],0)),"")</f>
        <v>A</v>
      </c>
      <c r="D3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7" t="str">
        <f>IFERROR(INDEX(Структура_ассортимента[Product group],MATCH(Товары[[#This Row],[SubGroup]],Структура_ассортимента[Subgroup],0)),"")</f>
        <v>AMT_C</v>
      </c>
      <c r="G3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1903</v>
      </c>
      <c r="O354" s="37" t="s">
        <v>4520</v>
      </c>
      <c r="P354" s="37" t="s">
        <v>4521</v>
      </c>
      <c r="Q354" s="39" t="s">
        <v>3416</v>
      </c>
      <c r="R354" s="34" t="s">
        <v>3407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3570</v>
      </c>
      <c r="X354" s="34" t="s">
        <v>3571</v>
      </c>
      <c r="Y354" s="34" t="s">
        <v>3409</v>
      </c>
      <c r="Z354" s="34">
        <v>5</v>
      </c>
      <c r="AA354" s="34" t="s">
        <v>4284</v>
      </c>
      <c r="AB354" s="34" t="s">
        <v>4522</v>
      </c>
      <c r="AC354" s="34" t="s">
        <v>3558</v>
      </c>
      <c r="AD354" s="34" t="s">
        <v>4037</v>
      </c>
      <c r="AE354" s="34" t="s">
        <v>4470</v>
      </c>
      <c r="AF354" s="34" t="s">
        <v>4523</v>
      </c>
      <c r="AG354" s="34" t="s">
        <v>4202</v>
      </c>
      <c r="AH354" s="34" t="s">
        <v>4524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7" t="str">
        <f>IFERROR(INDEX(Структура_ассортимента[SuperCategory],MATCH(Товары[[#This Row],[SubGroup]],Структура_ассортимента[Subgroup],0)),"")</f>
        <v>A</v>
      </c>
      <c r="D3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7" t="str">
        <f>IFERROR(INDEX(Структура_ассортимента[Product group],MATCH(Товары[[#This Row],[SubGroup]],Структура_ассортимента[Subgroup],0)),"")</f>
        <v>AMT_C</v>
      </c>
      <c r="G3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1904</v>
      </c>
      <c r="Q355" s="39" t="s">
        <v>3416</v>
      </c>
      <c r="R355" s="34" t="s">
        <v>3407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3570</v>
      </c>
      <c r="X355" s="34" t="s">
        <v>3571</v>
      </c>
      <c r="Y355" s="34" t="s">
        <v>3409</v>
      </c>
      <c r="Z355" s="34">
        <v>5</v>
      </c>
      <c r="AA355" s="34" t="s">
        <v>4492</v>
      </c>
      <c r="AB355" s="34" t="s">
        <v>4492</v>
      </c>
      <c r="AC355" s="34" t="s">
        <v>4037</v>
      </c>
      <c r="AD355" s="34" t="s">
        <v>4037</v>
      </c>
      <c r="AE355" s="34" t="s">
        <v>4525</v>
      </c>
      <c r="AF355" s="34" t="s">
        <v>3423</v>
      </c>
      <c r="AG355" s="34" t="s">
        <v>4526</v>
      </c>
      <c r="AH355" s="34" t="s">
        <v>4527</v>
      </c>
      <c r="AL355" s="34">
        <v>770</v>
      </c>
      <c r="AM355" s="34" t="s">
        <v>7962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7" t="str">
        <f>IFERROR(INDEX(Структура_ассортимента[SuperCategory],MATCH(Товары[[#This Row],[SubGroup]],Структура_ассортимента[Subgroup],0)),"")</f>
        <v>A</v>
      </c>
      <c r="D3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7" t="str">
        <f>IFERROR(INDEX(Структура_ассортимента[Product group],MATCH(Товары[[#This Row],[SubGroup]],Структура_ассортимента[Subgroup],0)),"")</f>
        <v>AMT_C</v>
      </c>
      <c r="G3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1905</v>
      </c>
      <c r="O356" s="37" t="s">
        <v>4528</v>
      </c>
      <c r="P356" s="37" t="s">
        <v>4529</v>
      </c>
      <c r="Q356" s="39" t="s">
        <v>3416</v>
      </c>
      <c r="R356" s="34" t="s">
        <v>3407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3570</v>
      </c>
      <c r="X356" s="34" t="s">
        <v>3571</v>
      </c>
      <c r="Y356" s="34" t="s">
        <v>3409</v>
      </c>
      <c r="Z356" s="34">
        <v>5</v>
      </c>
      <c r="AA356" s="34" t="s">
        <v>4530</v>
      </c>
      <c r="AB356" s="34" t="s">
        <v>4530</v>
      </c>
      <c r="AC356" s="34" t="s">
        <v>4531</v>
      </c>
      <c r="AD356" s="34" t="s">
        <v>4531</v>
      </c>
      <c r="AE356" s="34" t="s">
        <v>4176</v>
      </c>
      <c r="AF356" s="34" t="s">
        <v>3578</v>
      </c>
      <c r="AG356" s="34" t="s">
        <v>3668</v>
      </c>
      <c r="AH356" s="34" t="s">
        <v>4532</v>
      </c>
      <c r="AI356" s="34" t="s">
        <v>4533</v>
      </c>
      <c r="AJ356" s="34" t="s">
        <v>4182</v>
      </c>
      <c r="AK356" s="34" t="s">
        <v>3459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7" t="str">
        <f>IFERROR(INDEX(Структура_ассортимента[SuperCategory],MATCH(Товары[[#This Row],[SubGroup]],Структура_ассортимента[Subgroup],0)),"")</f>
        <v>A</v>
      </c>
      <c r="D3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7" t="str">
        <f>IFERROR(INDEX(Структура_ассортимента[Product group],MATCH(Товары[[#This Row],[SubGroup]],Структура_ассортимента[Subgroup],0)),"")</f>
        <v>AMT_C</v>
      </c>
      <c r="G3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1906</v>
      </c>
      <c r="O357" s="37" t="s">
        <v>4534</v>
      </c>
      <c r="P357" s="37" t="s">
        <v>4535</v>
      </c>
      <c r="Q357" s="39" t="s">
        <v>3416</v>
      </c>
      <c r="R357" s="34" t="s">
        <v>3407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3570</v>
      </c>
      <c r="X357" s="34" t="s">
        <v>3571</v>
      </c>
      <c r="Y357" s="34" t="s">
        <v>3409</v>
      </c>
      <c r="Z357" s="34">
        <v>5</v>
      </c>
      <c r="AA357" s="34" t="s">
        <v>4536</v>
      </c>
      <c r="AB357" s="34" t="s">
        <v>4536</v>
      </c>
      <c r="AC357" s="34" t="s">
        <v>4537</v>
      </c>
      <c r="AD357" s="34" t="s">
        <v>4537</v>
      </c>
      <c r="AE357" s="34" t="s">
        <v>4538</v>
      </c>
      <c r="AF357" s="34" t="s">
        <v>3809</v>
      </c>
      <c r="AG357" s="34" t="s">
        <v>3667</v>
      </c>
      <c r="AH357" s="34" t="s">
        <v>4539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7" t="str">
        <f>IFERROR(INDEX(Структура_ассортимента[SuperCategory],MATCH(Товары[[#This Row],[SubGroup]],Структура_ассортимента[Subgroup],0)),"")</f>
        <v>A</v>
      </c>
      <c r="D3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7" t="str">
        <f>IFERROR(INDEX(Структура_ассортимента[Product group],MATCH(Товары[[#This Row],[SubGroup]],Структура_ассортимента[Subgroup],0)),"")</f>
        <v>AMT_C</v>
      </c>
      <c r="G3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1907</v>
      </c>
      <c r="Q358" s="39" t="s">
        <v>3416</v>
      </c>
      <c r="R358" s="34" t="s">
        <v>3407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3570</v>
      </c>
      <c r="X358" s="34" t="s">
        <v>3571</v>
      </c>
      <c r="Y358" s="34" t="s">
        <v>3409</v>
      </c>
      <c r="Z358" s="34">
        <v>5</v>
      </c>
      <c r="AA358" s="34" t="s">
        <v>3730</v>
      </c>
      <c r="AB358" s="34" t="s">
        <v>3730</v>
      </c>
      <c r="AC358" s="34" t="s">
        <v>4540</v>
      </c>
      <c r="AD358" s="34" t="s">
        <v>4540</v>
      </c>
      <c r="AE358" s="34" t="s">
        <v>4541</v>
      </c>
      <c r="AF358" s="34" t="s">
        <v>3478</v>
      </c>
      <c r="AG358" s="34" t="s">
        <v>3443</v>
      </c>
      <c r="AH358" s="34" t="s">
        <v>4542</v>
      </c>
      <c r="AL358" s="34">
        <v>350</v>
      </c>
      <c r="AM358" s="34" t="s">
        <v>7962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7" t="str">
        <f>IFERROR(INDEX(Структура_ассортимента[SuperCategory],MATCH(Товары[[#This Row],[SubGroup]],Структура_ассортимента[Subgroup],0)),"")</f>
        <v>A</v>
      </c>
      <c r="D3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7" t="str">
        <f>IFERROR(INDEX(Структура_ассортимента[Product group],MATCH(Товары[[#This Row],[SubGroup]],Структура_ассортимента[Subgroup],0)),"")</f>
        <v>AMT_C</v>
      </c>
      <c r="G3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1908</v>
      </c>
      <c r="O359" s="37" t="s">
        <v>4543</v>
      </c>
      <c r="P359" s="37" t="s">
        <v>4544</v>
      </c>
      <c r="Q359" s="39" t="s">
        <v>3519</v>
      </c>
      <c r="R359" s="34" t="s">
        <v>3407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3570</v>
      </c>
      <c r="X359" s="34" t="s">
        <v>3571</v>
      </c>
      <c r="Y359" s="34" t="s">
        <v>3409</v>
      </c>
      <c r="Z359" s="34">
        <v>5</v>
      </c>
      <c r="AA359" s="34" t="s">
        <v>4545</v>
      </c>
      <c r="AB359" s="34" t="s">
        <v>4545</v>
      </c>
      <c r="AC359" s="34" t="s">
        <v>4386</v>
      </c>
      <c r="AD359" s="34" t="s">
        <v>4386</v>
      </c>
      <c r="AE359" s="34" t="s">
        <v>4546</v>
      </c>
      <c r="AF359" s="34" t="s">
        <v>4547</v>
      </c>
      <c r="AG359" s="34" t="s">
        <v>4548</v>
      </c>
      <c r="AH359" s="34" t="s">
        <v>4549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7" t="str">
        <f>IFERROR(INDEX(Структура_ассортимента[SuperCategory],MATCH(Товары[[#This Row],[SubGroup]],Структура_ассортимента[Subgroup],0)),"")</f>
        <v>A</v>
      </c>
      <c r="D3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7" t="str">
        <f>IFERROR(INDEX(Структура_ассортимента[Product group],MATCH(Товары[[#This Row],[SubGroup]],Структура_ассортимента[Subgroup],0)),"")</f>
        <v>AMT_C</v>
      </c>
      <c r="G3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1909</v>
      </c>
      <c r="Q360" s="39" t="s">
        <v>3416</v>
      </c>
      <c r="R360" s="34" t="s">
        <v>3407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3570</v>
      </c>
      <c r="X360" s="34" t="s">
        <v>3571</v>
      </c>
      <c r="Y360" s="34" t="s">
        <v>3409</v>
      </c>
      <c r="Z360" s="34">
        <v>5</v>
      </c>
      <c r="AA360" s="34" t="s">
        <v>4550</v>
      </c>
      <c r="AB360" s="34" t="s">
        <v>4550</v>
      </c>
      <c r="AC360" s="34" t="s">
        <v>4551</v>
      </c>
      <c r="AD360" s="34" t="s">
        <v>4551</v>
      </c>
      <c r="AE360" s="34" t="s">
        <v>3457</v>
      </c>
      <c r="AF360" s="34" t="s">
        <v>4496</v>
      </c>
      <c r="AG360" s="34" t="s">
        <v>3667</v>
      </c>
      <c r="AH360" s="34" t="s">
        <v>4552</v>
      </c>
      <c r="AL360" s="34">
        <v>440</v>
      </c>
      <c r="AM360" s="34" t="s">
        <v>7962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7" t="str">
        <f>IFERROR(INDEX(Структура_ассортимента[SuperCategory],MATCH(Товары[[#This Row],[SubGroup]],Структура_ассортимента[Subgroup],0)),"")</f>
        <v>A</v>
      </c>
      <c r="D3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7" t="str">
        <f>IFERROR(INDEX(Структура_ассортимента[Product group],MATCH(Товары[[#This Row],[SubGroup]],Структура_ассортимента[Subgroup],0)),"")</f>
        <v>AMT_C</v>
      </c>
      <c r="G3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1910</v>
      </c>
      <c r="O361" s="37" t="s">
        <v>4553</v>
      </c>
      <c r="P361" s="37" t="s">
        <v>4554</v>
      </c>
      <c r="Q361" s="39" t="s">
        <v>3416</v>
      </c>
      <c r="R361" s="34" t="s">
        <v>3407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3570</v>
      </c>
      <c r="X361" s="34" t="s">
        <v>3571</v>
      </c>
      <c r="Y361" s="34" t="s">
        <v>3409</v>
      </c>
      <c r="Z361" s="34">
        <v>5</v>
      </c>
      <c r="AA361" s="34" t="s">
        <v>4406</v>
      </c>
      <c r="AB361" s="34" t="s">
        <v>4406</v>
      </c>
      <c r="AC361" s="34" t="s">
        <v>3728</v>
      </c>
      <c r="AD361" s="34" t="s">
        <v>3728</v>
      </c>
      <c r="AE361" s="34" t="s">
        <v>4555</v>
      </c>
      <c r="AF361" s="34" t="s">
        <v>4556</v>
      </c>
      <c r="AG361" s="34" t="s">
        <v>4436</v>
      </c>
      <c r="AH361" s="34" t="s">
        <v>4557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7" t="str">
        <f>IFERROR(INDEX(Структура_ассортимента[SuperCategory],MATCH(Товары[[#This Row],[SubGroup]],Структура_ассортимента[Subgroup],0)),"")</f>
        <v>A</v>
      </c>
      <c r="D3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7" t="str">
        <f>IFERROR(INDEX(Структура_ассортимента[Product group],MATCH(Товары[[#This Row],[SubGroup]],Структура_ассортимента[Subgroup],0)),"")</f>
        <v>AMT_C</v>
      </c>
      <c r="G3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1911</v>
      </c>
      <c r="Q362" s="39" t="s">
        <v>3416</v>
      </c>
      <c r="R362" s="34" t="s">
        <v>3407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3570</v>
      </c>
      <c r="X362" s="34" t="s">
        <v>3571</v>
      </c>
      <c r="Y362" s="34" t="s">
        <v>3409</v>
      </c>
      <c r="Z362" s="34">
        <v>5</v>
      </c>
      <c r="AA362" s="34" t="s">
        <v>4352</v>
      </c>
      <c r="AB362" s="34" t="s">
        <v>4352</v>
      </c>
      <c r="AC362" s="34" t="s">
        <v>4047</v>
      </c>
      <c r="AD362" s="34" t="s">
        <v>4047</v>
      </c>
      <c r="AE362" s="34" t="s">
        <v>3806</v>
      </c>
      <c r="AF362" s="34" t="s">
        <v>3632</v>
      </c>
      <c r="AG362" s="34" t="s">
        <v>4191</v>
      </c>
      <c r="AH362" s="34" t="s">
        <v>4558</v>
      </c>
      <c r="AL362" s="34">
        <v>800</v>
      </c>
      <c r="AM362" s="34" t="s">
        <v>7962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7" t="str">
        <f>IFERROR(INDEX(Структура_ассортимента[SuperCategory],MATCH(Товары[[#This Row],[SubGroup]],Структура_ассортимента[Subgroup],0)),"")</f>
        <v>A</v>
      </c>
      <c r="D3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7" t="str">
        <f>IFERROR(INDEX(Структура_ассортимента[Product group],MATCH(Товары[[#This Row],[SubGroup]],Структура_ассортимента[Subgroup],0)),"")</f>
        <v>AMT_C</v>
      </c>
      <c r="G3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1912</v>
      </c>
      <c r="Q363" s="39" t="s">
        <v>3519</v>
      </c>
      <c r="R363" s="34" t="s">
        <v>3407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3570</v>
      </c>
      <c r="X363" s="34" t="s">
        <v>3571</v>
      </c>
      <c r="Y363" s="34" t="s">
        <v>3409</v>
      </c>
      <c r="Z363" s="34">
        <v>5</v>
      </c>
      <c r="AA363" s="34" t="s">
        <v>4019</v>
      </c>
      <c r="AB363" s="34" t="s">
        <v>4019</v>
      </c>
      <c r="AC363" s="34" t="s">
        <v>4007</v>
      </c>
      <c r="AD363" s="34" t="s">
        <v>4007</v>
      </c>
      <c r="AE363" s="34" t="s">
        <v>4455</v>
      </c>
      <c r="AF363" s="34" t="s">
        <v>3632</v>
      </c>
      <c r="AG363" s="34" t="s">
        <v>4051</v>
      </c>
      <c r="AH363" s="34" t="s">
        <v>4559</v>
      </c>
      <c r="AL363" s="34">
        <v>945</v>
      </c>
      <c r="AM363" s="34" t="s">
        <v>7962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7" t="str">
        <f>IFERROR(INDEX(Структура_ассортимента[SuperCategory],MATCH(Товары[[#This Row],[SubGroup]],Структура_ассортимента[Subgroup],0)),"")</f>
        <v>A</v>
      </c>
      <c r="D3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7" t="str">
        <f>IFERROR(INDEX(Структура_ассортимента[Product group],MATCH(Товары[[#This Row],[SubGroup]],Структура_ассортимента[Subgroup],0)),"")</f>
        <v>AMT_C</v>
      </c>
      <c r="G3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1913</v>
      </c>
      <c r="O364" s="37" t="s">
        <v>4560</v>
      </c>
      <c r="P364" s="37" t="s">
        <v>4561</v>
      </c>
      <c r="Q364" s="39" t="s">
        <v>3416</v>
      </c>
      <c r="R364" s="34" t="s">
        <v>3407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3410</v>
      </c>
      <c r="X364" s="34" t="s">
        <v>3446</v>
      </c>
      <c r="Y364" s="34" t="s">
        <v>3409</v>
      </c>
      <c r="Z364" s="34">
        <v>20</v>
      </c>
      <c r="AA364" s="34" t="s">
        <v>4562</v>
      </c>
      <c r="AB364" s="34" t="s">
        <v>4562</v>
      </c>
      <c r="AC364" s="34" t="s">
        <v>3465</v>
      </c>
      <c r="AD364" s="34" t="s">
        <v>3465</v>
      </c>
      <c r="AE364" s="34" t="s">
        <v>4458</v>
      </c>
      <c r="AF364" s="34" t="s">
        <v>4496</v>
      </c>
      <c r="AG364" s="34" t="s">
        <v>3667</v>
      </c>
      <c r="AH364" s="34" t="s">
        <v>4563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7" t="str">
        <f>IFERROR(INDEX(Структура_ассортимента[SuperCategory],MATCH(Товары[[#This Row],[SubGroup]],Структура_ассортимента[Subgroup],0)),"")</f>
        <v>A</v>
      </c>
      <c r="D3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7" t="str">
        <f>IFERROR(INDEX(Структура_ассортимента[Product group],MATCH(Товары[[#This Row],[SubGroup]],Структура_ассортимента[Subgroup],0)),"")</f>
        <v>AMT_C</v>
      </c>
      <c r="G3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1914</v>
      </c>
      <c r="O365" s="37" t="s">
        <v>4564</v>
      </c>
      <c r="P365" s="37" t="s">
        <v>4565</v>
      </c>
      <c r="Q365" s="39" t="s">
        <v>3416</v>
      </c>
      <c r="R365" s="34" t="s">
        <v>3407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3410</v>
      </c>
      <c r="X365" s="34" t="s">
        <v>3446</v>
      </c>
      <c r="Y365" s="34" t="s">
        <v>3409</v>
      </c>
      <c r="Z365" s="34">
        <v>20</v>
      </c>
      <c r="AA365" s="34" t="s">
        <v>4473</v>
      </c>
      <c r="AB365" s="34" t="s">
        <v>4566</v>
      </c>
      <c r="AC365" s="34" t="s">
        <v>4132</v>
      </c>
      <c r="AD365" s="34" t="s">
        <v>4132</v>
      </c>
      <c r="AE365" s="34" t="s">
        <v>4458</v>
      </c>
      <c r="AF365" s="34" t="s">
        <v>4496</v>
      </c>
      <c r="AG365" s="34" t="s">
        <v>3574</v>
      </c>
      <c r="AH365" s="34" t="s">
        <v>4567</v>
      </c>
      <c r="AL365" s="34" t="s">
        <v>4264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7" t="str">
        <f>IFERROR(INDEX(Структура_ассортимента[SuperCategory],MATCH(Товары[[#This Row],[SubGroup]],Структура_ассортимента[Subgroup],0)),"")</f>
        <v>A</v>
      </c>
      <c r="D3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7" t="str">
        <f>IFERROR(INDEX(Структура_ассортимента[Product group],MATCH(Товары[[#This Row],[SubGroup]],Структура_ассортимента[Subgroup],0)),"")</f>
        <v>AMT_C</v>
      </c>
      <c r="G3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1915</v>
      </c>
      <c r="O366" s="37" t="s">
        <v>4568</v>
      </c>
      <c r="P366" s="37" t="s">
        <v>4569</v>
      </c>
      <c r="Q366" s="39" t="s">
        <v>3416</v>
      </c>
      <c r="R366" s="34" t="s">
        <v>3407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3410</v>
      </c>
      <c r="X366" s="34" t="s">
        <v>3446</v>
      </c>
      <c r="Y366" s="34" t="s">
        <v>3409</v>
      </c>
      <c r="Z366" s="34">
        <v>20</v>
      </c>
      <c r="AA366" s="34" t="s">
        <v>3829</v>
      </c>
      <c r="AB366" s="34" t="s">
        <v>3829</v>
      </c>
      <c r="AC366" s="34" t="s">
        <v>3440</v>
      </c>
      <c r="AD366" s="34" t="s">
        <v>3440</v>
      </c>
      <c r="AE366" s="34" t="s">
        <v>4458</v>
      </c>
      <c r="AF366" s="34" t="s">
        <v>4570</v>
      </c>
      <c r="AG366" s="34" t="s">
        <v>4416</v>
      </c>
      <c r="AH366" s="34" t="s">
        <v>4571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7" t="str">
        <f>IFERROR(INDEX(Структура_ассортимента[SuperCategory],MATCH(Товары[[#This Row],[SubGroup]],Структура_ассортимента[Subgroup],0)),"")</f>
        <v>A</v>
      </c>
      <c r="D3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7" t="str">
        <f>IFERROR(INDEX(Структура_ассортимента[Product group],MATCH(Товары[[#This Row],[SubGroup]],Структура_ассортимента[Subgroup],0)),"")</f>
        <v>AMT_C</v>
      </c>
      <c r="G3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1916</v>
      </c>
      <c r="O367" s="37" t="s">
        <v>4572</v>
      </c>
      <c r="P367" s="37" t="s">
        <v>4573</v>
      </c>
      <c r="Q367" s="39" t="s">
        <v>3416</v>
      </c>
      <c r="R367" s="34" t="s">
        <v>3407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3570</v>
      </c>
      <c r="X367" s="34" t="s">
        <v>3571</v>
      </c>
      <c r="Y367" s="34" t="s">
        <v>3409</v>
      </c>
      <c r="Z367" s="34">
        <v>5</v>
      </c>
      <c r="AA367" s="34" t="s">
        <v>4574</v>
      </c>
      <c r="AB367" s="34" t="s">
        <v>4574</v>
      </c>
      <c r="AC367" s="34" t="s">
        <v>4575</v>
      </c>
      <c r="AD367" s="34" t="s">
        <v>4575</v>
      </c>
      <c r="AE367" s="34" t="s">
        <v>4324</v>
      </c>
      <c r="AF367" s="34" t="s">
        <v>3719</v>
      </c>
      <c r="AG367" s="34" t="s">
        <v>4436</v>
      </c>
      <c r="AH367" s="34" t="s">
        <v>4576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7" t="str">
        <f>IFERROR(INDEX(Структура_ассортимента[SuperCategory],MATCH(Товары[[#This Row],[SubGroup]],Структура_ассортимента[Subgroup],0)),"")</f>
        <v>A</v>
      </c>
      <c r="D3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7" t="str">
        <f>IFERROR(INDEX(Структура_ассортимента[Product group],MATCH(Товары[[#This Row],[SubGroup]],Структура_ассортимента[Subgroup],0)),"")</f>
        <v>AMT_C</v>
      </c>
      <c r="G3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1917</v>
      </c>
      <c r="Q368" s="39" t="s">
        <v>3416</v>
      </c>
      <c r="R368" s="34" t="s">
        <v>3407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3570</v>
      </c>
      <c r="X368" s="34" t="s">
        <v>3571</v>
      </c>
      <c r="Y368" s="34" t="s">
        <v>3409</v>
      </c>
      <c r="Z368" s="34">
        <v>5</v>
      </c>
      <c r="AA368" s="34" t="s">
        <v>3489</v>
      </c>
      <c r="AB368" s="34" t="s">
        <v>3489</v>
      </c>
      <c r="AC368" s="34" t="s">
        <v>4577</v>
      </c>
      <c r="AD368" s="34" t="s">
        <v>4577</v>
      </c>
      <c r="AE368" s="34" t="s">
        <v>4324</v>
      </c>
      <c r="AF368" s="34" t="s">
        <v>4570</v>
      </c>
      <c r="AG368" s="34" t="s">
        <v>4416</v>
      </c>
      <c r="AH368" s="34" t="s">
        <v>4578</v>
      </c>
      <c r="AL368" s="34">
        <v>130</v>
      </c>
      <c r="AM368" s="34" t="s">
        <v>7962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7" t="str">
        <f>IFERROR(INDEX(Структура_ассортимента[SuperCategory],MATCH(Товары[[#This Row],[SubGroup]],Структура_ассортимента[Subgroup],0)),"")</f>
        <v>A</v>
      </c>
      <c r="D3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7" t="str">
        <f>IFERROR(INDEX(Структура_ассортимента[Product group],MATCH(Товары[[#This Row],[SubGroup]],Структура_ассортимента[Subgroup],0)),"")</f>
        <v>AMT_C</v>
      </c>
      <c r="G3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1918</v>
      </c>
      <c r="O369" s="37" t="s">
        <v>4579</v>
      </c>
      <c r="P369" s="37" t="s">
        <v>4580</v>
      </c>
      <c r="Q369" s="39" t="s">
        <v>3416</v>
      </c>
      <c r="R369" s="34" t="s">
        <v>3407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3570</v>
      </c>
      <c r="X369" s="34" t="s">
        <v>3571</v>
      </c>
      <c r="Y369" s="34" t="s">
        <v>3409</v>
      </c>
      <c r="Z369" s="34">
        <v>5</v>
      </c>
      <c r="AA369" s="34" t="s">
        <v>4581</v>
      </c>
      <c r="AB369" s="34" t="s">
        <v>4581</v>
      </c>
      <c r="AC369" s="34" t="s">
        <v>4582</v>
      </c>
      <c r="AD369" s="34" t="s">
        <v>4582</v>
      </c>
      <c r="AE369" s="34" t="s">
        <v>4570</v>
      </c>
      <c r="AF369" s="34" t="s">
        <v>3447</v>
      </c>
      <c r="AG369" s="34" t="s">
        <v>4202</v>
      </c>
      <c r="AH369" s="34" t="s">
        <v>4583</v>
      </c>
      <c r="AI369" s="34" t="s">
        <v>3830</v>
      </c>
      <c r="AJ369" s="34" t="s">
        <v>3574</v>
      </c>
      <c r="AK369" s="34" t="s">
        <v>3457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7" t="str">
        <f>IFERROR(INDEX(Структура_ассортимента[SuperCategory],MATCH(Товары[[#This Row],[SubGroup]],Структура_ассортимента[Subgroup],0)),"")</f>
        <v>A</v>
      </c>
      <c r="D3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7" t="str">
        <f>IFERROR(INDEX(Структура_ассортимента[Product group],MATCH(Товары[[#This Row],[SubGroup]],Структура_ассортимента[Subgroup],0)),"")</f>
        <v>AMT_C</v>
      </c>
      <c r="G3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1919</v>
      </c>
      <c r="O370" s="37" t="s">
        <v>4584</v>
      </c>
      <c r="P370" s="37" t="s">
        <v>4585</v>
      </c>
      <c r="Q370" s="39" t="s">
        <v>3416</v>
      </c>
      <c r="R370" s="34" t="s">
        <v>3407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3408</v>
      </c>
      <c r="X370" s="34" t="s">
        <v>3571</v>
      </c>
      <c r="Y370" s="34" t="s">
        <v>3409</v>
      </c>
      <c r="Z370" s="34">
        <v>5</v>
      </c>
      <c r="AA370" s="34" t="s">
        <v>4017</v>
      </c>
      <c r="AB370" s="34" t="s">
        <v>4017</v>
      </c>
      <c r="AC370" s="34" t="s">
        <v>4586</v>
      </c>
      <c r="AD370" s="34" t="s">
        <v>4586</v>
      </c>
      <c r="AE370" s="34" t="s">
        <v>3719</v>
      </c>
      <c r="AF370" s="34" t="s">
        <v>3529</v>
      </c>
      <c r="AG370" s="34" t="s">
        <v>4587</v>
      </c>
      <c r="AH370" s="34" t="s">
        <v>4588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7" t="str">
        <f>IFERROR(INDEX(Структура_ассортимента[SuperCategory],MATCH(Товары[[#This Row],[SubGroup]],Структура_ассортимента[Subgroup],0)),"")</f>
        <v>A</v>
      </c>
      <c r="D3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7" t="str">
        <f>IFERROR(INDEX(Структура_ассортимента[Product group],MATCH(Товары[[#This Row],[SubGroup]],Структура_ассортимента[Subgroup],0)),"")</f>
        <v>AMT_C</v>
      </c>
      <c r="G3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1920</v>
      </c>
      <c r="Q371" s="39" t="s">
        <v>3416</v>
      </c>
      <c r="R371" s="34" t="s">
        <v>3407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3408</v>
      </c>
      <c r="X371" s="34" t="s">
        <v>3571</v>
      </c>
      <c r="Y371" s="34" t="s">
        <v>3409</v>
      </c>
      <c r="Z371" s="34">
        <v>5</v>
      </c>
      <c r="AA371" s="34" t="s">
        <v>4589</v>
      </c>
      <c r="AB371" s="34" t="s">
        <v>4589</v>
      </c>
      <c r="AC371" s="34" t="s">
        <v>3968</v>
      </c>
      <c r="AD371" s="34" t="s">
        <v>3968</v>
      </c>
      <c r="AE371" s="34" t="s">
        <v>4590</v>
      </c>
      <c r="AF371" s="34" t="s">
        <v>3686</v>
      </c>
      <c r="AG371" s="34" t="s">
        <v>4218</v>
      </c>
      <c r="AH371" s="34" t="s">
        <v>4591</v>
      </c>
      <c r="AL371" s="34">
        <v>200</v>
      </c>
      <c r="AM371" s="34" t="s">
        <v>7962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7" t="str">
        <f>IFERROR(INDEX(Структура_ассортимента[SuperCategory],MATCH(Товары[[#This Row],[SubGroup]],Структура_ассортимента[Subgroup],0)),"")</f>
        <v>A</v>
      </c>
      <c r="D3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7" t="str">
        <f>IFERROR(INDEX(Структура_ассортимента[Product group],MATCH(Товары[[#This Row],[SubGroup]],Структура_ассортимента[Subgroup],0)),"")</f>
        <v>AMT_C</v>
      </c>
      <c r="G3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1921</v>
      </c>
      <c r="O372" s="37" t="s">
        <v>4592</v>
      </c>
      <c r="P372" s="37" t="s">
        <v>4593</v>
      </c>
      <c r="Q372" s="39" t="s">
        <v>3416</v>
      </c>
      <c r="R372" s="34" t="s">
        <v>3407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3570</v>
      </c>
      <c r="X372" s="34" t="s">
        <v>3571</v>
      </c>
      <c r="Y372" s="34" t="s">
        <v>3409</v>
      </c>
      <c r="Z372" s="34">
        <v>5</v>
      </c>
      <c r="AA372" s="34" t="s">
        <v>4132</v>
      </c>
      <c r="AB372" s="34" t="s">
        <v>4132</v>
      </c>
      <c r="AC372" s="34" t="s">
        <v>3421</v>
      </c>
      <c r="AD372" s="34" t="s">
        <v>3421</v>
      </c>
      <c r="AE372" s="34" t="s">
        <v>4594</v>
      </c>
      <c r="AF372" s="34" t="s">
        <v>4595</v>
      </c>
      <c r="AG372" s="34" t="s">
        <v>4596</v>
      </c>
      <c r="AH372" s="34" t="s">
        <v>4597</v>
      </c>
      <c r="AI372" s="34" t="s">
        <v>3835</v>
      </c>
      <c r="AJ372" s="34" t="s">
        <v>4258</v>
      </c>
      <c r="AK372" s="34" t="s">
        <v>4598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7" t="str">
        <f>IFERROR(INDEX(Структура_ассортимента[SuperCategory],MATCH(Товары[[#This Row],[SubGroup]],Структура_ассортимента[Subgroup],0)),"")</f>
        <v>A</v>
      </c>
      <c r="D3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7" t="str">
        <f>IFERROR(INDEX(Структура_ассортимента[Product group],MATCH(Товары[[#This Row],[SubGroup]],Структура_ассортимента[Subgroup],0)),"")</f>
        <v>AMT_C</v>
      </c>
      <c r="G3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1922</v>
      </c>
      <c r="Q373" s="39" t="s">
        <v>3519</v>
      </c>
      <c r="R373" s="34" t="s">
        <v>3407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3570</v>
      </c>
      <c r="X373" s="34" t="s">
        <v>3571</v>
      </c>
      <c r="Y373" s="34" t="s">
        <v>3409</v>
      </c>
      <c r="Z373" s="34">
        <v>5</v>
      </c>
      <c r="AA373" s="34" t="s">
        <v>3500</v>
      </c>
      <c r="AB373" s="34" t="s">
        <v>3500</v>
      </c>
      <c r="AC373" s="34" t="s">
        <v>4599</v>
      </c>
      <c r="AD373" s="34" t="s">
        <v>4599</v>
      </c>
      <c r="AE373" s="34" t="s">
        <v>4600</v>
      </c>
      <c r="AF373" s="34" t="s">
        <v>3745</v>
      </c>
      <c r="AG373" s="34" t="s">
        <v>3433</v>
      </c>
      <c r="AH373" s="34" t="s">
        <v>4601</v>
      </c>
      <c r="AI373" s="34" t="s">
        <v>3835</v>
      </c>
      <c r="AJ373" s="34" t="s">
        <v>4258</v>
      </c>
      <c r="AK373" s="34" t="s">
        <v>4600</v>
      </c>
      <c r="AL373" s="34">
        <v>100</v>
      </c>
      <c r="AM373" s="34" t="s">
        <v>7962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7" t="str">
        <f>IFERROR(INDEX(Структура_ассортимента[SuperCategory],MATCH(Товары[[#This Row],[SubGroup]],Структура_ассортимента[Subgroup],0)),"")</f>
        <v>A</v>
      </c>
      <c r="D3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7" t="str">
        <f>IFERROR(INDEX(Структура_ассортимента[Product group],MATCH(Товары[[#This Row],[SubGroup]],Структура_ассортимента[Subgroup],0)),"")</f>
        <v>AMT_C</v>
      </c>
      <c r="G3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1923</v>
      </c>
      <c r="Q374" s="39" t="s">
        <v>3416</v>
      </c>
      <c r="R374" s="34" t="s">
        <v>3407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3570</v>
      </c>
      <c r="X374" s="34" t="s">
        <v>3571</v>
      </c>
      <c r="Y374" s="34" t="s">
        <v>3409</v>
      </c>
      <c r="Z374" s="34">
        <v>5</v>
      </c>
      <c r="AA374" s="34" t="s">
        <v>4406</v>
      </c>
      <c r="AB374" s="34" t="s">
        <v>4406</v>
      </c>
      <c r="AC374" s="34" t="s">
        <v>3728</v>
      </c>
      <c r="AD374" s="34" t="s">
        <v>3728</v>
      </c>
      <c r="AE374" s="34" t="s">
        <v>4602</v>
      </c>
      <c r="AF374" s="34" t="s">
        <v>4603</v>
      </c>
      <c r="AG374" s="34" t="s">
        <v>3799</v>
      </c>
      <c r="AH374" s="34" t="s">
        <v>4604</v>
      </c>
      <c r="AL374" s="34">
        <v>340</v>
      </c>
      <c r="AM374" s="34" t="s">
        <v>7962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7" t="str">
        <f>IFERROR(INDEX(Структура_ассортимента[SuperCategory],MATCH(Товары[[#This Row],[SubGroup]],Структура_ассортимента[Subgroup],0)),"")</f>
        <v>A</v>
      </c>
      <c r="D3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7" t="str">
        <f>IFERROR(INDEX(Структура_ассортимента[Product group],MATCH(Товары[[#This Row],[SubGroup]],Структура_ассортимента[Subgroup],0)),"")</f>
        <v>AMT_C</v>
      </c>
      <c r="G3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1924</v>
      </c>
      <c r="O375" s="37" t="s">
        <v>4605</v>
      </c>
      <c r="P375" s="37" t="s">
        <v>4606</v>
      </c>
      <c r="Q375" s="39" t="s">
        <v>3416</v>
      </c>
      <c r="R375" s="34" t="s">
        <v>3407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3570</v>
      </c>
      <c r="X375" s="34" t="s">
        <v>3571</v>
      </c>
      <c r="Y375" s="34" t="s">
        <v>3409</v>
      </c>
      <c r="Z375" s="34">
        <v>3</v>
      </c>
      <c r="AA375" s="34" t="s">
        <v>4607</v>
      </c>
      <c r="AB375" s="34" t="s">
        <v>4607</v>
      </c>
      <c r="AC375" s="34" t="s">
        <v>3850</v>
      </c>
      <c r="AD375" s="34" t="s">
        <v>3850</v>
      </c>
      <c r="AE375" s="34" t="s">
        <v>4608</v>
      </c>
      <c r="AF375" s="34" t="s">
        <v>4609</v>
      </c>
      <c r="AG375" s="34" t="s">
        <v>4372</v>
      </c>
      <c r="AH375" s="34" t="s">
        <v>4610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7" t="str">
        <f>IFERROR(INDEX(Структура_ассортимента[SuperCategory],MATCH(Товары[[#This Row],[SubGroup]],Структура_ассортимента[Subgroup],0)),"")</f>
        <v>A</v>
      </c>
      <c r="D3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7" t="str">
        <f>IFERROR(INDEX(Структура_ассортимента[Product group],MATCH(Товары[[#This Row],[SubGroup]],Структура_ассортимента[Subgroup],0)),"")</f>
        <v>AMT_C</v>
      </c>
      <c r="G3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1925</v>
      </c>
      <c r="O376" s="37" t="s">
        <v>4611</v>
      </c>
      <c r="P376" s="37" t="s">
        <v>4612</v>
      </c>
      <c r="Q376" s="39" t="s">
        <v>3416</v>
      </c>
      <c r="R376" s="34" t="s">
        <v>3407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3570</v>
      </c>
      <c r="X376" s="34" t="s">
        <v>3571</v>
      </c>
      <c r="Y376" s="34" t="s">
        <v>3409</v>
      </c>
      <c r="Z376" s="34">
        <v>5</v>
      </c>
      <c r="AA376" s="34" t="s">
        <v>4613</v>
      </c>
      <c r="AB376" s="34" t="s">
        <v>4613</v>
      </c>
      <c r="AC376" s="34" t="s">
        <v>3728</v>
      </c>
      <c r="AD376" s="34" t="s">
        <v>3728</v>
      </c>
      <c r="AE376" s="34" t="s">
        <v>4614</v>
      </c>
      <c r="AF376" s="34" t="s">
        <v>3744</v>
      </c>
      <c r="AG376" s="34" t="s">
        <v>3753</v>
      </c>
      <c r="AH376" s="34" t="s">
        <v>4615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7" t="str">
        <f>IFERROR(INDEX(Структура_ассортимента[SuperCategory],MATCH(Товары[[#This Row],[SubGroup]],Структура_ассортимента[Subgroup],0)),"")</f>
        <v>A</v>
      </c>
      <c r="D3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7" t="str">
        <f>IFERROR(INDEX(Структура_ассортимента[Product group],MATCH(Товары[[#This Row],[SubGroup]],Структура_ассортимента[Subgroup],0)),"")</f>
        <v>AMT_C</v>
      </c>
      <c r="G3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1926</v>
      </c>
      <c r="Q377" s="39" t="s">
        <v>3416</v>
      </c>
      <c r="R377" s="34" t="s">
        <v>3407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3570</v>
      </c>
      <c r="X377" s="34" t="s">
        <v>3571</v>
      </c>
      <c r="Y377" s="34" t="s">
        <v>3409</v>
      </c>
      <c r="Z377" s="34">
        <v>5</v>
      </c>
      <c r="AA377" s="34" t="s">
        <v>4238</v>
      </c>
      <c r="AB377" s="34" t="s">
        <v>4238</v>
      </c>
      <c r="AC377" s="34" t="s">
        <v>4241</v>
      </c>
      <c r="AD377" s="34" t="s">
        <v>4241</v>
      </c>
      <c r="AE377" s="34" t="s">
        <v>3490</v>
      </c>
      <c r="AF377" s="34" t="s">
        <v>3693</v>
      </c>
      <c r="AG377" s="34" t="s">
        <v>3565</v>
      </c>
      <c r="AH377" s="34" t="s">
        <v>4616</v>
      </c>
      <c r="AL377" s="34">
        <v>90</v>
      </c>
      <c r="AM377" s="34" t="s">
        <v>7962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7" t="str">
        <f>IFERROR(INDEX(Структура_ассортимента[SuperCategory],MATCH(Товары[[#This Row],[SubGroup]],Структура_ассортимента[Subgroup],0)),"")</f>
        <v>A</v>
      </c>
      <c r="D3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7" t="str">
        <f>IFERROR(INDEX(Структура_ассортимента[Product group],MATCH(Товары[[#This Row],[SubGroup]],Структура_ассортимента[Subgroup],0)),"")</f>
        <v>AMT_C</v>
      </c>
      <c r="G3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1927</v>
      </c>
      <c r="O378" s="37" t="s">
        <v>4617</v>
      </c>
      <c r="P378" s="37" t="s">
        <v>4618</v>
      </c>
      <c r="Q378" s="39" t="s">
        <v>3416</v>
      </c>
      <c r="R378" s="34" t="s">
        <v>3407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3803</v>
      </c>
      <c r="X378" s="34" t="s">
        <v>3446</v>
      </c>
      <c r="Y378" s="34" t="s">
        <v>3409</v>
      </c>
      <c r="Z378" s="34">
        <v>3</v>
      </c>
      <c r="AA378" s="34" t="s">
        <v>4619</v>
      </c>
      <c r="AB378" s="34" t="s">
        <v>4619</v>
      </c>
      <c r="AC378" s="34" t="s">
        <v>4620</v>
      </c>
      <c r="AD378" s="34" t="s">
        <v>4620</v>
      </c>
      <c r="AE378" s="34" t="s">
        <v>4193</v>
      </c>
      <c r="AF378" s="34" t="s">
        <v>3610</v>
      </c>
      <c r="AG378" s="34" t="s">
        <v>3478</v>
      </c>
      <c r="AH378" s="34" t="s">
        <v>4621</v>
      </c>
      <c r="AI378" s="34" t="s">
        <v>4622</v>
      </c>
      <c r="AJ378" s="34" t="s">
        <v>3560</v>
      </c>
      <c r="AK378" s="34" t="s">
        <v>4623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7" t="str">
        <f>IFERROR(INDEX(Структура_ассортимента[SuperCategory],MATCH(Товары[[#This Row],[SubGroup]],Структура_ассортимента[Subgroup],0)),"")</f>
        <v>A</v>
      </c>
      <c r="D3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7" t="str">
        <f>IFERROR(INDEX(Структура_ассортимента[Product group],MATCH(Товары[[#This Row],[SubGroup]],Структура_ассортимента[Subgroup],0)),"")</f>
        <v>AMT_C</v>
      </c>
      <c r="G3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1928</v>
      </c>
      <c r="Q379" s="39" t="s">
        <v>3416</v>
      </c>
      <c r="R379" s="34" t="s">
        <v>3407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3410</v>
      </c>
      <c r="X379" s="34" t="s">
        <v>3446</v>
      </c>
      <c r="Y379" s="34" t="s">
        <v>3409</v>
      </c>
      <c r="Z379" s="34">
        <v>20</v>
      </c>
      <c r="AA379" s="34" t="s">
        <v>3453</v>
      </c>
      <c r="AB379" s="34" t="s">
        <v>3453</v>
      </c>
      <c r="AC379" s="34" t="s">
        <v>4624</v>
      </c>
      <c r="AD379" s="34" t="s">
        <v>4624</v>
      </c>
      <c r="AE379" s="34" t="s">
        <v>4458</v>
      </c>
      <c r="AF379" s="34" t="s">
        <v>3529</v>
      </c>
      <c r="AG379" s="34" t="s">
        <v>4587</v>
      </c>
      <c r="AH379" s="34" t="s">
        <v>4625</v>
      </c>
      <c r="AL379" s="34">
        <v>60</v>
      </c>
      <c r="AM379" s="34" t="s">
        <v>7962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7" t="str">
        <f>IFERROR(INDEX(Структура_ассортимента[SuperCategory],MATCH(Товары[[#This Row],[SubGroup]],Структура_ассортимента[Subgroup],0)),"")</f>
        <v>A</v>
      </c>
      <c r="D3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7" t="str">
        <f>IFERROR(INDEX(Структура_ассортимента[Product group],MATCH(Товары[[#This Row],[SubGroup]],Структура_ассортимента[Subgroup],0)),"")</f>
        <v>AMT_C</v>
      </c>
      <c r="G3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1929</v>
      </c>
      <c r="Q380" s="39" t="s">
        <v>3416</v>
      </c>
      <c r="R380" s="34" t="s">
        <v>3407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3410</v>
      </c>
      <c r="X380" s="34" t="s">
        <v>3446</v>
      </c>
      <c r="Y380" s="34" t="s">
        <v>3409</v>
      </c>
      <c r="Z380" s="34">
        <v>20</v>
      </c>
      <c r="AA380" s="34" t="s">
        <v>3501</v>
      </c>
      <c r="AB380" s="34" t="s">
        <v>3501</v>
      </c>
      <c r="AC380" s="34" t="s">
        <v>3430</v>
      </c>
      <c r="AD380" s="34" t="s">
        <v>3430</v>
      </c>
      <c r="AE380" s="34" t="s">
        <v>4193</v>
      </c>
      <c r="AF380" s="34" t="s">
        <v>3610</v>
      </c>
      <c r="AG380" s="34" t="s">
        <v>3478</v>
      </c>
      <c r="AH380" s="34" t="s">
        <v>4621</v>
      </c>
      <c r="AI380" s="34" t="s">
        <v>4622</v>
      </c>
      <c r="AJ380" s="34" t="s">
        <v>3560</v>
      </c>
      <c r="AK380" s="34" t="s">
        <v>4623</v>
      </c>
      <c r="AL380" s="34">
        <v>40</v>
      </c>
      <c r="AM380" s="34" t="s">
        <v>7962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7" t="str">
        <f>IFERROR(INDEX(Структура_ассортимента[SuperCategory],MATCH(Товары[[#This Row],[SubGroup]],Структура_ассортимента[Subgroup],0)),"")</f>
        <v>A</v>
      </c>
      <c r="D3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7" t="str">
        <f>IFERROR(INDEX(Структура_ассортимента[Product group],MATCH(Товары[[#This Row],[SubGroup]],Структура_ассортимента[Subgroup],0)),"")</f>
        <v>AMT_C</v>
      </c>
      <c r="G3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1930</v>
      </c>
      <c r="Q381" s="39" t="s">
        <v>3416</v>
      </c>
      <c r="R381" s="34" t="s">
        <v>3407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3410</v>
      </c>
      <c r="X381" s="34" t="s">
        <v>3446</v>
      </c>
      <c r="Y381" s="34" t="s">
        <v>3409</v>
      </c>
      <c r="Z381" s="34">
        <v>20</v>
      </c>
      <c r="AA381" s="34" t="s">
        <v>4626</v>
      </c>
      <c r="AB381" s="34" t="s">
        <v>4626</v>
      </c>
      <c r="AC381" s="34" t="s">
        <v>4627</v>
      </c>
      <c r="AD381" s="34" t="s">
        <v>4627</v>
      </c>
      <c r="AE381" s="34" t="s">
        <v>4458</v>
      </c>
      <c r="AF381" s="34" t="s">
        <v>3619</v>
      </c>
      <c r="AG381" s="34" t="s">
        <v>3492</v>
      </c>
      <c r="AH381" s="34" t="s">
        <v>4628</v>
      </c>
      <c r="AL381" s="34">
        <v>60</v>
      </c>
      <c r="AM381" s="34" t="s">
        <v>7962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7" t="str">
        <f>IFERROR(INDEX(Структура_ассортимента[SuperCategory],MATCH(Товары[[#This Row],[SubGroup]],Структура_ассортимента[Subgroup],0)),"")</f>
        <v>A</v>
      </c>
      <c r="D3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7" t="str">
        <f>IFERROR(INDEX(Структура_ассортимента[Product group],MATCH(Товары[[#This Row],[SubGroup]],Структура_ассортимента[Subgroup],0)),"")</f>
        <v>AMT_C</v>
      </c>
      <c r="G3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1931</v>
      </c>
      <c r="O382" s="37" t="s">
        <v>4629</v>
      </c>
      <c r="P382" s="37" t="s">
        <v>4630</v>
      </c>
      <c r="Q382" s="39" t="s">
        <v>3416</v>
      </c>
      <c r="R382" s="34" t="s">
        <v>3407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3408</v>
      </c>
      <c r="X382" s="34" t="s">
        <v>3571</v>
      </c>
      <c r="Y382" s="34" t="s">
        <v>3409</v>
      </c>
      <c r="Z382" s="34">
        <v>5</v>
      </c>
      <c r="AA382" s="34" t="s">
        <v>4540</v>
      </c>
      <c r="AB382" s="34" t="s">
        <v>4631</v>
      </c>
      <c r="AC382" s="34" t="s">
        <v>4632</v>
      </c>
      <c r="AD382" s="34" t="s">
        <v>4632</v>
      </c>
      <c r="AE382" s="34" t="s">
        <v>3477</v>
      </c>
      <c r="AF382" s="34" t="s">
        <v>4526</v>
      </c>
      <c r="AG382" s="34" t="s">
        <v>4090</v>
      </c>
      <c r="AH382" s="34" t="s">
        <v>4633</v>
      </c>
      <c r="AI382" s="34" t="s">
        <v>4634</v>
      </c>
      <c r="AJ382" s="34" t="s">
        <v>4436</v>
      </c>
      <c r="AK382" s="34" t="s">
        <v>4635</v>
      </c>
      <c r="AL382" s="34" t="s">
        <v>4264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7" t="str">
        <f>IFERROR(INDEX(Структура_ассортимента[SuperCategory],MATCH(Товары[[#This Row],[SubGroup]],Структура_ассортимента[Subgroup],0)),"")</f>
        <v>A</v>
      </c>
      <c r="D3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7" t="str">
        <f>IFERROR(INDEX(Структура_ассортимента[Product group],MATCH(Товары[[#This Row],[SubGroup]],Структура_ассортимента[Subgroup],0)),"")</f>
        <v>AMT_C</v>
      </c>
      <c r="G3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1932</v>
      </c>
      <c r="Q383" s="39" t="s">
        <v>3416</v>
      </c>
      <c r="R383" s="34" t="s">
        <v>3407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3410</v>
      </c>
      <c r="X383" s="34" t="s">
        <v>3446</v>
      </c>
      <c r="Y383" s="34" t="s">
        <v>3409</v>
      </c>
      <c r="Z383" s="34">
        <v>20</v>
      </c>
      <c r="AA383" s="34" t="s">
        <v>3430</v>
      </c>
      <c r="AB383" s="34" t="s">
        <v>3430</v>
      </c>
      <c r="AC383" s="34" t="s">
        <v>3465</v>
      </c>
      <c r="AD383" s="34" t="s">
        <v>3465</v>
      </c>
      <c r="AE383" s="34" t="s">
        <v>4458</v>
      </c>
      <c r="AF383" s="34" t="s">
        <v>3825</v>
      </c>
      <c r="AG383" s="34" t="s">
        <v>3424</v>
      </c>
      <c r="AH383" s="34" t="s">
        <v>4636</v>
      </c>
      <c r="AL383" s="34">
        <v>40</v>
      </c>
      <c r="AM383" s="34" t="s">
        <v>7962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7" t="str">
        <f>IFERROR(INDEX(Структура_ассортимента[SuperCategory],MATCH(Товары[[#This Row],[SubGroup]],Структура_ассортимента[Subgroup],0)),"")</f>
        <v>A</v>
      </c>
      <c r="D3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7" t="str">
        <f>IFERROR(INDEX(Структура_ассортимента[Product group],MATCH(Товары[[#This Row],[SubGroup]],Структура_ассортимента[Subgroup],0)),"")</f>
        <v>AMT_C</v>
      </c>
      <c r="G3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1933</v>
      </c>
      <c r="O384" s="37" t="s">
        <v>4637</v>
      </c>
      <c r="P384" s="37" t="s">
        <v>4638</v>
      </c>
      <c r="Q384" s="39" t="s">
        <v>3416</v>
      </c>
      <c r="R384" s="34" t="s">
        <v>3407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3410</v>
      </c>
      <c r="X384" s="34" t="s">
        <v>3446</v>
      </c>
      <c r="Y384" s="34" t="s">
        <v>3409</v>
      </c>
      <c r="Z384" s="34">
        <v>20</v>
      </c>
      <c r="AA384" s="34" t="s">
        <v>4639</v>
      </c>
      <c r="AB384" s="34" t="s">
        <v>4639</v>
      </c>
      <c r="AC384" s="34" t="s">
        <v>3743</v>
      </c>
      <c r="AD384" s="34" t="s">
        <v>3743</v>
      </c>
      <c r="AE384" s="34" t="s">
        <v>4474</v>
      </c>
      <c r="AF384" s="34" t="s">
        <v>3477</v>
      </c>
      <c r="AG384" s="34" t="s">
        <v>4526</v>
      </c>
      <c r="AH384" s="34" t="s">
        <v>4640</v>
      </c>
      <c r="AI384" s="34" t="s">
        <v>4634</v>
      </c>
      <c r="AJ384" s="34" t="s">
        <v>4436</v>
      </c>
      <c r="AK384" s="34" t="s">
        <v>4635</v>
      </c>
      <c r="AL384" s="34" t="s">
        <v>4264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7" t="str">
        <f>IFERROR(INDEX(Структура_ассортимента[SuperCategory],MATCH(Товары[[#This Row],[SubGroup]],Структура_ассортимента[Subgroup],0)),"")</f>
        <v>A</v>
      </c>
      <c r="D3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7" t="str">
        <f>IFERROR(INDEX(Структура_ассортимента[Product group],MATCH(Товары[[#This Row],[SubGroup]],Структура_ассортимента[Subgroup],0)),"")</f>
        <v>AMT_C</v>
      </c>
      <c r="G3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1934</v>
      </c>
      <c r="Q385" s="39" t="s">
        <v>3416</v>
      </c>
      <c r="R385" s="34" t="s">
        <v>3407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3408</v>
      </c>
      <c r="X385" s="34" t="s">
        <v>3571</v>
      </c>
      <c r="Y385" s="34" t="s">
        <v>3409</v>
      </c>
      <c r="Z385" s="34">
        <v>5</v>
      </c>
      <c r="AA385" s="34" t="s">
        <v>4267</v>
      </c>
      <c r="AB385" s="34" t="s">
        <v>4267</v>
      </c>
      <c r="AC385" s="34" t="s">
        <v>3795</v>
      </c>
      <c r="AD385" s="34" t="s">
        <v>3795</v>
      </c>
      <c r="AE385" s="34" t="s">
        <v>4641</v>
      </c>
      <c r="AF385" s="34" t="s">
        <v>3620</v>
      </c>
      <c r="AG385" s="34" t="s">
        <v>4642</v>
      </c>
      <c r="AH385" s="34" t="s">
        <v>4643</v>
      </c>
      <c r="AL385" s="34">
        <v>260</v>
      </c>
      <c r="AM385" s="34" t="s">
        <v>7962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7" t="str">
        <f>IFERROR(INDEX(Структура_ассортимента[SuperCategory],MATCH(Товары[[#This Row],[SubGroup]],Структура_ассортимента[Subgroup],0)),"")</f>
        <v>A</v>
      </c>
      <c r="D3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7" t="str">
        <f>IFERROR(INDEX(Структура_ассортимента[Product group],MATCH(Товары[[#This Row],[SubGroup]],Структура_ассортимента[Subgroup],0)),"")</f>
        <v>AMT_C</v>
      </c>
      <c r="G3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1935</v>
      </c>
      <c r="O386" s="37" t="s">
        <v>4644</v>
      </c>
      <c r="P386" s="37" t="s">
        <v>4645</v>
      </c>
      <c r="Q386" s="39" t="s">
        <v>3416</v>
      </c>
      <c r="R386" s="34" t="s">
        <v>3407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3417</v>
      </c>
      <c r="X386" s="34" t="s">
        <v>3446</v>
      </c>
      <c r="Y386" s="34" t="s">
        <v>3409</v>
      </c>
      <c r="Z386" s="34">
        <v>5</v>
      </c>
      <c r="AA386" s="34" t="s">
        <v>3987</v>
      </c>
      <c r="AB386" s="34" t="s">
        <v>3987</v>
      </c>
      <c r="AC386" s="34" t="s">
        <v>3863</v>
      </c>
      <c r="AD386" s="34" t="s">
        <v>3863</v>
      </c>
      <c r="AE386" s="34" t="s">
        <v>3575</v>
      </c>
      <c r="AF386" s="34" t="s">
        <v>3778</v>
      </c>
      <c r="AG386" s="34" t="s">
        <v>4098</v>
      </c>
      <c r="AH386" s="34" t="s">
        <v>4646</v>
      </c>
      <c r="AI386" s="34" t="s">
        <v>4496</v>
      </c>
      <c r="AJ386" s="34" t="s">
        <v>4496</v>
      </c>
      <c r="AK386" s="34" t="s">
        <v>4647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7" t="str">
        <f>IFERROR(INDEX(Структура_ассортимента[SuperCategory],MATCH(Товары[[#This Row],[SubGroup]],Структура_ассортимента[Subgroup],0)),"")</f>
        <v>A</v>
      </c>
      <c r="D3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7" t="str">
        <f>IFERROR(INDEX(Структура_ассортимента[Product group],MATCH(Товары[[#This Row],[SubGroup]],Структура_ассортимента[Subgroup],0)),"")</f>
        <v>AMT_C</v>
      </c>
      <c r="G3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1936</v>
      </c>
      <c r="Q387" s="39" t="s">
        <v>3416</v>
      </c>
      <c r="R387" s="34" t="s">
        <v>3407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3417</v>
      </c>
      <c r="X387" s="34" t="s">
        <v>3446</v>
      </c>
      <c r="Y387" s="34" t="s">
        <v>3409</v>
      </c>
      <c r="Z387" s="34">
        <v>5</v>
      </c>
      <c r="AA387" s="34" t="s">
        <v>3968</v>
      </c>
      <c r="AB387" s="34" t="s">
        <v>3968</v>
      </c>
      <c r="AC387" s="34" t="s">
        <v>3957</v>
      </c>
      <c r="AD387" s="34" t="s">
        <v>3957</v>
      </c>
      <c r="AE387" s="34" t="s">
        <v>3835</v>
      </c>
      <c r="AF387" s="34" t="s">
        <v>3443</v>
      </c>
      <c r="AG387" s="34" t="s">
        <v>3798</v>
      </c>
      <c r="AH387" s="34" t="s">
        <v>4648</v>
      </c>
      <c r="AI387" s="34" t="s">
        <v>4496</v>
      </c>
      <c r="AJ387" s="34" t="s">
        <v>4496</v>
      </c>
      <c r="AK387" s="34" t="s">
        <v>4647</v>
      </c>
      <c r="AL387" s="34">
        <v>625</v>
      </c>
      <c r="AM387" s="34" t="s">
        <v>7962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7" t="str">
        <f>IFERROR(INDEX(Структура_ассортимента[SuperCategory],MATCH(Товары[[#This Row],[SubGroup]],Структура_ассортимента[Subgroup],0)),"")</f>
        <v>A</v>
      </c>
      <c r="D3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7" t="str">
        <f>IFERROR(INDEX(Структура_ассортимента[Product group],MATCH(Товары[[#This Row],[SubGroup]],Структура_ассортимента[Subgroup],0)),"")</f>
        <v>AMT_C</v>
      </c>
      <c r="G3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1937</v>
      </c>
      <c r="Q388" s="39" t="s">
        <v>3416</v>
      </c>
      <c r="R388" s="34" t="s">
        <v>3407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3417</v>
      </c>
      <c r="X388" s="34" t="s">
        <v>3446</v>
      </c>
      <c r="Y388" s="34" t="s">
        <v>3409</v>
      </c>
      <c r="Z388" s="34">
        <v>5</v>
      </c>
      <c r="AA388" s="34" t="s">
        <v>4363</v>
      </c>
      <c r="AB388" s="34" t="s">
        <v>4363</v>
      </c>
      <c r="AC388" s="34" t="s">
        <v>4443</v>
      </c>
      <c r="AD388" s="34" t="s">
        <v>4443</v>
      </c>
      <c r="AE388" s="34" t="s">
        <v>3441</v>
      </c>
      <c r="AF388" s="34" t="s">
        <v>3809</v>
      </c>
      <c r="AG388" s="34" t="s">
        <v>3667</v>
      </c>
      <c r="AH388" s="34" t="s">
        <v>4649</v>
      </c>
      <c r="AI388" s="34" t="s">
        <v>4556</v>
      </c>
      <c r="AJ388" s="34" t="s">
        <v>4595</v>
      </c>
      <c r="AK388" s="34" t="s">
        <v>3426</v>
      </c>
      <c r="AL388" s="34">
        <v>150</v>
      </c>
      <c r="AM388" s="34" t="s">
        <v>7962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7" t="str">
        <f>IFERROR(INDEX(Структура_ассортимента[SuperCategory],MATCH(Товары[[#This Row],[SubGroup]],Структура_ассортимента[Subgroup],0)),"")</f>
        <v>A</v>
      </c>
      <c r="D3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7" t="str">
        <f>IFERROR(INDEX(Структура_ассортимента[Product group],MATCH(Товары[[#This Row],[SubGroup]],Структура_ассортимента[Subgroup],0)),"")</f>
        <v>AMT_C</v>
      </c>
      <c r="G3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1938</v>
      </c>
      <c r="Q389" s="39" t="s">
        <v>3416</v>
      </c>
      <c r="R389" s="34" t="s">
        <v>3407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3417</v>
      </c>
      <c r="X389" s="34" t="s">
        <v>3446</v>
      </c>
      <c r="Y389" s="34" t="s">
        <v>3409</v>
      </c>
      <c r="Z389" s="34">
        <v>5</v>
      </c>
      <c r="AA389" s="34" t="s">
        <v>4650</v>
      </c>
      <c r="AB389" s="34" t="s">
        <v>4650</v>
      </c>
      <c r="AC389" s="34" t="s">
        <v>4003</v>
      </c>
      <c r="AD389" s="34" t="s">
        <v>4003</v>
      </c>
      <c r="AE389" s="34" t="s">
        <v>3457</v>
      </c>
      <c r="AF389" s="34" t="s">
        <v>3692</v>
      </c>
      <c r="AG389" s="34" t="s">
        <v>4526</v>
      </c>
      <c r="AH389" s="34" t="s">
        <v>4651</v>
      </c>
      <c r="AI389" s="34" t="s">
        <v>4496</v>
      </c>
      <c r="AJ389" s="34" t="s">
        <v>4182</v>
      </c>
      <c r="AK389" s="34" t="s">
        <v>4652</v>
      </c>
      <c r="AL389" s="34">
        <v>150</v>
      </c>
      <c r="AM389" s="34" t="s">
        <v>7962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7" t="str">
        <f>IFERROR(INDEX(Структура_ассортимента[SuperCategory],MATCH(Товары[[#This Row],[SubGroup]],Структура_ассортимента[Subgroup],0)),"")</f>
        <v>A</v>
      </c>
      <c r="D3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7" t="str">
        <f>IFERROR(INDEX(Структура_ассортимента[Product group],MATCH(Товары[[#This Row],[SubGroup]],Структура_ассортимента[Subgroup],0)),"")</f>
        <v>AMT_C</v>
      </c>
      <c r="G3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1939</v>
      </c>
      <c r="Q390" s="39" t="s">
        <v>3416</v>
      </c>
      <c r="R390" s="34" t="s">
        <v>3407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3410</v>
      </c>
      <c r="X390" s="34" t="s">
        <v>3446</v>
      </c>
      <c r="Y390" s="34" t="s">
        <v>3409</v>
      </c>
      <c r="Z390" s="34">
        <v>30</v>
      </c>
      <c r="AA390" s="34" t="s">
        <v>3487</v>
      </c>
      <c r="AB390" s="34" t="s">
        <v>3487</v>
      </c>
      <c r="AC390" s="34" t="s">
        <v>4653</v>
      </c>
      <c r="AD390" s="34" t="s">
        <v>4653</v>
      </c>
      <c r="AE390" s="34" t="s">
        <v>3479</v>
      </c>
      <c r="AF390" s="34" t="s">
        <v>3778</v>
      </c>
      <c r="AG390" s="34" t="s">
        <v>4098</v>
      </c>
      <c r="AH390" s="34" t="s">
        <v>4654</v>
      </c>
      <c r="AL390" s="34">
        <v>90</v>
      </c>
      <c r="AM390" s="34" t="s">
        <v>7962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7" t="str">
        <f>IFERROR(INDEX(Структура_ассортимента[SuperCategory],MATCH(Товары[[#This Row],[SubGroup]],Структура_ассортимента[Subgroup],0)),"")</f>
        <v>A</v>
      </c>
      <c r="D3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7" t="str">
        <f>IFERROR(INDEX(Структура_ассортимента[Product group],MATCH(Товары[[#This Row],[SubGroup]],Структура_ассортимента[Subgroup],0)),"")</f>
        <v>AMT_C</v>
      </c>
      <c r="G3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1940</v>
      </c>
      <c r="O391" s="37" t="s">
        <v>4655</v>
      </c>
      <c r="P391" s="37" t="s">
        <v>4656</v>
      </c>
      <c r="Q391" s="39" t="s">
        <v>3416</v>
      </c>
      <c r="R391" s="34" t="s">
        <v>3407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3417</v>
      </c>
      <c r="X391" s="34" t="s">
        <v>3446</v>
      </c>
      <c r="Y391" s="34" t="s">
        <v>3409</v>
      </c>
      <c r="Z391" s="34">
        <v>5</v>
      </c>
      <c r="AA391" s="34" t="s">
        <v>3419</v>
      </c>
      <c r="AB391" s="34" t="s">
        <v>4657</v>
      </c>
      <c r="AC391" s="34" t="s">
        <v>3419</v>
      </c>
      <c r="AD391" s="34" t="s">
        <v>4658</v>
      </c>
      <c r="AE391" s="34" t="s">
        <v>3881</v>
      </c>
      <c r="AF391" s="34" t="s">
        <v>4027</v>
      </c>
      <c r="AG391" s="34" t="s">
        <v>3667</v>
      </c>
      <c r="AH391" s="34" t="s">
        <v>4659</v>
      </c>
      <c r="AI391" s="34" t="s">
        <v>4660</v>
      </c>
      <c r="AJ391" s="34" t="s">
        <v>4661</v>
      </c>
      <c r="AK391" s="34" t="s">
        <v>3881</v>
      </c>
      <c r="AL391" s="34" t="s">
        <v>4483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7" t="str">
        <f>IFERROR(INDEX(Структура_ассортимента[SuperCategory],MATCH(Товары[[#This Row],[SubGroup]],Структура_ассортимента[Subgroup],0)),"")</f>
        <v>A</v>
      </c>
      <c r="D3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7" t="str">
        <f>IFERROR(INDEX(Структура_ассортимента[Product group],MATCH(Товары[[#This Row],[SubGroup]],Структура_ассортимента[Subgroup],0)),"")</f>
        <v>AMT_C</v>
      </c>
      <c r="G3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1941</v>
      </c>
      <c r="O392" s="37" t="s">
        <v>4662</v>
      </c>
      <c r="P392" s="37" t="s">
        <v>4663</v>
      </c>
      <c r="Q392" s="39" t="s">
        <v>3416</v>
      </c>
      <c r="R392" s="34" t="s">
        <v>3407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3410</v>
      </c>
      <c r="X392" s="34" t="s">
        <v>3446</v>
      </c>
      <c r="Y392" s="34" t="s">
        <v>3409</v>
      </c>
      <c r="Z392" s="34">
        <v>20</v>
      </c>
      <c r="AA392" s="34" t="s">
        <v>3465</v>
      </c>
      <c r="AB392" s="34" t="s">
        <v>3465</v>
      </c>
      <c r="AC392" s="34" t="s">
        <v>3421</v>
      </c>
      <c r="AD392" s="34" t="s">
        <v>3421</v>
      </c>
      <c r="AE392" s="34" t="s">
        <v>4181</v>
      </c>
      <c r="AF392" s="34" t="s">
        <v>4027</v>
      </c>
      <c r="AG392" s="34" t="s">
        <v>3667</v>
      </c>
      <c r="AH392" s="34" t="s">
        <v>4664</v>
      </c>
      <c r="AL392" s="34" t="s">
        <v>4264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7" t="str">
        <f>IFERROR(INDEX(Структура_ассортимента[SuperCategory],MATCH(Товары[[#This Row],[SubGroup]],Структура_ассортимента[Subgroup],0)),"")</f>
        <v>A</v>
      </c>
      <c r="D3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7" t="str">
        <f>IFERROR(INDEX(Структура_ассортимента[Product group],MATCH(Товары[[#This Row],[SubGroup]],Структура_ассортимента[Subgroup],0)),"")</f>
        <v>AMT_C</v>
      </c>
      <c r="G3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1942</v>
      </c>
      <c r="O393" s="37" t="s">
        <v>4665</v>
      </c>
      <c r="P393" s="37" t="s">
        <v>4666</v>
      </c>
      <c r="Q393" s="39" t="s">
        <v>3416</v>
      </c>
      <c r="R393" s="34" t="s">
        <v>3407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3413</v>
      </c>
      <c r="X393" s="34" t="s">
        <v>3446</v>
      </c>
      <c r="Y393" s="34" t="s">
        <v>3409</v>
      </c>
      <c r="Z393" s="34">
        <v>5</v>
      </c>
      <c r="AB393" s="34" t="s">
        <v>4667</v>
      </c>
      <c r="AD393" s="34" t="s">
        <v>4668</v>
      </c>
      <c r="AE393" s="34" t="s">
        <v>4407</v>
      </c>
      <c r="AF393" s="34" t="s">
        <v>3864</v>
      </c>
      <c r="AG393" s="34" t="s">
        <v>4669</v>
      </c>
      <c r="AH393" s="34" t="s">
        <v>4670</v>
      </c>
      <c r="AI393" s="34" t="s">
        <v>4671</v>
      </c>
      <c r="AJ393" s="34" t="s">
        <v>3578</v>
      </c>
      <c r="AK393" s="34" t="s">
        <v>4672</v>
      </c>
      <c r="AL393" s="34" t="s">
        <v>4173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7" t="str">
        <f>IFERROR(INDEX(Структура_ассортимента[SuperCategory],MATCH(Товары[[#This Row],[SubGroup]],Структура_ассортимента[Subgroup],0)),"")</f>
        <v>A</v>
      </c>
      <c r="D3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7" t="str">
        <f>IFERROR(INDEX(Структура_ассортимента[Product group],MATCH(Товары[[#This Row],[SubGroup]],Структура_ассортимента[Subgroup],0)),"")</f>
        <v>AMT_C</v>
      </c>
      <c r="G3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1943</v>
      </c>
      <c r="O394" s="37" t="s">
        <v>4673</v>
      </c>
      <c r="P394" s="37" t="s">
        <v>4674</v>
      </c>
      <c r="Q394" s="39" t="s">
        <v>3416</v>
      </c>
      <c r="R394" s="34" t="s">
        <v>3407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3413</v>
      </c>
      <c r="X394" s="34" t="s">
        <v>3446</v>
      </c>
      <c r="Y394" s="34" t="s">
        <v>3409</v>
      </c>
      <c r="Z394" s="34">
        <v>5</v>
      </c>
      <c r="AB394" s="34" t="s">
        <v>3731</v>
      </c>
      <c r="AD394" s="34" t="s">
        <v>3629</v>
      </c>
      <c r="AE394" s="34" t="s">
        <v>4675</v>
      </c>
      <c r="AF394" s="34" t="s">
        <v>3835</v>
      </c>
      <c r="AG394" s="34" t="s">
        <v>3483</v>
      </c>
      <c r="AH394" s="34" t="s">
        <v>4676</v>
      </c>
      <c r="AI394" s="34" t="s">
        <v>4677</v>
      </c>
      <c r="AJ394" s="34" t="s">
        <v>3477</v>
      </c>
      <c r="AK394" s="34" t="s">
        <v>4678</v>
      </c>
      <c r="AL394" s="34" t="s">
        <v>3460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7" t="str">
        <f>IFERROR(INDEX(Структура_ассортимента[SuperCategory],MATCH(Товары[[#This Row],[SubGroup]],Структура_ассортимента[Subgroup],0)),"")</f>
        <v>A</v>
      </c>
      <c r="D3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7" t="str">
        <f>IFERROR(INDEX(Структура_ассортимента[Product group],MATCH(Товары[[#This Row],[SubGroup]],Структура_ассортимента[Subgroup],0)),"")</f>
        <v>AMT_C</v>
      </c>
      <c r="G3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1944</v>
      </c>
      <c r="O395" s="37" t="s">
        <v>4679</v>
      </c>
      <c r="P395" s="37" t="s">
        <v>4680</v>
      </c>
      <c r="Q395" s="39" t="s">
        <v>3416</v>
      </c>
      <c r="R395" s="34" t="s">
        <v>3407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3410</v>
      </c>
      <c r="X395" s="34" t="s">
        <v>3446</v>
      </c>
      <c r="Y395" s="34" t="s">
        <v>3409</v>
      </c>
      <c r="Z395" s="34">
        <v>12</v>
      </c>
      <c r="AB395" s="34" t="s">
        <v>4681</v>
      </c>
      <c r="AD395" s="34" t="s">
        <v>4682</v>
      </c>
      <c r="AE395" s="34" t="s">
        <v>4486</v>
      </c>
      <c r="AF395" s="34" t="s">
        <v>3835</v>
      </c>
      <c r="AG395" s="34" t="s">
        <v>3433</v>
      </c>
      <c r="AH395" s="34" t="s">
        <v>4683</v>
      </c>
      <c r="AL395" s="34" t="s">
        <v>4081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7" t="str">
        <f>IFERROR(INDEX(Структура_ассортимента[SuperCategory],MATCH(Товары[[#This Row],[SubGroup]],Структура_ассортимента[Subgroup],0)),"")</f>
        <v>A</v>
      </c>
      <c r="D3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7" t="str">
        <f>IFERROR(INDEX(Структура_ассортимента[Product group],MATCH(Товары[[#This Row],[SubGroup]],Структура_ассортимента[Subgroup],0)),"")</f>
        <v>AMT_C</v>
      </c>
      <c r="G3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1945</v>
      </c>
      <c r="O396" s="37" t="s">
        <v>4684</v>
      </c>
      <c r="P396" s="37" t="s">
        <v>4685</v>
      </c>
      <c r="Q396" s="39" t="s">
        <v>3416</v>
      </c>
      <c r="R396" s="34" t="s">
        <v>3407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3413</v>
      </c>
      <c r="X396" s="34" t="s">
        <v>3446</v>
      </c>
      <c r="Y396" s="34" t="s">
        <v>3409</v>
      </c>
      <c r="Z396" s="34">
        <v>5</v>
      </c>
      <c r="AB396" s="34" t="s">
        <v>4014</v>
      </c>
      <c r="AD396" s="34" t="s">
        <v>4686</v>
      </c>
      <c r="AE396" s="34" t="s">
        <v>3529</v>
      </c>
      <c r="AF396" s="34" t="s">
        <v>3969</v>
      </c>
      <c r="AG396" s="34" t="s">
        <v>3539</v>
      </c>
      <c r="AH396" s="34" t="s">
        <v>4687</v>
      </c>
      <c r="AI396" s="34" t="s">
        <v>4512</v>
      </c>
      <c r="AJ396" s="34" t="s">
        <v>4127</v>
      </c>
      <c r="AK396" s="34" t="s">
        <v>4688</v>
      </c>
      <c r="AL396" s="34" t="s">
        <v>4689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7" t="str">
        <f>IFERROR(INDEX(Структура_ассортимента[SuperCategory],MATCH(Товары[[#This Row],[SubGroup]],Структура_ассортимента[Subgroup],0)),"")</f>
        <v>A</v>
      </c>
      <c r="D3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7" t="str">
        <f>IFERROR(INDEX(Структура_ассортимента[Product group],MATCH(Товары[[#This Row],[SubGroup]],Структура_ассортимента[Subgroup],0)),"")</f>
        <v>AMT_C</v>
      </c>
      <c r="G3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1946</v>
      </c>
      <c r="O397" s="37" t="s">
        <v>4690</v>
      </c>
      <c r="P397" s="37" t="s">
        <v>4691</v>
      </c>
      <c r="Q397" s="39" t="s">
        <v>3416</v>
      </c>
      <c r="R397" s="34" t="s">
        <v>3407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3408</v>
      </c>
      <c r="X397" s="34" t="s">
        <v>3571</v>
      </c>
      <c r="Y397" s="34" t="s">
        <v>3409</v>
      </c>
      <c r="Z397" s="34">
        <v>4</v>
      </c>
      <c r="AA397" s="34" t="s">
        <v>4692</v>
      </c>
      <c r="AB397" s="34" t="s">
        <v>4692</v>
      </c>
      <c r="AC397" s="34" t="s">
        <v>3421</v>
      </c>
      <c r="AD397" s="34" t="s">
        <v>3421</v>
      </c>
      <c r="AE397" s="34" t="s">
        <v>3609</v>
      </c>
      <c r="AF397" s="34" t="s">
        <v>4596</v>
      </c>
      <c r="AG397" s="34" t="s">
        <v>3719</v>
      </c>
      <c r="AH397" s="34" t="s">
        <v>4693</v>
      </c>
      <c r="AI397" s="34" t="s">
        <v>3719</v>
      </c>
      <c r="AJ397" s="34" t="s">
        <v>4338</v>
      </c>
      <c r="AK397" s="34" t="s">
        <v>3609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7" t="str">
        <f>IFERROR(INDEX(Структура_ассортимента[SuperCategory],MATCH(Товары[[#This Row],[SubGroup]],Структура_ассортимента[Subgroup],0)),"")</f>
        <v>A</v>
      </c>
      <c r="D3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7" t="str">
        <f>IFERROR(INDEX(Структура_ассортимента[Product group],MATCH(Товары[[#This Row],[SubGroup]],Структура_ассортимента[Subgroup],0)),"")</f>
        <v>AMT_C</v>
      </c>
      <c r="G3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1947</v>
      </c>
      <c r="O398" s="37" t="s">
        <v>4694</v>
      </c>
      <c r="P398" s="37" t="s">
        <v>4695</v>
      </c>
      <c r="Q398" s="39" t="s">
        <v>3416</v>
      </c>
      <c r="R398" s="34" t="s">
        <v>3407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3408</v>
      </c>
      <c r="X398" s="34" t="s">
        <v>3571</v>
      </c>
      <c r="Y398" s="34" t="s">
        <v>3409</v>
      </c>
      <c r="Z398" s="34">
        <v>4</v>
      </c>
      <c r="AA398" s="34" t="s">
        <v>4696</v>
      </c>
      <c r="AB398" s="34" t="s">
        <v>4696</v>
      </c>
      <c r="AC398" s="34" t="s">
        <v>4132</v>
      </c>
      <c r="AD398" s="34" t="s">
        <v>4132</v>
      </c>
      <c r="AE398" s="34" t="s">
        <v>4090</v>
      </c>
      <c r="AF398" s="34" t="s">
        <v>4596</v>
      </c>
      <c r="AG398" s="34" t="s">
        <v>3719</v>
      </c>
      <c r="AH398" s="34" t="s">
        <v>4697</v>
      </c>
      <c r="AI398" s="34" t="s">
        <v>3719</v>
      </c>
      <c r="AJ398" s="34" t="s">
        <v>4338</v>
      </c>
      <c r="AK398" s="34" t="s">
        <v>4090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7" t="str">
        <f>IFERROR(INDEX(Структура_ассортимента[SuperCategory],MATCH(Товары[[#This Row],[SubGroup]],Структура_ассортимента[Subgroup],0)),"")</f>
        <v>A</v>
      </c>
      <c r="D3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7" t="str">
        <f>IFERROR(INDEX(Структура_ассортимента[Product group],MATCH(Товары[[#This Row],[SubGroup]],Структура_ассортимента[Subgroup],0)),"")</f>
        <v>AMT_C</v>
      </c>
      <c r="G3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1948</v>
      </c>
      <c r="O399" s="37" t="s">
        <v>4698</v>
      </c>
      <c r="P399" s="37" t="s">
        <v>4699</v>
      </c>
      <c r="Q399" s="39" t="s">
        <v>3416</v>
      </c>
      <c r="R399" s="34" t="s">
        <v>3407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3408</v>
      </c>
      <c r="X399" s="34" t="s">
        <v>3571</v>
      </c>
      <c r="Y399" s="34" t="s">
        <v>3409</v>
      </c>
      <c r="Z399" s="34">
        <v>4</v>
      </c>
      <c r="AA399" s="34" t="s">
        <v>4700</v>
      </c>
      <c r="AB399" s="34" t="s">
        <v>4700</v>
      </c>
      <c r="AC399" s="34" t="s">
        <v>3421</v>
      </c>
      <c r="AD399" s="34" t="s">
        <v>4701</v>
      </c>
      <c r="AE399" s="34" t="s">
        <v>3609</v>
      </c>
      <c r="AF399" s="34" t="s">
        <v>4596</v>
      </c>
      <c r="AG399" s="34" t="s">
        <v>3719</v>
      </c>
      <c r="AH399" s="34" t="s">
        <v>4693</v>
      </c>
      <c r="AI399" s="34" t="s">
        <v>4702</v>
      </c>
      <c r="AJ399" s="34" t="s">
        <v>4678</v>
      </c>
      <c r="AK399" s="34" t="s">
        <v>4703</v>
      </c>
      <c r="AL399" s="34" t="s">
        <v>3484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7" t="str">
        <f>IFERROR(INDEX(Структура_ассортимента[SuperCategory],MATCH(Товары[[#This Row],[SubGroup]],Структура_ассортимента[Subgroup],0)),"")</f>
        <v>A</v>
      </c>
      <c r="D4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7" t="str">
        <f>IFERROR(INDEX(Структура_ассортимента[Product group],MATCH(Товары[[#This Row],[SubGroup]],Структура_ассортимента[Subgroup],0)),"")</f>
        <v>AMT_C</v>
      </c>
      <c r="G4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1949</v>
      </c>
      <c r="O400" s="37" t="s">
        <v>4704</v>
      </c>
      <c r="P400" s="37" t="s">
        <v>4705</v>
      </c>
      <c r="Q400" s="39" t="s">
        <v>3416</v>
      </c>
      <c r="R400" s="34" t="s">
        <v>3407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3408</v>
      </c>
      <c r="X400" s="34" t="s">
        <v>3571</v>
      </c>
      <c r="Y400" s="34" t="s">
        <v>3409</v>
      </c>
      <c r="Z400" s="34">
        <v>4</v>
      </c>
      <c r="AA400" s="34" t="s">
        <v>3463</v>
      </c>
      <c r="AB400" s="34" t="s">
        <v>3463</v>
      </c>
      <c r="AC400" s="34" t="s">
        <v>4706</v>
      </c>
      <c r="AD400" s="34" t="s">
        <v>4706</v>
      </c>
      <c r="AE400" s="34" t="s">
        <v>4090</v>
      </c>
      <c r="AF400" s="34" t="s">
        <v>4596</v>
      </c>
      <c r="AG400" s="34" t="s">
        <v>3719</v>
      </c>
      <c r="AH400" s="34" t="s">
        <v>4697</v>
      </c>
      <c r="AI400" s="34" t="s">
        <v>3619</v>
      </c>
      <c r="AJ400" s="34" t="s">
        <v>4678</v>
      </c>
      <c r="AK400" s="34" t="s">
        <v>4707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7" t="str">
        <f>IFERROR(INDEX(Структура_ассортимента[SuperCategory],MATCH(Товары[[#This Row],[SubGroup]],Структура_ассортимента[Subgroup],0)),"")</f>
        <v>A</v>
      </c>
      <c r="D4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7" t="str">
        <f>IFERROR(INDEX(Структура_ассортимента[Product group],MATCH(Товары[[#This Row],[SubGroup]],Структура_ассортимента[Subgroup],0)),"")</f>
        <v>AMT_C</v>
      </c>
      <c r="G4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1950</v>
      </c>
      <c r="O401" s="37" t="s">
        <v>4708</v>
      </c>
      <c r="P401" s="37" t="s">
        <v>4709</v>
      </c>
      <c r="Q401" s="39" t="s">
        <v>3416</v>
      </c>
      <c r="R401" s="34" t="s">
        <v>3407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3570</v>
      </c>
      <c r="X401" s="34" t="s">
        <v>3571</v>
      </c>
      <c r="Y401" s="34" t="s">
        <v>3409</v>
      </c>
      <c r="Z401" s="34">
        <v>5</v>
      </c>
      <c r="AA401" s="34" t="s">
        <v>4710</v>
      </c>
      <c r="AB401" s="34" t="s">
        <v>4710</v>
      </c>
      <c r="AC401" s="34" t="s">
        <v>3731</v>
      </c>
      <c r="AD401" s="34" t="s">
        <v>3731</v>
      </c>
      <c r="AE401" s="34" t="s">
        <v>3575</v>
      </c>
      <c r="AF401" s="34" t="s">
        <v>4273</v>
      </c>
      <c r="AG401" s="34" t="s">
        <v>4711</v>
      </c>
      <c r="AH401" s="34" t="s">
        <v>4712</v>
      </c>
      <c r="AI401" s="34" t="s">
        <v>4055</v>
      </c>
      <c r="AJ401" s="34" t="s">
        <v>3668</v>
      </c>
      <c r="AK401" s="34" t="s">
        <v>3575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7" t="str">
        <f>IFERROR(INDEX(Структура_ассортимента[SuperCategory],MATCH(Товары[[#This Row],[SubGroup]],Структура_ассортимента[Subgroup],0)),"")</f>
        <v>A</v>
      </c>
      <c r="D4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7" t="str">
        <f>IFERROR(INDEX(Структура_ассортимента[Product group],MATCH(Товары[[#This Row],[SubGroup]],Структура_ассортимента[Subgroup],0)),"")</f>
        <v>AMT_C</v>
      </c>
      <c r="G4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1951</v>
      </c>
      <c r="Q402" s="39" t="s">
        <v>3416</v>
      </c>
      <c r="R402" s="34" t="s">
        <v>3407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3570</v>
      </c>
      <c r="X402" s="34" t="s">
        <v>3571</v>
      </c>
      <c r="Y402" s="34" t="s">
        <v>3409</v>
      </c>
      <c r="Z402" s="34">
        <v>5</v>
      </c>
      <c r="AA402" s="34" t="s">
        <v>4713</v>
      </c>
      <c r="AB402" s="34" t="s">
        <v>4713</v>
      </c>
      <c r="AC402" s="34" t="s">
        <v>4575</v>
      </c>
      <c r="AD402" s="34" t="s">
        <v>4575</v>
      </c>
      <c r="AE402" s="34" t="s">
        <v>3457</v>
      </c>
      <c r="AF402" s="34" t="s">
        <v>4273</v>
      </c>
      <c r="AG402" s="34" t="s">
        <v>4711</v>
      </c>
      <c r="AH402" s="34" t="s">
        <v>4714</v>
      </c>
      <c r="AI402" s="34" t="s">
        <v>4055</v>
      </c>
      <c r="AJ402" s="34" t="s">
        <v>3668</v>
      </c>
      <c r="AK402" s="34" t="s">
        <v>3457</v>
      </c>
      <c r="AL402" s="34">
        <v>255</v>
      </c>
      <c r="AM402" s="34" t="s">
        <v>7962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7" t="str">
        <f>IFERROR(INDEX(Структура_ассортимента[SuperCategory],MATCH(Товары[[#This Row],[SubGroup]],Структура_ассортимента[Subgroup],0)),"")</f>
        <v>A</v>
      </c>
      <c r="D4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7" t="str">
        <f>IFERROR(INDEX(Структура_ассортимента[Product group],MATCH(Товары[[#This Row],[SubGroup]],Структура_ассортимента[Subgroup],0)),"")</f>
        <v>AMT_C</v>
      </c>
      <c r="G4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1952</v>
      </c>
      <c r="Q403" s="39" t="s">
        <v>3416</v>
      </c>
      <c r="R403" s="34" t="s">
        <v>3407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3408</v>
      </c>
      <c r="X403" s="34" t="s">
        <v>3571</v>
      </c>
      <c r="Y403" s="34" t="s">
        <v>3409</v>
      </c>
      <c r="Z403" s="34">
        <v>30</v>
      </c>
      <c r="AA403" s="34" t="s">
        <v>4715</v>
      </c>
      <c r="AB403" s="34" t="s">
        <v>4715</v>
      </c>
      <c r="AC403" s="34" t="s">
        <v>3558</v>
      </c>
      <c r="AD403" s="34" t="s">
        <v>3558</v>
      </c>
      <c r="AE403" s="34" t="s">
        <v>4372</v>
      </c>
      <c r="AF403" s="34" t="s">
        <v>4716</v>
      </c>
      <c r="AG403" s="34" t="s">
        <v>3842</v>
      </c>
      <c r="AH403" s="34" t="s">
        <v>4717</v>
      </c>
      <c r="AL403" s="34" t="s">
        <v>3460</v>
      </c>
      <c r="AM403" s="34" t="s">
        <v>7962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7" t="str">
        <f>IFERROR(INDEX(Структура_ассортимента[SuperCategory],MATCH(Товары[[#This Row],[SubGroup]],Структура_ассортимента[Subgroup],0)),"")</f>
        <v>A</v>
      </c>
      <c r="D4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7" t="str">
        <f>IFERROR(INDEX(Структура_ассортимента[Product group],MATCH(Товары[[#This Row],[SubGroup]],Структура_ассортимента[Subgroup],0)),"")</f>
        <v>AMT_C</v>
      </c>
      <c r="G4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1953</v>
      </c>
      <c r="O404" s="37" t="s">
        <v>4718</v>
      </c>
      <c r="P404" s="37" t="s">
        <v>4719</v>
      </c>
      <c r="Q404" s="39" t="s">
        <v>3416</v>
      </c>
      <c r="R404" s="34" t="s">
        <v>3407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3408</v>
      </c>
      <c r="X404" s="34" t="s">
        <v>3571</v>
      </c>
      <c r="Y404" s="34" t="s">
        <v>3409</v>
      </c>
      <c r="Z404" s="34">
        <v>15</v>
      </c>
      <c r="AA404" s="34" t="s">
        <v>4720</v>
      </c>
      <c r="AB404" s="34" t="s">
        <v>3558</v>
      </c>
      <c r="AC404" s="34" t="s">
        <v>3558</v>
      </c>
      <c r="AD404" s="34" t="s">
        <v>4721</v>
      </c>
      <c r="AE404" s="34" t="s">
        <v>4372</v>
      </c>
      <c r="AF404" s="34" t="s">
        <v>4716</v>
      </c>
      <c r="AG404" s="34" t="s">
        <v>3842</v>
      </c>
      <c r="AH404" s="34" t="s">
        <v>4717</v>
      </c>
      <c r="AI404" s="34" t="s">
        <v>3842</v>
      </c>
      <c r="AJ404" s="34" t="s">
        <v>4372</v>
      </c>
      <c r="AK404" s="34" t="s">
        <v>4716</v>
      </c>
      <c r="AL404" s="34" t="s">
        <v>4345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7" t="str">
        <f>IFERROR(INDEX(Структура_ассортимента[SuperCategory],MATCH(Товары[[#This Row],[SubGroup]],Структура_ассортимента[Subgroup],0)),"")</f>
        <v>A</v>
      </c>
      <c r="D4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7" t="str">
        <f>IFERROR(INDEX(Структура_ассортимента[Product group],MATCH(Товары[[#This Row],[SubGroup]],Структура_ассортимента[Subgroup],0)),"")</f>
        <v>AMT_C</v>
      </c>
      <c r="G4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1954</v>
      </c>
      <c r="O405" s="37" t="s">
        <v>4722</v>
      </c>
      <c r="P405" s="37" t="s">
        <v>4723</v>
      </c>
      <c r="Q405" s="39" t="s">
        <v>3416</v>
      </c>
      <c r="R405" s="34" t="s">
        <v>3407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3410</v>
      </c>
      <c r="X405" s="34" t="s">
        <v>3446</v>
      </c>
      <c r="Y405" s="34" t="s">
        <v>3409</v>
      </c>
      <c r="Z405" s="34">
        <v>1</v>
      </c>
      <c r="AA405" s="34" t="s">
        <v>4724</v>
      </c>
      <c r="AB405" s="34" t="s">
        <v>4724</v>
      </c>
      <c r="AC405" s="34" t="s">
        <v>4725</v>
      </c>
      <c r="AD405" s="34" t="s">
        <v>4725</v>
      </c>
      <c r="AE405" s="34" t="s">
        <v>4623</v>
      </c>
      <c r="AF405" s="34" t="s">
        <v>4511</v>
      </c>
      <c r="AG405" s="34" t="s">
        <v>4726</v>
      </c>
      <c r="AH405" s="34" t="s">
        <v>4727</v>
      </c>
      <c r="AI405" s="34" t="s">
        <v>4461</v>
      </c>
      <c r="AJ405" s="34" t="s">
        <v>4317</v>
      </c>
      <c r="AK405" s="34" t="s">
        <v>4728</v>
      </c>
      <c r="AL405" s="34" t="s">
        <v>3886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7" t="str">
        <f>IFERROR(INDEX(Структура_ассортимента[SuperCategory],MATCH(Товары[[#This Row],[SubGroup]],Структура_ассортимента[Subgroup],0)),"")</f>
        <v>A</v>
      </c>
      <c r="D4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7" t="str">
        <f>IFERROR(INDEX(Структура_ассортимента[Product group],MATCH(Товары[[#This Row],[SubGroup]],Структура_ассортимента[Subgroup],0)),"")</f>
        <v>AMT_C</v>
      </c>
      <c r="G4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1955</v>
      </c>
      <c r="Q406" s="39" t="s">
        <v>3416</v>
      </c>
      <c r="R406" s="34" t="s">
        <v>3407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3410</v>
      </c>
      <c r="X406" s="34" t="s">
        <v>3446</v>
      </c>
      <c r="Y406" s="34" t="s">
        <v>3409</v>
      </c>
      <c r="Z406" s="34">
        <v>14</v>
      </c>
      <c r="AA406" s="34" t="s">
        <v>4729</v>
      </c>
      <c r="AB406" s="34" t="s">
        <v>4729</v>
      </c>
      <c r="AC406" s="34" t="s">
        <v>4725</v>
      </c>
      <c r="AD406" s="34" t="s">
        <v>4725</v>
      </c>
      <c r="AE406" s="34" t="s">
        <v>4730</v>
      </c>
      <c r="AF406" s="34" t="s">
        <v>4424</v>
      </c>
      <c r="AG406" s="34" t="s">
        <v>4070</v>
      </c>
      <c r="AH406" s="34" t="s">
        <v>4731</v>
      </c>
      <c r="AL406" s="34" t="s">
        <v>4732</v>
      </c>
      <c r="AM406" s="34" t="s">
        <v>7962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7" t="str">
        <f>IFERROR(INDEX(Структура_ассортимента[SuperCategory],MATCH(Товары[[#This Row],[SubGroup]],Структура_ассортимента[Subgroup],0)),"")</f>
        <v>A</v>
      </c>
      <c r="D4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7" t="str">
        <f>IFERROR(INDEX(Структура_ассортимента[Product group],MATCH(Товары[[#This Row],[SubGroup]],Структура_ассортимента[Subgroup],0)),"")</f>
        <v>AMT_C</v>
      </c>
      <c r="G4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1956</v>
      </c>
      <c r="O407" s="37" t="s">
        <v>4733</v>
      </c>
      <c r="P407" s="37" t="s">
        <v>4734</v>
      </c>
      <c r="Q407" s="39" t="s">
        <v>3416</v>
      </c>
      <c r="R407" s="34" t="s">
        <v>3407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3413</v>
      </c>
      <c r="X407" s="34" t="s">
        <v>4735</v>
      </c>
      <c r="Y407" s="34" t="s">
        <v>3409</v>
      </c>
      <c r="Z407" s="34">
        <v>15</v>
      </c>
      <c r="AB407" s="34" t="s">
        <v>4736</v>
      </c>
      <c r="AD407" s="34" t="s">
        <v>4737</v>
      </c>
      <c r="AE407" s="34" t="s">
        <v>4738</v>
      </c>
      <c r="AF407" s="34" t="s">
        <v>3609</v>
      </c>
      <c r="AG407" s="34" t="s">
        <v>4416</v>
      </c>
      <c r="AH407" s="34" t="s">
        <v>4739</v>
      </c>
      <c r="AJ407" s="34" t="s">
        <v>4740</v>
      </c>
      <c r="AK407" s="34" t="s">
        <v>3609</v>
      </c>
      <c r="AL407" s="34" t="s">
        <v>4741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7" t="str">
        <f>IFERROR(INDEX(Структура_ассортимента[SuperCategory],MATCH(Товары[[#This Row],[SubGroup]],Структура_ассортимента[Subgroup],0)),"")</f>
        <v>A</v>
      </c>
      <c r="D4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7" t="str">
        <f>IFERROR(INDEX(Структура_ассортимента[Product group],MATCH(Товары[[#This Row],[SubGroup]],Структура_ассортимента[Subgroup],0)),"")</f>
        <v>AMT_C</v>
      </c>
      <c r="G4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7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1957</v>
      </c>
      <c r="O408" s="37" t="s">
        <v>4742</v>
      </c>
      <c r="P408" s="37" t="s">
        <v>4743</v>
      </c>
      <c r="Q408" s="39" t="s">
        <v>3416</v>
      </c>
      <c r="R408" s="34" t="s">
        <v>3407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3413</v>
      </c>
      <c r="X408" s="34" t="s">
        <v>4735</v>
      </c>
      <c r="Y408" s="34" t="s">
        <v>3409</v>
      </c>
      <c r="Z408" s="34">
        <v>12</v>
      </c>
      <c r="AB408" s="34" t="s">
        <v>4744</v>
      </c>
      <c r="AD408" s="34" t="s">
        <v>4745</v>
      </c>
      <c r="AE408" s="34" t="s">
        <v>4746</v>
      </c>
      <c r="AF408" s="34" t="s">
        <v>4012</v>
      </c>
      <c r="AG408" s="34" t="s">
        <v>3744</v>
      </c>
      <c r="AH408" s="34" t="s">
        <v>4747</v>
      </c>
      <c r="AJ408" s="34" t="s">
        <v>4746</v>
      </c>
      <c r="AK408" s="34" t="s">
        <v>4012</v>
      </c>
      <c r="AL408" s="34" t="s">
        <v>3484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7" t="str">
        <f>IFERROR(INDEX(Структура_ассортимента[SuperCategory],MATCH(Товары[[#This Row],[SubGroup]],Структура_ассортимента[Subgroup],0)),"")</f>
        <v>A</v>
      </c>
      <c r="D4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7" t="str">
        <f>IFERROR(INDEX(Структура_ассортимента[Product group],MATCH(Товары[[#This Row],[SubGroup]],Структура_ассортимента[Subgroup],0)),"")</f>
        <v>AMT_C</v>
      </c>
      <c r="G4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1958</v>
      </c>
      <c r="Q409" s="39" t="s">
        <v>3416</v>
      </c>
      <c r="R409" s="34" t="s">
        <v>3407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3414</v>
      </c>
      <c r="X409" s="34" t="s">
        <v>3571</v>
      </c>
      <c r="Y409" s="34" t="s">
        <v>3409</v>
      </c>
      <c r="Z409" s="34">
        <v>5</v>
      </c>
      <c r="AA409" s="34" t="s">
        <v>4748</v>
      </c>
      <c r="AB409" s="34" t="s">
        <v>4748</v>
      </c>
      <c r="AC409" s="34" t="s">
        <v>3673</v>
      </c>
      <c r="AD409" s="34" t="s">
        <v>3673</v>
      </c>
      <c r="AE409" s="34" t="s">
        <v>4749</v>
      </c>
      <c r="AF409" s="34" t="s">
        <v>4218</v>
      </c>
      <c r="AG409" s="34" t="s">
        <v>3539</v>
      </c>
      <c r="AH409" s="34" t="s">
        <v>4750</v>
      </c>
      <c r="AL409" s="34" t="s">
        <v>4751</v>
      </c>
      <c r="AM409" s="34" t="s">
        <v>7962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7" t="str">
        <f>IFERROR(INDEX(Структура_ассортимента[SuperCategory],MATCH(Товары[[#This Row],[SubGroup]],Структура_ассортимента[Subgroup],0)),"")</f>
        <v>A</v>
      </c>
      <c r="D4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7" t="str">
        <f>IFERROR(INDEX(Структура_ассортимента[Product group],MATCH(Товары[[#This Row],[SubGroup]],Структура_ассортимента[Subgroup],0)),"")</f>
        <v>AMT_C</v>
      </c>
      <c r="G4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1959</v>
      </c>
      <c r="Q410" s="39" t="s">
        <v>3416</v>
      </c>
      <c r="R410" s="34" t="s">
        <v>3407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3410</v>
      </c>
      <c r="X410" s="34" t="s">
        <v>3446</v>
      </c>
      <c r="Y410" s="34" t="s">
        <v>3409</v>
      </c>
      <c r="Z410" s="34">
        <v>30</v>
      </c>
      <c r="AA410" s="34" t="s">
        <v>4752</v>
      </c>
      <c r="AB410" s="34" t="s">
        <v>4752</v>
      </c>
      <c r="AC410" s="34" t="s">
        <v>4536</v>
      </c>
      <c r="AD410" s="34" t="s">
        <v>4536</v>
      </c>
      <c r="AE410" s="34" t="s">
        <v>4458</v>
      </c>
      <c r="AF410" s="34" t="s">
        <v>3574</v>
      </c>
      <c r="AG410" s="34" t="s">
        <v>4048</v>
      </c>
      <c r="AH410" s="34" t="s">
        <v>4753</v>
      </c>
      <c r="AL410" s="34">
        <v>90</v>
      </c>
      <c r="AM410" s="34" t="s">
        <v>7962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7" t="str">
        <f>IFERROR(INDEX(Структура_ассортимента[SuperCategory],MATCH(Товары[[#This Row],[SubGroup]],Структура_ассортимента[Subgroup],0)),"")</f>
        <v>A</v>
      </c>
      <c r="D4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7" t="str">
        <f>IFERROR(INDEX(Структура_ассортимента[Product group],MATCH(Товары[[#This Row],[SubGroup]],Структура_ассортимента[Subgroup],0)),"")</f>
        <v>AMT_C</v>
      </c>
      <c r="G4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1960</v>
      </c>
      <c r="O411" s="37" t="s">
        <v>4754</v>
      </c>
      <c r="P411" s="37" t="s">
        <v>4755</v>
      </c>
      <c r="Q411" s="39" t="s">
        <v>3416</v>
      </c>
      <c r="R411" s="34" t="s">
        <v>3407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3570</v>
      </c>
      <c r="X411" s="34" t="s">
        <v>3571</v>
      </c>
      <c r="Y411" s="34" t="s">
        <v>3409</v>
      </c>
      <c r="Z411" s="34">
        <v>5</v>
      </c>
      <c r="AA411" s="34">
        <v>270</v>
      </c>
      <c r="AB411" s="34" t="s">
        <v>4756</v>
      </c>
      <c r="AC411" s="34">
        <v>265</v>
      </c>
      <c r="AD411" s="34" t="s">
        <v>4757</v>
      </c>
      <c r="AE411" s="34" t="s">
        <v>4758</v>
      </c>
      <c r="AF411" s="34" t="s">
        <v>3745</v>
      </c>
      <c r="AG411" s="34" t="s">
        <v>3578</v>
      </c>
      <c r="AH411" s="34" t="s">
        <v>4759</v>
      </c>
      <c r="AI411" s="34" t="s">
        <v>4337</v>
      </c>
      <c r="AJ411" s="34" t="s">
        <v>4760</v>
      </c>
      <c r="AK411" s="34" t="s">
        <v>3578</v>
      </c>
      <c r="AL411" s="34" t="s">
        <v>4761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7" t="str">
        <f>IFERROR(INDEX(Структура_ассортимента[SuperCategory],MATCH(Товары[[#This Row],[SubGroup]],Структура_ассортимента[Subgroup],0)),"")</f>
        <v>A</v>
      </c>
      <c r="D4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7" t="str">
        <f>IFERROR(INDEX(Структура_ассортимента[Product group],MATCH(Товары[[#This Row],[SubGroup]],Структура_ассортимента[Subgroup],0)),"")</f>
        <v>AMT_C</v>
      </c>
      <c r="G4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1961</v>
      </c>
      <c r="Q412" s="39" t="s">
        <v>3416</v>
      </c>
      <c r="R412" s="34" t="s">
        <v>3407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3570</v>
      </c>
      <c r="X412" s="34" t="s">
        <v>3571</v>
      </c>
      <c r="Y412" s="34" t="s">
        <v>3409</v>
      </c>
      <c r="Z412" s="34">
        <v>5</v>
      </c>
      <c r="AA412" s="34">
        <v>270</v>
      </c>
      <c r="AB412" s="34" t="s">
        <v>4762</v>
      </c>
      <c r="AC412" s="34">
        <v>265</v>
      </c>
      <c r="AD412" s="34" t="s">
        <v>4756</v>
      </c>
      <c r="AE412" s="34" t="s">
        <v>4357</v>
      </c>
      <c r="AF412" s="34" t="s">
        <v>4760</v>
      </c>
      <c r="AG412" s="34" t="s">
        <v>4106</v>
      </c>
      <c r="AH412" s="34" t="s">
        <v>4763</v>
      </c>
      <c r="AI412" s="34" t="s">
        <v>4337</v>
      </c>
      <c r="AJ412" s="34" t="s">
        <v>3732</v>
      </c>
      <c r="AK412" s="34" t="s">
        <v>4669</v>
      </c>
      <c r="AL412" s="34" t="s">
        <v>4761</v>
      </c>
      <c r="AM412" s="34" t="s">
        <v>7962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7" t="str">
        <f>IFERROR(INDEX(Структура_ассортимента[SuperCategory],MATCH(Товары[[#This Row],[SubGroup]],Структура_ассортимента[Subgroup],0)),"")</f>
        <v>A</v>
      </c>
      <c r="D4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7" t="str">
        <f>IFERROR(INDEX(Структура_ассортимента[Product group],MATCH(Товары[[#This Row],[SubGroup]],Структура_ассортимента[Subgroup],0)),"")</f>
        <v>AMT_C</v>
      </c>
      <c r="G4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1962</v>
      </c>
      <c r="O413" s="37" t="s">
        <v>4764</v>
      </c>
      <c r="P413" s="37" t="s">
        <v>4765</v>
      </c>
      <c r="Q413" s="39" t="s">
        <v>3416</v>
      </c>
      <c r="R413" s="34" t="s">
        <v>3407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3570</v>
      </c>
      <c r="X413" s="34" t="s">
        <v>3571</v>
      </c>
      <c r="Y413" s="34" t="s">
        <v>3409</v>
      </c>
      <c r="Z413" s="34">
        <v>5</v>
      </c>
      <c r="AA413" s="34">
        <v>366</v>
      </c>
      <c r="AB413" s="34" t="s">
        <v>4766</v>
      </c>
      <c r="AC413" s="34">
        <v>330</v>
      </c>
      <c r="AD413" s="34" t="s">
        <v>4767</v>
      </c>
      <c r="AE413" s="34" t="s">
        <v>4357</v>
      </c>
      <c r="AF413" s="34" t="s">
        <v>4768</v>
      </c>
      <c r="AG413" s="34" t="s">
        <v>3667</v>
      </c>
      <c r="AH413" s="34" t="s">
        <v>4769</v>
      </c>
      <c r="AI413" s="34" t="s">
        <v>4337</v>
      </c>
      <c r="AJ413" s="34" t="s">
        <v>3770</v>
      </c>
      <c r="AK413" s="34" t="s">
        <v>4427</v>
      </c>
      <c r="AL413" s="34" t="s">
        <v>4770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7" t="str">
        <f>IFERROR(INDEX(Структура_ассортимента[SuperCategory],MATCH(Товары[[#This Row],[SubGroup]],Структура_ассортимента[Subgroup],0)),"")</f>
        <v>A</v>
      </c>
      <c r="D4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7" t="str">
        <f>IFERROR(INDEX(Структура_ассортимента[Product group],MATCH(Товары[[#This Row],[SubGroup]],Структура_ассортимента[Subgroup],0)),"")</f>
        <v>AMT_C</v>
      </c>
      <c r="G4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1963</v>
      </c>
      <c r="Q414" s="39" t="s">
        <v>3416</v>
      </c>
      <c r="R414" s="34" t="s">
        <v>3407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3570</v>
      </c>
      <c r="X414" s="34" t="s">
        <v>3571</v>
      </c>
      <c r="Y414" s="34" t="s">
        <v>3409</v>
      </c>
      <c r="Z414" s="34">
        <v>5</v>
      </c>
      <c r="AA414" s="34">
        <v>250</v>
      </c>
      <c r="AB414" s="34" t="s">
        <v>4771</v>
      </c>
      <c r="AC414" s="34">
        <v>215</v>
      </c>
      <c r="AD414" s="34" t="s">
        <v>4772</v>
      </c>
      <c r="AE414" s="34" t="s">
        <v>4773</v>
      </c>
      <c r="AF414" s="34" t="s">
        <v>4338</v>
      </c>
      <c r="AG414" s="34" t="s">
        <v>4085</v>
      </c>
      <c r="AH414" s="34" t="s">
        <v>4774</v>
      </c>
      <c r="AI414" s="34" t="s">
        <v>4775</v>
      </c>
      <c r="AJ414" s="34" t="s">
        <v>3427</v>
      </c>
      <c r="AK414" s="34" t="s">
        <v>4776</v>
      </c>
      <c r="AL414" s="34" t="s">
        <v>4777</v>
      </c>
      <c r="AM414" s="34" t="s">
        <v>7962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7" t="str">
        <f>IFERROR(INDEX(Структура_ассортимента[SuperCategory],MATCH(Товары[[#This Row],[SubGroup]],Структура_ассортимента[Subgroup],0)),"")</f>
        <v>A</v>
      </c>
      <c r="D4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7" t="str">
        <f>IFERROR(INDEX(Структура_ассортимента[Product group],MATCH(Товары[[#This Row],[SubGroup]],Структура_ассортимента[Subgroup],0)),"")</f>
        <v>AMT_C</v>
      </c>
      <c r="G4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1964</v>
      </c>
      <c r="O415" s="37" t="s">
        <v>4778</v>
      </c>
      <c r="P415" s="37" t="s">
        <v>4779</v>
      </c>
      <c r="Q415" s="39" t="s">
        <v>3416</v>
      </c>
      <c r="R415" s="34" t="s">
        <v>3407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3570</v>
      </c>
      <c r="X415" s="34" t="s">
        <v>3571</v>
      </c>
      <c r="Y415" s="34" t="s">
        <v>3409</v>
      </c>
      <c r="Z415" s="34">
        <v>5</v>
      </c>
      <c r="AA415" s="34">
        <v>245</v>
      </c>
      <c r="AB415" s="34" t="s">
        <v>4771</v>
      </c>
      <c r="AC415" s="34">
        <v>215</v>
      </c>
      <c r="AD415" s="34" t="s">
        <v>4772</v>
      </c>
      <c r="AE415" s="34" t="s">
        <v>4780</v>
      </c>
      <c r="AF415" s="34" t="s">
        <v>3778</v>
      </c>
      <c r="AG415" s="34" t="s">
        <v>4048</v>
      </c>
      <c r="AH415" s="34" t="s">
        <v>4781</v>
      </c>
      <c r="AI415" s="34" t="s">
        <v>4782</v>
      </c>
      <c r="AJ415" s="34" t="s">
        <v>3565</v>
      </c>
      <c r="AK415" s="34" t="s">
        <v>4526</v>
      </c>
      <c r="AL415" s="34" t="s">
        <v>4783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7" t="str">
        <f>IFERROR(INDEX(Структура_ассортимента[SuperCategory],MATCH(Товары[[#This Row],[SubGroup]],Структура_ассортимента[Subgroup],0)),"")</f>
        <v>A</v>
      </c>
      <c r="D4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7" t="str">
        <f>IFERROR(INDEX(Структура_ассортимента[Product group],MATCH(Товары[[#This Row],[SubGroup]],Структура_ассортимента[Subgroup],0)),"")</f>
        <v>AMT_C</v>
      </c>
      <c r="G4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1965</v>
      </c>
      <c r="O416" s="37" t="s">
        <v>4784</v>
      </c>
      <c r="P416" s="37" t="s">
        <v>4785</v>
      </c>
      <c r="Q416" s="39" t="s">
        <v>3416</v>
      </c>
      <c r="R416" s="34" t="s">
        <v>3407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3570</v>
      </c>
      <c r="X416" s="34" t="s">
        <v>3571</v>
      </c>
      <c r="Y416" s="34" t="s">
        <v>3409</v>
      </c>
      <c r="Z416" s="34">
        <v>5</v>
      </c>
      <c r="AA416" s="34">
        <v>261</v>
      </c>
      <c r="AB416" s="34" t="s">
        <v>4786</v>
      </c>
      <c r="AC416" s="34">
        <v>240</v>
      </c>
      <c r="AD416" s="34" t="s">
        <v>4014</v>
      </c>
      <c r="AE416" s="34" t="s">
        <v>4787</v>
      </c>
      <c r="AF416" s="34" t="s">
        <v>3428</v>
      </c>
      <c r="AG416" s="34" t="s">
        <v>4499</v>
      </c>
      <c r="AH416" s="34" t="s">
        <v>4788</v>
      </c>
      <c r="AI416" s="34" t="s">
        <v>4789</v>
      </c>
      <c r="AJ416" s="34" t="s">
        <v>4790</v>
      </c>
      <c r="AK416" s="34" t="s">
        <v>4413</v>
      </c>
      <c r="AL416" s="34" t="s">
        <v>4791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7" t="str">
        <f>IFERROR(INDEX(Структура_ассортимента[SuperCategory],MATCH(Товары[[#This Row],[SubGroup]],Структура_ассортимента[Subgroup],0)),"")</f>
        <v>A</v>
      </c>
      <c r="D4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7" t="str">
        <f>IFERROR(INDEX(Структура_ассортимента[Product group],MATCH(Товары[[#This Row],[SubGroup]],Структура_ассортимента[Subgroup],0)),"")</f>
        <v>AMT_C</v>
      </c>
      <c r="G4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1966</v>
      </c>
      <c r="O417" s="37" t="s">
        <v>4792</v>
      </c>
      <c r="P417" s="37" t="s">
        <v>4793</v>
      </c>
      <c r="Q417" s="39" t="s">
        <v>3416</v>
      </c>
      <c r="R417" s="34" t="s">
        <v>3407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3570</v>
      </c>
      <c r="X417" s="34" t="s">
        <v>3571</v>
      </c>
      <c r="Y417" s="34" t="s">
        <v>3409</v>
      </c>
      <c r="Z417" s="34">
        <v>5</v>
      </c>
      <c r="AA417" s="34">
        <v>214</v>
      </c>
      <c r="AB417" s="34" t="s">
        <v>4794</v>
      </c>
      <c r="AC417" s="34">
        <v>200</v>
      </c>
      <c r="AD417" s="34" t="s">
        <v>3858</v>
      </c>
      <c r="AE417" s="34" t="s">
        <v>3422</v>
      </c>
      <c r="AF417" s="34" t="s">
        <v>3667</v>
      </c>
      <c r="AG417" s="34" t="s">
        <v>4669</v>
      </c>
      <c r="AH417" s="34" t="s">
        <v>4795</v>
      </c>
      <c r="AI417" s="34" t="s">
        <v>4796</v>
      </c>
      <c r="AJ417" s="34" t="s">
        <v>3964</v>
      </c>
      <c r="AK417" s="34" t="s">
        <v>4776</v>
      </c>
      <c r="AL417" s="34" t="s">
        <v>4797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7" t="str">
        <f>IFERROR(INDEX(Структура_ассортимента[SuperCategory],MATCH(Товары[[#This Row],[SubGroup]],Структура_ассортимента[Subgroup],0)),"")</f>
        <v>A</v>
      </c>
      <c r="D4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7" t="str">
        <f>IFERROR(INDEX(Структура_ассортимента[Product group],MATCH(Товары[[#This Row],[SubGroup]],Структура_ассортимента[Subgroup],0)),"")</f>
        <v>AMT_C</v>
      </c>
      <c r="G4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1967</v>
      </c>
      <c r="Q418" s="39" t="s">
        <v>3416</v>
      </c>
      <c r="R418" s="34" t="s">
        <v>3407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3570</v>
      </c>
      <c r="X418" s="34" t="s">
        <v>3571</v>
      </c>
      <c r="Y418" s="34" t="s">
        <v>3409</v>
      </c>
      <c r="Z418" s="34">
        <v>5</v>
      </c>
      <c r="AA418" s="34">
        <v>268</v>
      </c>
      <c r="AB418" s="34" t="s">
        <v>4026</v>
      </c>
      <c r="AC418" s="34">
        <v>240</v>
      </c>
      <c r="AD418" s="34" t="s">
        <v>4008</v>
      </c>
      <c r="AE418" s="34" t="s">
        <v>3609</v>
      </c>
      <c r="AF418" s="34" t="s">
        <v>3433</v>
      </c>
      <c r="AG418" s="34" t="s">
        <v>4798</v>
      </c>
      <c r="AH418" s="34" t="s">
        <v>4799</v>
      </c>
      <c r="AI418" s="34" t="s">
        <v>4472</v>
      </c>
      <c r="AJ418" s="34" t="s">
        <v>4228</v>
      </c>
      <c r="AK418" s="34" t="s">
        <v>4228</v>
      </c>
      <c r="AL418" s="34" t="s">
        <v>4791</v>
      </c>
      <c r="AM418" s="34" t="s">
        <v>7962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7" t="str">
        <f>IFERROR(INDEX(Структура_ассортимента[SuperCategory],MATCH(Товары[[#This Row],[SubGroup]],Структура_ассортимента[Subgroup],0)),"")</f>
        <v>A</v>
      </c>
      <c r="D4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7" t="str">
        <f>IFERROR(INDEX(Структура_ассортимента[Product group],MATCH(Товары[[#This Row],[SubGroup]],Структура_ассортимента[Subgroup],0)),"")</f>
        <v>AMT_C</v>
      </c>
      <c r="G4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1968</v>
      </c>
      <c r="O419" s="37" t="s">
        <v>4800</v>
      </c>
      <c r="P419" s="37" t="s">
        <v>4801</v>
      </c>
      <c r="Q419" s="39" t="s">
        <v>3416</v>
      </c>
      <c r="R419" s="34" t="s">
        <v>3407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3570</v>
      </c>
      <c r="X419" s="34" t="s">
        <v>3571</v>
      </c>
      <c r="Y419" s="34" t="s">
        <v>3409</v>
      </c>
      <c r="Z419" s="34">
        <v>5</v>
      </c>
      <c r="AA419" s="34">
        <v>175</v>
      </c>
      <c r="AB419" s="34" t="s">
        <v>4384</v>
      </c>
      <c r="AC419" s="34">
        <v>160</v>
      </c>
      <c r="AD419" s="34" t="s">
        <v>3873</v>
      </c>
      <c r="AE419" s="34" t="s">
        <v>3589</v>
      </c>
      <c r="AF419" s="34" t="s">
        <v>3560</v>
      </c>
      <c r="AG419" s="34" t="s">
        <v>4098</v>
      </c>
      <c r="AH419" s="34" t="s">
        <v>4802</v>
      </c>
      <c r="AI419" s="34" t="s">
        <v>4803</v>
      </c>
      <c r="AJ419" s="34" t="s">
        <v>4059</v>
      </c>
      <c r="AK419" s="34" t="s">
        <v>4088</v>
      </c>
      <c r="AL419" s="34" t="s">
        <v>4021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7" t="str">
        <f>IFERROR(INDEX(Структура_ассортимента[SuperCategory],MATCH(Товары[[#This Row],[SubGroup]],Структура_ассортимента[Subgroup],0)),"")</f>
        <v>A</v>
      </c>
      <c r="D4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7" t="str">
        <f>IFERROR(INDEX(Структура_ассортимента[Product group],MATCH(Товары[[#This Row],[SubGroup]],Структура_ассортимента[Subgroup],0)),"")</f>
        <v>AMT_C</v>
      </c>
      <c r="G4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1969</v>
      </c>
      <c r="O420" s="37" t="s">
        <v>4804</v>
      </c>
      <c r="P420" s="37" t="s">
        <v>4805</v>
      </c>
      <c r="Q420" s="39" t="s">
        <v>3416</v>
      </c>
      <c r="R420" s="34" t="s">
        <v>3407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3570</v>
      </c>
      <c r="X420" s="34" t="s">
        <v>3571</v>
      </c>
      <c r="Y420" s="34" t="s">
        <v>3409</v>
      </c>
      <c r="Z420" s="34">
        <v>5</v>
      </c>
      <c r="AA420" s="34">
        <v>285</v>
      </c>
      <c r="AB420" s="34" t="s">
        <v>4046</v>
      </c>
      <c r="AC420" s="34">
        <v>270</v>
      </c>
      <c r="AD420" s="34" t="s">
        <v>4806</v>
      </c>
      <c r="AE420" s="34" t="s">
        <v>4208</v>
      </c>
      <c r="AF420" s="34" t="s">
        <v>3433</v>
      </c>
      <c r="AG420" s="34" t="s">
        <v>4048</v>
      </c>
      <c r="AH420" s="34" t="s">
        <v>4807</v>
      </c>
      <c r="AI420" s="34" t="s">
        <v>4808</v>
      </c>
      <c r="AJ420" s="34" t="s">
        <v>4809</v>
      </c>
      <c r="AK420" s="34" t="s">
        <v>4810</v>
      </c>
      <c r="AL420" s="34" t="s">
        <v>4791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7" t="str">
        <f>IFERROR(INDEX(Структура_ассортимента[SuperCategory],MATCH(Товары[[#This Row],[SubGroup]],Структура_ассортимента[Subgroup],0)),"")</f>
        <v>A</v>
      </c>
      <c r="D4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7" t="str">
        <f>IFERROR(INDEX(Структура_ассортимента[Product group],MATCH(Товары[[#This Row],[SubGroup]],Структура_ассортимента[Subgroup],0)),"")</f>
        <v>AMT_C</v>
      </c>
      <c r="G4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1970</v>
      </c>
      <c r="O421" s="37" t="s">
        <v>4811</v>
      </c>
      <c r="P421" s="37" t="s">
        <v>4812</v>
      </c>
      <c r="Q421" s="39" t="s">
        <v>3416</v>
      </c>
      <c r="R421" s="34" t="s">
        <v>3407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3570</v>
      </c>
      <c r="X421" s="34" t="s">
        <v>3571</v>
      </c>
      <c r="Y421" s="34" t="s">
        <v>3409</v>
      </c>
      <c r="Z421" s="34">
        <v>5</v>
      </c>
      <c r="AA421" s="34" t="s">
        <v>4813</v>
      </c>
      <c r="AB421" s="34" t="s">
        <v>4813</v>
      </c>
      <c r="AC421" s="34" t="s">
        <v>4531</v>
      </c>
      <c r="AD421" s="34" t="s">
        <v>4531</v>
      </c>
      <c r="AE421" s="34" t="s">
        <v>4711</v>
      </c>
      <c r="AF421" s="34" t="s">
        <v>3423</v>
      </c>
      <c r="AG421" s="34" t="s">
        <v>4526</v>
      </c>
      <c r="AH421" s="34" t="s">
        <v>4814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7" t="str">
        <f>IFERROR(INDEX(Структура_ассортимента[SuperCategory],MATCH(Товары[[#This Row],[SubGroup]],Структура_ассортимента[Subgroup],0)),"")</f>
        <v>A</v>
      </c>
      <c r="D4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7" t="str">
        <f>IFERROR(INDEX(Структура_ассортимента[Product group],MATCH(Товары[[#This Row],[SubGroup]],Структура_ассортимента[Subgroup],0)),"")</f>
        <v>AMT_C</v>
      </c>
      <c r="G4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1971</v>
      </c>
      <c r="O422" s="37" t="s">
        <v>4815</v>
      </c>
      <c r="P422" s="37" t="s">
        <v>4816</v>
      </c>
      <c r="Q422" s="39" t="s">
        <v>3416</v>
      </c>
      <c r="R422" s="34" t="s">
        <v>3407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3570</v>
      </c>
      <c r="X422" s="34" t="s">
        <v>3571</v>
      </c>
      <c r="Y422" s="34" t="s">
        <v>3409</v>
      </c>
      <c r="Z422" s="34">
        <v>48</v>
      </c>
      <c r="AA422" s="34" t="s">
        <v>4083</v>
      </c>
      <c r="AB422" s="34" t="s">
        <v>4083</v>
      </c>
      <c r="AC422" s="34" t="s">
        <v>4817</v>
      </c>
      <c r="AD422" s="34" t="s">
        <v>4817</v>
      </c>
      <c r="AE422" s="34" t="s">
        <v>4818</v>
      </c>
      <c r="AF422" s="34" t="s">
        <v>3560</v>
      </c>
      <c r="AG422" s="34" t="s">
        <v>3667</v>
      </c>
      <c r="AH422" s="34" t="s">
        <v>4819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7" t="str">
        <f>IFERROR(INDEX(Структура_ассортимента[SuperCategory],MATCH(Товары[[#This Row],[SubGroup]],Структура_ассортимента[Subgroup],0)),"")</f>
        <v>A</v>
      </c>
      <c r="D4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7" t="str">
        <f>IFERROR(INDEX(Структура_ассортимента[Product group],MATCH(Товары[[#This Row],[SubGroup]],Структура_ассортимента[Subgroup],0)),"")</f>
        <v>AMT_C</v>
      </c>
      <c r="G4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1972</v>
      </c>
      <c r="O423" s="37" t="s">
        <v>4820</v>
      </c>
      <c r="P423" s="37" t="s">
        <v>4821</v>
      </c>
      <c r="Q423" s="39" t="s">
        <v>3416</v>
      </c>
      <c r="R423" s="34" t="s">
        <v>3407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3570</v>
      </c>
      <c r="X423" s="34" t="s">
        <v>3571</v>
      </c>
      <c r="Y423" s="34" t="s">
        <v>3409</v>
      </c>
      <c r="Z423" s="34">
        <v>5</v>
      </c>
      <c r="AA423" s="34" t="s">
        <v>3858</v>
      </c>
      <c r="AB423" s="34" t="s">
        <v>3858</v>
      </c>
      <c r="AC423" s="34" t="s">
        <v>4822</v>
      </c>
      <c r="AD423" s="34" t="s">
        <v>4822</v>
      </c>
      <c r="AE423" s="34" t="s">
        <v>3441</v>
      </c>
      <c r="AF423" s="34" t="s">
        <v>4366</v>
      </c>
      <c r="AG423" s="34" t="s">
        <v>4823</v>
      </c>
      <c r="AH423" s="34" t="s">
        <v>4824</v>
      </c>
      <c r="AI423" s="34" t="s">
        <v>3447</v>
      </c>
      <c r="AJ423" s="34" t="s">
        <v>3427</v>
      </c>
      <c r="AK423" s="34" t="s">
        <v>3798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7" t="str">
        <f>IFERROR(INDEX(Структура_ассортимента[SuperCategory],MATCH(Товары[[#This Row],[SubGroup]],Структура_ассортимента[Subgroup],0)),"")</f>
        <v>A</v>
      </c>
      <c r="D4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7" t="str">
        <f>IFERROR(INDEX(Структура_ассортимента[Product group],MATCH(Товары[[#This Row],[SubGroup]],Структура_ассортимента[Subgroup],0)),"")</f>
        <v>AMT_C</v>
      </c>
      <c r="G4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1973</v>
      </c>
      <c r="O424" s="37" t="s">
        <v>4825</v>
      </c>
      <c r="P424" s="37" t="s">
        <v>4826</v>
      </c>
      <c r="Q424" s="39" t="s">
        <v>3416</v>
      </c>
      <c r="R424" s="34" t="s">
        <v>3407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3570</v>
      </c>
      <c r="X424" s="34" t="s">
        <v>3571</v>
      </c>
      <c r="Y424" s="34" t="s">
        <v>3409</v>
      </c>
      <c r="Z424" s="34">
        <v>5</v>
      </c>
      <c r="AA424" s="34">
        <v>190</v>
      </c>
      <c r="AB424" s="34" t="s">
        <v>3873</v>
      </c>
      <c r="AC424" s="34">
        <v>180</v>
      </c>
      <c r="AD424" s="34" t="s">
        <v>3857</v>
      </c>
      <c r="AE424" s="34" t="s">
        <v>4294</v>
      </c>
      <c r="AF424" s="34" t="s">
        <v>4335</v>
      </c>
      <c r="AG424" s="34" t="s">
        <v>4098</v>
      </c>
      <c r="AH424" s="34" t="s">
        <v>3970</v>
      </c>
      <c r="AI424" s="34" t="s">
        <v>4758</v>
      </c>
      <c r="AJ424" s="34" t="s">
        <v>3798</v>
      </c>
      <c r="AK424" s="34" t="s">
        <v>4823</v>
      </c>
      <c r="AL424" s="34" t="s">
        <v>4827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7" t="str">
        <f>IFERROR(INDEX(Структура_ассортимента[SuperCategory],MATCH(Товары[[#This Row],[SubGroup]],Структура_ассортимента[Subgroup],0)),"")</f>
        <v>A</v>
      </c>
      <c r="D4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7" t="str">
        <f>IFERROR(INDEX(Структура_ассортимента[Product group],MATCH(Товары[[#This Row],[SubGroup]],Структура_ассортимента[Subgroup],0)),"")</f>
        <v>AMT_C</v>
      </c>
      <c r="G4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1974</v>
      </c>
      <c r="O425" s="37" t="s">
        <v>4828</v>
      </c>
      <c r="P425" s="37" t="s">
        <v>4829</v>
      </c>
      <c r="Q425" s="39" t="s">
        <v>3416</v>
      </c>
      <c r="R425" s="34" t="s">
        <v>3407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3570</v>
      </c>
      <c r="X425" s="34" t="s">
        <v>3571</v>
      </c>
      <c r="Y425" s="34" t="s">
        <v>3409</v>
      </c>
      <c r="Z425" s="34">
        <v>20</v>
      </c>
      <c r="AA425" s="34">
        <v>254</v>
      </c>
      <c r="AB425" s="34" t="s">
        <v>4686</v>
      </c>
      <c r="AC425" s="34">
        <v>230</v>
      </c>
      <c r="AD425" s="34" t="s">
        <v>4026</v>
      </c>
      <c r="AE425" s="34" t="s">
        <v>3598</v>
      </c>
      <c r="AF425" s="34" t="s">
        <v>3667</v>
      </c>
      <c r="AG425" s="34" t="s">
        <v>4218</v>
      </c>
      <c r="AH425" s="34" t="s">
        <v>4830</v>
      </c>
      <c r="AI425" s="34" t="s">
        <v>4831</v>
      </c>
      <c r="AJ425" s="34" t="s">
        <v>4339</v>
      </c>
      <c r="AK425" s="34" t="s">
        <v>4059</v>
      </c>
      <c r="AL425" s="34" t="s">
        <v>4832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7" t="str">
        <f>IFERROR(INDEX(Структура_ассортимента[SuperCategory],MATCH(Товары[[#This Row],[SubGroup]],Структура_ассортимента[Subgroup],0)),"")</f>
        <v>A</v>
      </c>
      <c r="D4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7" t="str">
        <f>IFERROR(INDEX(Структура_ассортимента[Product group],MATCH(Товары[[#This Row],[SubGroup]],Структура_ассортимента[Subgroup],0)),"")</f>
        <v>AMT_C</v>
      </c>
      <c r="G4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1975</v>
      </c>
      <c r="Q426" s="39" t="s">
        <v>3580</v>
      </c>
      <c r="R426" s="34" t="s">
        <v>3407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3570</v>
      </c>
      <c r="Y426" s="34" t="s">
        <v>3409</v>
      </c>
      <c r="Z426" s="34">
        <v>1</v>
      </c>
      <c r="AA426" s="34">
        <v>15750</v>
      </c>
      <c r="AB426" s="34" t="s">
        <v>4833</v>
      </c>
      <c r="AC426" s="34">
        <v>14500</v>
      </c>
      <c r="AD426" s="34" t="s">
        <v>4834</v>
      </c>
      <c r="AE426" s="34" t="s">
        <v>4835</v>
      </c>
      <c r="AF426" s="34" t="s">
        <v>4836</v>
      </c>
      <c r="AG426" s="34" t="s">
        <v>4837</v>
      </c>
      <c r="AH426" s="34" t="s">
        <v>4838</v>
      </c>
      <c r="AL426" s="34" t="s">
        <v>4839</v>
      </c>
      <c r="AM426" s="34" t="s">
        <v>7961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7" t="str">
        <f>IFERROR(INDEX(Структура_ассортимента[SuperCategory],MATCH(Товары[[#This Row],[SubGroup]],Структура_ассортимента[Subgroup],0)),"")</f>
        <v>A</v>
      </c>
      <c r="D4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7" t="str">
        <f>IFERROR(INDEX(Структура_ассортимента[Product group],MATCH(Товары[[#This Row],[SubGroup]],Структура_ассортимента[Subgroup],0)),"")</f>
        <v>AMT_C</v>
      </c>
      <c r="G4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1976</v>
      </c>
      <c r="O427" s="37" t="s">
        <v>4840</v>
      </c>
      <c r="P427" s="37" t="s">
        <v>4841</v>
      </c>
      <c r="Q427" s="39" t="s">
        <v>3416</v>
      </c>
      <c r="R427" s="34" t="s">
        <v>3407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3570</v>
      </c>
      <c r="X427" s="34" t="s">
        <v>3571</v>
      </c>
      <c r="Y427" s="34" t="s">
        <v>3409</v>
      </c>
      <c r="Z427" s="34">
        <v>20</v>
      </c>
      <c r="AA427" s="34">
        <v>214</v>
      </c>
      <c r="AB427" s="34" t="s">
        <v>3999</v>
      </c>
      <c r="AC427" s="34">
        <v>190</v>
      </c>
      <c r="AD427" s="34" t="s">
        <v>3795</v>
      </c>
      <c r="AE427" s="34" t="s">
        <v>3422</v>
      </c>
      <c r="AF427" s="34" t="s">
        <v>3578</v>
      </c>
      <c r="AG427" s="34" t="s">
        <v>4098</v>
      </c>
      <c r="AH427" s="34" t="s">
        <v>4842</v>
      </c>
      <c r="AI427" s="34" t="s">
        <v>3422</v>
      </c>
      <c r="AJ427" s="34" t="s">
        <v>4339</v>
      </c>
      <c r="AK427" s="34" t="s">
        <v>4059</v>
      </c>
      <c r="AL427" s="34" t="s">
        <v>4832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7" t="str">
        <f>IFERROR(INDEX(Структура_ассортимента[SuperCategory],MATCH(Товары[[#This Row],[SubGroup]],Структура_ассортимента[Subgroup],0)),"")</f>
        <v>A</v>
      </c>
      <c r="D4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7" t="str">
        <f>IFERROR(INDEX(Структура_ассортимента[Product group],MATCH(Товары[[#This Row],[SubGroup]],Структура_ассортимента[Subgroup],0)),"")</f>
        <v>AMT_C</v>
      </c>
      <c r="G4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1977</v>
      </c>
      <c r="O428" s="37" t="s">
        <v>4843</v>
      </c>
      <c r="P428" s="37" t="s">
        <v>4844</v>
      </c>
      <c r="Q428" s="39" t="s">
        <v>3416</v>
      </c>
      <c r="R428" s="34" t="s">
        <v>3407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3570</v>
      </c>
      <c r="X428" s="34" t="s">
        <v>3571</v>
      </c>
      <c r="Y428" s="34" t="s">
        <v>3409</v>
      </c>
      <c r="Z428" s="34">
        <v>20</v>
      </c>
      <c r="AA428" s="34">
        <v>183</v>
      </c>
      <c r="AB428" s="34" t="s">
        <v>3869</v>
      </c>
      <c r="AC428" s="34">
        <v>160</v>
      </c>
      <c r="AD428" s="34" t="s">
        <v>3673</v>
      </c>
      <c r="AE428" s="34" t="s">
        <v>3457</v>
      </c>
      <c r="AF428" s="34" t="s">
        <v>3667</v>
      </c>
      <c r="AG428" s="34" t="s">
        <v>4088</v>
      </c>
      <c r="AH428" s="34" t="s">
        <v>4845</v>
      </c>
      <c r="AI428" s="34" t="s">
        <v>4846</v>
      </c>
      <c r="AJ428" s="34" t="s">
        <v>4339</v>
      </c>
      <c r="AK428" s="34" t="s">
        <v>4847</v>
      </c>
      <c r="AL428" s="34" t="s">
        <v>4832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7" t="str">
        <f>IFERROR(INDEX(Структура_ассортимента[SuperCategory],MATCH(Товары[[#This Row],[SubGroup]],Структура_ассортимента[Subgroup],0)),"")</f>
        <v>A</v>
      </c>
      <c r="D4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7" t="str">
        <f>IFERROR(INDEX(Структура_ассортимента[Product group],MATCH(Товары[[#This Row],[SubGroup]],Структура_ассортимента[Subgroup],0)),"")</f>
        <v>AMT_C</v>
      </c>
      <c r="G4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1978</v>
      </c>
      <c r="O429" s="37" t="s">
        <v>4848</v>
      </c>
      <c r="P429" s="37" t="s">
        <v>4849</v>
      </c>
      <c r="Q429" s="39" t="s">
        <v>3416</v>
      </c>
      <c r="R429" s="34" t="s">
        <v>3407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3570</v>
      </c>
      <c r="X429" s="34" t="s">
        <v>3571</v>
      </c>
      <c r="Y429" s="34" t="s">
        <v>3409</v>
      </c>
      <c r="Z429" s="34">
        <v>5</v>
      </c>
      <c r="AA429" s="34" t="s">
        <v>4460</v>
      </c>
      <c r="AB429" s="34" t="s">
        <v>4492</v>
      </c>
      <c r="AC429" s="34" t="s">
        <v>4460</v>
      </c>
      <c r="AD429" s="34" t="s">
        <v>4246</v>
      </c>
      <c r="AE429" s="34" t="s">
        <v>3551</v>
      </c>
      <c r="AF429" s="34" t="s">
        <v>3870</v>
      </c>
      <c r="AG429" s="34" t="s">
        <v>4526</v>
      </c>
      <c r="AH429" s="34" t="s">
        <v>4850</v>
      </c>
      <c r="AI429" s="34" t="s">
        <v>4851</v>
      </c>
      <c r="AJ429" s="34" t="s">
        <v>4191</v>
      </c>
      <c r="AK429" s="34" t="s">
        <v>3870</v>
      </c>
      <c r="AL429" s="34" t="s">
        <v>3614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7" t="str">
        <f>IFERROR(INDEX(Структура_ассортимента[SuperCategory],MATCH(Товары[[#This Row],[SubGroup]],Структура_ассортимента[Subgroup],0)),"")</f>
        <v>A</v>
      </c>
      <c r="D4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7" t="str">
        <f>IFERROR(INDEX(Структура_ассортимента[Product group],MATCH(Товары[[#This Row],[SubGroup]],Структура_ассортимента[Subgroup],0)),"")</f>
        <v>AMT_C</v>
      </c>
      <c r="G4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1979</v>
      </c>
      <c r="O430" s="37" t="s">
        <v>4852</v>
      </c>
      <c r="P430" s="37" t="s">
        <v>4853</v>
      </c>
      <c r="Q430" s="39" t="s">
        <v>3416</v>
      </c>
      <c r="R430" s="34" t="s">
        <v>3407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3570</v>
      </c>
      <c r="X430" s="34" t="s">
        <v>3571</v>
      </c>
      <c r="Y430" s="34" t="s">
        <v>3409</v>
      </c>
      <c r="Z430" s="34">
        <v>5</v>
      </c>
      <c r="AA430" s="34">
        <v>196</v>
      </c>
      <c r="AB430" s="34" t="s">
        <v>4854</v>
      </c>
      <c r="AC430" s="34">
        <v>184</v>
      </c>
      <c r="AD430" s="34" t="s">
        <v>4267</v>
      </c>
      <c r="AE430" s="34" t="s">
        <v>3441</v>
      </c>
      <c r="AF430" s="34" t="s">
        <v>3732</v>
      </c>
      <c r="AG430" s="34" t="s">
        <v>3578</v>
      </c>
      <c r="AH430" s="34" t="s">
        <v>4855</v>
      </c>
      <c r="AI430" s="34" t="s">
        <v>4652</v>
      </c>
      <c r="AJ430" s="34" t="s">
        <v>4856</v>
      </c>
      <c r="AK430" s="34" t="s">
        <v>3578</v>
      </c>
      <c r="AL430" s="34" t="s">
        <v>4783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7" t="str">
        <f>IFERROR(INDEX(Структура_ассортимента[SuperCategory],MATCH(Товары[[#This Row],[SubGroup]],Структура_ассортимента[Subgroup],0)),"")</f>
        <v>A</v>
      </c>
      <c r="D4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7" t="str">
        <f>IFERROR(INDEX(Структура_ассортимента[Product group],MATCH(Товары[[#This Row],[SubGroup]],Структура_ассортимента[Subgroup],0)),"")</f>
        <v>AMT_C</v>
      </c>
      <c r="G4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1980</v>
      </c>
      <c r="O431" s="37" t="s">
        <v>4857</v>
      </c>
      <c r="P431" s="37" t="s">
        <v>4858</v>
      </c>
      <c r="Q431" s="39" t="s">
        <v>3416</v>
      </c>
      <c r="R431" s="34" t="s">
        <v>3407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3570</v>
      </c>
      <c r="X431" s="34" t="s">
        <v>3571</v>
      </c>
      <c r="Y431" s="34" t="s">
        <v>3409</v>
      </c>
      <c r="Z431" s="34">
        <v>5</v>
      </c>
      <c r="AA431" s="34">
        <v>172</v>
      </c>
      <c r="AB431" s="34" t="s">
        <v>3873</v>
      </c>
      <c r="AC431" s="34">
        <v>160</v>
      </c>
      <c r="AD431" s="34" t="s">
        <v>3857</v>
      </c>
      <c r="AE431" s="34" t="s">
        <v>4859</v>
      </c>
      <c r="AF431" s="34" t="s">
        <v>3433</v>
      </c>
      <c r="AG431" s="34" t="s">
        <v>3798</v>
      </c>
      <c r="AH431" s="34" t="s">
        <v>4860</v>
      </c>
      <c r="AI431" s="34" t="s">
        <v>3589</v>
      </c>
      <c r="AJ431" s="34" t="s">
        <v>4048</v>
      </c>
      <c r="AK431" s="34" t="s">
        <v>3433</v>
      </c>
      <c r="AL431" s="34" t="s">
        <v>4783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7" t="str">
        <f>IFERROR(INDEX(Структура_ассортимента[SuperCategory],MATCH(Товары[[#This Row],[SubGroup]],Структура_ассортимента[Subgroup],0)),"")</f>
        <v>A</v>
      </c>
      <c r="D4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7" t="str">
        <f>IFERROR(INDEX(Структура_ассортимента[Product group],MATCH(Товары[[#This Row],[SubGroup]],Структура_ассортимента[Subgroup],0)),"")</f>
        <v>AMT_C</v>
      </c>
      <c r="G4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1981</v>
      </c>
      <c r="O432" s="37" t="s">
        <v>4861</v>
      </c>
      <c r="P432" s="37" t="s">
        <v>4862</v>
      </c>
      <c r="Q432" s="39" t="s">
        <v>3416</v>
      </c>
      <c r="R432" s="34" t="s">
        <v>3407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3570</v>
      </c>
      <c r="X432" s="34" t="s">
        <v>3571</v>
      </c>
      <c r="Y432" s="34" t="s">
        <v>3409</v>
      </c>
      <c r="Z432" s="34">
        <v>5</v>
      </c>
      <c r="AA432" s="34">
        <v>174</v>
      </c>
      <c r="AB432" s="34" t="s">
        <v>3796</v>
      </c>
      <c r="AC432" s="34">
        <v>162</v>
      </c>
      <c r="AD432" s="34" t="s">
        <v>4384</v>
      </c>
      <c r="AE432" s="34" t="s">
        <v>3490</v>
      </c>
      <c r="AF432" s="34" t="s">
        <v>3433</v>
      </c>
      <c r="AG432" s="34" t="s">
        <v>3667</v>
      </c>
      <c r="AH432" s="34" t="s">
        <v>4863</v>
      </c>
      <c r="AI432" s="34" t="s">
        <v>4864</v>
      </c>
      <c r="AJ432" s="34" t="s">
        <v>4776</v>
      </c>
      <c r="AK432" s="34" t="s">
        <v>4202</v>
      </c>
      <c r="AL432" s="34" t="s">
        <v>4865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7" t="str">
        <f>IFERROR(INDEX(Структура_ассортимента[SuperCategory],MATCH(Товары[[#This Row],[SubGroup]],Структура_ассортимента[Subgroup],0)),"")</f>
        <v>A</v>
      </c>
      <c r="D4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7" t="str">
        <f>IFERROR(INDEX(Структура_ассортимента[Product group],MATCH(Товары[[#This Row],[SubGroup]],Структура_ассортимента[Subgroup],0)),"")</f>
        <v>AMT_C</v>
      </c>
      <c r="G4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1982</v>
      </c>
      <c r="O433" s="37" t="s">
        <v>4866</v>
      </c>
      <c r="P433" s="37" t="s">
        <v>4867</v>
      </c>
      <c r="Q433" s="39" t="s">
        <v>3416</v>
      </c>
      <c r="R433" s="34" t="s">
        <v>3407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3570</v>
      </c>
      <c r="X433" s="34" t="s">
        <v>3571</v>
      </c>
      <c r="Y433" s="34" t="s">
        <v>3409</v>
      </c>
      <c r="Z433" s="34">
        <v>5</v>
      </c>
      <c r="AA433" s="34">
        <v>171</v>
      </c>
      <c r="AB433" s="34" t="s">
        <v>3873</v>
      </c>
      <c r="AC433" s="34">
        <v>159</v>
      </c>
      <c r="AD433" s="34" t="s">
        <v>3857</v>
      </c>
      <c r="AE433" s="34" t="s">
        <v>3441</v>
      </c>
      <c r="AF433" s="34" t="s">
        <v>3433</v>
      </c>
      <c r="AG433" s="34" t="s">
        <v>4115</v>
      </c>
      <c r="AH433" s="34" t="s">
        <v>4868</v>
      </c>
      <c r="AI433" s="34" t="s">
        <v>4869</v>
      </c>
      <c r="AJ433" s="34" t="s">
        <v>4870</v>
      </c>
      <c r="AK433" s="34" t="s">
        <v>4228</v>
      </c>
      <c r="AL433" s="34" t="s">
        <v>4871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7" t="str">
        <f>IFERROR(INDEX(Структура_ассортимента[SuperCategory],MATCH(Товары[[#This Row],[SubGroup]],Структура_ассортимента[Subgroup],0)),"")</f>
        <v>A</v>
      </c>
      <c r="D4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7" t="str">
        <f>IFERROR(INDEX(Структура_ассортимента[Product group],MATCH(Товары[[#This Row],[SubGroup]],Структура_ассортимента[Subgroup],0)),"")</f>
        <v>AMT_C</v>
      </c>
      <c r="G4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1983</v>
      </c>
      <c r="Q434" s="39" t="s">
        <v>3416</v>
      </c>
      <c r="R434" s="34" t="s">
        <v>3407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3570</v>
      </c>
      <c r="X434" s="34" t="s">
        <v>3571</v>
      </c>
      <c r="Y434" s="34" t="s">
        <v>3409</v>
      </c>
      <c r="Z434" s="34">
        <v>5</v>
      </c>
      <c r="AA434" s="34">
        <v>136</v>
      </c>
      <c r="AB434" s="34" t="s">
        <v>3869</v>
      </c>
      <c r="AC434" s="34">
        <v>124</v>
      </c>
      <c r="AD434" s="34" t="s">
        <v>3673</v>
      </c>
      <c r="AE434" s="34" t="s">
        <v>3477</v>
      </c>
      <c r="AF434" s="34" t="s">
        <v>4202</v>
      </c>
      <c r="AG434" s="34" t="s">
        <v>4098</v>
      </c>
      <c r="AH434" s="34" t="s">
        <v>4872</v>
      </c>
      <c r="AI434" s="34" t="s">
        <v>4837</v>
      </c>
      <c r="AJ434" s="34" t="s">
        <v>4873</v>
      </c>
      <c r="AK434" s="34" t="s">
        <v>4127</v>
      </c>
      <c r="AL434" s="34" t="s">
        <v>4021</v>
      </c>
      <c r="AM434" s="34" t="s">
        <v>7962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7" t="str">
        <f>IFERROR(INDEX(Структура_ассортимента[SuperCategory],MATCH(Товары[[#This Row],[SubGroup]],Структура_ассортимента[Subgroup],0)),"")</f>
        <v>A</v>
      </c>
      <c r="D4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7" t="str">
        <f>IFERROR(INDEX(Структура_ассортимента[Product group],MATCH(Товары[[#This Row],[SubGroup]],Структура_ассортимента[Subgroup],0)),"")</f>
        <v>AMT_C</v>
      </c>
      <c r="G4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1984</v>
      </c>
      <c r="Q435" s="39" t="s">
        <v>3416</v>
      </c>
      <c r="R435" s="34" t="s">
        <v>3407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3570</v>
      </c>
      <c r="X435" s="34" t="s">
        <v>3571</v>
      </c>
      <c r="Y435" s="34" t="s">
        <v>3409</v>
      </c>
      <c r="Z435" s="34">
        <v>50</v>
      </c>
      <c r="AA435" s="34">
        <v>136</v>
      </c>
      <c r="AB435" s="34" t="s">
        <v>3795</v>
      </c>
      <c r="AC435" s="34">
        <v>124</v>
      </c>
      <c r="AD435" s="34" t="s">
        <v>4874</v>
      </c>
      <c r="AE435" s="34" t="s">
        <v>3441</v>
      </c>
      <c r="AF435" s="34" t="s">
        <v>3539</v>
      </c>
      <c r="AG435" s="34" t="s">
        <v>4427</v>
      </c>
      <c r="AH435" s="34" t="s">
        <v>4875</v>
      </c>
      <c r="AL435" s="34" t="s">
        <v>4876</v>
      </c>
      <c r="AM435" s="34" t="s">
        <v>7962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7" t="str">
        <f>IFERROR(INDEX(Структура_ассортимента[SuperCategory],MATCH(Товары[[#This Row],[SubGroup]],Структура_ассортимента[Subgroup],0)),"")</f>
        <v>A</v>
      </c>
      <c r="D4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7" t="str">
        <f>IFERROR(INDEX(Структура_ассортимента[Product group],MATCH(Товары[[#This Row],[SubGroup]],Структура_ассортимента[Subgroup],0)),"")</f>
        <v>AMT_C</v>
      </c>
      <c r="G4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1985</v>
      </c>
      <c r="Q436" s="39" t="s">
        <v>3416</v>
      </c>
      <c r="R436" s="34" t="s">
        <v>3407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3570</v>
      </c>
      <c r="X436" s="34" t="s">
        <v>3571</v>
      </c>
      <c r="Y436" s="34" t="s">
        <v>3409</v>
      </c>
      <c r="Z436" s="34">
        <v>5</v>
      </c>
      <c r="AA436" s="34">
        <v>285</v>
      </c>
      <c r="AB436" s="34" t="s">
        <v>4786</v>
      </c>
      <c r="AC436" s="34">
        <v>270</v>
      </c>
      <c r="AD436" s="34" t="s">
        <v>4014</v>
      </c>
      <c r="AE436" s="34" t="s">
        <v>4208</v>
      </c>
      <c r="AF436" s="34" t="s">
        <v>3433</v>
      </c>
      <c r="AG436" s="34" t="s">
        <v>4048</v>
      </c>
      <c r="AH436" s="34" t="s">
        <v>4807</v>
      </c>
      <c r="AI436" s="34" t="s">
        <v>4877</v>
      </c>
      <c r="AJ436" s="34" t="s">
        <v>4218</v>
      </c>
      <c r="AK436" s="34" t="s">
        <v>4810</v>
      </c>
      <c r="AL436" s="34" t="s">
        <v>4791</v>
      </c>
      <c r="AM436" s="34" t="s">
        <v>7962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7" t="str">
        <f>IFERROR(INDEX(Структура_ассортимента[SuperCategory],MATCH(Товары[[#This Row],[SubGroup]],Структура_ассортимента[Subgroup],0)),"")</f>
        <v>A</v>
      </c>
      <c r="D4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7" t="str">
        <f>IFERROR(INDEX(Структура_ассортимента[Product group],MATCH(Товары[[#This Row],[SubGroup]],Структура_ассортимента[Subgroup],0)),"")</f>
        <v>AMT_C</v>
      </c>
      <c r="G4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1986</v>
      </c>
      <c r="O437" s="37" t="s">
        <v>4878</v>
      </c>
      <c r="P437" s="37" t="s">
        <v>4879</v>
      </c>
      <c r="Q437" s="39" t="s">
        <v>3416</v>
      </c>
      <c r="R437" s="34" t="s">
        <v>3407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3410</v>
      </c>
      <c r="X437" s="34" t="s">
        <v>3446</v>
      </c>
      <c r="Y437" s="34" t="s">
        <v>3409</v>
      </c>
      <c r="Z437" s="34">
        <v>20</v>
      </c>
      <c r="AA437" s="34">
        <v>725</v>
      </c>
      <c r="AB437" s="34" t="s">
        <v>4880</v>
      </c>
      <c r="AC437" s="34">
        <v>593</v>
      </c>
      <c r="AD437" s="34" t="s">
        <v>4881</v>
      </c>
      <c r="AE437" s="34" t="s">
        <v>3732</v>
      </c>
      <c r="AF437" s="34" t="s">
        <v>3433</v>
      </c>
      <c r="AG437" s="34" t="s">
        <v>3609</v>
      </c>
      <c r="AH437" s="34" t="s">
        <v>4882</v>
      </c>
      <c r="AL437" s="34" t="s">
        <v>4320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7" t="str">
        <f>IFERROR(INDEX(Структура_ассортимента[SuperCategory],MATCH(Товары[[#This Row],[SubGroup]],Структура_ассортимента[Subgroup],0)),"")</f>
        <v>A</v>
      </c>
      <c r="D4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7" t="str">
        <f>IFERROR(INDEX(Структура_ассортимента[Product group],MATCH(Товары[[#This Row],[SubGroup]],Структура_ассортимента[Subgroup],0)),"")</f>
        <v>AMT_C</v>
      </c>
      <c r="G4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1987</v>
      </c>
      <c r="O438" s="37" t="s">
        <v>4883</v>
      </c>
      <c r="P438" s="37" t="s">
        <v>4884</v>
      </c>
      <c r="Q438" s="39" t="s">
        <v>3416</v>
      </c>
      <c r="R438" s="34" t="s">
        <v>3407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3410</v>
      </c>
      <c r="X438" s="34" t="s">
        <v>3446</v>
      </c>
      <c r="Y438" s="34" t="s">
        <v>3409</v>
      </c>
      <c r="Z438" s="34">
        <v>20</v>
      </c>
      <c r="AA438" s="34" t="s">
        <v>4460</v>
      </c>
      <c r="AB438" s="34" t="s">
        <v>4885</v>
      </c>
      <c r="AC438" s="34">
        <v>655</v>
      </c>
      <c r="AD438" s="34" t="s">
        <v>4582</v>
      </c>
      <c r="AE438" s="34" t="s">
        <v>3560</v>
      </c>
      <c r="AF438" s="34" t="s">
        <v>4325</v>
      </c>
      <c r="AG438" s="34" t="s">
        <v>3477</v>
      </c>
      <c r="AH438" s="34" t="s">
        <v>4886</v>
      </c>
      <c r="AL438" s="34" t="s">
        <v>4320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7" t="str">
        <f>IFERROR(INDEX(Структура_ассортимента[SuperCategory],MATCH(Товары[[#This Row],[SubGroup]],Структура_ассортимента[Subgroup],0)),"")</f>
        <v>A</v>
      </c>
      <c r="D4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7" t="str">
        <f>IFERROR(INDEX(Структура_ассортимента[Product group],MATCH(Товары[[#This Row],[SubGroup]],Структура_ассортимента[Subgroup],0)),"")</f>
        <v>AMT_C</v>
      </c>
      <c r="G4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1988</v>
      </c>
      <c r="Q439" s="39" t="s">
        <v>3580</v>
      </c>
      <c r="R439" s="34" t="s">
        <v>3407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3410</v>
      </c>
      <c r="Y439" s="34" t="s">
        <v>3409</v>
      </c>
      <c r="Z439" s="34">
        <v>6</v>
      </c>
      <c r="AA439" s="34" t="s">
        <v>4460</v>
      </c>
      <c r="AB439" s="34" t="s">
        <v>4887</v>
      </c>
      <c r="AC439" s="34">
        <v>655</v>
      </c>
      <c r="AD439" s="34" t="s">
        <v>4582</v>
      </c>
      <c r="AE439" s="34" t="s">
        <v>3560</v>
      </c>
      <c r="AF439" s="34" t="s">
        <v>4325</v>
      </c>
      <c r="AG439" s="34" t="s">
        <v>3477</v>
      </c>
      <c r="AH439" s="34" t="s">
        <v>4886</v>
      </c>
      <c r="AL439" s="34" t="s">
        <v>4888</v>
      </c>
      <c r="AM439" s="34" t="s">
        <v>7961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7" t="str">
        <f>IFERROR(INDEX(Структура_ассортимента[SuperCategory],MATCH(Товары[[#This Row],[SubGroup]],Структура_ассортимента[Subgroup],0)),"")</f>
        <v>A</v>
      </c>
      <c r="D4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7" t="str">
        <f>IFERROR(INDEX(Структура_ассортимента[Product group],MATCH(Товары[[#This Row],[SubGroup]],Структура_ассортимента[Subgroup],0)),"")</f>
        <v>AMT_C</v>
      </c>
      <c r="G4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1989</v>
      </c>
      <c r="O440" s="37" t="s">
        <v>4889</v>
      </c>
      <c r="P440" s="37" t="s">
        <v>4890</v>
      </c>
      <c r="Q440" s="39" t="s">
        <v>3519</v>
      </c>
      <c r="R440" s="34" t="s">
        <v>3407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3410</v>
      </c>
      <c r="X440" s="34" t="s">
        <v>3446</v>
      </c>
      <c r="Y440" s="34" t="s">
        <v>3409</v>
      </c>
      <c r="Z440" s="34">
        <v>10</v>
      </c>
      <c r="AB440" s="34" t="s">
        <v>4891</v>
      </c>
      <c r="AD440" s="34" t="s">
        <v>4892</v>
      </c>
      <c r="AE440" s="34" t="s">
        <v>4325</v>
      </c>
      <c r="AF440" s="34" t="s">
        <v>3560</v>
      </c>
      <c r="AG440" s="34" t="s">
        <v>3477</v>
      </c>
      <c r="AH440" s="34" t="s">
        <v>4886</v>
      </c>
      <c r="AL440" s="34" t="s">
        <v>4320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7" t="str">
        <f>IFERROR(INDEX(Структура_ассортимента[SuperCategory],MATCH(Товары[[#This Row],[SubGroup]],Структура_ассортимента[Subgroup],0)),"")</f>
        <v>A</v>
      </c>
      <c r="D4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7" t="str">
        <f>IFERROR(INDEX(Структура_ассортимента[Product group],MATCH(Товары[[#This Row],[SubGroup]],Структура_ассортимента[Subgroup],0)),"")</f>
        <v>AMT_C</v>
      </c>
      <c r="G4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1990</v>
      </c>
      <c r="O441" s="37" t="s">
        <v>4893</v>
      </c>
      <c r="P441" s="37" t="s">
        <v>4894</v>
      </c>
      <c r="Q441" s="39" t="s">
        <v>3416</v>
      </c>
      <c r="R441" s="34" t="s">
        <v>3407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3410</v>
      </c>
      <c r="X441" s="34" t="s">
        <v>3446</v>
      </c>
      <c r="Y441" s="34" t="s">
        <v>3409</v>
      </c>
      <c r="Z441" s="34">
        <v>2</v>
      </c>
      <c r="AA441" s="34" t="s">
        <v>4460</v>
      </c>
      <c r="AB441" s="34" t="s">
        <v>4696</v>
      </c>
      <c r="AC441" s="34" t="s">
        <v>4460</v>
      </c>
      <c r="AD441" s="34" t="s">
        <v>3743</v>
      </c>
      <c r="AE441" s="34" t="s">
        <v>3522</v>
      </c>
      <c r="AF441" s="34" t="s">
        <v>3427</v>
      </c>
      <c r="AG441" s="34" t="s">
        <v>4895</v>
      </c>
      <c r="AH441" s="34" t="s">
        <v>4896</v>
      </c>
      <c r="AI441" s="34" t="s">
        <v>4897</v>
      </c>
      <c r="AJ441" s="34" t="s">
        <v>4895</v>
      </c>
      <c r="AK441" s="34" t="s">
        <v>4109</v>
      </c>
      <c r="AL441" s="34" t="s">
        <v>4898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7" t="str">
        <f>IFERROR(INDEX(Структура_ассортимента[SuperCategory],MATCH(Товары[[#This Row],[SubGroup]],Структура_ассортимента[Subgroup],0)),"")</f>
        <v>A</v>
      </c>
      <c r="D4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7" t="str">
        <f>IFERROR(INDEX(Структура_ассортимента[Product group],MATCH(Товары[[#This Row],[SubGroup]],Структура_ассортимента[Subgroup],0)),"")</f>
        <v>AMT_C</v>
      </c>
      <c r="G4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1991</v>
      </c>
      <c r="O442" s="37" t="s">
        <v>4899</v>
      </c>
      <c r="P442" s="37" t="s">
        <v>4900</v>
      </c>
      <c r="Q442" s="39" t="s">
        <v>3416</v>
      </c>
      <c r="R442" s="34" t="s">
        <v>3407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3410</v>
      </c>
      <c r="X442" s="34" t="s">
        <v>3446</v>
      </c>
      <c r="Y442" s="34" t="s">
        <v>3409</v>
      </c>
      <c r="Z442" s="34">
        <v>12</v>
      </c>
      <c r="AA442" s="34" t="s">
        <v>4460</v>
      </c>
      <c r="AB442" s="34" t="s">
        <v>3501</v>
      </c>
      <c r="AC442" s="34" t="s">
        <v>4460</v>
      </c>
      <c r="AD442" s="34" t="s">
        <v>4901</v>
      </c>
      <c r="AE442" s="34" t="s">
        <v>3842</v>
      </c>
      <c r="AF442" s="34" t="s">
        <v>3424</v>
      </c>
      <c r="AG442" s="34" t="s">
        <v>3686</v>
      </c>
      <c r="AH442" s="34" t="s">
        <v>4902</v>
      </c>
      <c r="AL442" s="34" t="s">
        <v>4081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7" t="str">
        <f>IFERROR(INDEX(Структура_ассортимента[SuperCategory],MATCH(Товары[[#This Row],[SubGroup]],Структура_ассортимента[Subgroup],0)),"")</f>
        <v>A</v>
      </c>
      <c r="D4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7" t="str">
        <f>IFERROR(INDEX(Структура_ассортимента[Product group],MATCH(Товары[[#This Row],[SubGroup]],Структура_ассортимента[Subgroup],0)),"")</f>
        <v>AMT_C</v>
      </c>
      <c r="G4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1992</v>
      </c>
      <c r="Q443" s="39" t="s">
        <v>3580</v>
      </c>
      <c r="R443" s="34" t="s">
        <v>3407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3410</v>
      </c>
      <c r="Y443" s="34" t="s">
        <v>3409</v>
      </c>
      <c r="Z443" s="34">
        <v>1</v>
      </c>
      <c r="AB443" s="34" t="s">
        <v>4903</v>
      </c>
      <c r="AD443" s="34" t="s">
        <v>4904</v>
      </c>
      <c r="AE443" s="34" t="s">
        <v>4598</v>
      </c>
      <c r="AF443" s="34" t="s">
        <v>3724</v>
      </c>
      <c r="AG443" s="34" t="s">
        <v>4905</v>
      </c>
      <c r="AH443" s="34" t="s">
        <v>4906</v>
      </c>
      <c r="AL443" s="34" t="s">
        <v>4839</v>
      </c>
      <c r="AM443" s="34" t="s">
        <v>7961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7" t="str">
        <f>IFERROR(INDEX(Структура_ассортимента[SuperCategory],MATCH(Товары[[#This Row],[SubGroup]],Структура_ассортимента[Subgroup],0)),"")</f>
        <v>A</v>
      </c>
      <c r="D4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7" t="str">
        <f>IFERROR(INDEX(Структура_ассортимента[Product group],MATCH(Товары[[#This Row],[SubGroup]],Структура_ассортимента[Subgroup],0)),"")</f>
        <v>AMT_C</v>
      </c>
      <c r="G4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1993</v>
      </c>
      <c r="O444" s="37" t="s">
        <v>4907</v>
      </c>
      <c r="P444" s="37" t="s">
        <v>4908</v>
      </c>
      <c r="Q444" s="39" t="s">
        <v>3416</v>
      </c>
      <c r="R444" s="34" t="s">
        <v>3407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3410</v>
      </c>
      <c r="X444" s="34" t="s">
        <v>3446</v>
      </c>
      <c r="Y444" s="34" t="s">
        <v>3409</v>
      </c>
      <c r="Z444" s="34">
        <v>5</v>
      </c>
      <c r="AB444" s="34" t="s">
        <v>4767</v>
      </c>
      <c r="AD444" s="34" t="s">
        <v>4046</v>
      </c>
      <c r="AE444" s="34" t="s">
        <v>4909</v>
      </c>
      <c r="AF444" s="34" t="s">
        <v>4325</v>
      </c>
      <c r="AG444" s="34" t="s">
        <v>3798</v>
      </c>
      <c r="AH444" s="34" t="s">
        <v>4910</v>
      </c>
      <c r="AL444" s="34" t="s">
        <v>4911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7" t="str">
        <f>IFERROR(INDEX(Структура_ассортимента[SuperCategory],MATCH(Товары[[#This Row],[SubGroup]],Структура_ассортимента[Subgroup],0)),"")</f>
        <v>A</v>
      </c>
      <c r="D4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7" t="str">
        <f>IFERROR(INDEX(Структура_ассортимента[Product group],MATCH(Товары[[#This Row],[SubGroup]],Структура_ассортимента[Subgroup],0)),"")</f>
        <v>AMT_C</v>
      </c>
      <c r="G4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1994</v>
      </c>
      <c r="Q445" s="39" t="s">
        <v>3580</v>
      </c>
      <c r="R445" s="34" t="s">
        <v>3407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3410</v>
      </c>
      <c r="Y445" s="34" t="s">
        <v>3409</v>
      </c>
      <c r="Z445" s="34">
        <v>4</v>
      </c>
      <c r="AB445" s="34" t="s">
        <v>4912</v>
      </c>
      <c r="AD445" s="34" t="s">
        <v>4912</v>
      </c>
      <c r="AE445" s="34" t="s">
        <v>3422</v>
      </c>
      <c r="AF445" s="34" t="s">
        <v>3424</v>
      </c>
      <c r="AG445" s="34" t="s">
        <v>4526</v>
      </c>
      <c r="AH445" s="34" t="s">
        <v>4913</v>
      </c>
      <c r="AL445" s="34" t="s">
        <v>4914</v>
      </c>
      <c r="AM445" s="34" t="s">
        <v>7961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7" t="str">
        <f>IFERROR(INDEX(Структура_ассортимента[SuperCategory],MATCH(Товары[[#This Row],[SubGroup]],Структура_ассортимента[Subgroup],0)),"")</f>
        <v>A</v>
      </c>
      <c r="D4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7" t="str">
        <f>IFERROR(INDEX(Структура_ассортимента[Product group],MATCH(Товары[[#This Row],[SubGroup]],Структура_ассортимента[Subgroup],0)),"")</f>
        <v>AMT_C</v>
      </c>
      <c r="G4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1995</v>
      </c>
      <c r="Q446" s="39" t="s">
        <v>3580</v>
      </c>
      <c r="R446" s="34" t="s">
        <v>3407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3410</v>
      </c>
      <c r="Y446" s="34" t="s">
        <v>3409</v>
      </c>
      <c r="Z446" s="34">
        <v>30</v>
      </c>
      <c r="AB446" s="34" t="s">
        <v>4912</v>
      </c>
      <c r="AD446" s="34" t="s">
        <v>4912</v>
      </c>
      <c r="AE446" s="34" t="s">
        <v>3422</v>
      </c>
      <c r="AF446" s="34" t="s">
        <v>3424</v>
      </c>
      <c r="AG446" s="34" t="s">
        <v>4526</v>
      </c>
      <c r="AH446" s="34" t="s">
        <v>4913</v>
      </c>
      <c r="AL446" s="34" t="s">
        <v>3460</v>
      </c>
      <c r="AM446" s="34" t="s">
        <v>7961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7" t="str">
        <f>IFERROR(INDEX(Структура_ассортимента[SuperCategory],MATCH(Товары[[#This Row],[SubGroup]],Структура_ассортимента[Subgroup],0)),"")</f>
        <v>A</v>
      </c>
      <c r="D4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7" t="str">
        <f>IFERROR(INDEX(Структура_ассортимента[Product group],MATCH(Товары[[#This Row],[SubGroup]],Структура_ассортимента[Subgroup],0)),"")</f>
        <v>AMT_C</v>
      </c>
      <c r="G4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1996</v>
      </c>
      <c r="Q447" s="39" t="s">
        <v>3580</v>
      </c>
      <c r="R447" s="34" t="s">
        <v>3407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3410</v>
      </c>
      <c r="Y447" s="34" t="s">
        <v>3409</v>
      </c>
      <c r="Z447" s="34">
        <v>30</v>
      </c>
      <c r="AB447" s="34" t="s">
        <v>4551</v>
      </c>
      <c r="AD447" s="34" t="s">
        <v>4912</v>
      </c>
      <c r="AE447" s="34" t="s">
        <v>3424</v>
      </c>
      <c r="AF447" s="34" t="s">
        <v>4526</v>
      </c>
      <c r="AG447" s="34" t="s">
        <v>4915</v>
      </c>
      <c r="AH447" s="34" t="s">
        <v>4916</v>
      </c>
      <c r="AL447" s="34" t="s">
        <v>3460</v>
      </c>
      <c r="AM447" s="34" t="s">
        <v>7961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7" t="str">
        <f>IFERROR(INDEX(Структура_ассортимента[SuperCategory],MATCH(Товары[[#This Row],[SubGroup]],Структура_ассортимента[Subgroup],0)),"")</f>
        <v>A</v>
      </c>
      <c r="D4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7" t="str">
        <f>IFERROR(INDEX(Структура_ассортимента[Product group],MATCH(Товары[[#This Row],[SubGroup]],Структура_ассортимента[Subgroup],0)),"")</f>
        <v>AMT_C</v>
      </c>
      <c r="G4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1997</v>
      </c>
      <c r="O448" s="37" t="s">
        <v>4917</v>
      </c>
      <c r="P448" s="37" t="s">
        <v>4918</v>
      </c>
      <c r="Q448" s="39" t="s">
        <v>3416</v>
      </c>
      <c r="R448" s="34" t="s">
        <v>3407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3413</v>
      </c>
      <c r="X448" s="34" t="s">
        <v>3418</v>
      </c>
      <c r="Y448" s="34" t="s">
        <v>3409</v>
      </c>
      <c r="Z448" s="34">
        <v>4</v>
      </c>
      <c r="AA448" s="34" t="s">
        <v>4919</v>
      </c>
      <c r="AB448" s="34" t="s">
        <v>4919</v>
      </c>
      <c r="AC448" s="34" t="s">
        <v>4920</v>
      </c>
      <c r="AD448" s="34" t="s">
        <v>4921</v>
      </c>
      <c r="AE448" s="34" t="s">
        <v>4922</v>
      </c>
      <c r="AF448" s="34" t="s">
        <v>4128</v>
      </c>
      <c r="AG448" s="34" t="s">
        <v>3578</v>
      </c>
      <c r="AH448" s="34" t="s">
        <v>4923</v>
      </c>
      <c r="AI448" s="34" t="s">
        <v>4924</v>
      </c>
      <c r="AJ448" s="34" t="s">
        <v>4202</v>
      </c>
      <c r="AK448" s="34" t="s">
        <v>3693</v>
      </c>
      <c r="AL448" s="34" t="s">
        <v>4081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7" t="str">
        <f>IFERROR(INDEX(Структура_ассортимента[SuperCategory],MATCH(Товары[[#This Row],[SubGroup]],Структура_ассортимента[Subgroup],0)),"")</f>
        <v>A</v>
      </c>
      <c r="D4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7" t="str">
        <f>IFERROR(INDEX(Структура_ассортимента[Product group],MATCH(Товары[[#This Row],[SubGroup]],Структура_ассортимента[Subgroup],0)),"")</f>
        <v>AMT_C</v>
      </c>
      <c r="G4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1998</v>
      </c>
      <c r="Q449" s="39" t="s">
        <v>3416</v>
      </c>
      <c r="R449" s="34" t="s">
        <v>3407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3410</v>
      </c>
      <c r="X449" s="34" t="s">
        <v>3446</v>
      </c>
      <c r="Y449" s="34" t="s">
        <v>3409</v>
      </c>
      <c r="Z449" s="34">
        <v>8</v>
      </c>
      <c r="AA449" s="34" t="s">
        <v>4919</v>
      </c>
      <c r="AB449" s="34" t="s">
        <v>4316</v>
      </c>
      <c r="AC449" s="34" t="s">
        <v>4921</v>
      </c>
      <c r="AD449" s="34" t="s">
        <v>4925</v>
      </c>
      <c r="AE449" s="34" t="s">
        <v>4922</v>
      </c>
      <c r="AF449" s="34" t="s">
        <v>4128</v>
      </c>
      <c r="AG449" s="34" t="s">
        <v>3578</v>
      </c>
      <c r="AH449" s="34" t="s">
        <v>4926</v>
      </c>
      <c r="AI449" s="34" t="s">
        <v>4922</v>
      </c>
      <c r="AJ449" s="34" t="s">
        <v>3578</v>
      </c>
      <c r="AK449" s="34" t="s">
        <v>4128</v>
      </c>
      <c r="AL449" s="34" t="s">
        <v>3709</v>
      </c>
      <c r="AM449" s="34" t="s">
        <v>7962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7" t="str">
        <f>IFERROR(INDEX(Структура_ассортимента[SuperCategory],MATCH(Товары[[#This Row],[SubGroup]],Структура_ассортимента[Subgroup],0)),"")</f>
        <v>A</v>
      </c>
      <c r="D4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7" t="str">
        <f>IFERROR(INDEX(Структура_ассортимента[Product group],MATCH(Товары[[#This Row],[SubGroup]],Структура_ассортимента[Subgroup],0)),"")</f>
        <v>AMT_C</v>
      </c>
      <c r="G4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1999</v>
      </c>
      <c r="O450" s="37" t="s">
        <v>4927</v>
      </c>
      <c r="P450" s="37" t="s">
        <v>4928</v>
      </c>
      <c r="Q450" s="39" t="s">
        <v>3416</v>
      </c>
      <c r="R450" s="34" t="s">
        <v>3407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3413</v>
      </c>
      <c r="X450" s="34" t="s">
        <v>3418</v>
      </c>
      <c r="Y450" s="34" t="s">
        <v>3409</v>
      </c>
      <c r="Z450" s="34">
        <v>4</v>
      </c>
      <c r="AA450" s="34" t="s">
        <v>4929</v>
      </c>
      <c r="AB450" s="34" t="s">
        <v>4929</v>
      </c>
      <c r="AC450" s="34" t="s">
        <v>4930</v>
      </c>
      <c r="AD450" s="34" t="s">
        <v>4931</v>
      </c>
      <c r="AE450" s="34" t="s">
        <v>4932</v>
      </c>
      <c r="AF450" s="34" t="s">
        <v>4128</v>
      </c>
      <c r="AG450" s="34" t="s">
        <v>3578</v>
      </c>
      <c r="AH450" s="34" t="s">
        <v>4933</v>
      </c>
      <c r="AI450" s="34" t="s">
        <v>4924</v>
      </c>
      <c r="AJ450" s="34" t="s">
        <v>3578</v>
      </c>
      <c r="AK450" s="34" t="s">
        <v>3693</v>
      </c>
      <c r="AL450" s="34" t="s">
        <v>4081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7" t="str">
        <f>IFERROR(INDEX(Структура_ассортимента[SuperCategory],MATCH(Товары[[#This Row],[SubGroup]],Структура_ассортимента[Subgroup],0)),"")</f>
        <v>A</v>
      </c>
      <c r="D4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7" t="str">
        <f>IFERROR(INDEX(Структура_ассортимента[Product group],MATCH(Товары[[#This Row],[SubGroup]],Структура_ассортимента[Subgroup],0)),"")</f>
        <v>AMT_C</v>
      </c>
      <c r="G4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2000</v>
      </c>
      <c r="O451" s="37" t="s">
        <v>4934</v>
      </c>
      <c r="P451" s="37" t="s">
        <v>4935</v>
      </c>
      <c r="Q451" s="39" t="s">
        <v>3416</v>
      </c>
      <c r="R451" s="34" t="s">
        <v>3407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3413</v>
      </c>
      <c r="X451" s="34" t="s">
        <v>3418</v>
      </c>
      <c r="Y451" s="34" t="s">
        <v>3409</v>
      </c>
      <c r="Z451" s="34">
        <v>4</v>
      </c>
      <c r="AA451" s="34" t="s">
        <v>4936</v>
      </c>
      <c r="AB451" s="34" t="s">
        <v>4936</v>
      </c>
      <c r="AC451" s="34" t="s">
        <v>4310</v>
      </c>
      <c r="AD451" s="34" t="s">
        <v>4937</v>
      </c>
      <c r="AE451" s="34" t="s">
        <v>4932</v>
      </c>
      <c r="AF451" s="34" t="s">
        <v>3835</v>
      </c>
      <c r="AG451" s="34" t="s">
        <v>3433</v>
      </c>
      <c r="AH451" s="34" t="s">
        <v>4938</v>
      </c>
      <c r="AI451" s="34" t="s">
        <v>4939</v>
      </c>
      <c r="AJ451" s="34" t="s">
        <v>3753</v>
      </c>
      <c r="AK451" s="34" t="s">
        <v>3835</v>
      </c>
      <c r="AL451" s="34" t="s">
        <v>4081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7" t="str">
        <f>IFERROR(INDEX(Структура_ассортимента[SuperCategory],MATCH(Товары[[#This Row],[SubGroup]],Структура_ассортимента[Subgroup],0)),"")</f>
        <v>A</v>
      </c>
      <c r="D4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7" t="str">
        <f>IFERROR(INDEX(Структура_ассортимента[Product group],MATCH(Товары[[#This Row],[SubGroup]],Структура_ассортимента[Subgroup],0)),"")</f>
        <v>AMT_C</v>
      </c>
      <c r="G4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2001</v>
      </c>
      <c r="O452" s="37" t="s">
        <v>4940</v>
      </c>
      <c r="P452" s="37" t="s">
        <v>4941</v>
      </c>
      <c r="Q452" s="39" t="s">
        <v>3416</v>
      </c>
      <c r="R452" s="34" t="s">
        <v>3407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3413</v>
      </c>
      <c r="X452" s="34" t="s">
        <v>3571</v>
      </c>
      <c r="Y452" s="34" t="s">
        <v>3409</v>
      </c>
      <c r="Z452" s="34">
        <v>4</v>
      </c>
      <c r="AA452" s="34" t="s">
        <v>4942</v>
      </c>
      <c r="AB452" s="34" t="s">
        <v>4943</v>
      </c>
      <c r="AC452" s="34" t="s">
        <v>4925</v>
      </c>
      <c r="AD452" s="34" t="s">
        <v>4944</v>
      </c>
      <c r="AE452" s="34" t="s">
        <v>4945</v>
      </c>
      <c r="AF452" s="34" t="s">
        <v>4128</v>
      </c>
      <c r="AG452" s="34" t="s">
        <v>3667</v>
      </c>
      <c r="AH452" s="34" t="s">
        <v>4946</v>
      </c>
      <c r="AI452" s="34" t="s">
        <v>4181</v>
      </c>
      <c r="AJ452" s="34" t="s">
        <v>3574</v>
      </c>
      <c r="AK452" s="34" t="s">
        <v>3822</v>
      </c>
      <c r="AL452" s="34" t="s">
        <v>4081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7" t="str">
        <f>IFERROR(INDEX(Структура_ассортимента[SuperCategory],MATCH(Товары[[#This Row],[SubGroup]],Структура_ассортимента[Subgroup],0)),"")</f>
        <v>A</v>
      </c>
      <c r="D4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7" t="str">
        <f>IFERROR(INDEX(Структура_ассортимента[Product group],MATCH(Товары[[#This Row],[SubGroup]],Структура_ассортимента[Subgroup],0)),"")</f>
        <v>AMT_C</v>
      </c>
      <c r="G4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2002</v>
      </c>
      <c r="Q453" s="39" t="s">
        <v>3416</v>
      </c>
      <c r="R453" s="34" t="s">
        <v>3407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3410</v>
      </c>
      <c r="X453" s="34" t="s">
        <v>3446</v>
      </c>
      <c r="Y453" s="34" t="s">
        <v>3409</v>
      </c>
      <c r="Z453" s="34">
        <v>8</v>
      </c>
      <c r="AA453" s="34" t="s">
        <v>4942</v>
      </c>
      <c r="AB453" s="34" t="s">
        <v>4942</v>
      </c>
      <c r="AC453" s="34" t="s">
        <v>4947</v>
      </c>
      <c r="AD453" s="34" t="s">
        <v>4947</v>
      </c>
      <c r="AE453" s="34" t="s">
        <v>4945</v>
      </c>
      <c r="AF453" s="34" t="s">
        <v>4128</v>
      </c>
      <c r="AG453" s="34" t="s">
        <v>3423</v>
      </c>
      <c r="AH453" s="34" t="s">
        <v>4948</v>
      </c>
      <c r="AI453" s="34" t="s">
        <v>4945</v>
      </c>
      <c r="AJ453" s="34" t="s">
        <v>3423</v>
      </c>
      <c r="AK453" s="34" t="s">
        <v>4128</v>
      </c>
      <c r="AL453" s="34" t="s">
        <v>3709</v>
      </c>
      <c r="AM453" s="34" t="s">
        <v>7962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7" t="str">
        <f>IFERROR(INDEX(Структура_ассортимента[SuperCategory],MATCH(Товары[[#This Row],[SubGroup]],Структура_ассортимента[Subgroup],0)),"")</f>
        <v>A</v>
      </c>
      <c r="D4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7" t="str">
        <f>IFERROR(INDEX(Структура_ассортимента[Product group],MATCH(Товары[[#This Row],[SubGroup]],Структура_ассортимента[Subgroup],0)),"")</f>
        <v>AMT_C</v>
      </c>
      <c r="G4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2003</v>
      </c>
      <c r="O454" s="37" t="s">
        <v>4949</v>
      </c>
      <c r="P454" s="37" t="s">
        <v>4950</v>
      </c>
      <c r="Q454" s="39" t="s">
        <v>3416</v>
      </c>
      <c r="R454" s="34" t="s">
        <v>3407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3413</v>
      </c>
      <c r="X454" s="34" t="s">
        <v>3571</v>
      </c>
      <c r="Y454" s="34" t="s">
        <v>3409</v>
      </c>
      <c r="Z454" s="34">
        <v>4</v>
      </c>
      <c r="AA454" s="34" t="s">
        <v>4951</v>
      </c>
      <c r="AB454" s="34" t="s">
        <v>4951</v>
      </c>
      <c r="AC454" s="34" t="s">
        <v>4920</v>
      </c>
      <c r="AD454" s="34" t="s">
        <v>4186</v>
      </c>
      <c r="AE454" s="34" t="s">
        <v>4952</v>
      </c>
      <c r="AF454" s="34" t="s">
        <v>4953</v>
      </c>
      <c r="AG454" s="34" t="s">
        <v>3423</v>
      </c>
      <c r="AH454" s="34" t="s">
        <v>4954</v>
      </c>
      <c r="AI454" s="34" t="s">
        <v>4955</v>
      </c>
      <c r="AJ454" s="34" t="s">
        <v>3574</v>
      </c>
      <c r="AK454" s="34" t="s">
        <v>3732</v>
      </c>
      <c r="AL454" s="34" t="s">
        <v>4081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7" t="str">
        <f>IFERROR(INDEX(Структура_ассортимента[SuperCategory],MATCH(Товары[[#This Row],[SubGroup]],Структура_ассортимента[Subgroup],0)),"")</f>
        <v>A</v>
      </c>
      <c r="D4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7" t="str">
        <f>IFERROR(INDEX(Структура_ассортимента[Product group],MATCH(Товары[[#This Row],[SubGroup]],Структура_ассортимента[Subgroup],0)),"")</f>
        <v>AMT_C</v>
      </c>
      <c r="G4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2004</v>
      </c>
      <c r="O455" s="37" t="s">
        <v>4956</v>
      </c>
      <c r="P455" s="37" t="s">
        <v>4957</v>
      </c>
      <c r="Q455" s="39" t="s">
        <v>3416</v>
      </c>
      <c r="R455" s="34" t="s">
        <v>3407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3413</v>
      </c>
      <c r="X455" s="34" t="s">
        <v>3571</v>
      </c>
      <c r="Y455" s="34" t="s">
        <v>3409</v>
      </c>
      <c r="Z455" s="34">
        <v>4</v>
      </c>
      <c r="AA455" s="34" t="s">
        <v>4942</v>
      </c>
      <c r="AB455" s="34" t="s">
        <v>4958</v>
      </c>
      <c r="AC455" s="34" t="s">
        <v>4959</v>
      </c>
      <c r="AD455" s="34" t="s">
        <v>4960</v>
      </c>
      <c r="AE455" s="34" t="s">
        <v>4945</v>
      </c>
      <c r="AF455" s="34" t="s">
        <v>4128</v>
      </c>
      <c r="AG455" s="34" t="s">
        <v>3423</v>
      </c>
      <c r="AH455" s="34" t="s">
        <v>4948</v>
      </c>
      <c r="AI455" s="34" t="s">
        <v>4181</v>
      </c>
      <c r="AJ455" s="34" t="s">
        <v>3574</v>
      </c>
      <c r="AK455" s="34" t="s">
        <v>3822</v>
      </c>
      <c r="AL455" s="34" t="s">
        <v>4081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7" t="str">
        <f>IFERROR(INDEX(Структура_ассортимента[SuperCategory],MATCH(Товары[[#This Row],[SubGroup]],Структура_ассортимента[Subgroup],0)),"")</f>
        <v>A</v>
      </c>
      <c r="D4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7" t="str">
        <f>IFERROR(INDEX(Структура_ассортимента[Product group],MATCH(Товары[[#This Row],[SubGroup]],Структура_ассортимента[Subgroup],0)),"")</f>
        <v>AMT_C</v>
      </c>
      <c r="G4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2005</v>
      </c>
      <c r="O456" s="37" t="s">
        <v>4961</v>
      </c>
      <c r="P456" s="37" t="s">
        <v>4962</v>
      </c>
      <c r="Q456" s="39" t="s">
        <v>3416</v>
      </c>
      <c r="R456" s="34" t="s">
        <v>3407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3413</v>
      </c>
      <c r="X456" s="34" t="s">
        <v>3571</v>
      </c>
      <c r="Y456" s="34" t="s">
        <v>3409</v>
      </c>
      <c r="Z456" s="34">
        <v>4</v>
      </c>
      <c r="AA456" s="34" t="s">
        <v>4963</v>
      </c>
      <c r="AB456" s="34" t="s">
        <v>4964</v>
      </c>
      <c r="AC456" s="34" t="s">
        <v>4965</v>
      </c>
      <c r="AD456" s="34" t="s">
        <v>4079</v>
      </c>
      <c r="AE456" s="34" t="s">
        <v>4966</v>
      </c>
      <c r="AF456" s="34" t="s">
        <v>4768</v>
      </c>
      <c r="AG456" s="34" t="s">
        <v>4258</v>
      </c>
      <c r="AH456" s="34" t="s">
        <v>4967</v>
      </c>
      <c r="AI456" s="34" t="s">
        <v>4181</v>
      </c>
      <c r="AJ456" s="34" t="s">
        <v>3667</v>
      </c>
      <c r="AK456" s="34" t="s">
        <v>3732</v>
      </c>
      <c r="AL456" s="34" t="s">
        <v>4081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7" t="str">
        <f>IFERROR(INDEX(Структура_ассортимента[SuperCategory],MATCH(Товары[[#This Row],[SubGroup]],Структура_ассортимента[Subgroup],0)),"")</f>
        <v>A</v>
      </c>
      <c r="D4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7" t="str">
        <f>IFERROR(INDEX(Структура_ассортимента[Product group],MATCH(Товары[[#This Row],[SubGroup]],Структура_ассортимента[Subgroup],0)),"")</f>
        <v>AMT_C</v>
      </c>
      <c r="G4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2006</v>
      </c>
      <c r="O457" s="37" t="s">
        <v>4968</v>
      </c>
      <c r="P457" s="37" t="s">
        <v>4969</v>
      </c>
      <c r="Q457" s="39" t="s">
        <v>3416</v>
      </c>
      <c r="R457" s="34" t="s">
        <v>3407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3413</v>
      </c>
      <c r="X457" s="34" t="s">
        <v>3571</v>
      </c>
      <c r="Y457" s="34" t="s">
        <v>3409</v>
      </c>
      <c r="Z457" s="34">
        <v>4</v>
      </c>
      <c r="AA457" s="34" t="s">
        <v>4951</v>
      </c>
      <c r="AB457" s="34" t="s">
        <v>4079</v>
      </c>
      <c r="AC457" s="34" t="s">
        <v>4925</v>
      </c>
      <c r="AD457" s="34" t="s">
        <v>4186</v>
      </c>
      <c r="AE457" s="34" t="s">
        <v>4970</v>
      </c>
      <c r="AF457" s="34" t="s">
        <v>3693</v>
      </c>
      <c r="AG457" s="34" t="s">
        <v>3424</v>
      </c>
      <c r="AH457" s="34" t="s">
        <v>4971</v>
      </c>
      <c r="AI457" s="34" t="s">
        <v>4181</v>
      </c>
      <c r="AJ457" s="34" t="s">
        <v>3667</v>
      </c>
      <c r="AK457" s="34" t="s">
        <v>3822</v>
      </c>
      <c r="AL457" s="34" t="s">
        <v>4081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7" t="str">
        <f>IFERROR(INDEX(Структура_ассортимента[SuperCategory],MATCH(Товары[[#This Row],[SubGroup]],Структура_ассортимента[Subgroup],0)),"")</f>
        <v>A</v>
      </c>
      <c r="D4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7" t="str">
        <f>IFERROR(INDEX(Структура_ассортимента[Product group],MATCH(Товары[[#This Row],[SubGroup]],Структура_ассортимента[Subgroup],0)),"")</f>
        <v>AMT_C</v>
      </c>
      <c r="G4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2007</v>
      </c>
      <c r="Q458" s="39" t="s">
        <v>3416</v>
      </c>
      <c r="R458" s="34" t="s">
        <v>3407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3410</v>
      </c>
      <c r="X458" s="34" t="s">
        <v>3446</v>
      </c>
      <c r="Y458" s="34" t="s">
        <v>3409</v>
      </c>
      <c r="Z458" s="34">
        <v>8</v>
      </c>
      <c r="AA458" s="34" t="s">
        <v>4951</v>
      </c>
      <c r="AB458" s="34" t="s">
        <v>3440</v>
      </c>
      <c r="AC458" s="34" t="s">
        <v>4186</v>
      </c>
      <c r="AD458" s="34" t="s">
        <v>3768</v>
      </c>
      <c r="AE458" s="34" t="s">
        <v>4972</v>
      </c>
      <c r="AF458" s="34" t="s">
        <v>4128</v>
      </c>
      <c r="AG458" s="34" t="s">
        <v>3423</v>
      </c>
      <c r="AH458" s="34" t="s">
        <v>4973</v>
      </c>
      <c r="AI458" s="34" t="s">
        <v>4972</v>
      </c>
      <c r="AJ458" s="34" t="s">
        <v>3423</v>
      </c>
      <c r="AK458" s="34" t="s">
        <v>4128</v>
      </c>
      <c r="AL458" s="34" t="s">
        <v>3709</v>
      </c>
      <c r="AM458" s="34" t="s">
        <v>7962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7" t="str">
        <f>IFERROR(INDEX(Структура_ассортимента[SuperCategory],MATCH(Товары[[#This Row],[SubGroup]],Структура_ассортимента[Subgroup],0)),"")</f>
        <v>A</v>
      </c>
      <c r="D45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7" t="str">
        <f>IFERROR(INDEX(Структура_ассортимента[Product group],MATCH(Товары[[#This Row],[SubGroup]],Структура_ассортимента[Subgroup],0)),"")</f>
        <v>AMT_C</v>
      </c>
      <c r="G45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2008</v>
      </c>
      <c r="O459" s="37" t="s">
        <v>4974</v>
      </c>
      <c r="P459" s="37" t="s">
        <v>4975</v>
      </c>
      <c r="Q459" s="39" t="s">
        <v>3416</v>
      </c>
      <c r="R459" s="34" t="s">
        <v>3407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3413</v>
      </c>
      <c r="X459" s="34" t="s">
        <v>4735</v>
      </c>
      <c r="Y459" s="34" t="s">
        <v>3409</v>
      </c>
      <c r="Z459" s="34">
        <v>5</v>
      </c>
      <c r="AB459" s="34" t="s">
        <v>4113</v>
      </c>
      <c r="AD459" s="34" t="s">
        <v>4113</v>
      </c>
      <c r="AE459" s="34" t="s">
        <v>3624</v>
      </c>
      <c r="AF459" s="34" t="s">
        <v>4976</v>
      </c>
      <c r="AG459" s="34" t="s">
        <v>3835</v>
      </c>
      <c r="AH459" s="34" t="s">
        <v>4977</v>
      </c>
      <c r="AJ459" s="34" t="s">
        <v>3624</v>
      </c>
      <c r="AK459" s="34" t="s">
        <v>4976</v>
      </c>
      <c r="AL459" s="34" t="s">
        <v>4345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7" t="str">
        <f>IFERROR(INDEX(Структура_ассортимента[SuperCategory],MATCH(Товары[[#This Row],[SubGroup]],Структура_ассортимента[Subgroup],0)),"")</f>
        <v>A</v>
      </c>
      <c r="D46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7" t="str">
        <f>IFERROR(INDEX(Структура_ассортимента[Product group],MATCH(Товары[[#This Row],[SubGroup]],Структура_ассортимента[Subgroup],0)),"")</f>
        <v>AMT_C</v>
      </c>
      <c r="G46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2009</v>
      </c>
      <c r="O460" s="37" t="s">
        <v>4978</v>
      </c>
      <c r="P460" s="37" t="s">
        <v>4979</v>
      </c>
      <c r="Q460" s="39" t="s">
        <v>3416</v>
      </c>
      <c r="R460" s="34" t="s">
        <v>3407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3413</v>
      </c>
      <c r="X460" s="34" t="s">
        <v>4735</v>
      </c>
      <c r="Y460" s="34" t="s">
        <v>3409</v>
      </c>
      <c r="Z460" s="34">
        <v>5</v>
      </c>
      <c r="AB460" s="34" t="s">
        <v>4920</v>
      </c>
      <c r="AD460" s="34" t="s">
        <v>4920</v>
      </c>
      <c r="AE460" s="34" t="s">
        <v>3624</v>
      </c>
      <c r="AF460" s="34" t="s">
        <v>4976</v>
      </c>
      <c r="AG460" s="34" t="s">
        <v>3667</v>
      </c>
      <c r="AH460" s="34" t="s">
        <v>4980</v>
      </c>
      <c r="AJ460" s="34" t="s">
        <v>3624</v>
      </c>
      <c r="AK460" s="34" t="s">
        <v>3824</v>
      </c>
      <c r="AL460" s="34" t="s">
        <v>4345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7" t="str">
        <f>IFERROR(INDEX(Структура_ассортимента[SuperCategory],MATCH(Товары[[#This Row],[SubGroup]],Структура_ассортимента[Subgroup],0)),"")</f>
        <v>A</v>
      </c>
      <c r="D46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7" t="str">
        <f>IFERROR(INDEX(Структура_ассортимента[Product group],MATCH(Товары[[#This Row],[SubGroup]],Структура_ассортимента[Subgroup],0)),"")</f>
        <v>AMT_C</v>
      </c>
      <c r="G46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2010</v>
      </c>
      <c r="Q461" s="39" t="s">
        <v>3416</v>
      </c>
      <c r="R461" s="34" t="s">
        <v>3407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3410</v>
      </c>
      <c r="X461" s="34" t="s">
        <v>3446</v>
      </c>
      <c r="Y461" s="34" t="s">
        <v>3409</v>
      </c>
      <c r="Z461" s="34">
        <v>6</v>
      </c>
      <c r="AA461" s="34" t="s">
        <v>4981</v>
      </c>
      <c r="AB461" s="34" t="s">
        <v>4981</v>
      </c>
      <c r="AC461" s="34" t="s">
        <v>4575</v>
      </c>
      <c r="AD461" s="34" t="s">
        <v>4575</v>
      </c>
      <c r="AE461" s="34" t="s">
        <v>3641</v>
      </c>
      <c r="AF461" s="34" t="s">
        <v>3732</v>
      </c>
      <c r="AG461" s="34" t="s">
        <v>4127</v>
      </c>
      <c r="AH461" s="34" t="s">
        <v>4982</v>
      </c>
      <c r="AI461" s="34" t="s">
        <v>3641</v>
      </c>
      <c r="AJ461" s="34" t="s">
        <v>4983</v>
      </c>
      <c r="AK461" s="34" t="s">
        <v>4088</v>
      </c>
      <c r="AL461" s="34">
        <v>132</v>
      </c>
      <c r="AM461" s="34" t="s">
        <v>7962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7" t="str">
        <f>IFERROR(INDEX(Структура_ассортимента[SuperCategory],MATCH(Товары[[#This Row],[SubGroup]],Структура_ассортимента[Subgroup],0)),"")</f>
        <v>A</v>
      </c>
      <c r="D46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7" t="str">
        <f>IFERROR(INDEX(Структура_ассортимента[Product group],MATCH(Товары[[#This Row],[SubGroup]],Структура_ассортимента[Subgroup],0)),"")</f>
        <v>AMT_C</v>
      </c>
      <c r="G46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2011</v>
      </c>
      <c r="O462" s="37" t="s">
        <v>4984</v>
      </c>
      <c r="P462" s="37" t="s">
        <v>4985</v>
      </c>
      <c r="Q462" s="39" t="s">
        <v>3416</v>
      </c>
      <c r="R462" s="34" t="s">
        <v>3407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3410</v>
      </c>
      <c r="X462" s="34" t="s">
        <v>3446</v>
      </c>
      <c r="Y462" s="34" t="s">
        <v>3409</v>
      </c>
      <c r="Z462" s="34">
        <v>4</v>
      </c>
      <c r="AA462" s="34" t="s">
        <v>4986</v>
      </c>
      <c r="AB462" s="34" t="s">
        <v>4986</v>
      </c>
      <c r="AC462" s="34" t="s">
        <v>4987</v>
      </c>
      <c r="AD462" s="34" t="s">
        <v>4987</v>
      </c>
      <c r="AE462" s="34" t="s">
        <v>4458</v>
      </c>
      <c r="AF462" s="34" t="s">
        <v>3423</v>
      </c>
      <c r="AG462" s="34" t="s">
        <v>4048</v>
      </c>
      <c r="AH462" s="34" t="s">
        <v>4988</v>
      </c>
      <c r="AI462" s="34" t="s">
        <v>4458</v>
      </c>
      <c r="AJ462" s="34" t="s">
        <v>4500</v>
      </c>
      <c r="AK462" s="34" t="s">
        <v>4088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7" t="str">
        <f>IFERROR(INDEX(Структура_ассортимента[SuperCategory],MATCH(Товары[[#This Row],[SubGroup]],Структура_ассортимента[Subgroup],0)),"")</f>
        <v>A</v>
      </c>
      <c r="D46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7" t="str">
        <f>IFERROR(INDEX(Структура_ассортимента[Product group],MATCH(Товары[[#This Row],[SubGroup]],Структура_ассортимента[Subgroup],0)),"")</f>
        <v>AMT_C</v>
      </c>
      <c r="G46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2012</v>
      </c>
      <c r="O463" s="37" t="s">
        <v>4989</v>
      </c>
      <c r="P463" s="37" t="s">
        <v>4990</v>
      </c>
      <c r="Q463" s="39" t="s">
        <v>3416</v>
      </c>
      <c r="R463" s="34" t="s">
        <v>3407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3414</v>
      </c>
      <c r="X463" s="34" t="s">
        <v>3571</v>
      </c>
      <c r="Y463" s="34" t="s">
        <v>3409</v>
      </c>
      <c r="Z463" s="34">
        <v>10</v>
      </c>
      <c r="AA463" s="34" t="s">
        <v>4991</v>
      </c>
      <c r="AB463" s="34" t="s">
        <v>4991</v>
      </c>
      <c r="AC463" s="34" t="s">
        <v>4668</v>
      </c>
      <c r="AD463" s="34" t="s">
        <v>4668</v>
      </c>
      <c r="AE463" s="34" t="s">
        <v>4458</v>
      </c>
      <c r="AF463" s="34" t="s">
        <v>4992</v>
      </c>
      <c r="AG463" s="34" t="s">
        <v>4993</v>
      </c>
      <c r="AH463" s="34" t="s">
        <v>4994</v>
      </c>
      <c r="AI463" s="34" t="s">
        <v>4458</v>
      </c>
      <c r="AJ463" s="34" t="s">
        <v>4218</v>
      </c>
      <c r="AK463" s="34" t="s">
        <v>4273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7" t="str">
        <f>IFERROR(INDEX(Структура_ассортимента[SuperCategory],MATCH(Товары[[#This Row],[SubGroup]],Структура_ассортимента[Subgroup],0)),"")</f>
        <v>A</v>
      </c>
      <c r="D46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7" t="str">
        <f>IFERROR(INDEX(Структура_ассортимента[Product group],MATCH(Товары[[#This Row],[SubGroup]],Структура_ассортимента[Subgroup],0)),"")</f>
        <v>AMT_C</v>
      </c>
      <c r="G46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2013</v>
      </c>
      <c r="O464" s="37" t="s">
        <v>4995</v>
      </c>
      <c r="P464" s="37" t="s">
        <v>4996</v>
      </c>
      <c r="Q464" s="39" t="s">
        <v>3416</v>
      </c>
      <c r="R464" s="34" t="s">
        <v>3407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3414</v>
      </c>
      <c r="X464" s="34" t="s">
        <v>3571</v>
      </c>
      <c r="Y464" s="34" t="s">
        <v>3409</v>
      </c>
      <c r="Z464" s="34">
        <v>10</v>
      </c>
      <c r="AA464" s="34" t="s">
        <v>4997</v>
      </c>
      <c r="AB464" s="34" t="s">
        <v>4344</v>
      </c>
      <c r="AC464" s="34" t="s">
        <v>4998</v>
      </c>
      <c r="AD464" s="34" t="s">
        <v>4998</v>
      </c>
      <c r="AE464" s="34" t="s">
        <v>3641</v>
      </c>
      <c r="AF464" s="34" t="s">
        <v>3799</v>
      </c>
      <c r="AG464" s="34" t="s">
        <v>4218</v>
      </c>
      <c r="AH464" s="34" t="s">
        <v>4999</v>
      </c>
      <c r="AI464" s="34" t="s">
        <v>3641</v>
      </c>
      <c r="AJ464" s="34" t="s">
        <v>4218</v>
      </c>
      <c r="AK464" s="34" t="s">
        <v>4273</v>
      </c>
      <c r="AL464" s="34" t="s">
        <v>4871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7" t="str">
        <f>IFERROR(INDEX(Структура_ассортимента[SuperCategory],MATCH(Товары[[#This Row],[SubGroup]],Структура_ассортимента[Subgroup],0)),"")</f>
        <v>A</v>
      </c>
      <c r="D46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7" t="str">
        <f>IFERROR(INDEX(Структура_ассортимента[Product group],MATCH(Товары[[#This Row],[SubGroup]],Структура_ассортимента[Subgroup],0)),"")</f>
        <v>AMT_C</v>
      </c>
      <c r="G46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2014</v>
      </c>
      <c r="O465" s="37" t="s">
        <v>5000</v>
      </c>
      <c r="P465" s="37" t="s">
        <v>5001</v>
      </c>
      <c r="Q465" s="39" t="s">
        <v>3416</v>
      </c>
      <c r="R465" s="34" t="s">
        <v>3407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3417</v>
      </c>
      <c r="X465" s="34" t="s">
        <v>3446</v>
      </c>
      <c r="Y465" s="34" t="s">
        <v>3409</v>
      </c>
      <c r="Z465" s="34">
        <v>10</v>
      </c>
      <c r="AA465" s="34" t="s">
        <v>5002</v>
      </c>
      <c r="AB465" s="34" t="s">
        <v>5002</v>
      </c>
      <c r="AC465" s="34" t="s">
        <v>4550</v>
      </c>
      <c r="AD465" s="34" t="s">
        <v>4550</v>
      </c>
      <c r="AE465" s="34" t="s">
        <v>4458</v>
      </c>
      <c r="AF465" s="34" t="s">
        <v>4106</v>
      </c>
      <c r="AG465" s="34" t="s">
        <v>3539</v>
      </c>
      <c r="AH465" s="34" t="s">
        <v>5003</v>
      </c>
      <c r="AI465" s="34" t="s">
        <v>4458</v>
      </c>
      <c r="AJ465" s="34" t="s">
        <v>4106</v>
      </c>
      <c r="AK465" s="34" t="s">
        <v>4127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7" t="str">
        <f>IFERROR(INDEX(Структура_ассортимента[SuperCategory],MATCH(Товары[[#This Row],[SubGroup]],Структура_ассортимента[Subgroup],0)),"")</f>
        <v>A</v>
      </c>
      <c r="D46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7" t="str">
        <f>IFERROR(INDEX(Структура_ассортимента[Product group],MATCH(Товары[[#This Row],[SubGroup]],Структура_ассортимента[Subgroup],0)),"")</f>
        <v>AMT_C</v>
      </c>
      <c r="G46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2015</v>
      </c>
      <c r="O466" s="37" t="s">
        <v>5004</v>
      </c>
      <c r="P466" s="37" t="s">
        <v>5005</v>
      </c>
      <c r="Q466" s="39" t="s">
        <v>3416</v>
      </c>
      <c r="R466" s="34" t="s">
        <v>3407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3417</v>
      </c>
      <c r="X466" s="34" t="s">
        <v>3446</v>
      </c>
      <c r="Y466" s="34" t="s">
        <v>3409</v>
      </c>
      <c r="Z466" s="34">
        <v>10</v>
      </c>
      <c r="AA466" s="34" t="s">
        <v>5006</v>
      </c>
      <c r="AB466" s="34" t="s">
        <v>5006</v>
      </c>
      <c r="AC466" s="34" t="s">
        <v>3730</v>
      </c>
      <c r="AD466" s="34" t="s">
        <v>3730</v>
      </c>
      <c r="AE466" s="34" t="s">
        <v>5007</v>
      </c>
      <c r="AF466" s="34" t="s">
        <v>4106</v>
      </c>
      <c r="AG466" s="34" t="s">
        <v>3539</v>
      </c>
      <c r="AH466" s="34" t="s">
        <v>5008</v>
      </c>
      <c r="AI466" s="34" t="s">
        <v>3641</v>
      </c>
      <c r="AJ466" s="34" t="s">
        <v>4106</v>
      </c>
      <c r="AK466" s="34" t="s">
        <v>4127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7" t="str">
        <f>IFERROR(INDEX(Структура_ассортимента[SuperCategory],MATCH(Товары[[#This Row],[SubGroup]],Структура_ассортимента[Subgroup],0)),"")</f>
        <v>A</v>
      </c>
      <c r="D46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7" t="str">
        <f>IFERROR(INDEX(Структура_ассортимента[Product group],MATCH(Товары[[#This Row],[SubGroup]],Структура_ассортимента[Subgroup],0)),"")</f>
        <v>AMT_C</v>
      </c>
      <c r="G46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2016</v>
      </c>
      <c r="O467" s="37" t="s">
        <v>5009</v>
      </c>
      <c r="P467" s="37" t="s">
        <v>5010</v>
      </c>
      <c r="Q467" s="39" t="s">
        <v>3416</v>
      </c>
      <c r="R467" s="34" t="s">
        <v>3407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3417</v>
      </c>
      <c r="X467" s="34" t="s">
        <v>3446</v>
      </c>
      <c r="Y467" s="34" t="s">
        <v>3409</v>
      </c>
      <c r="Z467" s="34">
        <v>10</v>
      </c>
      <c r="AA467" s="34" t="s">
        <v>4575</v>
      </c>
      <c r="AB467" s="34" t="s">
        <v>4575</v>
      </c>
      <c r="AC467" s="34" t="s">
        <v>5011</v>
      </c>
      <c r="AD467" s="34" t="s">
        <v>5011</v>
      </c>
      <c r="AE467" s="34" t="s">
        <v>3634</v>
      </c>
      <c r="AF467" s="34" t="s">
        <v>3621</v>
      </c>
      <c r="AG467" s="34" t="s">
        <v>3539</v>
      </c>
      <c r="AH467" s="34" t="s">
        <v>5012</v>
      </c>
      <c r="AI467" s="34" t="s">
        <v>3634</v>
      </c>
      <c r="AJ467" s="34" t="s">
        <v>4106</v>
      </c>
      <c r="AK467" s="34" t="s">
        <v>4127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7" t="str">
        <f>IFERROR(INDEX(Структура_ассортимента[SuperCategory],MATCH(Товары[[#This Row],[SubGroup]],Структура_ассортимента[Subgroup],0)),"")</f>
        <v>A</v>
      </c>
      <c r="D46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7" t="str">
        <f>IFERROR(INDEX(Структура_ассортимента[Product group],MATCH(Товары[[#This Row],[SubGroup]],Структура_ассортимента[Subgroup],0)),"")</f>
        <v>AMT_C</v>
      </c>
      <c r="G46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2017</v>
      </c>
      <c r="O468" s="37" t="s">
        <v>5013</v>
      </c>
      <c r="P468" s="37" t="s">
        <v>5014</v>
      </c>
      <c r="Q468" s="39" t="s">
        <v>3416</v>
      </c>
      <c r="R468" s="34" t="s">
        <v>3407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3414</v>
      </c>
      <c r="X468" s="34" t="s">
        <v>3571</v>
      </c>
      <c r="Y468" s="34" t="s">
        <v>3409</v>
      </c>
      <c r="Z468" s="34">
        <v>4</v>
      </c>
      <c r="AA468" s="34" t="s">
        <v>3743</v>
      </c>
      <c r="AB468" s="34" t="s">
        <v>3743</v>
      </c>
      <c r="AC468" s="34" t="s">
        <v>3759</v>
      </c>
      <c r="AD468" s="34" t="s">
        <v>3759</v>
      </c>
      <c r="AE468" s="34" t="s">
        <v>4108</v>
      </c>
      <c r="AF468" s="34" t="s">
        <v>5015</v>
      </c>
      <c r="AG468" s="34" t="s">
        <v>3798</v>
      </c>
      <c r="AH468" s="34" t="s">
        <v>5016</v>
      </c>
      <c r="AI468" s="34" t="s">
        <v>4108</v>
      </c>
      <c r="AJ468" s="34" t="s">
        <v>4669</v>
      </c>
      <c r="AK468" s="34" t="s">
        <v>4642</v>
      </c>
      <c r="AL468" s="34" t="s">
        <v>5017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7" t="str">
        <f>IFERROR(INDEX(Структура_ассортимента[SuperCategory],MATCH(Товары[[#This Row],[SubGroup]],Структура_ассортимента[Subgroup],0)),"")</f>
        <v>A</v>
      </c>
      <c r="D46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7" t="str">
        <f>IFERROR(INDEX(Структура_ассортимента[Product group],MATCH(Товары[[#This Row],[SubGroup]],Структура_ассортимента[Subgroup],0)),"")</f>
        <v>AMT_C</v>
      </c>
      <c r="G46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2018</v>
      </c>
      <c r="O469" s="37" t="s">
        <v>5018</v>
      </c>
      <c r="P469" s="37" t="s">
        <v>5019</v>
      </c>
      <c r="Q469" s="39" t="s">
        <v>3416</v>
      </c>
      <c r="R469" s="34" t="s">
        <v>3407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3414</v>
      </c>
      <c r="X469" s="34" t="s">
        <v>3571</v>
      </c>
      <c r="Y469" s="34" t="s">
        <v>3409</v>
      </c>
      <c r="Z469" s="34">
        <v>4</v>
      </c>
      <c r="AA469" s="34" t="s">
        <v>5020</v>
      </c>
      <c r="AB469" s="34" t="s">
        <v>5020</v>
      </c>
      <c r="AC469" s="34" t="s">
        <v>5021</v>
      </c>
      <c r="AD469" s="34" t="s">
        <v>5021</v>
      </c>
      <c r="AE469" s="34" t="s">
        <v>5022</v>
      </c>
      <c r="AF469" s="34" t="s">
        <v>4106</v>
      </c>
      <c r="AG469" s="34" t="s">
        <v>4218</v>
      </c>
      <c r="AH469" s="34" t="s">
        <v>5023</v>
      </c>
      <c r="AI469" s="34" t="s">
        <v>5022</v>
      </c>
      <c r="AJ469" s="34" t="s">
        <v>4669</v>
      </c>
      <c r="AK469" s="34" t="s">
        <v>4642</v>
      </c>
      <c r="AL469" s="34" t="s">
        <v>5017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7" t="str">
        <f>IFERROR(INDEX(Структура_ассортимента[SuperCategory],MATCH(Товары[[#This Row],[SubGroup]],Структура_ассортимента[Subgroup],0)),"")</f>
        <v>A</v>
      </c>
      <c r="D47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7" t="str">
        <f>IFERROR(INDEX(Структура_ассортимента[Product group],MATCH(Товары[[#This Row],[SubGroup]],Структура_ассортимента[Subgroup],0)),"")</f>
        <v>AMT_C</v>
      </c>
      <c r="G47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2019</v>
      </c>
      <c r="O470" s="37" t="s">
        <v>5024</v>
      </c>
      <c r="P470" s="37" t="s">
        <v>5025</v>
      </c>
      <c r="Q470" s="39" t="s">
        <v>3416</v>
      </c>
      <c r="R470" s="34" t="s">
        <v>3407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3413</v>
      </c>
      <c r="X470" s="34" t="s">
        <v>3654</v>
      </c>
      <c r="Y470" s="34" t="s">
        <v>3409</v>
      </c>
      <c r="Z470" s="34">
        <v>5</v>
      </c>
      <c r="AA470" s="34" t="s">
        <v>5026</v>
      </c>
      <c r="AB470" s="34" t="s">
        <v>5027</v>
      </c>
      <c r="AC470" s="34" t="s">
        <v>5028</v>
      </c>
      <c r="AD470" s="34" t="s">
        <v>4531</v>
      </c>
      <c r="AE470" s="34" t="s">
        <v>5029</v>
      </c>
      <c r="AF470" s="34" t="s">
        <v>4218</v>
      </c>
      <c r="AG470" s="34" t="s">
        <v>4048</v>
      </c>
      <c r="AH470" s="34" t="s">
        <v>5030</v>
      </c>
      <c r="AI470" s="34" t="s">
        <v>3554</v>
      </c>
      <c r="AJ470" s="34" t="s">
        <v>3621</v>
      </c>
      <c r="AK470" s="34" t="s">
        <v>4048</v>
      </c>
      <c r="AL470" s="34" t="s">
        <v>3614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7" t="str">
        <f>IFERROR(INDEX(Структура_ассортимента[SuperCategory],MATCH(Товары[[#This Row],[SubGroup]],Структура_ассортимента[Subgroup],0)),"")</f>
        <v>A</v>
      </c>
      <c r="D47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7" t="str">
        <f>IFERROR(INDEX(Структура_ассортимента[Product group],MATCH(Товары[[#This Row],[SubGroup]],Структура_ассортимента[Subgroup],0)),"")</f>
        <v>AMT_C</v>
      </c>
      <c r="G47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2020</v>
      </c>
      <c r="Q471" s="39" t="s">
        <v>3416</v>
      </c>
      <c r="R471" s="34" t="s">
        <v>3407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3417</v>
      </c>
      <c r="X471" s="34" t="s">
        <v>3446</v>
      </c>
      <c r="Y471" s="34" t="s">
        <v>3409</v>
      </c>
      <c r="Z471" s="34">
        <v>6</v>
      </c>
      <c r="AA471" s="34" t="s">
        <v>5031</v>
      </c>
      <c r="AB471" s="34" t="s">
        <v>5031</v>
      </c>
      <c r="AC471" s="34" t="s">
        <v>4632</v>
      </c>
      <c r="AD471" s="34" t="s">
        <v>4632</v>
      </c>
      <c r="AE471" s="34" t="s">
        <v>5032</v>
      </c>
      <c r="AF471" s="34" t="s">
        <v>4191</v>
      </c>
      <c r="AG471" s="34" t="s">
        <v>3621</v>
      </c>
      <c r="AH471" s="34" t="s">
        <v>5033</v>
      </c>
      <c r="AL471" s="34">
        <v>300</v>
      </c>
      <c r="AM471" s="34" t="s">
        <v>7962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7" t="str">
        <f>IFERROR(INDEX(Структура_ассортимента[SuperCategory],MATCH(Товары[[#This Row],[SubGroup]],Структура_ассортимента[Subgroup],0)),"")</f>
        <v>A</v>
      </c>
      <c r="D47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7" t="str">
        <f>IFERROR(INDEX(Структура_ассортимента[Product group],MATCH(Товары[[#This Row],[SubGroup]],Структура_ассортимента[Subgroup],0)),"")</f>
        <v>AMT_C</v>
      </c>
      <c r="G47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2021</v>
      </c>
      <c r="O472" s="37" t="s">
        <v>5034</v>
      </c>
      <c r="P472" s="37" t="s">
        <v>5035</v>
      </c>
      <c r="Q472" s="39" t="s">
        <v>3416</v>
      </c>
      <c r="R472" s="34" t="s">
        <v>3407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3408</v>
      </c>
      <c r="X472" s="34" t="s">
        <v>3571</v>
      </c>
      <c r="Y472" s="34" t="s">
        <v>3409</v>
      </c>
      <c r="Z472" s="34">
        <v>4</v>
      </c>
      <c r="AA472" s="34" t="s">
        <v>5036</v>
      </c>
      <c r="AB472" s="34" t="s">
        <v>5036</v>
      </c>
      <c r="AC472" s="34" t="s">
        <v>4575</v>
      </c>
      <c r="AD472" s="34" t="s">
        <v>4575</v>
      </c>
      <c r="AE472" s="34" t="s">
        <v>5037</v>
      </c>
      <c r="AF472" s="34" t="s">
        <v>3458</v>
      </c>
      <c r="AG472" s="34" t="s">
        <v>4051</v>
      </c>
      <c r="AH472" s="34" t="s">
        <v>5038</v>
      </c>
      <c r="AI472" s="34" t="s">
        <v>5039</v>
      </c>
      <c r="AJ472" s="34" t="s">
        <v>4228</v>
      </c>
      <c r="AK472" s="34" t="s">
        <v>4182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7" t="str">
        <f>IFERROR(INDEX(Структура_ассортимента[SuperCategory],MATCH(Товары[[#This Row],[SubGroup]],Структура_ассортимента[Subgroup],0)),"")</f>
        <v>A</v>
      </c>
      <c r="D47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7" t="str">
        <f>IFERROR(INDEX(Структура_ассортимента[Product group],MATCH(Товары[[#This Row],[SubGroup]],Структура_ассортимента[Subgroup],0)),"")</f>
        <v>AMT_C</v>
      </c>
      <c r="G47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2022</v>
      </c>
      <c r="O473" s="37" t="s">
        <v>5040</v>
      </c>
      <c r="P473" s="37" t="s">
        <v>5041</v>
      </c>
      <c r="Q473" s="39" t="s">
        <v>3416</v>
      </c>
      <c r="R473" s="34" t="s">
        <v>3407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3408</v>
      </c>
      <c r="X473" s="34" t="s">
        <v>3571</v>
      </c>
      <c r="Y473" s="34" t="s">
        <v>3409</v>
      </c>
      <c r="Z473" s="34">
        <v>4</v>
      </c>
      <c r="AA473" s="34" t="s">
        <v>3796</v>
      </c>
      <c r="AB473" s="34" t="s">
        <v>3796</v>
      </c>
      <c r="AC473" s="34" t="s">
        <v>3595</v>
      </c>
      <c r="AD473" s="34" t="s">
        <v>3595</v>
      </c>
      <c r="AE473" s="34" t="s">
        <v>4513</v>
      </c>
      <c r="AF473" s="34" t="s">
        <v>4006</v>
      </c>
      <c r="AG473" s="34" t="s">
        <v>3565</v>
      </c>
      <c r="AH473" s="34" t="s">
        <v>5042</v>
      </c>
      <c r="AI473" s="34" t="s">
        <v>4182</v>
      </c>
      <c r="AJ473" s="34" t="s">
        <v>4020</v>
      </c>
      <c r="AK473" s="34" t="s">
        <v>4228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7" t="str">
        <f>IFERROR(INDEX(Структура_ассортимента[SuperCategory],MATCH(Товары[[#This Row],[SubGroup]],Структура_ассортимента[Subgroup],0)),"")</f>
        <v>A</v>
      </c>
      <c r="D47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7" t="str">
        <f>IFERROR(INDEX(Структура_ассортимента[Product group],MATCH(Товары[[#This Row],[SubGroup]],Структура_ассортимента[Subgroup],0)),"")</f>
        <v>AMT_C</v>
      </c>
      <c r="G47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2023</v>
      </c>
      <c r="O474" s="37" t="s">
        <v>5043</v>
      </c>
      <c r="P474" s="37" t="s">
        <v>5044</v>
      </c>
      <c r="Q474" s="39" t="s">
        <v>3416</v>
      </c>
      <c r="R474" s="34" t="s">
        <v>3407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3570</v>
      </c>
      <c r="X474" s="34" t="s">
        <v>3571</v>
      </c>
      <c r="Y474" s="34" t="s">
        <v>3409</v>
      </c>
      <c r="Z474" s="34">
        <v>4</v>
      </c>
      <c r="AA474" s="34" t="s">
        <v>5045</v>
      </c>
      <c r="AB474" s="34" t="s">
        <v>5045</v>
      </c>
      <c r="AC474" s="34" t="s">
        <v>5046</v>
      </c>
      <c r="AD474" s="34" t="s">
        <v>5045</v>
      </c>
      <c r="AE474" s="34" t="s">
        <v>5047</v>
      </c>
      <c r="AF474" s="34" t="s">
        <v>3639</v>
      </c>
      <c r="AG474" s="34" t="s">
        <v>3578</v>
      </c>
      <c r="AH474" s="34" t="s">
        <v>5048</v>
      </c>
      <c r="AI474" s="34" t="s">
        <v>4262</v>
      </c>
      <c r="AJ474" s="34" t="s">
        <v>3798</v>
      </c>
      <c r="AK474" s="34" t="s">
        <v>4449</v>
      </c>
      <c r="AL474" s="34" t="s">
        <v>3848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7" t="str">
        <f>IFERROR(INDEX(Структура_ассортимента[SuperCategory],MATCH(Товары[[#This Row],[SubGroup]],Структура_ассортимента[Subgroup],0)),"")</f>
        <v>A</v>
      </c>
      <c r="D47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7" t="str">
        <f>IFERROR(INDEX(Структура_ассортимента[Product group],MATCH(Товары[[#This Row],[SubGroup]],Структура_ассортимента[Subgroup],0)),"")</f>
        <v>AMT_C</v>
      </c>
      <c r="G47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2024</v>
      </c>
      <c r="Q475" s="39" t="s">
        <v>3519</v>
      </c>
      <c r="R475" s="34" t="s">
        <v>3407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3410</v>
      </c>
      <c r="X475" s="34" t="s">
        <v>3446</v>
      </c>
      <c r="Y475" s="34" t="s">
        <v>3409</v>
      </c>
      <c r="Z475" s="34">
        <v>20</v>
      </c>
      <c r="AA475" s="34" t="s">
        <v>5045</v>
      </c>
      <c r="AB475" s="34" t="s">
        <v>5045</v>
      </c>
      <c r="AC475" s="34" t="s">
        <v>5045</v>
      </c>
      <c r="AD475" s="34" t="s">
        <v>5049</v>
      </c>
      <c r="AE475" s="34" t="s">
        <v>5047</v>
      </c>
      <c r="AF475" s="34" t="s">
        <v>3639</v>
      </c>
      <c r="AG475" s="34" t="s">
        <v>3578</v>
      </c>
      <c r="AH475" s="34" t="s">
        <v>5048</v>
      </c>
      <c r="AI475" s="34" t="s">
        <v>5047</v>
      </c>
      <c r="AJ475" s="34" t="s">
        <v>3578</v>
      </c>
      <c r="AK475" s="34" t="s">
        <v>3639</v>
      </c>
      <c r="AL475" s="34" t="s">
        <v>4381</v>
      </c>
      <c r="AM475" s="34" t="s">
        <v>7962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7" t="str">
        <f>IFERROR(INDEX(Структура_ассортимента[SuperCategory],MATCH(Товары[[#This Row],[SubGroup]],Структура_ассортимента[Subgroup],0)),"")</f>
        <v>A</v>
      </c>
      <c r="D47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7" t="str">
        <f>IFERROR(INDEX(Структура_ассортимента[Product group],MATCH(Товары[[#This Row],[SubGroup]],Структура_ассортимента[Subgroup],0)),"")</f>
        <v>AMT_C</v>
      </c>
      <c r="G47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2025</v>
      </c>
      <c r="O476" s="37" t="s">
        <v>5050</v>
      </c>
      <c r="P476" s="37" t="s">
        <v>5051</v>
      </c>
      <c r="Q476" s="39" t="s">
        <v>3416</v>
      </c>
      <c r="R476" s="34" t="s">
        <v>3407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3570</v>
      </c>
      <c r="X476" s="34" t="s">
        <v>3571</v>
      </c>
      <c r="Y476" s="34" t="s">
        <v>3409</v>
      </c>
      <c r="Z476" s="34">
        <v>4</v>
      </c>
      <c r="AA476" s="34" t="s">
        <v>4200</v>
      </c>
      <c r="AB476" s="34" t="s">
        <v>4200</v>
      </c>
      <c r="AC476" s="34" t="s">
        <v>3463</v>
      </c>
      <c r="AD476" s="34" t="s">
        <v>4200</v>
      </c>
      <c r="AE476" s="34" t="s">
        <v>5052</v>
      </c>
      <c r="AF476" s="34" t="s">
        <v>4377</v>
      </c>
      <c r="AG476" s="34" t="s">
        <v>3667</v>
      </c>
      <c r="AH476" s="34" t="s">
        <v>5053</v>
      </c>
      <c r="AI476" s="34" t="s">
        <v>5052</v>
      </c>
      <c r="AJ476" s="34" t="s">
        <v>3574</v>
      </c>
      <c r="AK476" s="34" t="s">
        <v>4377</v>
      </c>
      <c r="AL476" s="34" t="s">
        <v>4888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7" t="str">
        <f>IFERROR(INDEX(Структура_ассортимента[SuperCategory],MATCH(Товары[[#This Row],[SubGroup]],Структура_ассортимента[Subgroup],0)),"")</f>
        <v>A</v>
      </c>
      <c r="D47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7" t="str">
        <f>IFERROR(INDEX(Структура_ассортимента[Product group],MATCH(Товары[[#This Row],[SubGroup]],Структура_ассортимента[Subgroup],0)),"")</f>
        <v>AMT_C</v>
      </c>
      <c r="G47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2026</v>
      </c>
      <c r="Q477" s="39" t="s">
        <v>3519</v>
      </c>
      <c r="R477" s="34" t="s">
        <v>3407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3410</v>
      </c>
      <c r="X477" s="34" t="s">
        <v>3446</v>
      </c>
      <c r="Y477" s="34" t="s">
        <v>3409</v>
      </c>
      <c r="Z477" s="34">
        <v>20</v>
      </c>
      <c r="AA477" s="34" t="s">
        <v>4200</v>
      </c>
      <c r="AB477" s="34" t="s">
        <v>4200</v>
      </c>
      <c r="AC477" s="34" t="s">
        <v>4200</v>
      </c>
      <c r="AD477" s="34" t="s">
        <v>5054</v>
      </c>
      <c r="AE477" s="34" t="s">
        <v>5052</v>
      </c>
      <c r="AF477" s="34" t="s">
        <v>4377</v>
      </c>
      <c r="AG477" s="34" t="s">
        <v>3667</v>
      </c>
      <c r="AH477" s="34" t="s">
        <v>5053</v>
      </c>
      <c r="AI477" s="34" t="s">
        <v>5052</v>
      </c>
      <c r="AJ477" s="34" t="s">
        <v>3667</v>
      </c>
      <c r="AK477" s="34" t="s">
        <v>4377</v>
      </c>
      <c r="AL477" s="34" t="s">
        <v>4381</v>
      </c>
      <c r="AM477" s="34" t="s">
        <v>7962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7" t="str">
        <f>IFERROR(INDEX(Структура_ассортимента[SuperCategory],MATCH(Товары[[#This Row],[SubGroup]],Структура_ассортимента[Subgroup],0)),"")</f>
        <v>A</v>
      </c>
      <c r="D47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7" t="str">
        <f>IFERROR(INDEX(Структура_ассортимента[Product group],MATCH(Товары[[#This Row],[SubGroup]],Структура_ассортимента[Subgroup],0)),"")</f>
        <v>AMT_C</v>
      </c>
      <c r="G47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2027</v>
      </c>
      <c r="O478" s="37" t="s">
        <v>5055</v>
      </c>
      <c r="P478" s="37" t="s">
        <v>5056</v>
      </c>
      <c r="Q478" s="39" t="s">
        <v>3416</v>
      </c>
      <c r="R478" s="34" t="s">
        <v>3407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3570</v>
      </c>
      <c r="X478" s="34" t="s">
        <v>3571</v>
      </c>
      <c r="Y478" s="34" t="s">
        <v>3409</v>
      </c>
      <c r="Z478" s="34">
        <v>4</v>
      </c>
      <c r="AA478" s="34" t="s">
        <v>4180</v>
      </c>
      <c r="AB478" s="34" t="s">
        <v>4180</v>
      </c>
      <c r="AC478" s="34" t="s">
        <v>5057</v>
      </c>
      <c r="AD478" s="34" t="s">
        <v>4180</v>
      </c>
      <c r="AE478" s="34" t="s">
        <v>5058</v>
      </c>
      <c r="AF478" s="34" t="s">
        <v>4909</v>
      </c>
      <c r="AG478" s="34" t="s">
        <v>4048</v>
      </c>
      <c r="AH478" s="34" t="s">
        <v>5059</v>
      </c>
      <c r="AI478" s="34" t="s">
        <v>5060</v>
      </c>
      <c r="AJ478" s="34" t="s">
        <v>3621</v>
      </c>
      <c r="AK478" s="34" t="s">
        <v>3589</v>
      </c>
      <c r="AL478" s="34" t="s">
        <v>4888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7" t="str">
        <f>IFERROR(INDEX(Структура_ассортимента[SuperCategory],MATCH(Товары[[#This Row],[SubGroup]],Структура_ассортимента[Subgroup],0)),"")</f>
        <v>A</v>
      </c>
      <c r="D47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7" t="str">
        <f>IFERROR(INDEX(Структура_ассортимента[Product group],MATCH(Товары[[#This Row],[SubGroup]],Структура_ассортимента[Subgroup],0)),"")</f>
        <v>AMT_C</v>
      </c>
      <c r="G47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2028</v>
      </c>
      <c r="O479" s="37" t="s">
        <v>5061</v>
      </c>
      <c r="P479" s="37" t="s">
        <v>5062</v>
      </c>
      <c r="Q479" s="39" t="s">
        <v>3416</v>
      </c>
      <c r="R479" s="34" t="s">
        <v>3407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3570</v>
      </c>
      <c r="X479" s="34" t="s">
        <v>3571</v>
      </c>
      <c r="Y479" s="34" t="s">
        <v>3409</v>
      </c>
      <c r="Z479" s="34">
        <v>4</v>
      </c>
      <c r="AA479" s="34" t="s">
        <v>5063</v>
      </c>
      <c r="AB479" s="34" t="s">
        <v>5063</v>
      </c>
      <c r="AC479" s="34" t="s">
        <v>5064</v>
      </c>
      <c r="AD479" s="34" t="s">
        <v>5063</v>
      </c>
      <c r="AE479" s="34" t="s">
        <v>5007</v>
      </c>
      <c r="AF479" s="34" t="s">
        <v>3574</v>
      </c>
      <c r="AG479" s="34" t="s">
        <v>3560</v>
      </c>
      <c r="AH479" s="34" t="s">
        <v>5065</v>
      </c>
      <c r="AI479" s="34" t="s">
        <v>5066</v>
      </c>
      <c r="AJ479" s="34" t="s">
        <v>3560</v>
      </c>
      <c r="AK479" s="34" t="s">
        <v>3574</v>
      </c>
      <c r="AL479" s="34" t="s">
        <v>5067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7" t="str">
        <f>IFERROR(INDEX(Структура_ассортимента[SuperCategory],MATCH(Товары[[#This Row],[SubGroup]],Структура_ассортимента[Subgroup],0)),"")</f>
        <v>A</v>
      </c>
      <c r="D48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7" t="str">
        <f>IFERROR(INDEX(Структура_ассортимента[Product group],MATCH(Товары[[#This Row],[SubGroup]],Структура_ассортимента[Subgroup],0)),"")</f>
        <v>AMT_C</v>
      </c>
      <c r="G48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2029</v>
      </c>
      <c r="O480" s="37" t="s">
        <v>5068</v>
      </c>
      <c r="P480" s="37" t="s">
        <v>5069</v>
      </c>
      <c r="Q480" s="39" t="s">
        <v>3416</v>
      </c>
      <c r="R480" s="34" t="s">
        <v>3407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3570</v>
      </c>
      <c r="X480" s="34" t="s">
        <v>3571</v>
      </c>
      <c r="Y480" s="34" t="s">
        <v>3409</v>
      </c>
      <c r="Z480" s="34">
        <v>4</v>
      </c>
      <c r="AA480" s="34" t="s">
        <v>4082</v>
      </c>
      <c r="AB480" s="34" t="s">
        <v>4082</v>
      </c>
      <c r="AC480" s="34" t="s">
        <v>5070</v>
      </c>
      <c r="AD480" s="34" t="s">
        <v>4082</v>
      </c>
      <c r="AE480" s="34" t="s">
        <v>5071</v>
      </c>
      <c r="AF480" s="34" t="s">
        <v>4325</v>
      </c>
      <c r="AG480" s="34" t="s">
        <v>3778</v>
      </c>
      <c r="AH480" s="34" t="s">
        <v>5072</v>
      </c>
      <c r="AI480" s="34" t="s">
        <v>5073</v>
      </c>
      <c r="AJ480" s="34" t="s">
        <v>3778</v>
      </c>
      <c r="AK480" s="34" t="s">
        <v>4325</v>
      </c>
      <c r="AL480" s="34" t="s">
        <v>3625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7" t="str">
        <f>IFERROR(INDEX(Структура_ассортимента[SuperCategory],MATCH(Товары[[#This Row],[SubGroup]],Структура_ассортимента[Subgroup],0)),"")</f>
        <v>A</v>
      </c>
      <c r="D48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7" t="str">
        <f>IFERROR(INDEX(Структура_ассортимента[Product group],MATCH(Товары[[#This Row],[SubGroup]],Структура_ассортимента[Subgroup],0)),"")</f>
        <v>AMT_C</v>
      </c>
      <c r="G48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2030</v>
      </c>
      <c r="O481" s="37" t="s">
        <v>5074</v>
      </c>
      <c r="P481" s="37" t="s">
        <v>5075</v>
      </c>
      <c r="Q481" s="39" t="s">
        <v>3416</v>
      </c>
      <c r="R481" s="34" t="s">
        <v>3407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3570</v>
      </c>
      <c r="X481" s="34" t="s">
        <v>3571</v>
      </c>
      <c r="Y481" s="34" t="s">
        <v>3409</v>
      </c>
      <c r="Z481" s="34">
        <v>4</v>
      </c>
      <c r="AA481" s="34" t="s">
        <v>5076</v>
      </c>
      <c r="AB481" s="34" t="s">
        <v>5076</v>
      </c>
      <c r="AC481" s="34" t="s">
        <v>5070</v>
      </c>
      <c r="AD481" s="34" t="s">
        <v>5076</v>
      </c>
      <c r="AE481" s="34" t="s">
        <v>5077</v>
      </c>
      <c r="AF481" s="34" t="s">
        <v>4124</v>
      </c>
      <c r="AG481" s="34" t="s">
        <v>4202</v>
      </c>
      <c r="AH481" s="34" t="s">
        <v>5078</v>
      </c>
      <c r="AI481" s="34" t="s">
        <v>5077</v>
      </c>
      <c r="AJ481" s="34" t="s">
        <v>4202</v>
      </c>
      <c r="AK481" s="34" t="s">
        <v>4124</v>
      </c>
      <c r="AL481" s="34" t="s">
        <v>5079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7" t="str">
        <f>IFERROR(INDEX(Структура_ассортимента[SuperCategory],MATCH(Товары[[#This Row],[SubGroup]],Структура_ассортимента[Subgroup],0)),"")</f>
        <v>A</v>
      </c>
      <c r="D48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7" t="str">
        <f>IFERROR(INDEX(Структура_ассортимента[Product group],MATCH(Товары[[#This Row],[SubGroup]],Структура_ассортимента[Subgroup],0)),"")</f>
        <v>AMT_C</v>
      </c>
      <c r="G48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2031</v>
      </c>
      <c r="O482" s="37" t="s">
        <v>5080</v>
      </c>
      <c r="P482" s="37" t="s">
        <v>5081</v>
      </c>
      <c r="Q482" s="39" t="s">
        <v>3416</v>
      </c>
      <c r="R482" s="34" t="s">
        <v>3407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3570</v>
      </c>
      <c r="X482" s="34" t="s">
        <v>3571</v>
      </c>
      <c r="Y482" s="34" t="s">
        <v>3409</v>
      </c>
      <c r="Z482" s="34">
        <v>4</v>
      </c>
      <c r="AA482" s="34" t="s">
        <v>5082</v>
      </c>
      <c r="AB482" s="34" t="s">
        <v>5082</v>
      </c>
      <c r="AC482" s="34" t="s">
        <v>3453</v>
      </c>
      <c r="AD482" s="34" t="s">
        <v>5082</v>
      </c>
      <c r="AE482" s="34" t="s">
        <v>5007</v>
      </c>
      <c r="AF482" s="34" t="s">
        <v>3881</v>
      </c>
      <c r="AG482" s="34" t="s">
        <v>3427</v>
      </c>
      <c r="AH482" s="34" t="s">
        <v>5083</v>
      </c>
      <c r="AI482" s="34" t="s">
        <v>5084</v>
      </c>
      <c r="AJ482" s="34" t="s">
        <v>3433</v>
      </c>
      <c r="AK482" s="34" t="s">
        <v>4449</v>
      </c>
      <c r="AL482" s="34" t="s">
        <v>3436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7" t="str">
        <f>IFERROR(INDEX(Структура_ассортимента[SuperCategory],MATCH(Товары[[#This Row],[SubGroup]],Структура_ассортимента[Subgroup],0)),"")</f>
        <v>A</v>
      </c>
      <c r="D48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7" t="str">
        <f>IFERROR(INDEX(Структура_ассортимента[Product group],MATCH(Товары[[#This Row],[SubGroup]],Структура_ассортимента[Subgroup],0)),"")</f>
        <v>AMT_C</v>
      </c>
      <c r="G48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2032</v>
      </c>
      <c r="Q483" s="39" t="s">
        <v>3519</v>
      </c>
      <c r="R483" s="34" t="s">
        <v>3407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3410</v>
      </c>
      <c r="X483" s="34" t="s">
        <v>3446</v>
      </c>
      <c r="Y483" s="34" t="s">
        <v>3409</v>
      </c>
      <c r="Z483" s="34">
        <v>20</v>
      </c>
      <c r="AA483" s="34" t="s">
        <v>5082</v>
      </c>
      <c r="AB483" s="34" t="s">
        <v>5082</v>
      </c>
      <c r="AC483" s="34" t="s">
        <v>5082</v>
      </c>
      <c r="AD483" s="34" t="s">
        <v>5085</v>
      </c>
      <c r="AE483" s="34" t="s">
        <v>5007</v>
      </c>
      <c r="AF483" s="34" t="s">
        <v>3881</v>
      </c>
      <c r="AG483" s="34" t="s">
        <v>3427</v>
      </c>
      <c r="AH483" s="34" t="s">
        <v>5086</v>
      </c>
      <c r="AI483" s="34" t="s">
        <v>5007</v>
      </c>
      <c r="AJ483" s="34" t="s">
        <v>3427</v>
      </c>
      <c r="AK483" s="34" t="s">
        <v>3881</v>
      </c>
      <c r="AL483" s="34" t="s">
        <v>4381</v>
      </c>
      <c r="AM483" s="34" t="s">
        <v>7962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7" t="str">
        <f>IFERROR(INDEX(Структура_ассортимента[SuperCategory],MATCH(Товары[[#This Row],[SubGroup]],Структура_ассортимента[Subgroup],0)),"")</f>
        <v>A</v>
      </c>
      <c r="D48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7" t="str">
        <f>IFERROR(INDEX(Структура_ассортимента[Product group],MATCH(Товары[[#This Row],[SubGroup]],Структура_ассортимента[Subgroup],0)),"")</f>
        <v>AMT_C</v>
      </c>
      <c r="G48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2033</v>
      </c>
      <c r="O484" s="37" t="s">
        <v>5087</v>
      </c>
      <c r="P484" s="37" t="s">
        <v>5088</v>
      </c>
      <c r="Q484" s="39" t="s">
        <v>3416</v>
      </c>
      <c r="R484" s="34" t="s">
        <v>3407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3570</v>
      </c>
      <c r="X484" s="34" t="s">
        <v>3571</v>
      </c>
      <c r="Y484" s="34" t="s">
        <v>3409</v>
      </c>
      <c r="Z484" s="34">
        <v>4</v>
      </c>
      <c r="AA484" s="34" t="s">
        <v>5089</v>
      </c>
      <c r="AB484" s="34" t="s">
        <v>5089</v>
      </c>
      <c r="AC484" s="34" t="s">
        <v>5090</v>
      </c>
      <c r="AD484" s="34" t="s">
        <v>4575</v>
      </c>
      <c r="AE484" s="34" t="s">
        <v>5091</v>
      </c>
      <c r="AF484" s="34" t="s">
        <v>3778</v>
      </c>
      <c r="AG484" s="34" t="s">
        <v>4048</v>
      </c>
      <c r="AH484" s="34" t="s">
        <v>5092</v>
      </c>
      <c r="AI484" s="34" t="s">
        <v>5093</v>
      </c>
      <c r="AJ484" s="34" t="s">
        <v>4048</v>
      </c>
      <c r="AK484" s="34" t="s">
        <v>3778</v>
      </c>
      <c r="AL484" s="34" t="s">
        <v>5094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7" t="str">
        <f>IFERROR(INDEX(Структура_ассортимента[SuperCategory],MATCH(Товары[[#This Row],[SubGroup]],Структура_ассортимента[Subgroup],0)),"")</f>
        <v>A</v>
      </c>
      <c r="D48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7" t="str">
        <f>IFERROR(INDEX(Структура_ассортимента[Product group],MATCH(Товары[[#This Row],[SubGroup]],Структура_ассортимента[Subgroup],0)),"")</f>
        <v>AMT_C</v>
      </c>
      <c r="G48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2034</v>
      </c>
      <c r="O485" s="37" t="s">
        <v>5095</v>
      </c>
      <c r="P485" s="37" t="s">
        <v>5096</v>
      </c>
      <c r="Q485" s="39" t="s">
        <v>3416</v>
      </c>
      <c r="R485" s="34" t="s">
        <v>3407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3570</v>
      </c>
      <c r="X485" s="34" t="s">
        <v>3571</v>
      </c>
      <c r="Y485" s="34" t="s">
        <v>3409</v>
      </c>
      <c r="Z485" s="34">
        <v>4</v>
      </c>
      <c r="AA485" s="34" t="s">
        <v>5097</v>
      </c>
      <c r="AB485" s="34" t="s">
        <v>5097</v>
      </c>
      <c r="AC485" s="34" t="s">
        <v>3731</v>
      </c>
      <c r="AD485" s="34" t="s">
        <v>5097</v>
      </c>
      <c r="AE485" s="34" t="s">
        <v>5098</v>
      </c>
      <c r="AF485" s="34" t="s">
        <v>3798</v>
      </c>
      <c r="AG485" s="34" t="s">
        <v>3798</v>
      </c>
      <c r="AH485" s="34" t="s">
        <v>5099</v>
      </c>
      <c r="AI485" s="34" t="s">
        <v>5098</v>
      </c>
      <c r="AJ485" s="34" t="s">
        <v>4098</v>
      </c>
      <c r="AK485" s="34" t="s">
        <v>4098</v>
      </c>
      <c r="AL485" s="34" t="s">
        <v>5100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7" t="str">
        <f>IFERROR(INDEX(Структура_ассортимента[SuperCategory],MATCH(Товары[[#This Row],[SubGroup]],Структура_ассортимента[Subgroup],0)),"")</f>
        <v>A</v>
      </c>
      <c r="D48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7" t="str">
        <f>IFERROR(INDEX(Структура_ассортимента[Product group],MATCH(Товары[[#This Row],[SubGroup]],Структура_ассортимента[Subgroup],0)),"")</f>
        <v>AMT_C</v>
      </c>
      <c r="G48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2035</v>
      </c>
      <c r="Q486" s="39" t="s">
        <v>3519</v>
      </c>
      <c r="R486" s="34" t="s">
        <v>3407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3410</v>
      </c>
      <c r="X486" s="34" t="s">
        <v>3446</v>
      </c>
      <c r="Y486" s="34" t="s">
        <v>3409</v>
      </c>
      <c r="Z486" s="34">
        <v>1</v>
      </c>
      <c r="AB486" s="34" t="s">
        <v>5101</v>
      </c>
      <c r="AD486" s="34" t="s">
        <v>5102</v>
      </c>
      <c r="AE486" s="34" t="s">
        <v>5103</v>
      </c>
      <c r="AF486" s="34" t="s">
        <v>5104</v>
      </c>
      <c r="AG486" s="34" t="s">
        <v>4317</v>
      </c>
      <c r="AH486" s="34" t="s">
        <v>5105</v>
      </c>
      <c r="AL486" s="34" t="s">
        <v>5106</v>
      </c>
      <c r="AM486" s="34" t="s">
        <v>7962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7" t="str">
        <f>IFERROR(INDEX(Структура_ассортимента[SuperCategory],MATCH(Товары[[#This Row],[SubGroup]],Структура_ассортимента[Subgroup],0)),"")</f>
        <v>A</v>
      </c>
      <c r="D48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7" t="str">
        <f>IFERROR(INDEX(Структура_ассортимента[Product group],MATCH(Товары[[#This Row],[SubGroup]],Структура_ассортимента[Subgroup],0)),"")</f>
        <v>AMT_C</v>
      </c>
      <c r="G48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2036</v>
      </c>
      <c r="Q487" s="39" t="s">
        <v>3519</v>
      </c>
      <c r="R487" s="34" t="s">
        <v>3407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3410</v>
      </c>
      <c r="X487" s="34" t="s">
        <v>3446</v>
      </c>
      <c r="Y487" s="34" t="s">
        <v>3409</v>
      </c>
      <c r="Z487" s="34">
        <v>1</v>
      </c>
      <c r="AB487" s="34" t="s">
        <v>5107</v>
      </c>
      <c r="AD487" s="34" t="s">
        <v>5108</v>
      </c>
      <c r="AE487" s="34" t="s">
        <v>5103</v>
      </c>
      <c r="AF487" s="34" t="s">
        <v>5104</v>
      </c>
      <c r="AG487" s="34" t="s">
        <v>4317</v>
      </c>
      <c r="AH487" s="34" t="s">
        <v>5105</v>
      </c>
      <c r="AL487" s="34" t="s">
        <v>5106</v>
      </c>
      <c r="AM487" s="34" t="s">
        <v>7962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7" t="str">
        <f>IFERROR(INDEX(Структура_ассортимента[SuperCategory],MATCH(Товары[[#This Row],[SubGroup]],Структура_ассортимента[Subgroup],0)),"")</f>
        <v>A</v>
      </c>
      <c r="D48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7" t="str">
        <f>IFERROR(INDEX(Структура_ассортимента[Product group],MATCH(Товары[[#This Row],[SubGroup]],Структура_ассортимента[Subgroup],0)),"")</f>
        <v>AMT_C</v>
      </c>
      <c r="G48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2037</v>
      </c>
      <c r="Q488" s="39" t="s">
        <v>3519</v>
      </c>
      <c r="R488" s="34" t="s">
        <v>3407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3410</v>
      </c>
      <c r="X488" s="34" t="s">
        <v>3446</v>
      </c>
      <c r="Y488" s="34" t="s">
        <v>3409</v>
      </c>
      <c r="Z488" s="34">
        <v>1</v>
      </c>
      <c r="AB488" s="34" t="s">
        <v>5109</v>
      </c>
      <c r="AD488" s="34" t="s">
        <v>5110</v>
      </c>
      <c r="AE488" s="34" t="s">
        <v>5103</v>
      </c>
      <c r="AF488" s="34" t="s">
        <v>4726</v>
      </c>
      <c r="AG488" s="34" t="s">
        <v>5111</v>
      </c>
      <c r="AH488" s="34" t="s">
        <v>5112</v>
      </c>
      <c r="AL488" s="34" t="s">
        <v>5106</v>
      </c>
      <c r="AM488" s="34" t="s">
        <v>7962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7" t="str">
        <f>IFERROR(INDEX(Структура_ассортимента[SuperCategory],MATCH(Товары[[#This Row],[SubGroup]],Структура_ассортимента[Subgroup],0)),"")</f>
        <v>A</v>
      </c>
      <c r="D48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7" t="str">
        <f>IFERROR(INDEX(Структура_ассортимента[Product group],MATCH(Товары[[#This Row],[SubGroup]],Структура_ассортимента[Subgroup],0)),"")</f>
        <v>AMT_C</v>
      </c>
      <c r="G48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2038</v>
      </c>
      <c r="Q489" s="39" t="s">
        <v>3519</v>
      </c>
      <c r="R489" s="34" t="s">
        <v>3407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3410</v>
      </c>
      <c r="X489" s="34" t="s">
        <v>3446</v>
      </c>
      <c r="Y489" s="34" t="s">
        <v>3409</v>
      </c>
      <c r="Z489" s="34">
        <v>1</v>
      </c>
      <c r="AB489" s="34" t="s">
        <v>5113</v>
      </c>
      <c r="AD489" s="34" t="s">
        <v>5114</v>
      </c>
      <c r="AE489" s="34" t="s">
        <v>5103</v>
      </c>
      <c r="AF489" s="34" t="s">
        <v>5104</v>
      </c>
      <c r="AG489" s="34" t="s">
        <v>5111</v>
      </c>
      <c r="AH489" s="34" t="s">
        <v>5115</v>
      </c>
      <c r="AL489" s="34" t="s">
        <v>5106</v>
      </c>
      <c r="AM489" s="34" t="s">
        <v>7962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7" t="str">
        <f>IFERROR(INDEX(Структура_ассортимента[SuperCategory],MATCH(Товары[[#This Row],[SubGroup]],Структура_ассортимента[Subgroup],0)),"")</f>
        <v>A</v>
      </c>
      <c r="D49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7" t="str">
        <f>IFERROR(INDEX(Структура_ассортимента[Product group],MATCH(Товары[[#This Row],[SubGroup]],Структура_ассортимента[Subgroup],0)),"")</f>
        <v>AMT_C</v>
      </c>
      <c r="G49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2039</v>
      </c>
      <c r="Q490" s="39" t="s">
        <v>3519</v>
      </c>
      <c r="R490" s="34" t="s">
        <v>3407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3410</v>
      </c>
      <c r="X490" s="34" t="s">
        <v>3446</v>
      </c>
      <c r="Y490" s="34" t="s">
        <v>3409</v>
      </c>
      <c r="Z490" s="34">
        <v>1</v>
      </c>
      <c r="AB490" s="34" t="s">
        <v>5116</v>
      </c>
      <c r="AD490" s="34" t="s">
        <v>5117</v>
      </c>
      <c r="AE490" s="34" t="s">
        <v>5103</v>
      </c>
      <c r="AF490" s="34" t="s">
        <v>5104</v>
      </c>
      <c r="AG490" s="34" t="s">
        <v>5111</v>
      </c>
      <c r="AH490" s="34" t="s">
        <v>5115</v>
      </c>
      <c r="AL490" s="34" t="s">
        <v>5106</v>
      </c>
      <c r="AM490" s="34" t="s">
        <v>7962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7" t="str">
        <f>IFERROR(INDEX(Структура_ассортимента[SuperCategory],MATCH(Товары[[#This Row],[SubGroup]],Структура_ассортимента[Subgroup],0)),"")</f>
        <v>A</v>
      </c>
      <c r="D49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7" t="str">
        <f>IFERROR(INDEX(Структура_ассортимента[Product group],MATCH(Товары[[#This Row],[SubGroup]],Структура_ассортимента[Subgroup],0)),"")</f>
        <v>AMT_C</v>
      </c>
      <c r="G49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2040</v>
      </c>
      <c r="Q491" s="39" t="s">
        <v>3416</v>
      </c>
      <c r="R491" s="34" t="s">
        <v>3407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3413</v>
      </c>
      <c r="X491" s="34" t="s">
        <v>4735</v>
      </c>
      <c r="Y491" s="34" t="s">
        <v>3409</v>
      </c>
      <c r="Z491" s="34">
        <v>5</v>
      </c>
      <c r="AB491" s="34" t="s">
        <v>5118</v>
      </c>
      <c r="AD491" s="34" t="s">
        <v>5118</v>
      </c>
      <c r="AE491" s="34" t="s">
        <v>5119</v>
      </c>
      <c r="AF491" s="34" t="s">
        <v>4780</v>
      </c>
      <c r="AG491" s="34" t="s">
        <v>3523</v>
      </c>
      <c r="AH491" s="34" t="s">
        <v>5120</v>
      </c>
      <c r="AJ491" s="34" t="s">
        <v>5119</v>
      </c>
      <c r="AK491" s="34" t="s">
        <v>4780</v>
      </c>
      <c r="AL491" s="34" t="s">
        <v>5121</v>
      </c>
      <c r="AM491" s="34" t="s">
        <v>7962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7" t="str">
        <f>IFERROR(INDEX(Структура_ассортимента[SuperCategory],MATCH(Товары[[#This Row],[SubGroup]],Структура_ассортимента[Subgroup],0)),"")</f>
        <v>A</v>
      </c>
      <c r="D49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7" t="str">
        <f>IFERROR(INDEX(Структура_ассортимента[Product group],MATCH(Товары[[#This Row],[SubGroup]],Структура_ассортимента[Subgroup],0)),"")</f>
        <v>AMT_C</v>
      </c>
      <c r="G49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2041</v>
      </c>
      <c r="O492" s="37" t="s">
        <v>5122</v>
      </c>
      <c r="P492" s="37" t="s">
        <v>5123</v>
      </c>
      <c r="Q492" s="39" t="s">
        <v>3416</v>
      </c>
      <c r="R492" s="34" t="s">
        <v>3407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3413</v>
      </c>
      <c r="X492" s="34" t="s">
        <v>4735</v>
      </c>
      <c r="Y492" s="34" t="s">
        <v>3409</v>
      </c>
      <c r="Z492" s="34">
        <v>5</v>
      </c>
      <c r="AB492" s="34" t="s">
        <v>3743</v>
      </c>
      <c r="AD492" s="34" t="s">
        <v>3743</v>
      </c>
      <c r="AE492" s="34" t="s">
        <v>5124</v>
      </c>
      <c r="AF492" s="34" t="s">
        <v>4294</v>
      </c>
      <c r="AG492" s="34" t="s">
        <v>3667</v>
      </c>
      <c r="AH492" s="34" t="s">
        <v>5125</v>
      </c>
      <c r="AJ492" s="34" t="s">
        <v>5124</v>
      </c>
      <c r="AK492" s="34" t="s">
        <v>4294</v>
      </c>
      <c r="AL492" s="34" t="s">
        <v>5017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7" t="str">
        <f>IFERROR(INDEX(Структура_ассортимента[SuperCategory],MATCH(Товары[[#This Row],[SubGroup]],Структура_ассортимента[Subgroup],0)),"")</f>
        <v>A</v>
      </c>
      <c r="D49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7" t="str">
        <f>IFERROR(INDEX(Структура_ассортимента[Product group],MATCH(Товары[[#This Row],[SubGroup]],Структура_ассортимента[Subgroup],0)),"")</f>
        <v>AMT_C</v>
      </c>
      <c r="G49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2042</v>
      </c>
      <c r="O493" s="37" t="s">
        <v>5126</v>
      </c>
      <c r="P493" s="37" t="s">
        <v>5127</v>
      </c>
      <c r="Q493" s="39" t="s">
        <v>3416</v>
      </c>
      <c r="R493" s="34" t="s">
        <v>3407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3413</v>
      </c>
      <c r="X493" s="34" t="s">
        <v>4735</v>
      </c>
      <c r="Y493" s="34" t="s">
        <v>3409</v>
      </c>
      <c r="Z493" s="34">
        <v>5</v>
      </c>
      <c r="AB493" s="34" t="s">
        <v>5128</v>
      </c>
      <c r="AD493" s="34" t="s">
        <v>5128</v>
      </c>
      <c r="AE493" s="34" t="s">
        <v>3634</v>
      </c>
      <c r="AF493" s="34" t="s">
        <v>3609</v>
      </c>
      <c r="AG493" s="34" t="s">
        <v>3667</v>
      </c>
      <c r="AH493" s="34" t="s">
        <v>5129</v>
      </c>
      <c r="AJ493" s="34" t="s">
        <v>5130</v>
      </c>
      <c r="AK493" s="34" t="s">
        <v>3639</v>
      </c>
      <c r="AL493" s="34" t="s">
        <v>4169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7" t="str">
        <f>IFERROR(INDEX(Структура_ассортимента[SuperCategory],MATCH(Товары[[#This Row],[SubGroup]],Структура_ассортимента[Subgroup],0)),"")</f>
        <v>A</v>
      </c>
      <c r="D49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7" t="str">
        <f>IFERROR(INDEX(Структура_ассортимента[Product group],MATCH(Товары[[#This Row],[SubGroup]],Структура_ассортимента[Subgroup],0)),"")</f>
        <v>AMT_C</v>
      </c>
      <c r="G49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2043</v>
      </c>
      <c r="O494" s="37" t="s">
        <v>5131</v>
      </c>
      <c r="P494" s="37" t="s">
        <v>5132</v>
      </c>
      <c r="Q494" s="39" t="s">
        <v>3416</v>
      </c>
      <c r="R494" s="34" t="s">
        <v>3407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3413</v>
      </c>
      <c r="X494" s="34" t="s">
        <v>4735</v>
      </c>
      <c r="Y494" s="34" t="s">
        <v>3409</v>
      </c>
      <c r="Z494" s="34">
        <v>5</v>
      </c>
      <c r="AB494" s="34" t="s">
        <v>5133</v>
      </c>
      <c r="AD494" s="34" t="s">
        <v>5133</v>
      </c>
      <c r="AE494" s="34" t="s">
        <v>5007</v>
      </c>
      <c r="AF494" s="34" t="s">
        <v>4176</v>
      </c>
      <c r="AG494" s="34" t="s">
        <v>3778</v>
      </c>
      <c r="AH494" s="34" t="s">
        <v>5134</v>
      </c>
      <c r="AJ494" s="34" t="s">
        <v>5135</v>
      </c>
      <c r="AK494" s="34" t="s">
        <v>4810</v>
      </c>
      <c r="AL494" s="34" t="s">
        <v>5017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7" t="str">
        <f>IFERROR(INDEX(Структура_ассортимента[SuperCategory],MATCH(Товары[[#This Row],[SubGroup]],Структура_ассортимента[Subgroup],0)),"")</f>
        <v>A</v>
      </c>
      <c r="D49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7" t="str">
        <f>IFERROR(INDEX(Структура_ассортимента[Product group],MATCH(Товары[[#This Row],[SubGroup]],Структура_ассортимента[Subgroup],0)),"")</f>
        <v>AMT_C</v>
      </c>
      <c r="G49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2044</v>
      </c>
      <c r="O495" s="37" t="s">
        <v>5136</v>
      </c>
      <c r="P495" s="37" t="s">
        <v>5137</v>
      </c>
      <c r="Q495" s="39" t="s">
        <v>3416</v>
      </c>
      <c r="R495" s="34" t="s">
        <v>3407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3413</v>
      </c>
      <c r="X495" s="34" t="s">
        <v>4735</v>
      </c>
      <c r="Y495" s="34" t="s">
        <v>3409</v>
      </c>
      <c r="Z495" s="34">
        <v>5</v>
      </c>
      <c r="AB495" s="34" t="s">
        <v>4131</v>
      </c>
      <c r="AD495" s="34" t="s">
        <v>4131</v>
      </c>
      <c r="AE495" s="34" t="s">
        <v>5138</v>
      </c>
      <c r="AF495" s="34" t="s">
        <v>3881</v>
      </c>
      <c r="AG495" s="34" t="s">
        <v>3424</v>
      </c>
      <c r="AH495" s="34" t="s">
        <v>5139</v>
      </c>
      <c r="AJ495" s="34" t="s">
        <v>5138</v>
      </c>
      <c r="AK495" s="34" t="s">
        <v>3881</v>
      </c>
      <c r="AL495" s="34" t="s">
        <v>4320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7" t="str">
        <f>IFERROR(INDEX(Структура_ассортимента[SuperCategory],MATCH(Товары[[#This Row],[SubGroup]],Структура_ассортимента[Subgroup],0)),"")</f>
        <v>A</v>
      </c>
      <c r="D49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7" t="str">
        <f>IFERROR(INDEX(Структура_ассортимента[Product group],MATCH(Товары[[#This Row],[SubGroup]],Структура_ассортимента[Subgroup],0)),"")</f>
        <v>AMT_C</v>
      </c>
      <c r="G49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2045</v>
      </c>
      <c r="O496" s="37" t="s">
        <v>5140</v>
      </c>
      <c r="P496" s="37" t="s">
        <v>5141</v>
      </c>
      <c r="Q496" s="39" t="s">
        <v>3416</v>
      </c>
      <c r="R496" s="34" t="s">
        <v>3407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3413</v>
      </c>
      <c r="X496" s="34" t="s">
        <v>4735</v>
      </c>
      <c r="Y496" s="34" t="s">
        <v>3409</v>
      </c>
      <c r="Z496" s="34">
        <v>5</v>
      </c>
      <c r="AB496" s="34" t="s">
        <v>4234</v>
      </c>
      <c r="AD496" s="34" t="s">
        <v>4234</v>
      </c>
      <c r="AE496" s="34" t="s">
        <v>5119</v>
      </c>
      <c r="AF496" s="34" t="s">
        <v>3441</v>
      </c>
      <c r="AG496" s="34" t="s">
        <v>4202</v>
      </c>
      <c r="AH496" s="34" t="s">
        <v>5142</v>
      </c>
      <c r="AJ496" s="34" t="s">
        <v>5119</v>
      </c>
      <c r="AK496" s="34" t="s">
        <v>3441</v>
      </c>
      <c r="AL496" s="34" t="s">
        <v>5121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7" t="str">
        <f>IFERROR(INDEX(Структура_ассортимента[SuperCategory],MATCH(Товары[[#This Row],[SubGroup]],Структура_ассортимента[Subgroup],0)),"")</f>
        <v>A</v>
      </c>
      <c r="D49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7" t="str">
        <f>IFERROR(INDEX(Структура_ассортимента[Product group],MATCH(Товары[[#This Row],[SubGroup]],Структура_ассортимента[Subgroup],0)),"")</f>
        <v>AMT_C</v>
      </c>
      <c r="G49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2046</v>
      </c>
      <c r="O497" s="37" t="s">
        <v>5143</v>
      </c>
      <c r="P497" s="37" t="s">
        <v>5144</v>
      </c>
      <c r="Q497" s="39" t="s">
        <v>3416</v>
      </c>
      <c r="R497" s="34" t="s">
        <v>3407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3408</v>
      </c>
      <c r="X497" s="34" t="s">
        <v>3571</v>
      </c>
      <c r="Y497" s="34" t="s">
        <v>3409</v>
      </c>
      <c r="Z497" s="34">
        <v>3</v>
      </c>
      <c r="AA497" s="34" t="s">
        <v>3728</v>
      </c>
      <c r="AB497" s="34" t="s">
        <v>5145</v>
      </c>
      <c r="AC497" s="34" t="s">
        <v>3488</v>
      </c>
      <c r="AD497" s="34" t="s">
        <v>4891</v>
      </c>
      <c r="AE497" s="34" t="s">
        <v>3881</v>
      </c>
      <c r="AF497" s="34" t="s">
        <v>4758</v>
      </c>
      <c r="AG497" s="34" t="s">
        <v>3787</v>
      </c>
      <c r="AH497" s="34" t="s">
        <v>5146</v>
      </c>
      <c r="AI497" s="34" t="s">
        <v>3881</v>
      </c>
      <c r="AJ497" s="34" t="s">
        <v>3787</v>
      </c>
      <c r="AK497" s="34" t="s">
        <v>4758</v>
      </c>
      <c r="AL497" s="34" t="s">
        <v>5147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7" t="str">
        <f>IFERROR(INDEX(Структура_ассортимента[SuperCategory],MATCH(Товары[[#This Row],[SubGroup]],Структура_ассортимента[Subgroup],0)),"")</f>
        <v>A</v>
      </c>
      <c r="D49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7" t="str">
        <f>IFERROR(INDEX(Структура_ассортимента[Product group],MATCH(Товары[[#This Row],[SubGroup]],Структура_ассортимента[Subgroup],0)),"")</f>
        <v>AMT_C</v>
      </c>
      <c r="G49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2047</v>
      </c>
      <c r="Q498" s="39" t="s">
        <v>3416</v>
      </c>
      <c r="R498" s="34" t="s">
        <v>3407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3410</v>
      </c>
      <c r="X498" s="34" t="s">
        <v>3446</v>
      </c>
      <c r="Y498" s="34" t="s">
        <v>3409</v>
      </c>
      <c r="Z498" s="34">
        <v>10</v>
      </c>
      <c r="AB498" s="34" t="s">
        <v>3501</v>
      </c>
      <c r="AD498" s="34" t="s">
        <v>3768</v>
      </c>
      <c r="AE498" s="34" t="s">
        <v>3881</v>
      </c>
      <c r="AF498" s="34" t="s">
        <v>4758</v>
      </c>
      <c r="AG498" s="34" t="s">
        <v>3787</v>
      </c>
      <c r="AH498" s="34" t="s">
        <v>5146</v>
      </c>
      <c r="AL498" s="34" t="s">
        <v>4380</v>
      </c>
      <c r="AM498" s="34" t="s">
        <v>7962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7" t="str">
        <f>IFERROR(INDEX(Структура_ассортимента[SuperCategory],MATCH(Товары[[#This Row],[SubGroup]],Структура_ассортимента[Subgroup],0)),"")</f>
        <v>A</v>
      </c>
      <c r="D49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7" t="str">
        <f>IFERROR(INDEX(Структура_ассортимента[Product group],MATCH(Товары[[#This Row],[SubGroup]],Структура_ассортимента[Subgroup],0)),"")</f>
        <v>AMT_C</v>
      </c>
      <c r="G49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2048</v>
      </c>
      <c r="Q499" s="39" t="s">
        <v>3416</v>
      </c>
      <c r="R499" s="34" t="s">
        <v>3407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3408</v>
      </c>
      <c r="X499" s="34" t="s">
        <v>3571</v>
      </c>
      <c r="Y499" s="34" t="s">
        <v>3409</v>
      </c>
      <c r="Z499" s="34">
        <v>6</v>
      </c>
      <c r="AB499" s="34" t="s">
        <v>3594</v>
      </c>
      <c r="AD499" s="34" t="s">
        <v>3596</v>
      </c>
      <c r="AE499" s="34" t="s">
        <v>3610</v>
      </c>
      <c r="AF499" s="34" t="s">
        <v>3424</v>
      </c>
      <c r="AG499" s="34" t="s">
        <v>3798</v>
      </c>
      <c r="AH499" s="34" t="s">
        <v>5148</v>
      </c>
      <c r="AI499" s="34" t="s">
        <v>3550</v>
      </c>
      <c r="AJ499" s="34" t="s">
        <v>5149</v>
      </c>
      <c r="AK499" s="34" t="s">
        <v>4127</v>
      </c>
      <c r="AL499" s="34" t="s">
        <v>5150</v>
      </c>
      <c r="AM499" s="34" t="s">
        <v>7962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7" t="str">
        <f>IFERROR(INDEX(Структура_ассортимента[SuperCategory],MATCH(Товары[[#This Row],[SubGroup]],Структура_ассортимента[Subgroup],0)),"")</f>
        <v>A</v>
      </c>
      <c r="D50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7" t="str">
        <f>IFERROR(INDEX(Структура_ассортимента[Product group],MATCH(Товары[[#This Row],[SubGroup]],Структура_ассортимента[Subgroup],0)),"")</f>
        <v>AMT_C</v>
      </c>
      <c r="G50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2049</v>
      </c>
      <c r="Q500" s="39" t="s">
        <v>3416</v>
      </c>
      <c r="R500" s="34" t="s">
        <v>3407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3570</v>
      </c>
      <c r="X500" s="34" t="s">
        <v>3571</v>
      </c>
      <c r="Y500" s="34" t="s">
        <v>3409</v>
      </c>
      <c r="Z500" s="34">
        <v>16</v>
      </c>
      <c r="AB500" s="34" t="s">
        <v>4817</v>
      </c>
      <c r="AD500" s="34" t="s">
        <v>5151</v>
      </c>
      <c r="AE500" s="34" t="s">
        <v>3551</v>
      </c>
      <c r="AF500" s="34" t="s">
        <v>5152</v>
      </c>
      <c r="AG500" s="34" t="s">
        <v>3667</v>
      </c>
      <c r="AH500" s="34" t="s">
        <v>5153</v>
      </c>
      <c r="AM500" s="34" t="s">
        <v>7962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7" t="str">
        <f>IFERROR(INDEX(Структура_ассортимента[SuperCategory],MATCH(Товары[[#This Row],[SubGroup]],Структура_ассортимента[Subgroup],0)),"")</f>
        <v>A</v>
      </c>
      <c r="D50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7" t="str">
        <f>IFERROR(INDEX(Структура_ассортимента[Product group],MATCH(Товары[[#This Row],[SubGroup]],Структура_ассортимента[Subgroup],0)),"")</f>
        <v>AMT_C</v>
      </c>
      <c r="G50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2050</v>
      </c>
      <c r="Q501" s="39" t="s">
        <v>3416</v>
      </c>
      <c r="R501" s="34" t="s">
        <v>3407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3570</v>
      </c>
      <c r="X501" s="34" t="s">
        <v>3571</v>
      </c>
      <c r="Y501" s="34" t="s">
        <v>3409</v>
      </c>
      <c r="Z501" s="34">
        <v>60</v>
      </c>
      <c r="AB501" s="34" t="s">
        <v>4686</v>
      </c>
      <c r="AD501" s="34" t="s">
        <v>4026</v>
      </c>
      <c r="AE501" s="34" t="s">
        <v>3598</v>
      </c>
      <c r="AF501" s="34" t="s">
        <v>3667</v>
      </c>
      <c r="AG501" s="34" t="s">
        <v>4218</v>
      </c>
      <c r="AH501" s="34" t="s">
        <v>4830</v>
      </c>
      <c r="AL501" s="34" t="s">
        <v>3614</v>
      </c>
      <c r="AM501" s="34" t="s">
        <v>7962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7" t="str">
        <f>IFERROR(INDEX(Структура_ассортимента[SuperCategory],MATCH(Товары[[#This Row],[SubGroup]],Структура_ассортимента[Subgroup],0)),"")</f>
        <v>A</v>
      </c>
      <c r="D50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7" t="str">
        <f>IFERROR(INDEX(Структура_ассортимента[Product group],MATCH(Товары[[#This Row],[SubGroup]],Структура_ассортимента[Subgroup],0)),"")</f>
        <v>AMT_C</v>
      </c>
      <c r="G50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2051</v>
      </c>
      <c r="Q502" s="39" t="s">
        <v>3416</v>
      </c>
      <c r="R502" s="34" t="s">
        <v>3407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3570</v>
      </c>
      <c r="X502" s="34" t="s">
        <v>3571</v>
      </c>
      <c r="Y502" s="34" t="s">
        <v>3409</v>
      </c>
      <c r="Z502" s="34">
        <v>18</v>
      </c>
      <c r="AB502" s="34" t="s">
        <v>4817</v>
      </c>
      <c r="AD502" s="34" t="s">
        <v>5151</v>
      </c>
      <c r="AE502" s="34" t="s">
        <v>3777</v>
      </c>
      <c r="AF502" s="34" t="s">
        <v>3856</v>
      </c>
      <c r="AG502" s="34" t="s">
        <v>4678</v>
      </c>
      <c r="AH502" s="34" t="s">
        <v>5154</v>
      </c>
      <c r="AL502" s="34" t="s">
        <v>3697</v>
      </c>
      <c r="AM502" s="34" t="s">
        <v>7962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7" t="str">
        <f>IFERROR(INDEX(Структура_ассортимента[SuperCategory],MATCH(Товары[[#This Row],[SubGroup]],Структура_ассортимента[Subgroup],0)),"")</f>
        <v>A</v>
      </c>
      <c r="D50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7" t="str">
        <f>IFERROR(INDEX(Структура_ассортимента[Product group],MATCH(Товары[[#This Row],[SubGroup]],Структура_ассортимента[Subgroup],0)),"")</f>
        <v>AMT_C</v>
      </c>
      <c r="G50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2052</v>
      </c>
      <c r="Q503" s="39" t="s">
        <v>3416</v>
      </c>
      <c r="R503" s="34" t="s">
        <v>3407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3410</v>
      </c>
      <c r="X503" s="34" t="s">
        <v>3571</v>
      </c>
      <c r="Y503" s="34" t="s">
        <v>3409</v>
      </c>
      <c r="Z503" s="34">
        <v>1</v>
      </c>
      <c r="AB503" s="34" t="s">
        <v>4624</v>
      </c>
      <c r="AD503" s="34" t="s">
        <v>3421</v>
      </c>
      <c r="AE503" s="34" t="s">
        <v>3724</v>
      </c>
      <c r="AF503" s="34" t="s">
        <v>3686</v>
      </c>
      <c r="AG503" s="34" t="s">
        <v>4526</v>
      </c>
      <c r="AH503" s="34" t="s">
        <v>5155</v>
      </c>
      <c r="AL503" s="34" t="s">
        <v>5156</v>
      </c>
      <c r="AM503" s="34" t="s">
        <v>7962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7" t="str">
        <f>IFERROR(INDEX(Структура_ассортимента[SuperCategory],MATCH(Товары[[#This Row],[SubGroup]],Структура_ассортимента[Subgroup],0)),"")</f>
        <v>A</v>
      </c>
      <c r="D50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7" t="str">
        <f>IFERROR(INDEX(Структура_ассортимента[Product group],MATCH(Товары[[#This Row],[SubGroup]],Структура_ассортимента[Subgroup],0)),"")</f>
        <v>AMT_C</v>
      </c>
      <c r="G50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2053</v>
      </c>
      <c r="O504" s="37" t="s">
        <v>5157</v>
      </c>
      <c r="P504" s="37" t="s">
        <v>5158</v>
      </c>
      <c r="Q504" s="39" t="s">
        <v>3416</v>
      </c>
      <c r="R504" s="34" t="s">
        <v>3407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3413</v>
      </c>
      <c r="Y504" s="34" t="s">
        <v>3409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7" t="str">
        <f>IFERROR(INDEX(Структура_ассортимента[SuperCategory],MATCH(Товары[[#This Row],[SubGroup]],Структура_ассортимента[Subgroup],0)),"")</f>
        <v>A</v>
      </c>
      <c r="D50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7" t="str">
        <f>IFERROR(INDEX(Структура_ассортимента[Product group],MATCH(Товары[[#This Row],[SubGroup]],Структура_ассортимента[Subgroup],0)),"")</f>
        <v>AMT_C</v>
      </c>
      <c r="G50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7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2054</v>
      </c>
      <c r="O505" s="37" t="s">
        <v>5159</v>
      </c>
      <c r="P505" s="37" t="s">
        <v>3569</v>
      </c>
      <c r="Q505" s="39" t="s">
        <v>3416</v>
      </c>
      <c r="R505" s="34" t="s">
        <v>3407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3413</v>
      </c>
      <c r="Y505" s="34" t="s">
        <v>3409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7" t="str">
        <f>IFERROR(INDEX(Структура_ассортимента[SuperCategory],MATCH(Товары[[#This Row],[SubGroup]],Структура_ассортимента[Subgroup],0)),"")</f>
        <v>A</v>
      </c>
      <c r="D50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7" t="str">
        <f>IFERROR(INDEX(Структура_ассортимента[Product group],MATCH(Товары[[#This Row],[SubGroup]],Структура_ассортимента[Subgroup],0)),"")</f>
        <v>AMT_C</v>
      </c>
      <c r="G50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2055</v>
      </c>
      <c r="O506" s="37" t="s">
        <v>5160</v>
      </c>
      <c r="P506" s="37" t="s">
        <v>5161</v>
      </c>
      <c r="Q506" s="39" t="s">
        <v>3416</v>
      </c>
      <c r="R506" s="34" t="s">
        <v>3407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3413</v>
      </c>
      <c r="Y506" s="34" t="s">
        <v>3409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7" t="str">
        <f>IFERROR(INDEX(Структура_ассортимента[SuperCategory],MATCH(Товары[[#This Row],[SubGroup]],Структура_ассортимента[Subgroup],0)),"")</f>
        <v>A</v>
      </c>
      <c r="D50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7" t="str">
        <f>IFERROR(INDEX(Структура_ассортимента[Product group],MATCH(Товары[[#This Row],[SubGroup]],Структура_ассортимента[Subgroup],0)),"")</f>
        <v>AMT_C</v>
      </c>
      <c r="G50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2056</v>
      </c>
      <c r="O507" s="37" t="s">
        <v>5162</v>
      </c>
      <c r="P507" s="37" t="s">
        <v>5163</v>
      </c>
      <c r="Q507" s="39" t="s">
        <v>3416</v>
      </c>
      <c r="R507" s="34" t="s">
        <v>3407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3413</v>
      </c>
      <c r="Y507" s="34" t="s">
        <v>3409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7" t="str">
        <f>IFERROR(INDEX(Структура_ассортимента[SuperCategory],MATCH(Товары[[#This Row],[SubGroup]],Структура_ассортимента[Subgroup],0)),"")</f>
        <v>A</v>
      </c>
      <c r="D50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7" t="str">
        <f>IFERROR(INDEX(Структура_ассортимента[Product group],MATCH(Товары[[#This Row],[SubGroup]],Структура_ассортимента[Subgroup],0)),"")</f>
        <v>AMT_C</v>
      </c>
      <c r="G50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2057</v>
      </c>
      <c r="O508" s="37" t="s">
        <v>5164</v>
      </c>
      <c r="P508" s="37" t="s">
        <v>5165</v>
      </c>
      <c r="Q508" s="39" t="s">
        <v>3416</v>
      </c>
      <c r="R508" s="34" t="s">
        <v>3407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3413</v>
      </c>
      <c r="Y508" s="34" t="s">
        <v>3409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7" t="str">
        <f>IFERROR(INDEX(Структура_ассортимента[SuperCategory],MATCH(Товары[[#This Row],[SubGroup]],Структура_ассортимента[Subgroup],0)),"")</f>
        <v>A</v>
      </c>
      <c r="D50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7" t="str">
        <f>IFERROR(INDEX(Структура_ассортимента[Product group],MATCH(Товары[[#This Row],[SubGroup]],Структура_ассортимента[Subgroup],0)),"")</f>
        <v>AMT_C</v>
      </c>
      <c r="G50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2058</v>
      </c>
      <c r="Q509" s="39" t="s">
        <v>3406</v>
      </c>
      <c r="R509" s="34" t="s">
        <v>3407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3410</v>
      </c>
      <c r="Y509" s="34" t="s">
        <v>3409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7961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7" t="str">
        <f>IFERROR(INDEX(Структура_ассортимента[SuperCategory],MATCH(Товары[[#This Row],[SubGroup]],Структура_ассортимента[Subgroup],0)),"")</f>
        <v>A</v>
      </c>
      <c r="D51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7" t="str">
        <f>IFERROR(INDEX(Структура_ассортимента[Product group],MATCH(Товары[[#This Row],[SubGroup]],Структура_ассортимента[Subgroup],0)),"")</f>
        <v>AMT_C</v>
      </c>
      <c r="G51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2059</v>
      </c>
      <c r="Q510" s="39" t="s">
        <v>4432</v>
      </c>
      <c r="R510" s="34" t="s">
        <v>3407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3570</v>
      </c>
      <c r="Y510" s="34" t="s">
        <v>3409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7961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7" t="str">
        <f>IFERROR(INDEX(Структура_ассортимента[SuperCategory],MATCH(Товары[[#This Row],[SubGroup]],Структура_ассортимента[Subgroup],0)),"")</f>
        <v>A</v>
      </c>
      <c r="D51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7" t="str">
        <f>IFERROR(INDEX(Структура_ассортимента[Product group],MATCH(Товары[[#This Row],[SubGroup]],Структура_ассортимента[Subgroup],0)),"")</f>
        <v>AMT_C</v>
      </c>
      <c r="G51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2060</v>
      </c>
      <c r="Q511" s="39" t="s">
        <v>3406</v>
      </c>
      <c r="R511" s="34" t="s">
        <v>3407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3410</v>
      </c>
      <c r="Y511" s="34" t="s">
        <v>3409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7961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7" t="str">
        <f>IFERROR(INDEX(Структура_ассортимента[SuperCategory],MATCH(Товары[[#This Row],[SubGroup]],Структура_ассортимента[Subgroup],0)),"")</f>
        <v>A</v>
      </c>
      <c r="D51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7" t="str">
        <f>IFERROR(INDEX(Структура_ассортимента[Product group],MATCH(Товары[[#This Row],[SubGroup]],Структура_ассортимента[Subgroup],0)),"")</f>
        <v>AMT_C</v>
      </c>
      <c r="G51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2061</v>
      </c>
      <c r="Q512" s="39" t="s">
        <v>4432</v>
      </c>
      <c r="R512" s="34" t="s">
        <v>3407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3410</v>
      </c>
      <c r="Y512" s="34" t="s">
        <v>3409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7961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7" t="str">
        <f>IFERROR(INDEX(Структура_ассортимента[SuperCategory],MATCH(Товары[[#This Row],[SubGroup]],Структура_ассортимента[Subgroup],0)),"")</f>
        <v>A</v>
      </c>
      <c r="D51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7" t="str">
        <f>IFERROR(INDEX(Структура_ассортимента[Product group],MATCH(Товары[[#This Row],[SubGroup]],Структура_ассортимента[Subgroup],0)),"")</f>
        <v>AMT_C</v>
      </c>
      <c r="G51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7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2062</v>
      </c>
      <c r="Q513" s="39" t="s">
        <v>3406</v>
      </c>
      <c r="R513" s="34" t="s">
        <v>3407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3408</v>
      </c>
      <c r="Y513" s="34" t="s">
        <v>3409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7961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7" t="str">
        <f>IFERROR(INDEX(Структура_ассортимента[SuperCategory],MATCH(Товары[[#This Row],[SubGroup]],Структура_ассортимента[Subgroup],0)),"")</f>
        <v>A</v>
      </c>
      <c r="D51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7" t="str">
        <f>IFERROR(INDEX(Структура_ассортимента[Product group],MATCH(Товары[[#This Row],[SubGroup]],Структура_ассортимента[Subgroup],0)),"")</f>
        <v>AMT_C</v>
      </c>
      <c r="G51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2063</v>
      </c>
      <c r="Q514" s="39" t="s">
        <v>3411</v>
      </c>
      <c r="R514" s="34" t="s">
        <v>3407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3570</v>
      </c>
      <c r="Y514" s="34" t="s">
        <v>3409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7961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7" t="str">
        <f>IFERROR(INDEX(Структура_ассортимента[SuperCategory],MATCH(Товары[[#This Row],[SubGroup]],Структура_ассортимента[Subgroup],0)),"")</f>
        <v>A</v>
      </c>
      <c r="D51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7" t="str">
        <f>IFERROR(INDEX(Структура_ассортимента[Product group],MATCH(Товары[[#This Row],[SubGroup]],Структура_ассортимента[Subgroup],0)),"")</f>
        <v>AMT_C</v>
      </c>
      <c r="G51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2064</v>
      </c>
      <c r="Q515" s="39" t="s">
        <v>3411</v>
      </c>
      <c r="R515" s="34" t="s">
        <v>3407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3410</v>
      </c>
      <c r="Y515" s="34" t="s">
        <v>3409</v>
      </c>
      <c r="AM515" s="34" t="s">
        <v>7961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7" t="str">
        <f>IFERROR(INDEX(Структура_ассортимента[SuperCategory],MATCH(Товары[[#This Row],[SubGroup]],Структура_ассортимента[Subgroup],0)),"")</f>
        <v>A</v>
      </c>
      <c r="D51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7" t="str">
        <f>IFERROR(INDEX(Структура_ассортимента[Product group],MATCH(Товары[[#This Row],[SubGroup]],Структура_ассортимента[Subgroup],0)),"")</f>
        <v>AMT_C</v>
      </c>
      <c r="G51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2065</v>
      </c>
      <c r="Q516" s="39" t="s">
        <v>4432</v>
      </c>
      <c r="R516" s="34" t="s">
        <v>3407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3570</v>
      </c>
      <c r="Y516" s="34" t="s">
        <v>3409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7961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7" t="str">
        <f>IFERROR(INDEX(Структура_ассортимента[SuperCategory],MATCH(Товары[[#This Row],[SubGroup]],Структура_ассортимента[Subgroup],0)),"")</f>
        <v>A</v>
      </c>
      <c r="D51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7" t="str">
        <f>IFERROR(INDEX(Структура_ассортимента[Product group],MATCH(Товары[[#This Row],[SubGroup]],Структура_ассортимента[Subgroup],0)),"")</f>
        <v>AMT_C</v>
      </c>
      <c r="G51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2066</v>
      </c>
      <c r="Q517" s="39" t="s">
        <v>3411</v>
      </c>
      <c r="R517" s="34" t="s">
        <v>3407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3570</v>
      </c>
      <c r="Y517" s="34" t="s">
        <v>3409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7961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7" t="str">
        <f>IFERROR(INDEX(Структура_ассортимента[SuperCategory],MATCH(Товары[[#This Row],[SubGroup]],Структура_ассортимента[Subgroup],0)),"")</f>
        <v>A</v>
      </c>
      <c r="D5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7" t="str">
        <f>IFERROR(INDEX(Структура_ассортимента[Product group],MATCH(Товары[[#This Row],[SubGroup]],Структура_ассортимента[Subgroup],0)),"")</f>
        <v>AMT_C</v>
      </c>
      <c r="G51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2067</v>
      </c>
      <c r="Q518" s="39" t="s">
        <v>3411</v>
      </c>
      <c r="R518" s="34" t="s">
        <v>3407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3417</v>
      </c>
      <c r="Y518" s="34" t="s">
        <v>3409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7961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7" t="str">
        <f>IFERROR(INDEX(Структура_ассортимента[SuperCategory],MATCH(Товары[[#This Row],[SubGroup]],Структура_ассортимента[Subgroup],0)),"")</f>
        <v>A</v>
      </c>
      <c r="D5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7" t="str">
        <f>IFERROR(INDEX(Структура_ассортимента[Product group],MATCH(Товары[[#This Row],[SubGroup]],Структура_ассортимента[Subgroup],0)),"")</f>
        <v>AMT_C</v>
      </c>
      <c r="G51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2068</v>
      </c>
      <c r="Q519" s="39" t="s">
        <v>3406</v>
      </c>
      <c r="R519" s="34" t="s">
        <v>3407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3417</v>
      </c>
      <c r="Y519" s="34" t="s">
        <v>3409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7961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7" t="str">
        <f>IFERROR(INDEX(Структура_ассортимента[SuperCategory],MATCH(Товары[[#This Row],[SubGroup]],Структура_ассортимента[Subgroup],0)),"")</f>
        <v>A</v>
      </c>
      <c r="D5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7" t="str">
        <f>IFERROR(INDEX(Структура_ассортимента[Product group],MATCH(Товары[[#This Row],[SubGroup]],Структура_ассортимента[Subgroup],0)),"")</f>
        <v>AMT_C</v>
      </c>
      <c r="G52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2069</v>
      </c>
      <c r="Q520" s="39" t="s">
        <v>3406</v>
      </c>
      <c r="R520" s="34" t="s">
        <v>3407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3410</v>
      </c>
      <c r="Y520" s="34" t="s">
        <v>3409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7961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7" t="str">
        <f>IFERROR(INDEX(Структура_ассортимента[SuperCategory],MATCH(Товары[[#This Row],[SubGroup]],Структура_ассортимента[Subgroup],0)),"")</f>
        <v>A</v>
      </c>
      <c r="D5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7" t="str">
        <f>IFERROR(INDEX(Структура_ассортимента[Product group],MATCH(Товары[[#This Row],[SubGroup]],Структура_ассортимента[Subgroup],0)),"")</f>
        <v>AMT_C</v>
      </c>
      <c r="G52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2070</v>
      </c>
      <c r="Q521" s="39" t="s">
        <v>3411</v>
      </c>
      <c r="R521" s="34" t="s">
        <v>3407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3417</v>
      </c>
      <c r="Y521" s="34" t="s">
        <v>3409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7961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7" t="str">
        <f>IFERROR(INDEX(Структура_ассортимента[SuperCategory],MATCH(Товары[[#This Row],[SubGroup]],Структура_ассортимента[Subgroup],0)),"")</f>
        <v>A</v>
      </c>
      <c r="D5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7" t="str">
        <f>IFERROR(INDEX(Структура_ассортимента[Product group],MATCH(Товары[[#This Row],[SubGroup]],Структура_ассортимента[Subgroup],0)),"")</f>
        <v>AMT_C</v>
      </c>
      <c r="G52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2071</v>
      </c>
      <c r="Q522" s="39" t="s">
        <v>3411</v>
      </c>
      <c r="R522" s="34" t="s">
        <v>3407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3417</v>
      </c>
      <c r="Y522" s="34" t="s">
        <v>3409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7961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7" t="str">
        <f>IFERROR(INDEX(Структура_ассортимента[SuperCategory],MATCH(Товары[[#This Row],[SubGroup]],Структура_ассортимента[Subgroup],0)),"")</f>
        <v>A</v>
      </c>
      <c r="D5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7" t="str">
        <f>IFERROR(INDEX(Структура_ассортимента[Product group],MATCH(Товары[[#This Row],[SubGroup]],Структура_ассортимента[Subgroup],0)),"")</f>
        <v>AMT_C</v>
      </c>
      <c r="G52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2072</v>
      </c>
      <c r="Q523" s="39" t="s">
        <v>3406</v>
      </c>
      <c r="R523" s="34" t="s">
        <v>3407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3414</v>
      </c>
      <c r="Y523" s="34" t="s">
        <v>3409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7961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7" t="str">
        <f>IFERROR(INDEX(Структура_ассортимента[SuperCategory],MATCH(Товары[[#This Row],[SubGroup]],Структура_ассортимента[Subgroup],0)),"")</f>
        <v>A</v>
      </c>
      <c r="D5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7" t="str">
        <f>IFERROR(INDEX(Структура_ассортимента[Product group],MATCH(Товары[[#This Row],[SubGroup]],Структура_ассортимента[Subgroup],0)),"")</f>
        <v>AMT_C</v>
      </c>
      <c r="G52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7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2073</v>
      </c>
      <c r="Q524" s="39" t="s">
        <v>3406</v>
      </c>
      <c r="R524" s="34" t="s">
        <v>3407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3414</v>
      </c>
      <c r="Y524" s="34" t="s">
        <v>3409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7961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7" t="str">
        <f>IFERROR(INDEX(Структура_ассортимента[SuperCategory],MATCH(Товары[[#This Row],[SubGroup]],Структура_ассортимента[Subgroup],0)),"")</f>
        <v>A</v>
      </c>
      <c r="D52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7" t="str">
        <f>IFERROR(INDEX(Структура_ассортимента[Product group],MATCH(Товары[[#This Row],[SubGroup]],Структура_ассортимента[Subgroup],0)),"")</f>
        <v>AMT_C</v>
      </c>
      <c r="G52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2074</v>
      </c>
      <c r="Q525" s="39" t="s">
        <v>3411</v>
      </c>
      <c r="R525" s="34" t="s">
        <v>3407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3570</v>
      </c>
      <c r="Y525" s="34" t="s">
        <v>3409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7961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7" t="str">
        <f>IFERROR(INDEX(Структура_ассортимента[SuperCategory],MATCH(Товары[[#This Row],[SubGroup]],Структура_ассортимента[Subgroup],0)),"")</f>
        <v>A</v>
      </c>
      <c r="D52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7" t="str">
        <f>IFERROR(INDEX(Структура_ассортимента[Product group],MATCH(Товары[[#This Row],[SubGroup]],Структура_ассортимента[Subgroup],0)),"")</f>
        <v>AMT_C</v>
      </c>
      <c r="G52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2075</v>
      </c>
      <c r="Q526" s="39" t="s">
        <v>3411</v>
      </c>
      <c r="R526" s="34" t="s">
        <v>3407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3570</v>
      </c>
      <c r="Y526" s="34" t="s">
        <v>3409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7961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7" t="str">
        <f>IFERROR(INDEX(Структура_ассортимента[SuperCategory],MATCH(Товары[[#This Row],[SubGroup]],Структура_ассортимента[Subgroup],0)),"")</f>
        <v>A</v>
      </c>
      <c r="D52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7" t="str">
        <f>IFERROR(INDEX(Структура_ассортимента[Product group],MATCH(Товары[[#This Row],[SubGroup]],Структура_ассортимента[Subgroup],0)),"")</f>
        <v>AMT_C</v>
      </c>
      <c r="G52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2076</v>
      </c>
      <c r="Q527" s="39" t="s">
        <v>3411</v>
      </c>
      <c r="R527" s="34" t="s">
        <v>3407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3570</v>
      </c>
      <c r="Y527" s="34" t="s">
        <v>3409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7961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7" t="str">
        <f>IFERROR(INDEX(Структура_ассортимента[SuperCategory],MATCH(Товары[[#This Row],[SubGroup]],Структура_ассортимента[Subgroup],0)),"")</f>
        <v>A</v>
      </c>
      <c r="D52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7" t="str">
        <f>IFERROR(INDEX(Структура_ассортимента[Product group],MATCH(Товары[[#This Row],[SubGroup]],Структура_ассортимента[Subgroup],0)),"")</f>
        <v>AMT_C</v>
      </c>
      <c r="G52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2077</v>
      </c>
      <c r="Q528" s="39" t="s">
        <v>3411</v>
      </c>
      <c r="R528" s="34" t="s">
        <v>3407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3570</v>
      </c>
      <c r="Y528" s="34" t="s">
        <v>3409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7961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7" t="str">
        <f>IFERROR(INDEX(Структура_ассортимента[SuperCategory],MATCH(Товары[[#This Row],[SubGroup]],Структура_ассортимента[Subgroup],0)),"")</f>
        <v>A</v>
      </c>
      <c r="D52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7" t="str">
        <f>IFERROR(INDEX(Структура_ассортимента[Product group],MATCH(Товары[[#This Row],[SubGroup]],Структура_ассортимента[Subgroup],0)),"")</f>
        <v>AMT_C</v>
      </c>
      <c r="G52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2078</v>
      </c>
      <c r="Q529" s="39" t="s">
        <v>3411</v>
      </c>
      <c r="R529" s="34" t="s">
        <v>3407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3570</v>
      </c>
      <c r="Y529" s="34" t="s">
        <v>3409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7961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7" t="str">
        <f>IFERROR(INDEX(Структура_ассортимента[SuperCategory],MATCH(Товары[[#This Row],[SubGroup]],Структура_ассортимента[Subgroup],0)),"")</f>
        <v>A</v>
      </c>
      <c r="D53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7" t="str">
        <f>IFERROR(INDEX(Структура_ассортимента[Product group],MATCH(Товары[[#This Row],[SubGroup]],Структура_ассортимента[Subgroup],0)),"")</f>
        <v>AMT_C</v>
      </c>
      <c r="G53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2079</v>
      </c>
      <c r="Q530" s="39" t="s">
        <v>3411</v>
      </c>
      <c r="R530" s="34" t="s">
        <v>3407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3570</v>
      </c>
      <c r="Y530" s="34" t="s">
        <v>3409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7961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7" t="str">
        <f>IFERROR(INDEX(Структура_ассортимента[SuperCategory],MATCH(Товары[[#This Row],[SubGroup]],Структура_ассортимента[Subgroup],0)),"")</f>
        <v>A</v>
      </c>
      <c r="D53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7" t="str">
        <f>IFERROR(INDEX(Структура_ассортимента[Product group],MATCH(Товары[[#This Row],[SubGroup]],Структура_ассортимента[Subgroup],0)),"")</f>
        <v>AMT_C</v>
      </c>
      <c r="G53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2080</v>
      </c>
      <c r="Q531" s="39" t="s">
        <v>3411</v>
      </c>
      <c r="R531" s="34" t="s">
        <v>3407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3570</v>
      </c>
      <c r="Y531" s="34" t="s">
        <v>3409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7961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7" t="str">
        <f>IFERROR(INDEX(Структура_ассортимента[SuperCategory],MATCH(Товары[[#This Row],[SubGroup]],Структура_ассортимента[Subgroup],0)),"")</f>
        <v>A</v>
      </c>
      <c r="D53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7" t="str">
        <f>IFERROR(INDEX(Структура_ассортимента[Product group],MATCH(Товары[[#This Row],[SubGroup]],Структура_ассортимента[Subgroup],0)),"")</f>
        <v>AMT_C</v>
      </c>
      <c r="G53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2081</v>
      </c>
      <c r="Q532" s="39" t="s">
        <v>3411</v>
      </c>
      <c r="R532" s="34" t="s">
        <v>3407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3570</v>
      </c>
      <c r="Y532" s="34" t="s">
        <v>3409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7961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7" t="str">
        <f>IFERROR(INDEX(Структура_ассортимента[SuperCategory],MATCH(Товары[[#This Row],[SubGroup]],Структура_ассортимента[Subgroup],0)),"")</f>
        <v>A</v>
      </c>
      <c r="D53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7" t="str">
        <f>IFERROR(INDEX(Структура_ассортимента[Product group],MATCH(Товары[[#This Row],[SubGroup]],Структура_ассортимента[Subgroup],0)),"")</f>
        <v>AMT_C</v>
      </c>
      <c r="G53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7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2082</v>
      </c>
      <c r="Q533" s="39" t="s">
        <v>3411</v>
      </c>
      <c r="R533" s="34" t="s">
        <v>3407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3570</v>
      </c>
      <c r="Y533" s="34" t="s">
        <v>3409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7961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7" t="str">
        <f>IFERROR(INDEX(Структура_ассортимента[SuperCategory],MATCH(Товары[[#This Row],[SubGroup]],Структура_ассортимента[Subgroup],0)),"")</f>
        <v>A</v>
      </c>
      <c r="D53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7" t="str">
        <f>IFERROR(INDEX(Структура_ассортимента[Product group],MATCH(Товары[[#This Row],[SubGroup]],Структура_ассортимента[Subgroup],0)),"")</f>
        <v>AMT_C</v>
      </c>
      <c r="G53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2083</v>
      </c>
      <c r="Q534" s="39" t="s">
        <v>4432</v>
      </c>
      <c r="R534" s="34" t="s">
        <v>3407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3570</v>
      </c>
      <c r="Y534" s="34" t="s">
        <v>3409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7961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7" t="str">
        <f>IFERROR(INDEX(Структура_ассортимента[SuperCategory],MATCH(Товары[[#This Row],[SubGroup]],Структура_ассортимента[Subgroup],0)),"")</f>
        <v>A</v>
      </c>
      <c r="D5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7" t="str">
        <f>IFERROR(INDEX(Структура_ассортимента[Product group],MATCH(Товары[[#This Row],[SubGroup]],Структура_ассортимента[Subgroup],0)),"")</f>
        <v>AMT_C</v>
      </c>
      <c r="G53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2084</v>
      </c>
      <c r="Q535" s="39" t="s">
        <v>4432</v>
      </c>
      <c r="R535" s="34" t="s">
        <v>3407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3570</v>
      </c>
      <c r="Y535" s="34" t="s">
        <v>3409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7961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7" t="str">
        <f>IFERROR(INDEX(Структура_ассортимента[SuperCategory],MATCH(Товары[[#This Row],[SubGroup]],Структура_ассортимента[Subgroup],0)),"")</f>
        <v>A</v>
      </c>
      <c r="D5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7" t="str">
        <f>IFERROR(INDEX(Структура_ассортимента[Product group],MATCH(Товары[[#This Row],[SubGroup]],Структура_ассортимента[Subgroup],0)),"")</f>
        <v>AMT_C</v>
      </c>
      <c r="G53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2085</v>
      </c>
      <c r="Q536" s="39" t="s">
        <v>4432</v>
      </c>
      <c r="R536" s="34" t="s">
        <v>3407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3570</v>
      </c>
      <c r="Y536" s="34" t="s">
        <v>3409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7961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7" t="str">
        <f>IFERROR(INDEX(Структура_ассортимента[SuperCategory],MATCH(Товары[[#This Row],[SubGroup]],Структура_ассортимента[Subgroup],0)),"")</f>
        <v>A</v>
      </c>
      <c r="D53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7" t="str">
        <f>IFERROR(INDEX(Структура_ассортимента[Product group],MATCH(Товары[[#This Row],[SubGroup]],Структура_ассортимента[Subgroup],0)),"")</f>
        <v>AMT_C</v>
      </c>
      <c r="G53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2086</v>
      </c>
      <c r="Q537" s="39" t="s">
        <v>4432</v>
      </c>
      <c r="R537" s="34" t="s">
        <v>3407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3570</v>
      </c>
      <c r="Y537" s="34" t="s">
        <v>3409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7961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7" t="str">
        <f>IFERROR(INDEX(Структура_ассортимента[SuperCategory],MATCH(Товары[[#This Row],[SubGroup]],Структура_ассортимента[Subgroup],0)),"")</f>
        <v>A</v>
      </c>
      <c r="D53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7" t="str">
        <f>IFERROR(INDEX(Структура_ассортимента[Product group],MATCH(Товары[[#This Row],[SubGroup]],Структура_ассортимента[Subgroup],0)),"")</f>
        <v>AMT_C</v>
      </c>
      <c r="G53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2087</v>
      </c>
      <c r="Q538" s="39" t="s">
        <v>4432</v>
      </c>
      <c r="R538" s="34" t="s">
        <v>3407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3570</v>
      </c>
      <c r="Y538" s="34" t="s">
        <v>3409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7961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7" t="str">
        <f>IFERROR(INDEX(Структура_ассортимента[SuperCategory],MATCH(Товары[[#This Row],[SubGroup]],Структура_ассортимента[Subgroup],0)),"")</f>
        <v>A</v>
      </c>
      <c r="D53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7" t="str">
        <f>IFERROR(INDEX(Структура_ассортимента[Product group],MATCH(Товары[[#This Row],[SubGroup]],Структура_ассортимента[Subgroup],0)),"")</f>
        <v>AMT_C</v>
      </c>
      <c r="G53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2088</v>
      </c>
      <c r="Q539" s="39" t="s">
        <v>4432</v>
      </c>
      <c r="R539" s="34" t="s">
        <v>3407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3570</v>
      </c>
      <c r="Y539" s="34" t="s">
        <v>3409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7961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7" t="str">
        <f>IFERROR(INDEX(Структура_ассортимента[SuperCategory],MATCH(Товары[[#This Row],[SubGroup]],Структура_ассортимента[Subgroup],0)),"")</f>
        <v>A</v>
      </c>
      <c r="D54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7" t="str">
        <f>IFERROR(INDEX(Структура_ассортимента[Product group],MATCH(Товары[[#This Row],[SubGroup]],Структура_ассортимента[Subgroup],0)),"")</f>
        <v>AMT_C</v>
      </c>
      <c r="G54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2089</v>
      </c>
      <c r="Q540" s="39" t="s">
        <v>4432</v>
      </c>
      <c r="R540" s="34" t="s">
        <v>3407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3570</v>
      </c>
      <c r="Y540" s="34" t="s">
        <v>3409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7961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7" t="str">
        <f>IFERROR(INDEX(Структура_ассортимента[SuperCategory],MATCH(Товары[[#This Row],[SubGroup]],Структура_ассортимента[Subgroup],0)),"")</f>
        <v>A</v>
      </c>
      <c r="D54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7" t="str">
        <f>IFERROR(INDEX(Структура_ассортимента[Product group],MATCH(Товары[[#This Row],[SubGroup]],Структура_ассортимента[Subgroup],0)),"")</f>
        <v>AMT_C</v>
      </c>
      <c r="G54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2090</v>
      </c>
      <c r="Q541" s="39" t="s">
        <v>4432</v>
      </c>
      <c r="R541" s="34" t="s">
        <v>3407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3570</v>
      </c>
      <c r="Y541" s="34" t="s">
        <v>3409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7961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7" t="str">
        <f>IFERROR(INDEX(Структура_ассортимента[SuperCategory],MATCH(Товары[[#This Row],[SubGroup]],Структура_ассортимента[Subgroup],0)),"")</f>
        <v>A</v>
      </c>
      <c r="D54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7" t="str">
        <f>IFERROR(INDEX(Структура_ассортимента[Product group],MATCH(Товары[[#This Row],[SubGroup]],Структура_ассортимента[Subgroup],0)),"")</f>
        <v>AMT_C</v>
      </c>
      <c r="G54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2091</v>
      </c>
      <c r="Q542" s="39" t="s">
        <v>4432</v>
      </c>
      <c r="R542" s="34" t="s">
        <v>3407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3570</v>
      </c>
      <c r="Y542" s="34" t="s">
        <v>3409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7961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7" t="str">
        <f>IFERROR(INDEX(Структура_ассортимента[SuperCategory],MATCH(Товары[[#This Row],[SubGroup]],Структура_ассортимента[Subgroup],0)),"")</f>
        <v>A</v>
      </c>
      <c r="D54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7" t="str">
        <f>IFERROR(INDEX(Структура_ассортимента[Product group],MATCH(Товары[[#This Row],[SubGroup]],Структура_ассортимента[Subgroup],0)),"")</f>
        <v>AMT_C</v>
      </c>
      <c r="G54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2092</v>
      </c>
      <c r="Q543" s="39" t="s">
        <v>4432</v>
      </c>
      <c r="R543" s="34" t="s">
        <v>3407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3570</v>
      </c>
      <c r="Y543" s="34" t="s">
        <v>3409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7961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7" t="str">
        <f>IFERROR(INDEX(Структура_ассортимента[SuperCategory],MATCH(Товары[[#This Row],[SubGroup]],Структура_ассортимента[Subgroup],0)),"")</f>
        <v>A</v>
      </c>
      <c r="D54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7" t="str">
        <f>IFERROR(INDEX(Структура_ассортимента[Product group],MATCH(Товары[[#This Row],[SubGroup]],Структура_ассортимента[Subgroup],0)),"")</f>
        <v>AMT_C</v>
      </c>
      <c r="G54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2093</v>
      </c>
      <c r="Q544" s="39" t="s">
        <v>4432</v>
      </c>
      <c r="R544" s="34" t="s">
        <v>3407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3570</v>
      </c>
      <c r="Y544" s="34" t="s">
        <v>3409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7961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7" t="str">
        <f>IFERROR(INDEX(Структура_ассортимента[SuperCategory],MATCH(Товары[[#This Row],[SubGroup]],Структура_ассортимента[Subgroup],0)),"")</f>
        <v>A</v>
      </c>
      <c r="D54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7" t="str">
        <f>IFERROR(INDEX(Структура_ассортимента[Product group],MATCH(Товары[[#This Row],[SubGroup]],Структура_ассортимента[Subgroup],0)),"")</f>
        <v>AMT_C</v>
      </c>
      <c r="G54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2094</v>
      </c>
      <c r="Q545" s="39" t="s">
        <v>4432</v>
      </c>
      <c r="R545" s="34" t="s">
        <v>3407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3570</v>
      </c>
      <c r="Y545" s="34" t="s">
        <v>3409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7961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7" t="str">
        <f>IFERROR(INDEX(Структура_ассортимента[SuperCategory],MATCH(Товары[[#This Row],[SubGroup]],Структура_ассортимента[Subgroup],0)),"")</f>
        <v>A</v>
      </c>
      <c r="D54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7" t="str">
        <f>IFERROR(INDEX(Структура_ассортимента[Product group],MATCH(Товары[[#This Row],[SubGroup]],Структура_ассортимента[Subgroup],0)),"")</f>
        <v>AMT_C</v>
      </c>
      <c r="G54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7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2095</v>
      </c>
      <c r="Q546" s="39" t="s">
        <v>4432</v>
      </c>
      <c r="R546" s="34" t="s">
        <v>3407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3570</v>
      </c>
      <c r="Y546" s="34" t="s">
        <v>3409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7961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7" t="str">
        <f>IFERROR(INDEX(Структура_ассортимента[SuperCategory],MATCH(Товары[[#This Row],[SubGroup]],Структура_ассортимента[Subgroup],0)),"")</f>
        <v>A</v>
      </c>
      <c r="D54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7" t="str">
        <f>IFERROR(INDEX(Структура_ассортимента[Product group],MATCH(Товары[[#This Row],[SubGroup]],Структура_ассортимента[Subgroup],0)),"")</f>
        <v>AMT_C</v>
      </c>
      <c r="G54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2096</v>
      </c>
      <c r="Q547" s="39" t="s">
        <v>4432</v>
      </c>
      <c r="R547" s="34" t="s">
        <v>3407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3570</v>
      </c>
      <c r="Y547" s="34" t="s">
        <v>3409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7961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7" t="str">
        <f>IFERROR(INDEX(Структура_ассортимента[SuperCategory],MATCH(Товары[[#This Row],[SubGroup]],Структура_ассортимента[Subgroup],0)),"")</f>
        <v>A</v>
      </c>
      <c r="D54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7" t="str">
        <f>IFERROR(INDEX(Структура_ассортимента[Product group],MATCH(Товары[[#This Row],[SubGroup]],Структура_ассортимента[Subgroup],0)),"")</f>
        <v>AMT_C</v>
      </c>
      <c r="G54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2097</v>
      </c>
      <c r="Q548" s="39" t="s">
        <v>4432</v>
      </c>
      <c r="R548" s="34" t="s">
        <v>3407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3570</v>
      </c>
      <c r="Y548" s="34" t="s">
        <v>3409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7961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7" t="str">
        <f>IFERROR(INDEX(Структура_ассортимента[SuperCategory],MATCH(Товары[[#This Row],[SubGroup]],Структура_ассортимента[Subgroup],0)),"")</f>
        <v>A</v>
      </c>
      <c r="D54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7" t="str">
        <f>IFERROR(INDEX(Структура_ассортимента[Product group],MATCH(Товары[[#This Row],[SubGroup]],Структура_ассортимента[Subgroup],0)),"")</f>
        <v>AMT_C</v>
      </c>
      <c r="G549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2098</v>
      </c>
      <c r="Q549" s="39" t="s">
        <v>4432</v>
      </c>
      <c r="R549" s="34" t="s">
        <v>3407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3570</v>
      </c>
      <c r="Y549" s="34" t="s">
        <v>3409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7961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7" t="str">
        <f>IFERROR(INDEX(Структура_ассортимента[SuperCategory],MATCH(Товары[[#This Row],[SubGroup]],Структура_ассортимента[Subgroup],0)),"")</f>
        <v>A</v>
      </c>
      <c r="D55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7" t="str">
        <f>IFERROR(INDEX(Структура_ассортимента[Product group],MATCH(Товары[[#This Row],[SubGroup]],Структура_ассортимента[Subgroup],0)),"")</f>
        <v>AMT_C</v>
      </c>
      <c r="G550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2099</v>
      </c>
      <c r="Q550" s="39" t="s">
        <v>4432</v>
      </c>
      <c r="R550" s="34" t="s">
        <v>3407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3570</v>
      </c>
      <c r="Y550" s="34" t="s">
        <v>3409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7961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7" t="str">
        <f>IFERROR(INDEX(Структура_ассортимента[SuperCategory],MATCH(Товары[[#This Row],[SubGroup]],Структура_ассортимента[Subgroup],0)),"")</f>
        <v>A</v>
      </c>
      <c r="D55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7" t="str">
        <f>IFERROR(INDEX(Структура_ассортимента[Product group],MATCH(Товары[[#This Row],[SubGroup]],Структура_ассортимента[Subgroup],0)),"")</f>
        <v>AMT_C</v>
      </c>
      <c r="G551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2100</v>
      </c>
      <c r="Q551" s="39" t="s">
        <v>4432</v>
      </c>
      <c r="R551" s="34" t="s">
        <v>3407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3570</v>
      </c>
      <c r="Y551" s="34" t="s">
        <v>3409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7961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7" t="str">
        <f>IFERROR(INDEX(Структура_ассортимента[SuperCategory],MATCH(Товары[[#This Row],[SubGroup]],Структура_ассортимента[Subgroup],0)),"")</f>
        <v>A</v>
      </c>
      <c r="D55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7" t="str">
        <f>IFERROR(INDEX(Структура_ассортимента[Product group],MATCH(Товары[[#This Row],[SubGroup]],Структура_ассортимента[Subgroup],0)),"")</f>
        <v>AMT_C</v>
      </c>
      <c r="G552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2101</v>
      </c>
      <c r="Q552" s="39" t="s">
        <v>4432</v>
      </c>
      <c r="R552" s="34" t="s">
        <v>3407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3570</v>
      </c>
      <c r="Y552" s="34" t="s">
        <v>3409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7961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7" t="str">
        <f>IFERROR(INDEX(Структура_ассортимента[SuperCategory],MATCH(Товары[[#This Row],[SubGroup]],Структура_ассортимента[Subgroup],0)),"")</f>
        <v>A</v>
      </c>
      <c r="D55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7" t="str">
        <f>IFERROR(INDEX(Структура_ассортимента[Product group],MATCH(Товары[[#This Row],[SubGroup]],Структура_ассортимента[Subgroup],0)),"")</f>
        <v>AMT_C</v>
      </c>
      <c r="G553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2102</v>
      </c>
      <c r="Q553" s="39" t="s">
        <v>4432</v>
      </c>
      <c r="R553" s="34" t="s">
        <v>3407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3570</v>
      </c>
      <c r="Y553" s="34" t="s">
        <v>3409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7961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7" t="str">
        <f>IFERROR(INDEX(Структура_ассортимента[SuperCategory],MATCH(Товары[[#This Row],[SubGroup]],Структура_ассортимента[Subgroup],0)),"")</f>
        <v>A</v>
      </c>
      <c r="D55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7" t="str">
        <f>IFERROR(INDEX(Структура_ассортимента[Product group],MATCH(Товары[[#This Row],[SubGroup]],Структура_ассортимента[Subgroup],0)),"")</f>
        <v>AMT_C</v>
      </c>
      <c r="G554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2103</v>
      </c>
      <c r="Q554" s="39" t="s">
        <v>4432</v>
      </c>
      <c r="R554" s="34" t="s">
        <v>3407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3570</v>
      </c>
      <c r="Y554" s="34" t="s">
        <v>3409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7961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7" t="str">
        <f>IFERROR(INDEX(Структура_ассортимента[SuperCategory],MATCH(Товары[[#This Row],[SubGroup]],Структура_ассортимента[Subgroup],0)),"")</f>
        <v>A</v>
      </c>
      <c r="D55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7" t="str">
        <f>IFERROR(INDEX(Структура_ассортимента[Product group],MATCH(Товары[[#This Row],[SubGroup]],Структура_ассортимента[Subgroup],0)),"")</f>
        <v>AMT_C</v>
      </c>
      <c r="G555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2104</v>
      </c>
      <c r="Q555" s="39" t="s">
        <v>4432</v>
      </c>
      <c r="R555" s="34" t="s">
        <v>3407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3570</v>
      </c>
      <c r="Y555" s="34" t="s">
        <v>3409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7961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7" t="str">
        <f>IFERROR(INDEX(Структура_ассортимента[SuperCategory],MATCH(Товары[[#This Row],[SubGroup]],Структура_ассортимента[Subgroup],0)),"")</f>
        <v>A</v>
      </c>
      <c r="D55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7" t="str">
        <f>IFERROR(INDEX(Структура_ассортимента[Product group],MATCH(Товары[[#This Row],[SubGroup]],Структура_ассортимента[Subgroup],0)),"")</f>
        <v>AMT_C</v>
      </c>
      <c r="G556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7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2105</v>
      </c>
      <c r="Q556" s="39" t="s">
        <v>4431</v>
      </c>
      <c r="R556" s="34" t="s">
        <v>3407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3410</v>
      </c>
      <c r="Y556" s="34" t="s">
        <v>3409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7961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7" t="str">
        <f>IFERROR(INDEX(Структура_ассортимента[SuperCategory],MATCH(Товары[[#This Row],[SubGroup]],Структура_ассортимента[Subgroup],0)),"")</f>
        <v>A</v>
      </c>
      <c r="D557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7" t="str">
        <f>IFERROR(INDEX(Структура_ассортимента[Product group],MATCH(Товары[[#This Row],[SubGroup]],Структура_ассортимента[Subgroup],0)),"")</f>
        <v>AMT_C</v>
      </c>
      <c r="G557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7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2106</v>
      </c>
      <c r="Q557" s="39" t="s">
        <v>4432</v>
      </c>
      <c r="R557" s="34" t="s">
        <v>3407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3410</v>
      </c>
      <c r="AB557" s="34">
        <v>1900</v>
      </c>
      <c r="AD557" s="34">
        <v>1800</v>
      </c>
      <c r="AL557" s="34">
        <v>32</v>
      </c>
      <c r="AM557" s="34" t="s">
        <v>7961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7" t="str">
        <f>IFERROR(INDEX(Структура_ассортимента[SuperCategory],MATCH(Товары[[#This Row],[SubGroup]],Структура_ассортимента[Subgroup],0)),"")</f>
        <v>A</v>
      </c>
      <c r="D55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7" t="str">
        <f>IFERROR(INDEX(Структура_ассортимента[Product group],MATCH(Товары[[#This Row],[SubGroup]],Структура_ассортимента[Subgroup],0)),"")</f>
        <v>AMT_C</v>
      </c>
      <c r="G558" s="67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7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2107</v>
      </c>
      <c r="Q558" s="39" t="s">
        <v>3411</v>
      </c>
      <c r="R558" s="34" t="s">
        <v>3407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3410</v>
      </c>
      <c r="Y558" s="34" t="s">
        <v>3409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7961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7" t="str">
        <f>IFERROR(INDEX(Структура_ассортимента[SuperCategory],MATCH(Товары[[#This Row],[SubGroup]],Структура_ассортимента[Subgroup],0)),"")</f>
        <v>H</v>
      </c>
      <c r="D5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7" t="str">
        <f>IFERROR(INDEX(Структура_ассортимента[Product group],MATCH(Товары[[#This Row],[SubGroup]],Структура_ассортимента[Subgroup],0)),"")</f>
        <v>EEO_C</v>
      </c>
      <c r="G55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2108</v>
      </c>
      <c r="O559" s="37" t="s">
        <v>5166</v>
      </c>
      <c r="P559" s="37" t="s">
        <v>5167</v>
      </c>
      <c r="Q559" s="39" t="s">
        <v>3416</v>
      </c>
      <c r="R559" s="34" t="s">
        <v>3407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3413</v>
      </c>
      <c r="X559" s="34" t="s">
        <v>3571</v>
      </c>
      <c r="Y559" s="34" t="s">
        <v>3409</v>
      </c>
      <c r="Z559" s="34">
        <v>2</v>
      </c>
      <c r="AA559" s="34">
        <v>523</v>
      </c>
      <c r="AB559" s="34" t="s">
        <v>3730</v>
      </c>
      <c r="AC559" s="34">
        <v>420</v>
      </c>
      <c r="AD559" s="34" t="s">
        <v>4657</v>
      </c>
      <c r="AE559" s="34" t="s">
        <v>3424</v>
      </c>
      <c r="AF559" s="34" t="s">
        <v>4248</v>
      </c>
      <c r="AG559" s="34" t="s">
        <v>4338</v>
      </c>
      <c r="AH559" s="34" t="s">
        <v>5168</v>
      </c>
      <c r="AI559" s="34" t="s">
        <v>3459</v>
      </c>
      <c r="AJ559" s="34" t="s">
        <v>4139</v>
      </c>
      <c r="AK559" s="34" t="s">
        <v>4006</v>
      </c>
      <c r="AL559" s="34" t="s">
        <v>4043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7" t="str">
        <f>IFERROR(INDEX(Структура_ассортимента[SuperCategory],MATCH(Товары[[#This Row],[SubGroup]],Структура_ассортимента[Subgroup],0)),"")</f>
        <v>H</v>
      </c>
      <c r="D5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7" t="str">
        <f>IFERROR(INDEX(Структура_ассортимента[Product group],MATCH(Товары[[#This Row],[SubGroup]],Структура_ассортимента[Subgroup],0)),"")</f>
        <v>EEO_C</v>
      </c>
      <c r="G560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2109</v>
      </c>
      <c r="Q560" s="39" t="s">
        <v>3416</v>
      </c>
      <c r="R560" s="34" t="s">
        <v>3407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3413</v>
      </c>
      <c r="X560" s="34" t="s">
        <v>3446</v>
      </c>
      <c r="Y560" s="34" t="s">
        <v>3409</v>
      </c>
      <c r="Z560" s="34">
        <v>1</v>
      </c>
      <c r="AA560" s="34">
        <v>1</v>
      </c>
      <c r="AB560" s="34" t="s">
        <v>4668</v>
      </c>
      <c r="AD560" s="34" t="s">
        <v>5169</v>
      </c>
      <c r="AE560" s="34" t="s">
        <v>3732</v>
      </c>
      <c r="AF560" s="34" t="s">
        <v>3424</v>
      </c>
      <c r="AG560" s="34" t="s">
        <v>3667</v>
      </c>
      <c r="AH560" s="34" t="s">
        <v>5170</v>
      </c>
      <c r="AL560" s="34" t="s">
        <v>5171</v>
      </c>
      <c r="AM560" s="34" t="s">
        <v>7962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7" t="str">
        <f>IFERROR(INDEX(Структура_ассортимента[SuperCategory],MATCH(Товары[[#This Row],[SubGroup]],Структура_ассортимента[Subgroup],0)),"")</f>
        <v>H</v>
      </c>
      <c r="D5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7" t="str">
        <f>IFERROR(INDEX(Структура_ассортимента[Product group],MATCH(Товары[[#This Row],[SubGroup]],Структура_ассортимента[Subgroup],0)),"")</f>
        <v>EEO_C</v>
      </c>
      <c r="G561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2110</v>
      </c>
      <c r="O561" s="37" t="s">
        <v>5172</v>
      </c>
      <c r="P561" s="37" t="s">
        <v>5173</v>
      </c>
      <c r="Q561" s="39" t="s">
        <v>3416</v>
      </c>
      <c r="R561" s="34" t="s">
        <v>3407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3413</v>
      </c>
      <c r="X561" s="34" t="s">
        <v>3446</v>
      </c>
      <c r="Y561" s="34" t="s">
        <v>3409</v>
      </c>
      <c r="Z561" s="34">
        <v>3</v>
      </c>
      <c r="AA561" s="34">
        <v>3</v>
      </c>
      <c r="AB561" s="34" t="s">
        <v>3796</v>
      </c>
      <c r="AC561" s="34">
        <v>200</v>
      </c>
      <c r="AD561" s="34" t="s">
        <v>3999</v>
      </c>
      <c r="AE561" s="34" t="s">
        <v>3575</v>
      </c>
      <c r="AF561" s="34" t="s">
        <v>3753</v>
      </c>
      <c r="AG561" s="34" t="s">
        <v>3798</v>
      </c>
      <c r="AH561" s="34" t="s">
        <v>5174</v>
      </c>
      <c r="AI561" s="34" t="s">
        <v>5175</v>
      </c>
      <c r="AL561" s="34" t="s">
        <v>5176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7" t="str">
        <f>IFERROR(INDEX(Структура_ассортимента[SuperCategory],MATCH(Товары[[#This Row],[SubGroup]],Структура_ассортимента[Subgroup],0)),"")</f>
        <v>H</v>
      </c>
      <c r="D5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7" t="str">
        <f>IFERROR(INDEX(Структура_ассортимента[Product group],MATCH(Товары[[#This Row],[SubGroup]],Структура_ассортимента[Subgroup],0)),"")</f>
        <v>EEO_C</v>
      </c>
      <c r="G562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2111</v>
      </c>
      <c r="O562" s="37" t="s">
        <v>5177</v>
      </c>
      <c r="P562" s="37" t="s">
        <v>5178</v>
      </c>
      <c r="Q562" s="39" t="s">
        <v>3416</v>
      </c>
      <c r="R562" s="34" t="s">
        <v>3407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3413</v>
      </c>
      <c r="X562" s="34" t="s">
        <v>3418</v>
      </c>
      <c r="Y562" s="34" t="s">
        <v>3409</v>
      </c>
      <c r="Z562" s="34">
        <v>1</v>
      </c>
      <c r="AB562" s="34" t="s">
        <v>4582</v>
      </c>
      <c r="AD562" s="34" t="s">
        <v>5179</v>
      </c>
      <c r="AE562" s="34" t="s">
        <v>4258</v>
      </c>
      <c r="AF562" s="34" t="s">
        <v>4106</v>
      </c>
      <c r="AG562" s="34" t="s">
        <v>5180</v>
      </c>
      <c r="AH562" s="34" t="s">
        <v>5181</v>
      </c>
      <c r="AL562" s="34" t="s">
        <v>5182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7" t="str">
        <f>IFERROR(INDEX(Структура_ассортимента[SuperCategory],MATCH(Товары[[#This Row],[SubGroup]],Структура_ассортимента[Subgroup],0)),"")</f>
        <v>H</v>
      </c>
      <c r="D5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7" t="str">
        <f>IFERROR(INDEX(Структура_ассортимента[Product group],MATCH(Товары[[#This Row],[SubGroup]],Структура_ассортимента[Subgroup],0)),"")</f>
        <v>EEO_C</v>
      </c>
      <c r="G563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2112</v>
      </c>
      <c r="Q563" s="39" t="s">
        <v>3406</v>
      </c>
      <c r="R563" s="34" t="s">
        <v>3407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5183</v>
      </c>
      <c r="Y563" s="34" t="s">
        <v>3409</v>
      </c>
      <c r="Z563" s="34">
        <v>1</v>
      </c>
      <c r="AM563" s="34" t="s">
        <v>7961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7" t="str">
        <f>IFERROR(INDEX(Структура_ассортимента[SuperCategory],MATCH(Товары[[#This Row],[SubGroup]],Структура_ассортимента[Subgroup],0)),"")</f>
        <v>H</v>
      </c>
      <c r="D5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7" t="str">
        <f>IFERROR(INDEX(Структура_ассортимента[Product group],MATCH(Товары[[#This Row],[SubGroup]],Структура_ассортимента[Subgroup],0)),"")</f>
        <v>EEO_C</v>
      </c>
      <c r="G564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2113</v>
      </c>
      <c r="Q564" s="39" t="s">
        <v>3406</v>
      </c>
      <c r="R564" s="34" t="s">
        <v>3407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5183</v>
      </c>
      <c r="Y564" s="34" t="s">
        <v>3409</v>
      </c>
      <c r="Z564" s="34">
        <v>1</v>
      </c>
      <c r="AM564" s="34" t="s">
        <v>7961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7" t="str">
        <f>IFERROR(INDEX(Структура_ассортимента[SuperCategory],MATCH(Товары[[#This Row],[SubGroup]],Структура_ассортимента[Subgroup],0)),"")</f>
        <v>H</v>
      </c>
      <c r="D5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7" t="str">
        <f>IFERROR(INDEX(Структура_ассортимента[Product group],MATCH(Товары[[#This Row],[SubGroup]],Структура_ассортимента[Subgroup],0)),"")</f>
        <v>EEO_C</v>
      </c>
      <c r="G565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2114</v>
      </c>
      <c r="Q565" s="39" t="s">
        <v>3411</v>
      </c>
      <c r="R565" s="34" t="s">
        <v>3407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5184</v>
      </c>
      <c r="Y565" s="34" t="s">
        <v>3409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5185</v>
      </c>
      <c r="AM565" s="34" t="s">
        <v>7961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7" t="str">
        <f>IFERROR(INDEX(Структура_ассортимента[SuperCategory],MATCH(Товары[[#This Row],[SubGroup]],Структура_ассортимента[Subgroup],0)),"")</f>
        <v>H</v>
      </c>
      <c r="D5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7" t="str">
        <f>IFERROR(INDEX(Структура_ассортимента[Product group],MATCH(Товары[[#This Row],[SubGroup]],Структура_ассортимента[Subgroup],0)),"")</f>
        <v>EEO_C</v>
      </c>
      <c r="G566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2115</v>
      </c>
      <c r="Q566" s="39" t="s">
        <v>4432</v>
      </c>
      <c r="R566" s="34" t="s">
        <v>3407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5186</v>
      </c>
      <c r="Y566" s="34" t="s">
        <v>3409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7961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7" t="str">
        <f>IFERROR(INDEX(Структура_ассортимента[SuperCategory],MATCH(Товары[[#This Row],[SubGroup]],Структура_ассортимента[Subgroup],0)),"")</f>
        <v>H</v>
      </c>
      <c r="D5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7" t="str">
        <f>IFERROR(INDEX(Структура_ассортимента[Product group],MATCH(Товары[[#This Row],[SubGroup]],Структура_ассортимента[Subgroup],0)),"")</f>
        <v>EEO_C</v>
      </c>
      <c r="G567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2116</v>
      </c>
      <c r="Q567" s="39" t="s">
        <v>3406</v>
      </c>
      <c r="R567" s="34" t="s">
        <v>3407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5187</v>
      </c>
      <c r="Y567" s="34" t="s">
        <v>3409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7961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7" t="str">
        <f>IFERROR(INDEX(Структура_ассортимента[SuperCategory],MATCH(Товары[[#This Row],[SubGroup]],Структура_ассортимента[Subgroup],0)),"")</f>
        <v>H</v>
      </c>
      <c r="D5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7" t="str">
        <f>IFERROR(INDEX(Структура_ассортимента[Product group],MATCH(Товары[[#This Row],[SubGroup]],Структура_ассортимента[Subgroup],0)),"")</f>
        <v>EEO_C</v>
      </c>
      <c r="G568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2117</v>
      </c>
      <c r="O568" s="37" t="s">
        <v>5188</v>
      </c>
      <c r="P568" s="37" t="s">
        <v>5189</v>
      </c>
      <c r="Q568" s="39" t="s">
        <v>3416</v>
      </c>
      <c r="R568" s="34" t="s">
        <v>3407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3413</v>
      </c>
      <c r="X568" s="34" t="s">
        <v>3418</v>
      </c>
      <c r="Y568" s="34" t="s">
        <v>3409</v>
      </c>
      <c r="Z568" s="34">
        <v>1</v>
      </c>
      <c r="AA568" s="34">
        <v>1</v>
      </c>
      <c r="AB568" s="34" t="s">
        <v>5190</v>
      </c>
      <c r="AC568" s="34">
        <v>800</v>
      </c>
      <c r="AD568" s="34" t="s">
        <v>5064</v>
      </c>
      <c r="AE568" s="34" t="s">
        <v>4523</v>
      </c>
      <c r="AF568" s="34" t="s">
        <v>3424</v>
      </c>
      <c r="AG568" s="34" t="s">
        <v>3565</v>
      </c>
      <c r="AH568" s="34" t="s">
        <v>5191</v>
      </c>
      <c r="AI568" s="34" t="s">
        <v>3845</v>
      </c>
      <c r="AJ568" s="34" t="s">
        <v>3466</v>
      </c>
      <c r="AK568" s="34" t="s">
        <v>4139</v>
      </c>
      <c r="AL568" s="34" t="s">
        <v>4300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7" t="str">
        <f>IFERROR(INDEX(Структура_ассортимента[SuperCategory],MATCH(Товары[[#This Row],[SubGroup]],Структура_ассортимента[Subgroup],0)),"")</f>
        <v>H</v>
      </c>
      <c r="D5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7" t="str">
        <f>IFERROR(INDEX(Структура_ассортимента[Product group],MATCH(Товары[[#This Row],[SubGroup]],Структура_ассортимента[Subgroup],0)),"")</f>
        <v>EEO_C</v>
      </c>
      <c r="G569" s="67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7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2118</v>
      </c>
      <c r="O569" s="37" t="s">
        <v>5192</v>
      </c>
      <c r="P569" s="37" t="s">
        <v>5193</v>
      </c>
      <c r="Q569" s="39" t="s">
        <v>3416</v>
      </c>
      <c r="R569" s="34" t="s">
        <v>3407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3413</v>
      </c>
      <c r="X569" s="34" t="s">
        <v>3418</v>
      </c>
      <c r="Y569" s="34" t="s">
        <v>3409</v>
      </c>
      <c r="Z569" s="34">
        <v>1</v>
      </c>
      <c r="AA569" s="34">
        <v>1</v>
      </c>
      <c r="AB569" s="34" t="s">
        <v>5194</v>
      </c>
      <c r="AC569" s="34">
        <v>1000</v>
      </c>
      <c r="AD569" s="34" t="s">
        <v>3440</v>
      </c>
      <c r="AE569" s="34" t="s">
        <v>5195</v>
      </c>
      <c r="AF569" s="34" t="s">
        <v>3483</v>
      </c>
      <c r="AG569" s="34" t="s">
        <v>4251</v>
      </c>
      <c r="AH569" s="34" t="s">
        <v>5196</v>
      </c>
      <c r="AI569" s="34" t="s">
        <v>3845</v>
      </c>
      <c r="AJ569" s="34" t="s">
        <v>3466</v>
      </c>
      <c r="AK569" s="34" t="s">
        <v>4139</v>
      </c>
      <c r="AL569" s="34" t="s">
        <v>5197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7" t="str">
        <f>IFERROR(INDEX(Структура_ассортимента[SuperCategory],MATCH(Товары[[#This Row],[SubGroup]],Структура_ассортимента[Subgroup],0)),"")</f>
        <v>H</v>
      </c>
      <c r="D5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7" t="str">
        <f>IFERROR(INDEX(Структура_ассортимента[Product group],MATCH(Товары[[#This Row],[SubGroup]],Структура_ассортимента[Subgroup],0)),"")</f>
        <v>HEB_C</v>
      </c>
      <c r="G570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2119</v>
      </c>
      <c r="O570" s="37" t="s">
        <v>5198</v>
      </c>
      <c r="P570" s="37" t="s">
        <v>5199</v>
      </c>
      <c r="Q570" s="39" t="s">
        <v>3416</v>
      </c>
      <c r="R570" s="34" t="s">
        <v>3407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3417</v>
      </c>
      <c r="X570" s="34" t="s">
        <v>3418</v>
      </c>
      <c r="Y570" s="34" t="s">
        <v>3409</v>
      </c>
      <c r="Z570" s="34">
        <v>1</v>
      </c>
      <c r="AA570" s="34" t="s">
        <v>5200</v>
      </c>
      <c r="AB570" s="34" t="s">
        <v>5201</v>
      </c>
      <c r="AC570" s="34" t="s">
        <v>5202</v>
      </c>
      <c r="AD570" s="34" t="s">
        <v>5202</v>
      </c>
      <c r="AE570" s="34" t="s">
        <v>4193</v>
      </c>
      <c r="AF570" s="34" t="s">
        <v>4041</v>
      </c>
      <c r="AG570" s="34" t="s">
        <v>4377</v>
      </c>
      <c r="AH570" s="34" t="s">
        <v>5203</v>
      </c>
      <c r="AI570" s="34" t="s">
        <v>5204</v>
      </c>
      <c r="AJ570" s="34" t="s">
        <v>5205</v>
      </c>
      <c r="AK570" s="34" t="s">
        <v>5206</v>
      </c>
      <c r="AL570" s="34" t="s">
        <v>3484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7" t="str">
        <f>IFERROR(INDEX(Структура_ассортимента[SuperCategory],MATCH(Товары[[#This Row],[SubGroup]],Структура_ассортимента[Subgroup],0)),"")</f>
        <v>H</v>
      </c>
      <c r="D5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7" t="str">
        <f>IFERROR(INDEX(Структура_ассортимента[Product group],MATCH(Товары[[#This Row],[SubGroup]],Структура_ассортимента[Subgroup],0)),"")</f>
        <v>HEB_C</v>
      </c>
      <c r="G571" s="67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7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2120</v>
      </c>
      <c r="Q571" s="39" t="s">
        <v>3411</v>
      </c>
      <c r="R571" s="34" t="s">
        <v>3407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5184</v>
      </c>
      <c r="Y571" s="34" t="s">
        <v>3409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7961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7" t="str">
        <f>IFERROR(INDEX(Структура_ассортимента[SuperCategory],MATCH(Товары[[#This Row],[SubGroup]],Структура_ассортимента[Subgroup],0)),"")</f>
        <v>H</v>
      </c>
      <c r="D5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7" t="str">
        <f>IFERROR(INDEX(Структура_ассортимента[Product group],MATCH(Товары[[#This Row],[SubGroup]],Структура_ассортимента[Subgroup],0)),"")</f>
        <v>HEB_P</v>
      </c>
      <c r="G57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2121</v>
      </c>
      <c r="O572" s="37" t="s">
        <v>5207</v>
      </c>
      <c r="P572" s="37" t="s">
        <v>5208</v>
      </c>
      <c r="Q572" s="39" t="s">
        <v>3416</v>
      </c>
      <c r="R572" s="34" t="s">
        <v>3407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3413</v>
      </c>
      <c r="X572" s="34" t="s">
        <v>3418</v>
      </c>
      <c r="Y572" s="34" t="s">
        <v>3409</v>
      </c>
      <c r="Z572" s="34">
        <v>1</v>
      </c>
      <c r="AA572" s="34" t="s">
        <v>5209</v>
      </c>
      <c r="AB572" s="34" t="s">
        <v>5210</v>
      </c>
      <c r="AC572" s="34" t="s">
        <v>5211</v>
      </c>
      <c r="AD572" s="34" t="s">
        <v>5212</v>
      </c>
      <c r="AE572" s="34" t="s">
        <v>3490</v>
      </c>
      <c r="AF572" s="34" t="s">
        <v>5213</v>
      </c>
      <c r="AG572" s="34" t="s">
        <v>3482</v>
      </c>
      <c r="AH572" s="34" t="s">
        <v>5214</v>
      </c>
      <c r="AI572" s="34" t="s">
        <v>3529</v>
      </c>
      <c r="AJ572" s="34" t="s">
        <v>5215</v>
      </c>
      <c r="AK572" s="34" t="s">
        <v>3598</v>
      </c>
      <c r="AL572" s="34" t="s">
        <v>3886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7" t="str">
        <f>IFERROR(INDEX(Структура_ассортимента[SuperCategory],MATCH(Товары[[#This Row],[SubGroup]],Структура_ассортимента[Subgroup],0)),"")</f>
        <v>H</v>
      </c>
      <c r="D5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7" t="str">
        <f>IFERROR(INDEX(Структура_ассортимента[Product group],MATCH(Товары[[#This Row],[SubGroup]],Структура_ассортимента[Subgroup],0)),"")</f>
        <v>HEB_P</v>
      </c>
      <c r="G57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2122</v>
      </c>
      <c r="O573" s="37" t="s">
        <v>5216</v>
      </c>
      <c r="P573" s="37" t="s">
        <v>5217</v>
      </c>
      <c r="Q573" s="39" t="s">
        <v>3416</v>
      </c>
      <c r="R573" s="34" t="s">
        <v>3407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3413</v>
      </c>
      <c r="X573" s="34" t="s">
        <v>3418</v>
      </c>
      <c r="Y573" s="34" t="s">
        <v>3409</v>
      </c>
      <c r="Z573" s="34">
        <v>1</v>
      </c>
      <c r="AA573" s="34" t="s">
        <v>5218</v>
      </c>
      <c r="AB573" s="34" t="s">
        <v>5219</v>
      </c>
      <c r="AC573" s="34" t="s">
        <v>5220</v>
      </c>
      <c r="AD573" s="34" t="s">
        <v>5221</v>
      </c>
      <c r="AE573" s="34" t="s">
        <v>3490</v>
      </c>
      <c r="AF573" s="34" t="s">
        <v>5213</v>
      </c>
      <c r="AG573" s="34" t="s">
        <v>3482</v>
      </c>
      <c r="AH573" s="34" t="s">
        <v>5222</v>
      </c>
      <c r="AI573" s="34" t="s">
        <v>3529</v>
      </c>
      <c r="AJ573" s="34" t="s">
        <v>5215</v>
      </c>
      <c r="AK573" s="34" t="s">
        <v>3598</v>
      </c>
      <c r="AL573" s="34" t="s">
        <v>3886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7" t="str">
        <f>IFERROR(INDEX(Структура_ассортимента[SuperCategory],MATCH(Товары[[#This Row],[SubGroup]],Структура_ассортимента[Subgroup],0)),"")</f>
        <v>H</v>
      </c>
      <c r="D5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7" t="str">
        <f>IFERROR(INDEX(Структура_ассортимента[Product group],MATCH(Товары[[#This Row],[SubGroup]],Структура_ассортимента[Subgroup],0)),"")</f>
        <v>HEB_P</v>
      </c>
      <c r="G57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2123</v>
      </c>
      <c r="O574" s="37" t="s">
        <v>5223</v>
      </c>
      <c r="P574" s="37" t="s">
        <v>5224</v>
      </c>
      <c r="Q574" s="39" t="s">
        <v>3519</v>
      </c>
      <c r="R574" s="34" t="s">
        <v>3407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3413</v>
      </c>
      <c r="X574" s="34" t="s">
        <v>3418</v>
      </c>
      <c r="Y574" s="34" t="s">
        <v>3409</v>
      </c>
      <c r="Z574" s="34">
        <v>1</v>
      </c>
      <c r="AA574" s="34" t="s">
        <v>3837</v>
      </c>
      <c r="AB574" s="34" t="s">
        <v>3837</v>
      </c>
      <c r="AC574" s="34" t="s">
        <v>5225</v>
      </c>
      <c r="AD574" s="34" t="s">
        <v>5226</v>
      </c>
      <c r="AE574" s="34" t="s">
        <v>5227</v>
      </c>
      <c r="AF574" s="34" t="s">
        <v>4221</v>
      </c>
      <c r="AG574" s="34" t="s">
        <v>3864</v>
      </c>
      <c r="AH574" s="34" t="s">
        <v>5228</v>
      </c>
      <c r="AI574" s="34" t="s">
        <v>5229</v>
      </c>
      <c r="AJ574" s="34" t="s">
        <v>5230</v>
      </c>
      <c r="AK574" s="34" t="s">
        <v>3550</v>
      </c>
      <c r="AL574" s="34" t="s">
        <v>5231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7" t="str">
        <f>IFERROR(INDEX(Структура_ассортимента[SuperCategory],MATCH(Товары[[#This Row],[SubGroup]],Структура_ассортимента[Subgroup],0)),"")</f>
        <v>H</v>
      </c>
      <c r="D5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7" t="str">
        <f>IFERROR(INDEX(Структура_ассортимента[Product group],MATCH(Товары[[#This Row],[SubGroup]],Структура_ассортимента[Subgroup],0)),"")</f>
        <v>HEB_P</v>
      </c>
      <c r="G57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2124</v>
      </c>
      <c r="O575" s="37" t="s">
        <v>5232</v>
      </c>
      <c r="P575" s="37" t="s">
        <v>5233</v>
      </c>
      <c r="Q575" s="39" t="s">
        <v>3519</v>
      </c>
      <c r="R575" s="34" t="s">
        <v>3407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3413</v>
      </c>
      <c r="X575" s="34" t="s">
        <v>3418</v>
      </c>
      <c r="Y575" s="34" t="s">
        <v>3409</v>
      </c>
      <c r="Z575" s="34">
        <v>1</v>
      </c>
      <c r="AA575" s="34">
        <v>2480</v>
      </c>
      <c r="AB575" s="34" t="s">
        <v>3440</v>
      </c>
      <c r="AC575" s="34">
        <v>2200</v>
      </c>
      <c r="AD575" s="34" t="s">
        <v>5234</v>
      </c>
      <c r="AE575" s="34" t="s">
        <v>5227</v>
      </c>
      <c r="AF575" s="34" t="s">
        <v>3835</v>
      </c>
      <c r="AG575" s="34" t="s">
        <v>3809</v>
      </c>
      <c r="AH575" s="34" t="s">
        <v>5235</v>
      </c>
      <c r="AI575" s="34" t="s">
        <v>5229</v>
      </c>
      <c r="AJ575" s="34" t="s">
        <v>5230</v>
      </c>
      <c r="AK575" s="34" t="s">
        <v>3550</v>
      </c>
      <c r="AL575" s="34" t="s">
        <v>5231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7" t="str">
        <f>IFERROR(INDEX(Структура_ассортимента[SuperCategory],MATCH(Товары[[#This Row],[SubGroup]],Структура_ассортимента[Subgroup],0)),"")</f>
        <v>H</v>
      </c>
      <c r="D5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7" t="str">
        <f>IFERROR(INDEX(Структура_ассортимента[Product group],MATCH(Товары[[#This Row],[SubGroup]],Структура_ассортимента[Subgroup],0)),"")</f>
        <v>HEB_P</v>
      </c>
      <c r="G576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2125</v>
      </c>
      <c r="O576" s="37" t="s">
        <v>5236</v>
      </c>
      <c r="P576" s="37" t="s">
        <v>5237</v>
      </c>
      <c r="Q576" s="39" t="s">
        <v>3416</v>
      </c>
      <c r="R576" s="34" t="s">
        <v>3407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3413</v>
      </c>
      <c r="X576" s="34" t="s">
        <v>3418</v>
      </c>
      <c r="Y576" s="34" t="s">
        <v>3409</v>
      </c>
      <c r="Z576" s="34">
        <v>1</v>
      </c>
      <c r="AA576" s="34" t="s">
        <v>3837</v>
      </c>
      <c r="AB576" s="34" t="s">
        <v>4310</v>
      </c>
      <c r="AC576" s="34" t="s">
        <v>5238</v>
      </c>
      <c r="AD576" s="34" t="s">
        <v>3837</v>
      </c>
      <c r="AE576" s="34" t="s">
        <v>5239</v>
      </c>
      <c r="AF576" s="34" t="s">
        <v>5240</v>
      </c>
      <c r="AG576" s="34" t="s">
        <v>4261</v>
      </c>
      <c r="AH576" s="34" t="s">
        <v>5241</v>
      </c>
      <c r="AI576" s="34" t="s">
        <v>5242</v>
      </c>
      <c r="AJ576" s="34" t="s">
        <v>5243</v>
      </c>
      <c r="AK576" s="34" t="s">
        <v>5244</v>
      </c>
      <c r="AL576" s="34" t="s">
        <v>4081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7" t="str">
        <f>IFERROR(INDEX(Структура_ассортимента[SuperCategory],MATCH(Товары[[#This Row],[SubGroup]],Структура_ассортимента[Subgroup],0)),"")</f>
        <v>H</v>
      </c>
      <c r="D5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7" t="str">
        <f>IFERROR(INDEX(Структура_ассортимента[Product group],MATCH(Товары[[#This Row],[SubGroup]],Структура_ассортимента[Subgroup],0)),"")</f>
        <v>HEB_P</v>
      </c>
      <c r="G577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2126</v>
      </c>
      <c r="O577" s="37" t="s">
        <v>5245</v>
      </c>
      <c r="P577" s="37" t="s">
        <v>5246</v>
      </c>
      <c r="Q577" s="39" t="s">
        <v>3416</v>
      </c>
      <c r="R577" s="34" t="s">
        <v>3407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3413</v>
      </c>
      <c r="X577" s="34" t="s">
        <v>3418</v>
      </c>
      <c r="Y577" s="34" t="s">
        <v>3409</v>
      </c>
      <c r="Z577" s="34">
        <v>1</v>
      </c>
      <c r="AA577" s="34" t="s">
        <v>4079</v>
      </c>
      <c r="AB577" s="34" t="s">
        <v>5247</v>
      </c>
      <c r="AC577" s="34" t="s">
        <v>5248</v>
      </c>
      <c r="AD577" s="34" t="s">
        <v>5249</v>
      </c>
      <c r="AE577" s="34" t="s">
        <v>5250</v>
      </c>
      <c r="AF577" s="34" t="s">
        <v>3769</v>
      </c>
      <c r="AG577" s="34" t="s">
        <v>4261</v>
      </c>
      <c r="AH577" s="34" t="s">
        <v>5251</v>
      </c>
      <c r="AI577" s="34" t="s">
        <v>5252</v>
      </c>
      <c r="AJ577" s="34" t="s">
        <v>5253</v>
      </c>
      <c r="AK577" s="34" t="s">
        <v>5254</v>
      </c>
      <c r="AL577" s="34" t="s">
        <v>4188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7" t="str">
        <f>IFERROR(INDEX(Структура_ассортимента[SuperCategory],MATCH(Товары[[#This Row],[SubGroup]],Структура_ассортимента[Subgroup],0)),"")</f>
        <v>H</v>
      </c>
      <c r="D5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7" t="str">
        <f>IFERROR(INDEX(Структура_ассортимента[Product group],MATCH(Товары[[#This Row],[SubGroup]],Структура_ассортимента[Subgroup],0)),"")</f>
        <v>HEB_P</v>
      </c>
      <c r="G578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2127</v>
      </c>
      <c r="O578" s="37" t="s">
        <v>5255</v>
      </c>
      <c r="P578" s="37" t="s">
        <v>5256</v>
      </c>
      <c r="Q578" s="39" t="s">
        <v>3416</v>
      </c>
      <c r="R578" s="34" t="s">
        <v>3407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3413</v>
      </c>
      <c r="Y578" s="34" t="s">
        <v>3409</v>
      </c>
      <c r="Z578" s="34">
        <v>1</v>
      </c>
      <c r="AB578" s="34" t="s">
        <v>5257</v>
      </c>
      <c r="AD578" s="34" t="s">
        <v>4965</v>
      </c>
      <c r="AE578" s="34" t="s">
        <v>5227</v>
      </c>
      <c r="AF578" s="34" t="s">
        <v>4176</v>
      </c>
      <c r="AG578" s="34" t="s">
        <v>3529</v>
      </c>
      <c r="AH578" s="34" t="s">
        <v>5258</v>
      </c>
      <c r="AL578" s="34" t="s">
        <v>5259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7" t="str">
        <f>IFERROR(INDEX(Структура_ассортимента[SuperCategory],MATCH(Товары[[#This Row],[SubGroup]],Структура_ассортимента[Subgroup],0)),"")</f>
        <v>H</v>
      </c>
      <c r="D5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7" t="str">
        <f>IFERROR(INDEX(Структура_ассортимента[Product group],MATCH(Товары[[#This Row],[SubGroup]],Структура_ассортимента[Subgroup],0)),"")</f>
        <v>HEB_P</v>
      </c>
      <c r="G579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2128</v>
      </c>
      <c r="O579" s="37" t="s">
        <v>5260</v>
      </c>
      <c r="P579" s="37" t="s">
        <v>5261</v>
      </c>
      <c r="Q579" s="39" t="s">
        <v>3416</v>
      </c>
      <c r="R579" s="34" t="s">
        <v>3407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3413</v>
      </c>
      <c r="Y579" s="34" t="s">
        <v>3409</v>
      </c>
      <c r="Z579" s="34">
        <v>1</v>
      </c>
      <c r="AB579" s="34" t="s">
        <v>4965</v>
      </c>
      <c r="AD579" s="34" t="s">
        <v>3837</v>
      </c>
      <c r="AE579" s="34" t="s">
        <v>5227</v>
      </c>
      <c r="AF579" s="34" t="s">
        <v>4176</v>
      </c>
      <c r="AG579" s="34" t="s">
        <v>3529</v>
      </c>
      <c r="AH579" s="34" t="s">
        <v>5258</v>
      </c>
      <c r="AI579" s="34" t="s">
        <v>5262</v>
      </c>
      <c r="AJ579" s="34" t="s">
        <v>4070</v>
      </c>
      <c r="AK579" s="34" t="s">
        <v>4325</v>
      </c>
      <c r="AL579" s="34" t="s">
        <v>5259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7" t="str">
        <f>IFERROR(INDEX(Структура_ассортимента[SuperCategory],MATCH(Товары[[#This Row],[SubGroup]],Структура_ассортимента[Subgroup],0)),"")</f>
        <v>H</v>
      </c>
      <c r="D5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7" t="str">
        <f>IFERROR(INDEX(Структура_ассортимента[Product group],MATCH(Товары[[#This Row],[SubGroup]],Структура_ассортимента[Subgroup],0)),"")</f>
        <v>HEB_P</v>
      </c>
      <c r="G580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2129</v>
      </c>
      <c r="O580" s="37" t="s">
        <v>5263</v>
      </c>
      <c r="P580" s="37" t="s">
        <v>5264</v>
      </c>
      <c r="Q580" s="39" t="s">
        <v>3416</v>
      </c>
      <c r="R580" s="34" t="s">
        <v>3407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3413</v>
      </c>
      <c r="X580" s="34" t="s">
        <v>3418</v>
      </c>
      <c r="Y580" s="34" t="s">
        <v>3409</v>
      </c>
      <c r="Z580" s="34">
        <v>1</v>
      </c>
      <c r="AE580" s="34" t="s">
        <v>3779</v>
      </c>
      <c r="AF580" s="34" t="s">
        <v>3693</v>
      </c>
      <c r="AG580" s="34" t="s">
        <v>3984</v>
      </c>
      <c r="AL580" s="34" t="s">
        <v>4381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7" t="str">
        <f>IFERROR(INDEX(Структура_ассортимента[SuperCategory],MATCH(Товары[[#This Row],[SubGroup]],Структура_ассортимента[Subgroup],0)),"")</f>
        <v>H</v>
      </c>
      <c r="D5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7" t="str">
        <f>IFERROR(INDEX(Структура_ассортимента[Product group],MATCH(Товары[[#This Row],[SubGroup]],Структура_ассортимента[Subgroup],0)),"")</f>
        <v>HEB_P</v>
      </c>
      <c r="G581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2130</v>
      </c>
      <c r="O581" s="37" t="s">
        <v>5265</v>
      </c>
      <c r="P581" s="37" t="s">
        <v>5266</v>
      </c>
      <c r="Q581" s="39" t="s">
        <v>3416</v>
      </c>
      <c r="R581" s="34" t="s">
        <v>3407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3413</v>
      </c>
      <c r="X581" s="34" t="s">
        <v>3418</v>
      </c>
      <c r="Y581" s="34" t="s">
        <v>3409</v>
      </c>
      <c r="Z581" s="34">
        <v>1</v>
      </c>
      <c r="AE581" s="34" t="s">
        <v>3779</v>
      </c>
      <c r="AF581" s="34" t="s">
        <v>3693</v>
      </c>
      <c r="AG581" s="34" t="s">
        <v>3984</v>
      </c>
      <c r="AL581" s="34" t="s">
        <v>4381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7" t="str">
        <f>IFERROR(INDEX(Структура_ассортимента[SuperCategory],MATCH(Товары[[#This Row],[SubGroup]],Структура_ассортимента[Subgroup],0)),"")</f>
        <v>H</v>
      </c>
      <c r="D5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7" t="str">
        <f>IFERROR(INDEX(Структура_ассортимента[Product group],MATCH(Товары[[#This Row],[SubGroup]],Структура_ассортимента[Subgroup],0)),"")</f>
        <v>HEB_P</v>
      </c>
      <c r="G582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2131</v>
      </c>
      <c r="O582" s="37" t="s">
        <v>5267</v>
      </c>
      <c r="P582" s="37" t="s">
        <v>5268</v>
      </c>
      <c r="Q582" s="39" t="s">
        <v>3416</v>
      </c>
      <c r="R582" s="34" t="s">
        <v>3407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3410</v>
      </c>
      <c r="X582" s="34" t="s">
        <v>3418</v>
      </c>
      <c r="Y582" s="34" t="s">
        <v>3409</v>
      </c>
      <c r="Z582" s="34">
        <v>8</v>
      </c>
      <c r="AE582" s="34" t="s">
        <v>3779</v>
      </c>
      <c r="AF582" s="34" t="s">
        <v>3693</v>
      </c>
      <c r="AG582" s="34" t="s">
        <v>3984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7" t="str">
        <f>IFERROR(INDEX(Структура_ассортимента[SuperCategory],MATCH(Товары[[#This Row],[SubGroup]],Структура_ассортимента[Subgroup],0)),"")</f>
        <v>H</v>
      </c>
      <c r="D5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7" t="str">
        <f>IFERROR(INDEX(Структура_ассортимента[Product group],MATCH(Товары[[#This Row],[SubGroup]],Структура_ассортимента[Subgroup],0)),"")</f>
        <v>HEB_P</v>
      </c>
      <c r="G583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2132</v>
      </c>
      <c r="O583" s="37" t="s">
        <v>5269</v>
      </c>
      <c r="P583" s="37" t="s">
        <v>5270</v>
      </c>
      <c r="Q583" s="39" t="s">
        <v>3416</v>
      </c>
      <c r="R583" s="34" t="s">
        <v>3407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3413</v>
      </c>
      <c r="X583" s="34" t="s">
        <v>3418</v>
      </c>
      <c r="Y583" s="34" t="s">
        <v>3409</v>
      </c>
      <c r="Z583" s="34">
        <v>1</v>
      </c>
      <c r="AE583" s="34" t="s">
        <v>3779</v>
      </c>
      <c r="AF583" s="34" t="s">
        <v>3693</v>
      </c>
      <c r="AG583" s="34" t="s">
        <v>3984</v>
      </c>
      <c r="AL583" s="34" t="s">
        <v>4381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7" t="str">
        <f>IFERROR(INDEX(Структура_ассортимента[SuperCategory],MATCH(Товары[[#This Row],[SubGroup]],Структура_ассортимента[Subgroup],0)),"")</f>
        <v>H</v>
      </c>
      <c r="D5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7" t="str">
        <f>IFERROR(INDEX(Структура_ассортимента[Product group],MATCH(Товары[[#This Row],[SubGroup]],Структура_ассортимента[Subgroup],0)),"")</f>
        <v>HEB_P</v>
      </c>
      <c r="G584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2133</v>
      </c>
      <c r="O584" s="37" t="s">
        <v>5271</v>
      </c>
      <c r="P584" s="37" t="s">
        <v>5272</v>
      </c>
      <c r="Q584" s="39" t="s">
        <v>3416</v>
      </c>
      <c r="R584" s="34" t="s">
        <v>3407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3413</v>
      </c>
      <c r="X584" s="34" t="s">
        <v>3418</v>
      </c>
      <c r="Y584" s="34" t="s">
        <v>3409</v>
      </c>
      <c r="Z584" s="34">
        <v>1</v>
      </c>
      <c r="AB584" s="34" t="s">
        <v>5273</v>
      </c>
      <c r="AD584" s="34" t="s">
        <v>5274</v>
      </c>
      <c r="AE584" s="34" t="s">
        <v>4154</v>
      </c>
      <c r="AF584" s="34" t="s">
        <v>4069</v>
      </c>
      <c r="AG584" s="34" t="s">
        <v>4294</v>
      </c>
      <c r="AH584" s="34" t="s">
        <v>5275</v>
      </c>
      <c r="AI584" s="34" t="s">
        <v>4970</v>
      </c>
      <c r="AJ584" s="34" t="s">
        <v>4461</v>
      </c>
      <c r="AK584" s="34" t="s">
        <v>4176</v>
      </c>
      <c r="AL584" s="34" t="s">
        <v>3725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7" t="str">
        <f>IFERROR(INDEX(Структура_ассортимента[SuperCategory],MATCH(Товары[[#This Row],[SubGroup]],Структура_ассортимента[Subgroup],0)),"")</f>
        <v>H</v>
      </c>
      <c r="D5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7" t="str">
        <f>IFERROR(INDEX(Структура_ассортимента[Product group],MATCH(Товары[[#This Row],[SubGroup]],Структура_ассортимента[Subgroup],0)),"")</f>
        <v>HEB_P</v>
      </c>
      <c r="G585" s="67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7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2134</v>
      </c>
      <c r="O585" s="37" t="s">
        <v>5276</v>
      </c>
      <c r="P585" s="37" t="s">
        <v>5277</v>
      </c>
      <c r="Q585" s="39" t="s">
        <v>3416</v>
      </c>
      <c r="R585" s="34" t="s">
        <v>3407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3413</v>
      </c>
      <c r="X585" s="34" t="s">
        <v>3418</v>
      </c>
      <c r="Y585" s="34" t="s">
        <v>3409</v>
      </c>
      <c r="Z585" s="34">
        <v>1</v>
      </c>
      <c r="AA585" s="34" t="s">
        <v>5278</v>
      </c>
      <c r="AB585" s="34" t="s">
        <v>5279</v>
      </c>
      <c r="AC585" s="34" t="s">
        <v>5280</v>
      </c>
      <c r="AD585" s="34" t="s">
        <v>5280</v>
      </c>
      <c r="AE585" s="34" t="s">
        <v>4133</v>
      </c>
      <c r="AF585" s="34" t="s">
        <v>4069</v>
      </c>
      <c r="AG585" s="34" t="s">
        <v>3589</v>
      </c>
      <c r="AH585" s="34" t="s">
        <v>5281</v>
      </c>
      <c r="AI585" s="34" t="s">
        <v>4970</v>
      </c>
      <c r="AJ585" s="34" t="s">
        <v>4461</v>
      </c>
      <c r="AK585" s="34" t="s">
        <v>4176</v>
      </c>
      <c r="AL585" s="34" t="s">
        <v>3725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7" t="str">
        <f>IFERROR(INDEX(Структура_ассортимента[SuperCategory],MATCH(Товары[[#This Row],[SubGroup]],Структура_ассортимента[Subgroup],0)),"")</f>
        <v>H</v>
      </c>
      <c r="D5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7" t="str">
        <f>IFERROR(INDEX(Структура_ассортимента[Product group],MATCH(Товары[[#This Row],[SubGroup]],Структура_ассортимента[Subgroup],0)),"")</f>
        <v>HEC_C</v>
      </c>
      <c r="G586" s="67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7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2135</v>
      </c>
      <c r="Q586" s="39" t="s">
        <v>3416</v>
      </c>
      <c r="R586" s="34" t="s">
        <v>3407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3413</v>
      </c>
      <c r="X586" s="34" t="s">
        <v>3418</v>
      </c>
      <c r="Y586" s="34" t="s">
        <v>3409</v>
      </c>
      <c r="Z586" s="34">
        <v>1</v>
      </c>
      <c r="AA586" s="34" t="s">
        <v>5282</v>
      </c>
      <c r="AB586" s="34" t="s">
        <v>5282</v>
      </c>
      <c r="AC586" s="34" t="s">
        <v>5283</v>
      </c>
      <c r="AD586" s="34" t="s">
        <v>5283</v>
      </c>
      <c r="AE586" s="34" t="s">
        <v>5284</v>
      </c>
      <c r="AF586" s="34" t="s">
        <v>3787</v>
      </c>
      <c r="AG586" s="34" t="s">
        <v>4338</v>
      </c>
      <c r="AH586" s="34" t="s">
        <v>5285</v>
      </c>
      <c r="AI586" s="34" t="s">
        <v>5286</v>
      </c>
      <c r="AJ586" s="34" t="s">
        <v>4372</v>
      </c>
      <c r="AK586" s="34" t="s">
        <v>4048</v>
      </c>
      <c r="AL586" s="34" t="s">
        <v>4188</v>
      </c>
      <c r="AM586" s="34" t="s">
        <v>7962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7" t="str">
        <f>IFERROR(INDEX(Структура_ассортимента[SuperCategory],MATCH(Товары[[#This Row],[SubGroup]],Структура_ассортимента[Subgroup],0)),"")</f>
        <v>H</v>
      </c>
      <c r="D5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7" t="str">
        <f>IFERROR(INDEX(Структура_ассортимента[Product group],MATCH(Товары[[#This Row],[SubGroup]],Структура_ассортимента[Subgroup],0)),"")</f>
        <v>HEC_P</v>
      </c>
      <c r="G587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2136</v>
      </c>
      <c r="Q587" s="39" t="s">
        <v>3416</v>
      </c>
      <c r="R587" s="34" t="s">
        <v>3407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3417</v>
      </c>
      <c r="X587" s="34" t="s">
        <v>3418</v>
      </c>
      <c r="Y587" s="34" t="s">
        <v>3409</v>
      </c>
      <c r="Z587" s="34">
        <v>1</v>
      </c>
      <c r="AA587" s="34" t="s">
        <v>5287</v>
      </c>
      <c r="AB587" s="34" t="s">
        <v>5288</v>
      </c>
      <c r="AC587" s="34" t="s">
        <v>5289</v>
      </c>
      <c r="AD587" s="34" t="s">
        <v>5289</v>
      </c>
      <c r="AE587" s="34" t="s">
        <v>4955</v>
      </c>
      <c r="AF587" s="34" t="s">
        <v>3693</v>
      </c>
      <c r="AG587" s="34" t="s">
        <v>3478</v>
      </c>
      <c r="AH587" s="34" t="s">
        <v>5290</v>
      </c>
      <c r="AI587" s="34" t="s">
        <v>5291</v>
      </c>
      <c r="AJ587" s="34" t="s">
        <v>3478</v>
      </c>
      <c r="AK587" s="34" t="s">
        <v>4366</v>
      </c>
      <c r="AL587" s="34" t="s">
        <v>3709</v>
      </c>
      <c r="AM587" s="34" t="s">
        <v>7962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7" t="str">
        <f>IFERROR(INDEX(Структура_ассортимента[SuperCategory],MATCH(Товары[[#This Row],[SubGroup]],Структура_ассортимента[Subgroup],0)),"")</f>
        <v>H</v>
      </c>
      <c r="D58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7" t="str">
        <f>IFERROR(INDEX(Структура_ассортимента[Product group],MATCH(Товары[[#This Row],[SubGroup]],Структура_ассортимента[Subgroup],0)),"")</f>
        <v>HEC_P</v>
      </c>
      <c r="G588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2137</v>
      </c>
      <c r="Q588" s="39" t="s">
        <v>3416</v>
      </c>
      <c r="R588" s="34" t="s">
        <v>3407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3413</v>
      </c>
      <c r="X588" s="34" t="s">
        <v>3418</v>
      </c>
      <c r="Y588" s="34" t="s">
        <v>3409</v>
      </c>
      <c r="Z588" s="34">
        <v>1</v>
      </c>
      <c r="AA588" s="34">
        <v>4680</v>
      </c>
      <c r="AB588" s="34" t="s">
        <v>5292</v>
      </c>
      <c r="AC588" s="34">
        <v>3375</v>
      </c>
      <c r="AD588" s="34" t="s">
        <v>5293</v>
      </c>
      <c r="AE588" s="34" t="s">
        <v>4955</v>
      </c>
      <c r="AF588" s="34" t="s">
        <v>3693</v>
      </c>
      <c r="AG588" s="34" t="s">
        <v>3478</v>
      </c>
      <c r="AH588" s="34" t="s">
        <v>5290</v>
      </c>
      <c r="AI588" s="34" t="s">
        <v>5291</v>
      </c>
      <c r="AJ588" s="34" t="s">
        <v>3478</v>
      </c>
      <c r="AK588" s="34" t="s">
        <v>4366</v>
      </c>
      <c r="AL588" s="34" t="s">
        <v>3709</v>
      </c>
      <c r="AM588" s="34" t="s">
        <v>7962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7" t="str">
        <f>IFERROR(INDEX(Структура_ассортимента[SuperCategory],MATCH(Товары[[#This Row],[SubGroup]],Структура_ассортимента[Subgroup],0)),"")</f>
        <v>H</v>
      </c>
      <c r="D58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7" t="str">
        <f>IFERROR(INDEX(Структура_ассортимента[Product group],MATCH(Товары[[#This Row],[SubGroup]],Структура_ассортимента[Subgroup],0)),"")</f>
        <v>HEC_P</v>
      </c>
      <c r="G589" s="67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7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2138</v>
      </c>
      <c r="O589" s="37" t="s">
        <v>5294</v>
      </c>
      <c r="P589" s="37" t="s">
        <v>5295</v>
      </c>
      <c r="Q589" s="39" t="s">
        <v>3416</v>
      </c>
      <c r="R589" s="34" t="s">
        <v>3407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3417</v>
      </c>
      <c r="X589" s="34" t="s">
        <v>3418</v>
      </c>
      <c r="Y589" s="34" t="s">
        <v>3409</v>
      </c>
      <c r="Z589" s="34">
        <v>1</v>
      </c>
      <c r="AA589" s="34" t="s">
        <v>5296</v>
      </c>
      <c r="AB589" s="34" t="s">
        <v>5296</v>
      </c>
      <c r="AC589" s="34" t="s">
        <v>5297</v>
      </c>
      <c r="AD589" s="34" t="s">
        <v>5297</v>
      </c>
      <c r="AE589" s="34" t="s">
        <v>5298</v>
      </c>
      <c r="AF589" s="34" t="s">
        <v>4070</v>
      </c>
      <c r="AG589" s="34" t="s">
        <v>3778</v>
      </c>
      <c r="AH589" s="34" t="s">
        <v>5299</v>
      </c>
      <c r="AL589" s="34" t="s">
        <v>5300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7" t="str">
        <f>IFERROR(INDEX(Структура_ассортимента[SuperCategory],MATCH(Товары[[#This Row],[SubGroup]],Структура_ассортимента[Subgroup],0)),"")</f>
        <v>H</v>
      </c>
      <c r="D59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7" t="str">
        <f>IFERROR(INDEX(Структура_ассортимента[Product group],MATCH(Товары[[#This Row],[SubGroup]],Структура_ассортимента[Subgroup],0)),"")</f>
        <v>HEH_C</v>
      </c>
      <c r="G59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2139</v>
      </c>
      <c r="O590" s="37" t="s">
        <v>5301</v>
      </c>
      <c r="P590" s="37" t="s">
        <v>5302</v>
      </c>
      <c r="Q590" s="39" t="s">
        <v>3416</v>
      </c>
      <c r="R590" s="34" t="s">
        <v>3407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3413</v>
      </c>
      <c r="X590" s="34" t="s">
        <v>3418</v>
      </c>
      <c r="Y590" s="34" t="s">
        <v>3409</v>
      </c>
      <c r="Z590" s="34">
        <v>1</v>
      </c>
      <c r="AA590" s="34" t="s">
        <v>5303</v>
      </c>
      <c r="AB590" s="34" t="s">
        <v>5304</v>
      </c>
      <c r="AC590" s="34" t="s">
        <v>5305</v>
      </c>
      <c r="AD590" s="34" t="s">
        <v>5305</v>
      </c>
      <c r="AE590" s="34" t="s">
        <v>5306</v>
      </c>
      <c r="AF590" s="34" t="s">
        <v>3693</v>
      </c>
      <c r="AG590" s="34" t="s">
        <v>3565</v>
      </c>
      <c r="AH590" s="34" t="s">
        <v>5307</v>
      </c>
      <c r="AI590" s="34" t="s">
        <v>5308</v>
      </c>
      <c r="AJ590" s="34" t="s">
        <v>3856</v>
      </c>
      <c r="AK590" s="34" t="s">
        <v>4519</v>
      </c>
      <c r="AL590" s="34" t="s">
        <v>5309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7" t="str">
        <f>IFERROR(INDEX(Структура_ассортимента[SuperCategory],MATCH(Товары[[#This Row],[SubGroup]],Структура_ассортимента[Subgroup],0)),"")</f>
        <v>H</v>
      </c>
      <c r="D59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7" t="str">
        <f>IFERROR(INDEX(Структура_ассортимента[Product group],MATCH(Товары[[#This Row],[SubGroup]],Структура_ассортимента[Subgroup],0)),"")</f>
        <v>HEH_C</v>
      </c>
      <c r="G59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2140</v>
      </c>
      <c r="O591" s="37" t="s">
        <v>5310</v>
      </c>
      <c r="P591" s="37" t="s">
        <v>5311</v>
      </c>
      <c r="Q591" s="39" t="s">
        <v>3416</v>
      </c>
      <c r="R591" s="34" t="s">
        <v>3407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3413</v>
      </c>
      <c r="X591" s="34" t="s">
        <v>3418</v>
      </c>
      <c r="Y591" s="34" t="s">
        <v>3409</v>
      </c>
      <c r="Z591" s="34">
        <v>1</v>
      </c>
      <c r="AA591" s="34" t="s">
        <v>5312</v>
      </c>
      <c r="AB591" s="34" t="s">
        <v>5313</v>
      </c>
      <c r="AC591" s="34" t="s">
        <v>5314</v>
      </c>
      <c r="AD591" s="34" t="s">
        <v>5314</v>
      </c>
      <c r="AE591" s="34" t="s">
        <v>5315</v>
      </c>
      <c r="AF591" s="34" t="s">
        <v>3693</v>
      </c>
      <c r="AG591" s="34" t="s">
        <v>3565</v>
      </c>
      <c r="AH591" s="34" t="s">
        <v>5316</v>
      </c>
      <c r="AL591" s="34" t="s">
        <v>5309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7" t="str">
        <f>IFERROR(INDEX(Структура_ассортимента[SuperCategory],MATCH(Товары[[#This Row],[SubGroup]],Структура_ассортимента[Subgroup],0)),"")</f>
        <v>H</v>
      </c>
      <c r="D59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7" t="str">
        <f>IFERROR(INDEX(Структура_ассортимента[Product group],MATCH(Товары[[#This Row],[SubGroup]],Структура_ассортимента[Subgroup],0)),"")</f>
        <v>HEH_C</v>
      </c>
      <c r="G59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2141</v>
      </c>
      <c r="Q592" s="39" t="s">
        <v>3416</v>
      </c>
      <c r="R592" s="34" t="s">
        <v>3407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3410</v>
      </c>
      <c r="X592" s="34" t="s">
        <v>3446</v>
      </c>
      <c r="Y592" s="34" t="s">
        <v>3409</v>
      </c>
      <c r="Z592" s="34">
        <v>8</v>
      </c>
      <c r="AA592" s="34">
        <v>3730</v>
      </c>
      <c r="AB592" s="34" t="s">
        <v>5313</v>
      </c>
      <c r="AC592" s="34">
        <v>2700</v>
      </c>
      <c r="AD592" s="34" t="s">
        <v>5314</v>
      </c>
      <c r="AE592" s="34" t="s">
        <v>3822</v>
      </c>
      <c r="AF592" s="34" t="s">
        <v>3565</v>
      </c>
      <c r="AG592" s="34" t="s">
        <v>4726</v>
      </c>
      <c r="AH592" s="34" t="s">
        <v>5317</v>
      </c>
      <c r="AL592" s="34" t="s">
        <v>4188</v>
      </c>
      <c r="AM592" s="34" t="s">
        <v>7962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7" t="str">
        <f>IFERROR(INDEX(Структура_ассортимента[SuperCategory],MATCH(Товары[[#This Row],[SubGroup]],Структура_ассортимента[Subgroup],0)),"")</f>
        <v>H</v>
      </c>
      <c r="D59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7" t="str">
        <f>IFERROR(INDEX(Структура_ассортимента[Product group],MATCH(Товары[[#This Row],[SubGroup]],Структура_ассортимента[Subgroup],0)),"")</f>
        <v>HEH_C</v>
      </c>
      <c r="G593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2142</v>
      </c>
      <c r="O593" s="37" t="s">
        <v>5318</v>
      </c>
      <c r="P593" s="37" t="s">
        <v>5319</v>
      </c>
      <c r="Q593" s="39" t="s">
        <v>3416</v>
      </c>
      <c r="R593" s="34" t="s">
        <v>3407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3410</v>
      </c>
      <c r="X593" s="34" t="s">
        <v>3418</v>
      </c>
      <c r="Y593" s="34" t="s">
        <v>3409</v>
      </c>
      <c r="Z593" s="34">
        <v>8</v>
      </c>
      <c r="AA593" s="34">
        <v>8</v>
      </c>
      <c r="AB593" s="34" t="s">
        <v>5313</v>
      </c>
      <c r="AD593" s="34" t="s">
        <v>5314</v>
      </c>
      <c r="AE593" s="34" t="s">
        <v>3822</v>
      </c>
      <c r="AF593" s="34" t="s">
        <v>3565</v>
      </c>
      <c r="AG593" s="34" t="s">
        <v>4726</v>
      </c>
      <c r="AH593" s="34" t="s">
        <v>5317</v>
      </c>
      <c r="AL593" s="34" t="s">
        <v>4188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7" t="str">
        <f>IFERROR(INDEX(Структура_ассортимента[SuperCategory],MATCH(Товары[[#This Row],[SubGroup]],Структура_ассортимента[Subgroup],0)),"")</f>
        <v>H</v>
      </c>
      <c r="D59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7" t="str">
        <f>IFERROR(INDEX(Структура_ассортимента[Product group],MATCH(Товары[[#This Row],[SubGroup]],Структура_ассортимента[Subgroup],0)),"")</f>
        <v>HEH_C</v>
      </c>
      <c r="G594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2143</v>
      </c>
      <c r="O594" s="37" t="s">
        <v>5320</v>
      </c>
      <c r="P594" s="37" t="s">
        <v>5321</v>
      </c>
      <c r="Q594" s="39" t="s">
        <v>3416</v>
      </c>
      <c r="R594" s="34" t="s">
        <v>3407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3413</v>
      </c>
      <c r="X594" s="34" t="s">
        <v>3418</v>
      </c>
      <c r="Y594" s="34" t="s">
        <v>3409</v>
      </c>
      <c r="Z594" s="34">
        <v>1</v>
      </c>
      <c r="AA594" s="34" t="s">
        <v>5312</v>
      </c>
      <c r="AB594" s="34" t="s">
        <v>5322</v>
      </c>
      <c r="AC594" s="34" t="s">
        <v>5314</v>
      </c>
      <c r="AD594" s="34" t="s">
        <v>5314</v>
      </c>
      <c r="AE594" s="34" t="s">
        <v>5323</v>
      </c>
      <c r="AF594" s="34" t="s">
        <v>3565</v>
      </c>
      <c r="AG594" s="34" t="s">
        <v>3693</v>
      </c>
      <c r="AH594" s="34" t="s">
        <v>5324</v>
      </c>
      <c r="AL594" s="34" t="s">
        <v>5309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7" t="str">
        <f>IFERROR(INDEX(Структура_ассортимента[SuperCategory],MATCH(Товары[[#This Row],[SubGroup]],Структура_ассортимента[Subgroup],0)),"")</f>
        <v>H</v>
      </c>
      <c r="D59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7" t="str">
        <f>IFERROR(INDEX(Структура_ассортимента[Product group],MATCH(Товары[[#This Row],[SubGroup]],Структура_ассортимента[Subgroup],0)),"")</f>
        <v>HEH_C</v>
      </c>
      <c r="G595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2144</v>
      </c>
      <c r="Q595" s="39" t="s">
        <v>3416</v>
      </c>
      <c r="R595" s="34" t="s">
        <v>3407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3413</v>
      </c>
      <c r="X595" s="34" t="s">
        <v>3418</v>
      </c>
      <c r="Y595" s="34" t="s">
        <v>3409</v>
      </c>
      <c r="Z595" s="34">
        <v>1</v>
      </c>
      <c r="AA595" s="34">
        <v>4000</v>
      </c>
      <c r="AB595" s="34" t="s">
        <v>5325</v>
      </c>
      <c r="AC595" s="34">
        <v>2800</v>
      </c>
      <c r="AD595" s="34" t="s">
        <v>5202</v>
      </c>
      <c r="AE595" s="34" t="s">
        <v>5326</v>
      </c>
      <c r="AF595" s="34" t="s">
        <v>4353</v>
      </c>
      <c r="AG595" s="34" t="s">
        <v>3695</v>
      </c>
      <c r="AH595" s="34" t="s">
        <v>5327</v>
      </c>
      <c r="AI595" s="34" t="s">
        <v>5328</v>
      </c>
      <c r="AJ595" s="34" t="s">
        <v>4072</v>
      </c>
      <c r="AK595" s="34" t="s">
        <v>3692</v>
      </c>
      <c r="AL595" s="34" t="s">
        <v>4476</v>
      </c>
      <c r="AM595" s="34" t="s">
        <v>7962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7" t="str">
        <f>IFERROR(INDEX(Структура_ассортимента[SuperCategory],MATCH(Товары[[#This Row],[SubGroup]],Структура_ассортимента[Subgroup],0)),"")</f>
        <v>H</v>
      </c>
      <c r="D59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7" t="str">
        <f>IFERROR(INDEX(Структура_ассортимента[Product group],MATCH(Товары[[#This Row],[SubGroup]],Структура_ассортимента[Subgroup],0)),"")</f>
        <v>HEH_C</v>
      </c>
      <c r="G596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2145</v>
      </c>
      <c r="Q596" s="39" t="s">
        <v>3416</v>
      </c>
      <c r="R596" s="34" t="s">
        <v>3407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3413</v>
      </c>
      <c r="X596" s="34" t="s">
        <v>3418</v>
      </c>
      <c r="Y596" s="34" t="s">
        <v>3409</v>
      </c>
      <c r="Z596" s="34">
        <v>1</v>
      </c>
      <c r="AA596" s="34" t="s">
        <v>5329</v>
      </c>
      <c r="AB596" s="34" t="s">
        <v>5329</v>
      </c>
      <c r="AC596" s="34" t="s">
        <v>5330</v>
      </c>
      <c r="AD596" s="34" t="s">
        <v>5330</v>
      </c>
      <c r="AE596" s="34" t="s">
        <v>5331</v>
      </c>
      <c r="AF596" s="34" t="s">
        <v>3787</v>
      </c>
      <c r="AG596" s="34" t="s">
        <v>5332</v>
      </c>
      <c r="AH596" s="34" t="s">
        <v>5333</v>
      </c>
      <c r="AI596" s="34" t="s">
        <v>5334</v>
      </c>
      <c r="AJ596" s="34" t="s">
        <v>3632</v>
      </c>
      <c r="AK596" s="34" t="s">
        <v>3483</v>
      </c>
      <c r="AL596" s="34" t="s">
        <v>4476</v>
      </c>
      <c r="AM596" s="34" t="s">
        <v>7962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7" t="str">
        <f>IFERROR(INDEX(Структура_ассортимента[SuperCategory],MATCH(Товары[[#This Row],[SubGroup]],Структура_ассортимента[Subgroup],0)),"")</f>
        <v>H</v>
      </c>
      <c r="D59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7" t="str">
        <f>IFERROR(INDEX(Структура_ассортимента[Product group],MATCH(Товары[[#This Row],[SubGroup]],Структура_ассортимента[Subgroup],0)),"")</f>
        <v>HEH_C</v>
      </c>
      <c r="G597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2146</v>
      </c>
      <c r="O597" s="37" t="s">
        <v>5335</v>
      </c>
      <c r="P597" s="37" t="s">
        <v>5336</v>
      </c>
      <c r="Q597" s="39" t="s">
        <v>3416</v>
      </c>
      <c r="R597" s="34" t="s">
        <v>3407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3413</v>
      </c>
      <c r="X597" s="34" t="s">
        <v>3418</v>
      </c>
      <c r="Y597" s="34" t="s">
        <v>3409</v>
      </c>
      <c r="Z597" s="34">
        <v>1</v>
      </c>
      <c r="AA597" s="34">
        <v>3800</v>
      </c>
      <c r="AB597" s="34" t="s">
        <v>5337</v>
      </c>
      <c r="AC597" s="34">
        <v>2600</v>
      </c>
      <c r="AD597" s="34" t="s">
        <v>5305</v>
      </c>
      <c r="AE597" s="34" t="s">
        <v>5338</v>
      </c>
      <c r="AF597" s="34" t="s">
        <v>4251</v>
      </c>
      <c r="AG597" s="34" t="s">
        <v>3695</v>
      </c>
      <c r="AH597" s="34" t="s">
        <v>5339</v>
      </c>
      <c r="AI597" s="34" t="s">
        <v>5104</v>
      </c>
      <c r="AJ597" s="34" t="s">
        <v>4072</v>
      </c>
      <c r="AK597" s="34" t="s">
        <v>3692</v>
      </c>
      <c r="AL597" s="34" t="s">
        <v>5340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7" t="str">
        <f>IFERROR(INDEX(Структура_ассортимента[SuperCategory],MATCH(Товары[[#This Row],[SubGroup]],Структура_ассортимента[Subgroup],0)),"")</f>
        <v>H</v>
      </c>
      <c r="D59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7" t="str">
        <f>IFERROR(INDEX(Структура_ассортимента[Product group],MATCH(Товары[[#This Row],[SubGroup]],Структура_ассортимента[Subgroup],0)),"")</f>
        <v>HEH_C</v>
      </c>
      <c r="G598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2147</v>
      </c>
      <c r="O598" s="37" t="s">
        <v>5341</v>
      </c>
      <c r="P598" s="37" t="s">
        <v>5342</v>
      </c>
      <c r="Q598" s="39" t="s">
        <v>3416</v>
      </c>
      <c r="R598" s="34" t="s">
        <v>3407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3413</v>
      </c>
      <c r="X598" s="34" t="s">
        <v>3418</v>
      </c>
      <c r="Y598" s="34" t="s">
        <v>3409</v>
      </c>
      <c r="Z598" s="34">
        <v>1</v>
      </c>
      <c r="AA598" s="34">
        <v>3900</v>
      </c>
      <c r="AB598" s="34" t="s">
        <v>5282</v>
      </c>
      <c r="AC598" s="34">
        <v>2700</v>
      </c>
      <c r="AD598" s="34" t="s">
        <v>5289</v>
      </c>
      <c r="AE598" s="34" t="s">
        <v>5343</v>
      </c>
      <c r="AF598" s="34" t="s">
        <v>4251</v>
      </c>
      <c r="AG598" s="34" t="s">
        <v>3695</v>
      </c>
      <c r="AH598" s="34" t="s">
        <v>5344</v>
      </c>
      <c r="AI598" s="34" t="s">
        <v>5345</v>
      </c>
      <c r="AJ598" s="34" t="s">
        <v>4072</v>
      </c>
      <c r="AK598" s="34" t="s">
        <v>3692</v>
      </c>
      <c r="AL598" s="34" t="s">
        <v>5340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7" t="str">
        <f>IFERROR(INDEX(Структура_ассортимента[SuperCategory],MATCH(Товары[[#This Row],[SubGroup]],Структура_ассортимента[Subgroup],0)),"")</f>
        <v>H</v>
      </c>
      <c r="D59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7" t="str">
        <f>IFERROR(INDEX(Структура_ассортимента[Product group],MATCH(Товары[[#This Row],[SubGroup]],Структура_ассортимента[Subgroup],0)),"")</f>
        <v>HEH_C</v>
      </c>
      <c r="G599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2148</v>
      </c>
      <c r="Q599" s="39" t="s">
        <v>3406</v>
      </c>
      <c r="R599" s="34" t="s">
        <v>3407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3514</v>
      </c>
      <c r="Y599" s="34" t="s">
        <v>3409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7961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7" t="str">
        <f>IFERROR(INDEX(Структура_ассортимента[SuperCategory],MATCH(Товары[[#This Row],[SubGroup]],Структура_ассортимента[Subgroup],0)),"")</f>
        <v>H</v>
      </c>
      <c r="D60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7" t="str">
        <f>IFERROR(INDEX(Структура_ассортимента[Product group],MATCH(Товары[[#This Row],[SubGroup]],Структура_ассортимента[Subgroup],0)),"")</f>
        <v>HEH_C</v>
      </c>
      <c r="G600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2149</v>
      </c>
      <c r="Q600" s="39" t="s">
        <v>3406</v>
      </c>
      <c r="R600" s="34" t="s">
        <v>3407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3514</v>
      </c>
      <c r="Y600" s="34" t="s">
        <v>3409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7961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7" t="str">
        <f>IFERROR(INDEX(Структура_ассортимента[SuperCategory],MATCH(Товары[[#This Row],[SubGroup]],Структура_ассортимента[Subgroup],0)),"")</f>
        <v>H</v>
      </c>
      <c r="D60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7" t="str">
        <f>IFERROR(INDEX(Структура_ассортимента[Product group],MATCH(Товары[[#This Row],[SubGroup]],Структура_ассортимента[Subgroup],0)),"")</f>
        <v>HEH_C</v>
      </c>
      <c r="G601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2150</v>
      </c>
      <c r="Q601" s="39" t="s">
        <v>4432</v>
      </c>
      <c r="R601" s="34" t="s">
        <v>3407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3412</v>
      </c>
      <c r="Y601" s="34" t="s">
        <v>3409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7961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7" t="str">
        <f>IFERROR(INDEX(Структура_ассортимента[SuperCategory],MATCH(Товары[[#This Row],[SubGroup]],Структура_ассортимента[Subgroup],0)),"")</f>
        <v>H</v>
      </c>
      <c r="D60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7" t="str">
        <f>IFERROR(INDEX(Структура_ассортимента[Product group],MATCH(Товары[[#This Row],[SubGroup]],Структура_ассортимента[Subgroup],0)),"")</f>
        <v>HEH_C</v>
      </c>
      <c r="G602" s="67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2151</v>
      </c>
      <c r="Q602" s="39" t="s">
        <v>4432</v>
      </c>
      <c r="R602" s="34" t="s">
        <v>3407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3514</v>
      </c>
      <c r="Y602" s="34" t="s">
        <v>3409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7961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7" t="str">
        <f>IFERROR(INDEX(Структура_ассортимента[SuperCategory],MATCH(Товары[[#This Row],[SubGroup]],Структура_ассортимента[Subgroup],0)),"")</f>
        <v>H</v>
      </c>
      <c r="D60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7" t="str">
        <f>IFERROR(INDEX(Структура_ассортимента[Product group],MATCH(Товары[[#This Row],[SubGroup]],Структура_ассортимента[Subgroup],0)),"")</f>
        <v>HEH_P</v>
      </c>
      <c r="G60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2152</v>
      </c>
      <c r="O603" s="37" t="s">
        <v>5346</v>
      </c>
      <c r="P603" s="37" t="s">
        <v>5347</v>
      </c>
      <c r="Q603" s="39" t="s">
        <v>3416</v>
      </c>
      <c r="R603" s="34" t="s">
        <v>3407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3413</v>
      </c>
      <c r="X603" s="34" t="s">
        <v>3418</v>
      </c>
      <c r="Y603" s="34" t="s">
        <v>3409</v>
      </c>
      <c r="Z603" s="34">
        <v>1</v>
      </c>
      <c r="AB603" s="34" t="s">
        <v>5348</v>
      </c>
      <c r="AD603" s="34" t="s">
        <v>5349</v>
      </c>
      <c r="AE603" s="34" t="s">
        <v>4461</v>
      </c>
      <c r="AF603" s="34" t="s">
        <v>5180</v>
      </c>
      <c r="AG603" s="34" t="s">
        <v>5195</v>
      </c>
      <c r="AH603" s="34" t="s">
        <v>5350</v>
      </c>
      <c r="AL603" s="34" t="s">
        <v>5340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7" t="str">
        <f>IFERROR(INDEX(Структура_ассортимента[SuperCategory],MATCH(Товары[[#This Row],[SubGroup]],Структура_ассортимента[Subgroup],0)),"")</f>
        <v>H</v>
      </c>
      <c r="D60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7" t="str">
        <f>IFERROR(INDEX(Структура_ассортимента[Product group],MATCH(Товары[[#This Row],[SubGroup]],Структура_ассортимента[Subgroup],0)),"")</f>
        <v>HEH_P</v>
      </c>
      <c r="G60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2153</v>
      </c>
      <c r="O604" s="37" t="s">
        <v>5351</v>
      </c>
      <c r="P604" s="37" t="s">
        <v>5352</v>
      </c>
      <c r="Q604" s="39" t="s">
        <v>3416</v>
      </c>
      <c r="R604" s="34" t="s">
        <v>3407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3413</v>
      </c>
      <c r="X604" s="34" t="s">
        <v>3418</v>
      </c>
      <c r="Y604" s="34" t="s">
        <v>3409</v>
      </c>
      <c r="Z604" s="34">
        <v>1</v>
      </c>
      <c r="AB604" s="34" t="s">
        <v>5353</v>
      </c>
      <c r="AD604" s="34" t="s">
        <v>5354</v>
      </c>
      <c r="AE604" s="34" t="s">
        <v>4461</v>
      </c>
      <c r="AF604" s="34" t="s">
        <v>5180</v>
      </c>
      <c r="AG604" s="34" t="s">
        <v>5195</v>
      </c>
      <c r="AH604" s="34" t="s">
        <v>5350</v>
      </c>
      <c r="AL604" s="34" t="s">
        <v>5340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7" t="str">
        <f>IFERROR(INDEX(Структура_ассортимента[SuperCategory],MATCH(Товары[[#This Row],[SubGroup]],Структура_ассортимента[Subgroup],0)),"")</f>
        <v>H</v>
      </c>
      <c r="D60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7" t="str">
        <f>IFERROR(INDEX(Структура_ассортимента[Product group],MATCH(Товары[[#This Row],[SubGroup]],Структура_ассортимента[Subgroup],0)),"")</f>
        <v>HEH_P</v>
      </c>
      <c r="G605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2154</v>
      </c>
      <c r="O605" s="37" t="s">
        <v>5355</v>
      </c>
      <c r="P605" s="37" t="s">
        <v>5356</v>
      </c>
      <c r="Q605" s="39" t="s">
        <v>3416</v>
      </c>
      <c r="R605" s="34" t="s">
        <v>3407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3413</v>
      </c>
      <c r="X605" s="34" t="s">
        <v>3418</v>
      </c>
      <c r="Y605" s="34" t="s">
        <v>3409</v>
      </c>
      <c r="Z605" s="34">
        <v>1</v>
      </c>
      <c r="AB605" s="34" t="s">
        <v>5357</v>
      </c>
      <c r="AD605" s="34" t="s">
        <v>5225</v>
      </c>
      <c r="AE605" s="34" t="s">
        <v>5358</v>
      </c>
      <c r="AF605" s="34" t="s">
        <v>4072</v>
      </c>
      <c r="AG605" s="34" t="s">
        <v>5195</v>
      </c>
      <c r="AH605" s="34" t="s">
        <v>5359</v>
      </c>
      <c r="AI605" s="34" t="s">
        <v>5360</v>
      </c>
      <c r="AJ605" s="34" t="s">
        <v>4072</v>
      </c>
      <c r="AK605" s="34" t="s">
        <v>3692</v>
      </c>
      <c r="AL605" s="34" t="s">
        <v>5340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7" t="str">
        <f>IFERROR(INDEX(Структура_ассортимента[SuperCategory],MATCH(Товары[[#This Row],[SubGroup]],Структура_ассортимента[Subgroup],0)),"")</f>
        <v>H</v>
      </c>
      <c r="D60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7" t="str">
        <f>IFERROR(INDEX(Структура_ассортимента[Product group],MATCH(Товары[[#This Row],[SubGroup]],Структура_ассортимента[Subgroup],0)),"")</f>
        <v>HEH_P</v>
      </c>
      <c r="G606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2155</v>
      </c>
      <c r="O606" s="37" t="s">
        <v>5361</v>
      </c>
      <c r="P606" s="37" t="s">
        <v>5362</v>
      </c>
      <c r="Q606" s="39" t="s">
        <v>3416</v>
      </c>
      <c r="R606" s="34" t="s">
        <v>3407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3413</v>
      </c>
      <c r="X606" s="34" t="s">
        <v>3418</v>
      </c>
      <c r="Y606" s="34" t="s">
        <v>3409</v>
      </c>
      <c r="Z606" s="34">
        <v>1</v>
      </c>
      <c r="AB606" s="34" t="s">
        <v>5363</v>
      </c>
      <c r="AD606" s="34" t="s">
        <v>4744</v>
      </c>
      <c r="AE606" s="34" t="s">
        <v>5358</v>
      </c>
      <c r="AF606" s="34" t="s">
        <v>4072</v>
      </c>
      <c r="AG606" s="34" t="s">
        <v>5195</v>
      </c>
      <c r="AH606" s="34" t="s">
        <v>5359</v>
      </c>
      <c r="AI606" s="34" t="s">
        <v>5364</v>
      </c>
      <c r="AJ606" s="34" t="s">
        <v>4072</v>
      </c>
      <c r="AK606" s="34" t="s">
        <v>3692</v>
      </c>
      <c r="AL606" s="34" t="s">
        <v>5340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7" t="str">
        <f>IFERROR(INDEX(Структура_ассортимента[SuperCategory],MATCH(Товары[[#This Row],[SubGroup]],Структура_ассортимента[Subgroup],0)),"")</f>
        <v>H</v>
      </c>
      <c r="D60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7" t="str">
        <f>IFERROR(INDEX(Структура_ассортимента[Product group],MATCH(Товары[[#This Row],[SubGroup]],Структура_ассортимента[Subgroup],0)),"")</f>
        <v>HEH_P</v>
      </c>
      <c r="G607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2156</v>
      </c>
      <c r="O607" s="37" t="s">
        <v>5365</v>
      </c>
      <c r="P607" s="37" t="s">
        <v>5366</v>
      </c>
      <c r="Q607" s="39" t="s">
        <v>3416</v>
      </c>
      <c r="R607" s="34" t="s">
        <v>3407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3413</v>
      </c>
      <c r="X607" s="34" t="s">
        <v>3418</v>
      </c>
      <c r="Y607" s="34" t="s">
        <v>3409</v>
      </c>
      <c r="Z607" s="34">
        <v>1</v>
      </c>
      <c r="AB607" s="34" t="s">
        <v>5367</v>
      </c>
      <c r="AD607" s="34" t="s">
        <v>5368</v>
      </c>
      <c r="AE607" s="34" t="s">
        <v>4474</v>
      </c>
      <c r="AF607" s="34" t="s">
        <v>4325</v>
      </c>
      <c r="AG607" s="34" t="s">
        <v>3856</v>
      </c>
      <c r="AH607" s="34" t="s">
        <v>5369</v>
      </c>
      <c r="AI607" s="34" t="s">
        <v>5370</v>
      </c>
      <c r="AJ607" s="34" t="s">
        <v>4124</v>
      </c>
      <c r="AK607" s="34" t="s">
        <v>3620</v>
      </c>
      <c r="AL607" s="34" t="s">
        <v>5371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7" t="str">
        <f>IFERROR(INDEX(Структура_ассортимента[SuperCategory],MATCH(Товары[[#This Row],[SubGroup]],Структура_ассортимента[Subgroup],0)),"")</f>
        <v>H</v>
      </c>
      <c r="D60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7" t="str">
        <f>IFERROR(INDEX(Структура_ассортимента[Product group],MATCH(Товары[[#This Row],[SubGroup]],Структура_ассортимента[Subgroup],0)),"")</f>
        <v>HEH_P</v>
      </c>
      <c r="G608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2157</v>
      </c>
      <c r="O608" s="37" t="s">
        <v>5372</v>
      </c>
      <c r="P608" s="37" t="s">
        <v>5373</v>
      </c>
      <c r="Q608" s="39" t="s">
        <v>3416</v>
      </c>
      <c r="R608" s="34" t="s">
        <v>3407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3413</v>
      </c>
      <c r="X608" s="34" t="s">
        <v>3418</v>
      </c>
      <c r="Y608" s="34" t="s">
        <v>3409</v>
      </c>
      <c r="Z608" s="34">
        <v>1</v>
      </c>
      <c r="AB608" s="34" t="s">
        <v>5374</v>
      </c>
      <c r="AD608" s="34" t="s">
        <v>5375</v>
      </c>
      <c r="AE608" s="34" t="s">
        <v>3624</v>
      </c>
      <c r="AF608" s="34" t="s">
        <v>3856</v>
      </c>
      <c r="AG608" s="34" t="s">
        <v>5376</v>
      </c>
      <c r="AH608" s="34" t="s">
        <v>5377</v>
      </c>
      <c r="AI608" s="34" t="s">
        <v>5370</v>
      </c>
      <c r="AJ608" s="34" t="s">
        <v>4124</v>
      </c>
      <c r="AK608" s="34" t="s">
        <v>3620</v>
      </c>
      <c r="AL608" s="34" t="s">
        <v>3709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7" t="str">
        <f>IFERROR(INDEX(Структура_ассортимента[SuperCategory],MATCH(Товары[[#This Row],[SubGroup]],Структура_ассортимента[Subgroup],0)),"")</f>
        <v>H</v>
      </c>
      <c r="D60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7" t="str">
        <f>IFERROR(INDEX(Структура_ассортимента[Product group],MATCH(Товары[[#This Row],[SubGroup]],Структура_ассортимента[Subgroup],0)),"")</f>
        <v>HEH_P</v>
      </c>
      <c r="G609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2158</v>
      </c>
      <c r="O609" s="37" t="s">
        <v>5378</v>
      </c>
      <c r="P609" s="37" t="s">
        <v>5379</v>
      </c>
      <c r="Q609" s="39" t="s">
        <v>3416</v>
      </c>
      <c r="R609" s="34" t="s">
        <v>3407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3413</v>
      </c>
      <c r="X609" s="34" t="s">
        <v>3418</v>
      </c>
      <c r="Y609" s="34" t="s">
        <v>3409</v>
      </c>
      <c r="Z609" s="34">
        <v>1</v>
      </c>
      <c r="AA609" s="34" t="s">
        <v>5380</v>
      </c>
      <c r="AB609" s="34" t="s">
        <v>5381</v>
      </c>
      <c r="AC609" s="34" t="s">
        <v>5380</v>
      </c>
      <c r="AD609" s="34" t="s">
        <v>5380</v>
      </c>
      <c r="AE609" s="34" t="s">
        <v>5382</v>
      </c>
      <c r="AF609" s="34" t="s">
        <v>3685</v>
      </c>
      <c r="AG609" s="34" t="s">
        <v>3778</v>
      </c>
      <c r="AH609" s="34" t="s">
        <v>5383</v>
      </c>
      <c r="AI609" s="34" t="s">
        <v>5382</v>
      </c>
      <c r="AJ609" s="34" t="s">
        <v>3565</v>
      </c>
      <c r="AK609" s="34" t="s">
        <v>3685</v>
      </c>
      <c r="AL609" s="34" t="s">
        <v>3709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7" t="str">
        <f>IFERROR(INDEX(Структура_ассортимента[SuperCategory],MATCH(Товары[[#This Row],[SubGroup]],Структура_ассортимента[Subgroup],0)),"")</f>
        <v>H</v>
      </c>
      <c r="D61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7" t="str">
        <f>IFERROR(INDEX(Структура_ассортимента[Product group],MATCH(Товары[[#This Row],[SubGroup]],Структура_ассортимента[Subgroup],0)),"")</f>
        <v>HEH_P</v>
      </c>
      <c r="G610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2159</v>
      </c>
      <c r="O610" s="37" t="s">
        <v>5384</v>
      </c>
      <c r="P610" s="37" t="s">
        <v>5385</v>
      </c>
      <c r="Q610" s="39" t="s">
        <v>3416</v>
      </c>
      <c r="R610" s="34" t="s">
        <v>3407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3417</v>
      </c>
      <c r="X610" s="34" t="s">
        <v>3418</v>
      </c>
      <c r="Y610" s="34" t="s">
        <v>3409</v>
      </c>
      <c r="Z610" s="34">
        <v>1</v>
      </c>
      <c r="AA610" s="34" t="s">
        <v>5386</v>
      </c>
      <c r="AB610" s="34" t="s">
        <v>5386</v>
      </c>
      <c r="AC610" s="34" t="s">
        <v>5293</v>
      </c>
      <c r="AD610" s="34" t="s">
        <v>5293</v>
      </c>
      <c r="AE610" s="34" t="s">
        <v>4955</v>
      </c>
      <c r="AF610" s="34" t="s">
        <v>3693</v>
      </c>
      <c r="AG610" s="34" t="s">
        <v>3478</v>
      </c>
      <c r="AH610" s="34" t="s">
        <v>5290</v>
      </c>
      <c r="AI610" s="34" t="s">
        <v>5291</v>
      </c>
      <c r="AJ610" s="34" t="s">
        <v>3632</v>
      </c>
      <c r="AK610" s="34" t="s">
        <v>4513</v>
      </c>
      <c r="AL610" s="34" t="s">
        <v>3709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7" t="str">
        <f>IFERROR(INDEX(Структура_ассортимента[SuperCategory],MATCH(Товары[[#This Row],[SubGroup]],Структура_ассортимента[Subgroup],0)),"")</f>
        <v>H</v>
      </c>
      <c r="D61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7" t="str">
        <f>IFERROR(INDEX(Структура_ассортимента[Product group],MATCH(Товары[[#This Row],[SubGroup]],Структура_ассортимента[Subgroup],0)),"")</f>
        <v>HEH_P</v>
      </c>
      <c r="G611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2160</v>
      </c>
      <c r="O611" s="37" t="s">
        <v>5387</v>
      </c>
      <c r="P611" s="37" t="s">
        <v>5388</v>
      </c>
      <c r="Q611" s="39" t="s">
        <v>3416</v>
      </c>
      <c r="R611" s="34" t="s">
        <v>3407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3413</v>
      </c>
      <c r="X611" s="34" t="s">
        <v>3418</v>
      </c>
      <c r="Y611" s="34" t="s">
        <v>3409</v>
      </c>
      <c r="Z611" s="34">
        <v>1</v>
      </c>
      <c r="AB611" s="34" t="s">
        <v>5389</v>
      </c>
      <c r="AD611" s="34" t="s">
        <v>5349</v>
      </c>
      <c r="AE611" s="34" t="s">
        <v>4955</v>
      </c>
      <c r="AF611" s="34" t="s">
        <v>3693</v>
      </c>
      <c r="AG611" s="34" t="s">
        <v>3478</v>
      </c>
      <c r="AH611" s="34" t="s">
        <v>5290</v>
      </c>
      <c r="AI611" s="34" t="s">
        <v>5291</v>
      </c>
      <c r="AJ611" s="34" t="s">
        <v>3632</v>
      </c>
      <c r="AK611" s="34" t="s">
        <v>4513</v>
      </c>
      <c r="AL611" s="34" t="s">
        <v>3709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7" t="str">
        <f>IFERROR(INDEX(Структура_ассортимента[SuperCategory],MATCH(Товары[[#This Row],[SubGroup]],Структура_ассортимента[Subgroup],0)),"")</f>
        <v>H</v>
      </c>
      <c r="D61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7" t="str">
        <f>IFERROR(INDEX(Структура_ассортимента[Product group],MATCH(Товары[[#This Row],[SubGroup]],Структура_ассортимента[Subgroup],0)),"")</f>
        <v>HEH_P</v>
      </c>
      <c r="G612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2161</v>
      </c>
      <c r="Q612" s="39" t="s">
        <v>3411</v>
      </c>
      <c r="R612" s="34" t="s">
        <v>3407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5184</v>
      </c>
      <c r="Y612" s="34" t="s">
        <v>3409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7961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7" t="str">
        <f>IFERROR(INDEX(Структура_ассортимента[SuperCategory],MATCH(Товары[[#This Row],[SubGroup]],Структура_ассортимента[Subgroup],0)),"")</f>
        <v>H</v>
      </c>
      <c r="D61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7" t="str">
        <f>IFERROR(INDEX(Структура_ассортимента[Product group],MATCH(Товары[[#This Row],[SubGroup]],Структура_ассортимента[Subgroup],0)),"")</f>
        <v>HEH_P</v>
      </c>
      <c r="G613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2162</v>
      </c>
      <c r="Q613" s="39" t="s">
        <v>3411</v>
      </c>
      <c r="R613" s="34" t="s">
        <v>3407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3514</v>
      </c>
      <c r="Y613" s="34" t="s">
        <v>3409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7961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7" t="str">
        <f>IFERROR(INDEX(Структура_ассортимента[SuperCategory],MATCH(Товары[[#This Row],[SubGroup]],Структура_ассортимента[Subgroup],0)),"")</f>
        <v>H</v>
      </c>
      <c r="D61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7" t="str">
        <f>IFERROR(INDEX(Структура_ассортимента[Product group],MATCH(Товары[[#This Row],[SubGroup]],Структура_ассортимента[Subgroup],0)),"")</f>
        <v>HEH_P</v>
      </c>
      <c r="G614" s="67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7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2163</v>
      </c>
      <c r="Q614" s="39" t="s">
        <v>3411</v>
      </c>
      <c r="R614" s="34" t="s">
        <v>3407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3514</v>
      </c>
      <c r="Y614" s="34" t="s">
        <v>3409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5390</v>
      </c>
      <c r="AM614" s="34" t="s">
        <v>7961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7" t="str">
        <f>IFERROR(INDEX(Структура_ассортимента[SuperCategory],MATCH(Товары[[#This Row],[SubGroup]],Структура_ассортимента[Subgroup],0)),"")</f>
        <v>H</v>
      </c>
      <c r="D61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7" t="str">
        <f>IFERROR(INDEX(Структура_ассортимента[Product group],MATCH(Товары[[#This Row],[SubGroup]],Структура_ассортимента[Subgroup],0)),"")</f>
        <v>HET_C</v>
      </c>
      <c r="G61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2164</v>
      </c>
      <c r="Q615" s="39" t="s">
        <v>3416</v>
      </c>
      <c r="R615" s="34" t="s">
        <v>3407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3413</v>
      </c>
      <c r="X615" s="34" t="s">
        <v>3418</v>
      </c>
      <c r="Y615" s="34" t="s">
        <v>3409</v>
      </c>
      <c r="Z615" s="34">
        <v>1</v>
      </c>
      <c r="AB615" s="34" t="s">
        <v>5314</v>
      </c>
      <c r="AD615" s="34" t="s">
        <v>5391</v>
      </c>
      <c r="AE615" s="34" t="s">
        <v>5392</v>
      </c>
      <c r="AF615" s="34" t="s">
        <v>3610</v>
      </c>
      <c r="AG615" s="34" t="s">
        <v>5393</v>
      </c>
      <c r="AH615" s="34" t="s">
        <v>5394</v>
      </c>
      <c r="AI615" s="34" t="s">
        <v>5395</v>
      </c>
      <c r="AJ615" s="34" t="s">
        <v>5396</v>
      </c>
      <c r="AK615" s="34" t="s">
        <v>5397</v>
      </c>
      <c r="AL615" s="34" t="s">
        <v>4380</v>
      </c>
      <c r="AM615" s="34" t="s">
        <v>7962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7" t="str">
        <f>IFERROR(INDEX(Структура_ассортимента[SuperCategory],MATCH(Товары[[#This Row],[SubGroup]],Структура_ассортимента[Subgroup],0)),"")</f>
        <v>H</v>
      </c>
      <c r="D61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7" t="str">
        <f>IFERROR(INDEX(Структура_ассортимента[Product group],MATCH(Товары[[#This Row],[SubGroup]],Структура_ассортимента[Subgroup],0)),"")</f>
        <v>HET_C</v>
      </c>
      <c r="G61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2165</v>
      </c>
      <c r="O616" s="37" t="s">
        <v>5398</v>
      </c>
      <c r="P616" s="37" t="s">
        <v>5399</v>
      </c>
      <c r="Q616" s="39" t="s">
        <v>3416</v>
      </c>
      <c r="R616" s="34" t="s">
        <v>3407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3417</v>
      </c>
      <c r="X616" s="34" t="s">
        <v>3418</v>
      </c>
      <c r="Y616" s="34" t="s">
        <v>3409</v>
      </c>
      <c r="Z616" s="34">
        <v>1</v>
      </c>
      <c r="AA616" s="34" t="s">
        <v>5400</v>
      </c>
      <c r="AB616" s="34" t="s">
        <v>5401</v>
      </c>
      <c r="AC616" s="34" t="s">
        <v>5402</v>
      </c>
      <c r="AD616" s="34" t="s">
        <v>5402</v>
      </c>
      <c r="AE616" s="34" t="s">
        <v>5392</v>
      </c>
      <c r="AF616" s="34" t="s">
        <v>3610</v>
      </c>
      <c r="AG616" s="34" t="s">
        <v>5393</v>
      </c>
      <c r="AH616" s="34" t="s">
        <v>5394</v>
      </c>
      <c r="AI616" s="34" t="s">
        <v>5395</v>
      </c>
      <c r="AJ616" s="34" t="s">
        <v>5396</v>
      </c>
      <c r="AK616" s="34" t="s">
        <v>5397</v>
      </c>
      <c r="AL616" s="34" t="s">
        <v>4380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7" t="str">
        <f>IFERROR(INDEX(Структура_ассортимента[SuperCategory],MATCH(Товары[[#This Row],[SubGroup]],Структура_ассортимента[Subgroup],0)),"")</f>
        <v>H</v>
      </c>
      <c r="D61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7" t="str">
        <f>IFERROR(INDEX(Структура_ассортимента[Product group],MATCH(Товары[[#This Row],[SubGroup]],Структура_ассортимента[Subgroup],0)),"")</f>
        <v>HET_C</v>
      </c>
      <c r="G61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2166</v>
      </c>
      <c r="O617" s="37" t="s">
        <v>5403</v>
      </c>
      <c r="P617" s="37" t="s">
        <v>5404</v>
      </c>
      <c r="Q617" s="39" t="s">
        <v>3416</v>
      </c>
      <c r="R617" s="34" t="s">
        <v>3407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3417</v>
      </c>
      <c r="X617" s="34" t="s">
        <v>3418</v>
      </c>
      <c r="Y617" s="34" t="s">
        <v>3409</v>
      </c>
      <c r="Z617" s="34">
        <v>1</v>
      </c>
      <c r="AA617" s="34" t="s">
        <v>5226</v>
      </c>
      <c r="AB617" s="34" t="s">
        <v>5405</v>
      </c>
      <c r="AC617" s="34" t="s">
        <v>5406</v>
      </c>
      <c r="AD617" s="34" t="s">
        <v>5406</v>
      </c>
      <c r="AE617" s="34" t="s">
        <v>3992</v>
      </c>
      <c r="AF617" s="34" t="s">
        <v>3610</v>
      </c>
      <c r="AG617" s="34" t="s">
        <v>3632</v>
      </c>
      <c r="AH617" s="34" t="s">
        <v>5407</v>
      </c>
      <c r="AI617" s="34" t="s">
        <v>3612</v>
      </c>
      <c r="AJ617" s="34" t="s">
        <v>5408</v>
      </c>
      <c r="AK617" s="34" t="s">
        <v>3809</v>
      </c>
      <c r="AL617" s="34" t="s">
        <v>4380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7" t="str">
        <f>IFERROR(INDEX(Структура_ассортимента[SuperCategory],MATCH(Товары[[#This Row],[SubGroup]],Структура_ассортимента[Subgroup],0)),"")</f>
        <v>H</v>
      </c>
      <c r="D61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7" t="str">
        <f>IFERROR(INDEX(Структура_ассортимента[Product group],MATCH(Товары[[#This Row],[SubGroup]],Структура_ассортимента[Subgroup],0)),"")</f>
        <v>HET_C</v>
      </c>
      <c r="G61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2167</v>
      </c>
      <c r="Q618" s="39" t="s">
        <v>3416</v>
      </c>
      <c r="R618" s="34" t="s">
        <v>3407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3413</v>
      </c>
      <c r="X618" s="34" t="s">
        <v>3418</v>
      </c>
      <c r="Y618" s="34" t="s">
        <v>3409</v>
      </c>
      <c r="Z618" s="34">
        <v>1</v>
      </c>
      <c r="AB618" s="34" t="s">
        <v>5409</v>
      </c>
      <c r="AD618" s="34" t="s">
        <v>5406</v>
      </c>
      <c r="AE618" s="34" t="s">
        <v>3992</v>
      </c>
      <c r="AF618" s="34" t="s">
        <v>3610</v>
      </c>
      <c r="AG618" s="34" t="s">
        <v>3632</v>
      </c>
      <c r="AH618" s="34" t="s">
        <v>5407</v>
      </c>
      <c r="AI618" s="34" t="s">
        <v>3612</v>
      </c>
      <c r="AJ618" s="34" t="s">
        <v>5408</v>
      </c>
      <c r="AK618" s="34" t="s">
        <v>3809</v>
      </c>
      <c r="AL618" s="34" t="s">
        <v>4380</v>
      </c>
      <c r="AM618" s="34" t="s">
        <v>7962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7" t="str">
        <f>IFERROR(INDEX(Структура_ассортимента[SuperCategory],MATCH(Товары[[#This Row],[SubGroup]],Структура_ассортимента[Subgroup],0)),"")</f>
        <v>H</v>
      </c>
      <c r="D61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7" t="str">
        <f>IFERROR(INDEX(Структура_ассортимента[Product group],MATCH(Товары[[#This Row],[SubGroup]],Структура_ассортимента[Subgroup],0)),"")</f>
        <v>HET_C</v>
      </c>
      <c r="G61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2168</v>
      </c>
      <c r="O619" s="37" t="s">
        <v>5410</v>
      </c>
      <c r="P619" s="37" t="s">
        <v>5411</v>
      </c>
      <c r="Q619" s="39" t="s">
        <v>3416</v>
      </c>
      <c r="R619" s="34" t="s">
        <v>3407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3413</v>
      </c>
      <c r="X619" s="34" t="s">
        <v>3418</v>
      </c>
      <c r="Y619" s="34" t="s">
        <v>3409</v>
      </c>
      <c r="Z619" s="34">
        <v>1</v>
      </c>
      <c r="AA619" s="34" t="s">
        <v>5375</v>
      </c>
      <c r="AB619" s="34" t="s">
        <v>5375</v>
      </c>
      <c r="AC619" s="34" t="s">
        <v>5305</v>
      </c>
      <c r="AD619" s="34" t="s">
        <v>5305</v>
      </c>
      <c r="AE619" s="34" t="s">
        <v>5412</v>
      </c>
      <c r="AF619" s="34" t="s">
        <v>3856</v>
      </c>
      <c r="AG619" s="34" t="s">
        <v>5413</v>
      </c>
      <c r="AH619" s="34" t="s">
        <v>5414</v>
      </c>
      <c r="AI619" s="34" t="s">
        <v>3522</v>
      </c>
      <c r="AJ619" s="34" t="s">
        <v>5415</v>
      </c>
      <c r="AK619" s="34" t="s">
        <v>3589</v>
      </c>
      <c r="AL619" s="34" t="s">
        <v>3709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7" t="str">
        <f>IFERROR(INDEX(Структура_ассортимента[SuperCategory],MATCH(Товары[[#This Row],[SubGroup]],Структура_ассортимента[Subgroup],0)),"")</f>
        <v>H</v>
      </c>
      <c r="D62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7" t="str">
        <f>IFERROR(INDEX(Структура_ассортимента[Product group],MATCH(Товары[[#This Row],[SubGroup]],Структура_ассортимента[Subgroup],0)),"")</f>
        <v>HET_C</v>
      </c>
      <c r="G62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2169</v>
      </c>
      <c r="O620" s="37" t="s">
        <v>5416</v>
      </c>
      <c r="P620" s="37" t="s">
        <v>5417</v>
      </c>
      <c r="Q620" s="39" t="s">
        <v>3416</v>
      </c>
      <c r="R620" s="34" t="s">
        <v>3407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3413</v>
      </c>
      <c r="X620" s="34" t="s">
        <v>3418</v>
      </c>
      <c r="Y620" s="34" t="s">
        <v>3409</v>
      </c>
      <c r="Z620" s="34">
        <v>1</v>
      </c>
      <c r="AA620" s="34" t="s">
        <v>5303</v>
      </c>
      <c r="AB620" s="34" t="s">
        <v>5303</v>
      </c>
      <c r="AC620" s="34" t="s">
        <v>4316</v>
      </c>
      <c r="AD620" s="34" t="s">
        <v>4316</v>
      </c>
      <c r="AE620" s="34" t="s">
        <v>5412</v>
      </c>
      <c r="AF620" s="34" t="s">
        <v>3856</v>
      </c>
      <c r="AG620" s="34" t="s">
        <v>5413</v>
      </c>
      <c r="AH620" s="34" t="s">
        <v>5414</v>
      </c>
      <c r="AI620" s="34" t="s">
        <v>4377</v>
      </c>
      <c r="AJ620" s="34" t="s">
        <v>5415</v>
      </c>
      <c r="AK620" s="34" t="s">
        <v>3589</v>
      </c>
      <c r="AL620" s="34" t="s">
        <v>3709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7" t="str">
        <f>IFERROR(INDEX(Структура_ассортимента[SuperCategory],MATCH(Товары[[#This Row],[SubGroup]],Структура_ассортимента[Subgroup],0)),"")</f>
        <v>H</v>
      </c>
      <c r="D62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7" t="str">
        <f>IFERROR(INDEX(Структура_ассортимента[Product group],MATCH(Товары[[#This Row],[SubGroup]],Структура_ассортимента[Subgroup],0)),"")</f>
        <v>HET_C</v>
      </c>
      <c r="G62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2170</v>
      </c>
      <c r="O621" s="37" t="s">
        <v>5418</v>
      </c>
      <c r="P621" s="37" t="s">
        <v>5419</v>
      </c>
      <c r="Q621" s="39" t="s">
        <v>3416</v>
      </c>
      <c r="R621" s="34" t="s">
        <v>3407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3413</v>
      </c>
      <c r="X621" s="34" t="s">
        <v>3418</v>
      </c>
      <c r="Y621" s="34" t="s">
        <v>3409</v>
      </c>
      <c r="Z621" s="34">
        <v>1</v>
      </c>
      <c r="AA621" s="34" t="s">
        <v>5420</v>
      </c>
      <c r="AB621" s="34" t="s">
        <v>5420</v>
      </c>
      <c r="AC621" s="34" t="s">
        <v>5225</v>
      </c>
      <c r="AD621" s="34" t="s">
        <v>5225</v>
      </c>
      <c r="AE621" s="34" t="s">
        <v>5412</v>
      </c>
      <c r="AF621" s="34" t="s">
        <v>3856</v>
      </c>
      <c r="AG621" s="34" t="s">
        <v>5413</v>
      </c>
      <c r="AH621" s="34" t="s">
        <v>5414</v>
      </c>
      <c r="AI621" s="34" t="s">
        <v>4377</v>
      </c>
      <c r="AJ621" s="34" t="s">
        <v>5415</v>
      </c>
      <c r="AK621" s="34" t="s">
        <v>3589</v>
      </c>
      <c r="AL621" s="34" t="s">
        <v>3709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7" t="str">
        <f>IFERROR(INDEX(Структура_ассортимента[SuperCategory],MATCH(Товары[[#This Row],[SubGroup]],Структура_ассортимента[Subgroup],0)),"")</f>
        <v>H</v>
      </c>
      <c r="D62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7" t="str">
        <f>IFERROR(INDEX(Структура_ассортимента[Product group],MATCH(Товары[[#This Row],[SubGroup]],Структура_ассортимента[Subgroup],0)),"")</f>
        <v>HET_P</v>
      </c>
      <c r="G62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2171</v>
      </c>
      <c r="Q622" s="39" t="s">
        <v>3406</v>
      </c>
      <c r="R622" s="34" t="s">
        <v>3407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5421</v>
      </c>
      <c r="Y622" s="34" t="s">
        <v>3409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7961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7" t="str">
        <f>IFERROR(INDEX(Структура_ассортимента[SuperCategory],MATCH(Товары[[#This Row],[SubGroup]],Структура_ассортимента[Subgroup],0)),"")</f>
        <v>H</v>
      </c>
      <c r="D62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7" t="str">
        <f>IFERROR(INDEX(Структура_ассортимента[Product group],MATCH(Товары[[#This Row],[SubGroup]],Структура_ассортимента[Subgroup],0)),"")</f>
        <v>HET_C</v>
      </c>
      <c r="G623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2172</v>
      </c>
      <c r="Q623" s="39" t="s">
        <v>3406</v>
      </c>
      <c r="R623" s="34" t="s">
        <v>3407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5184</v>
      </c>
      <c r="Y623" s="34" t="s">
        <v>3409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7961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7" t="str">
        <f>IFERROR(INDEX(Структура_ассортимента[SuperCategory],MATCH(Товары[[#This Row],[SubGroup]],Структура_ассортимента[Subgroup],0)),"")</f>
        <v>H</v>
      </c>
      <c r="D62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7" t="str">
        <f>IFERROR(INDEX(Структура_ассортимента[Product group],MATCH(Товары[[#This Row],[SubGroup]],Структура_ассортимента[Subgroup],0)),"")</f>
        <v>HET_C</v>
      </c>
      <c r="G624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2173</v>
      </c>
      <c r="P624" s="37" t="s">
        <v>5422</v>
      </c>
      <c r="Q624" s="39" t="s">
        <v>3580</v>
      </c>
      <c r="R624" s="34" t="s">
        <v>3407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3413</v>
      </c>
      <c r="Y624" s="34" t="s">
        <v>3409</v>
      </c>
      <c r="Z624" s="34">
        <v>1</v>
      </c>
      <c r="AA624" s="34" t="s">
        <v>5423</v>
      </c>
      <c r="AB624" s="34" t="s">
        <v>5423</v>
      </c>
      <c r="AC624" s="34" t="s">
        <v>4744</v>
      </c>
      <c r="AD624" s="34" t="s">
        <v>4744</v>
      </c>
      <c r="AE624" s="34" t="s">
        <v>5424</v>
      </c>
      <c r="AF624" s="34" t="s">
        <v>3809</v>
      </c>
      <c r="AG624" s="34" t="s">
        <v>5376</v>
      </c>
      <c r="AH624" s="34" t="s">
        <v>5425</v>
      </c>
      <c r="AL624" s="34" t="s">
        <v>5371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7" t="str">
        <f>IFERROR(INDEX(Структура_ассортимента[SuperCategory],MATCH(Товары[[#This Row],[SubGroup]],Структура_ассортимента[Subgroup],0)),"")</f>
        <v>H</v>
      </c>
      <c r="D62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7" t="str">
        <f>IFERROR(INDEX(Структура_ассортимента[Product group],MATCH(Товары[[#This Row],[SubGroup]],Структура_ассортимента[Subgroup],0)),"")</f>
        <v>HET_C</v>
      </c>
      <c r="G625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2174</v>
      </c>
      <c r="P625" s="37" t="s">
        <v>5426</v>
      </c>
      <c r="Q625" s="39" t="s">
        <v>3580</v>
      </c>
      <c r="R625" s="34" t="s">
        <v>3407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3410</v>
      </c>
      <c r="Y625" s="34" t="s">
        <v>3409</v>
      </c>
      <c r="Z625" s="34">
        <v>1</v>
      </c>
      <c r="AA625" s="34" t="s">
        <v>5427</v>
      </c>
      <c r="AB625" s="34" t="s">
        <v>5427</v>
      </c>
      <c r="AC625" s="34" t="s">
        <v>5428</v>
      </c>
      <c r="AD625" s="34" t="s">
        <v>5428</v>
      </c>
      <c r="AE625" s="34" t="s">
        <v>5424</v>
      </c>
      <c r="AF625" s="34" t="s">
        <v>4070</v>
      </c>
      <c r="AG625" s="34" t="s">
        <v>3745</v>
      </c>
      <c r="AH625" s="34" t="s">
        <v>5429</v>
      </c>
      <c r="AL625" s="34" t="s">
        <v>5259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7" t="str">
        <f>IFERROR(INDEX(Структура_ассортимента[SuperCategory],MATCH(Товары[[#This Row],[SubGroup]],Структура_ассортимента[Subgroup],0)),"")</f>
        <v>H</v>
      </c>
      <c r="D62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7" t="str">
        <f>IFERROR(INDEX(Структура_ассортимента[Product group],MATCH(Товары[[#This Row],[SubGroup]],Структура_ассортимента[Subgroup],0)),"")</f>
        <v>HET_C</v>
      </c>
      <c r="G626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2175</v>
      </c>
      <c r="Q626" s="39" t="s">
        <v>3411</v>
      </c>
      <c r="R626" s="34" t="s">
        <v>3407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5421</v>
      </c>
      <c r="Y626" s="34" t="s">
        <v>3409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7961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7" t="str">
        <f>IFERROR(INDEX(Структура_ассортимента[SuperCategory],MATCH(Товары[[#This Row],[SubGroup]],Структура_ассортимента[Subgroup],0)),"")</f>
        <v>H</v>
      </c>
      <c r="D62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7" t="str">
        <f>IFERROR(INDEX(Структура_ассортимента[Product group],MATCH(Товары[[#This Row],[SubGroup]],Структура_ассортимента[Subgroup],0)),"")</f>
        <v>HET_C</v>
      </c>
      <c r="G627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2176</v>
      </c>
      <c r="Q627" s="39" t="s">
        <v>3411</v>
      </c>
      <c r="R627" s="34" t="s">
        <v>3407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5421</v>
      </c>
      <c r="Y627" s="34" t="s">
        <v>3409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7961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7" t="str">
        <f>IFERROR(INDEX(Структура_ассортимента[SuperCategory],MATCH(Товары[[#This Row],[SubGroup]],Структура_ассортимента[Subgroup],0)),"")</f>
        <v>H</v>
      </c>
      <c r="D62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7" t="str">
        <f>IFERROR(INDEX(Структура_ассортимента[Product group],MATCH(Товары[[#This Row],[SubGroup]],Структура_ассортимента[Subgroup],0)),"")</f>
        <v>HET_C</v>
      </c>
      <c r="G628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2177</v>
      </c>
      <c r="Q628" s="39" t="s">
        <v>3411</v>
      </c>
      <c r="R628" s="34" t="s">
        <v>3407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5421</v>
      </c>
      <c r="Y628" s="34" t="s">
        <v>3409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7961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7" t="str">
        <f>IFERROR(INDEX(Структура_ассортимента[SuperCategory],MATCH(Товары[[#This Row],[SubGroup]],Структура_ассортимента[Subgroup],0)),"")</f>
        <v>H</v>
      </c>
      <c r="D62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7" t="str">
        <f>IFERROR(INDEX(Структура_ассортимента[Product group],MATCH(Товары[[#This Row],[SubGroup]],Структура_ассортимента[Subgroup],0)),"")</f>
        <v>HET_C</v>
      </c>
      <c r="G629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2178</v>
      </c>
      <c r="Q629" s="39" t="s">
        <v>3411</v>
      </c>
      <c r="R629" s="34" t="s">
        <v>3407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3514</v>
      </c>
      <c r="Y629" s="34" t="s">
        <v>3409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7961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7" t="str">
        <f>IFERROR(INDEX(Структура_ассортимента[SuperCategory],MATCH(Товары[[#This Row],[SubGroup]],Структура_ассортимента[Subgroup],0)),"")</f>
        <v>H</v>
      </c>
      <c r="D63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7" t="str">
        <f>IFERROR(INDEX(Структура_ассортимента[Product group],MATCH(Товары[[#This Row],[SubGroup]],Структура_ассортимента[Subgroup],0)),"")</f>
        <v>HET_C</v>
      </c>
      <c r="G630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2179</v>
      </c>
      <c r="Q630" s="39" t="s">
        <v>3411</v>
      </c>
      <c r="R630" s="34" t="s">
        <v>3407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3514</v>
      </c>
      <c r="Y630" s="34" t="s">
        <v>3409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7961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7" t="str">
        <f>IFERROR(INDEX(Структура_ассортимента[SuperCategory],MATCH(Товары[[#This Row],[SubGroup]],Структура_ассортимента[Subgroup],0)),"")</f>
        <v>H</v>
      </c>
      <c r="D63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7" t="str">
        <f>IFERROR(INDEX(Структура_ассортимента[Product group],MATCH(Товары[[#This Row],[SubGroup]],Структура_ассортимента[Subgroup],0)),"")</f>
        <v>HET_C</v>
      </c>
      <c r="G631" s="67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7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2180</v>
      </c>
      <c r="Q631" s="39" t="s">
        <v>3519</v>
      </c>
      <c r="R631" s="34" t="s">
        <v>3407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3413</v>
      </c>
      <c r="Y631" s="34" t="s">
        <v>3409</v>
      </c>
      <c r="Z631" s="34">
        <v>1</v>
      </c>
      <c r="AI631" s="34" t="s">
        <v>4377</v>
      </c>
      <c r="AJ631" s="34" t="s">
        <v>5415</v>
      </c>
      <c r="AK631" s="34" t="s">
        <v>3589</v>
      </c>
      <c r="AM631" s="34" t="s">
        <v>7962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7" t="str">
        <f>IFERROR(INDEX(Структура_ассортимента[SuperCategory],MATCH(Товары[[#This Row],[SubGroup]],Структура_ассортимента[Subgroup],0)),"")</f>
        <v>H</v>
      </c>
      <c r="D63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7" t="str">
        <f>IFERROR(INDEX(Структура_ассортимента[Product group],MATCH(Товары[[#This Row],[SubGroup]],Структура_ассортимента[Subgroup],0)),"")</f>
        <v>HET_P</v>
      </c>
      <c r="G63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2181</v>
      </c>
      <c r="P632" s="37" t="s">
        <v>5430</v>
      </c>
      <c r="Q632" s="39" t="s">
        <v>3580</v>
      </c>
      <c r="R632" s="34" t="s">
        <v>3407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3408</v>
      </c>
      <c r="Y632" s="34" t="s">
        <v>3409</v>
      </c>
      <c r="Z632" s="34">
        <v>1</v>
      </c>
      <c r="AA632" s="34">
        <v>3500</v>
      </c>
      <c r="AB632" s="34" t="s">
        <v>5431</v>
      </c>
      <c r="AC632" s="34">
        <v>2400</v>
      </c>
      <c r="AD632" s="34" t="s">
        <v>5432</v>
      </c>
      <c r="AE632" s="34" t="s">
        <v>5424</v>
      </c>
      <c r="AF632" s="34" t="s">
        <v>5433</v>
      </c>
      <c r="AG632" s="34" t="s">
        <v>3575</v>
      </c>
      <c r="AH632" s="34" t="s">
        <v>5434</v>
      </c>
      <c r="AL632" s="34" t="s">
        <v>5371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7" t="str">
        <f>IFERROR(INDEX(Структура_ассортимента[SuperCategory],MATCH(Товары[[#This Row],[SubGroup]],Структура_ассортимента[Subgroup],0)),"")</f>
        <v>H</v>
      </c>
      <c r="D63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7" t="str">
        <f>IFERROR(INDEX(Структура_ассортимента[Product group],MATCH(Товары[[#This Row],[SubGroup]],Структура_ассортимента[Subgroup],0)),"")</f>
        <v>HET_P</v>
      </c>
      <c r="G63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2182</v>
      </c>
      <c r="Q633" s="39" t="s">
        <v>3580</v>
      </c>
      <c r="R633" s="34" t="s">
        <v>3407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3408</v>
      </c>
      <c r="Y633" s="34" t="s">
        <v>3409</v>
      </c>
      <c r="Z633" s="34">
        <v>1</v>
      </c>
      <c r="AA633" s="34">
        <v>3800</v>
      </c>
      <c r="AB633" s="34" t="s">
        <v>5303</v>
      </c>
      <c r="AC633" s="34">
        <v>2700</v>
      </c>
      <c r="AD633" s="34" t="s">
        <v>5314</v>
      </c>
      <c r="AE633" s="34" t="s">
        <v>5435</v>
      </c>
      <c r="AF633" s="34" t="s">
        <v>4070</v>
      </c>
      <c r="AG633" s="34" t="s">
        <v>3745</v>
      </c>
      <c r="AH633" s="34" t="s">
        <v>5436</v>
      </c>
      <c r="AL633" s="34" t="s">
        <v>5259</v>
      </c>
      <c r="AM633" s="34" t="s">
        <v>7961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7" t="str">
        <f>IFERROR(INDEX(Структура_ассортимента[SuperCategory],MATCH(Товары[[#This Row],[SubGroup]],Структура_ассортимента[Subgroup],0)),"")</f>
        <v>H</v>
      </c>
      <c r="D63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7" t="str">
        <f>IFERROR(INDEX(Структура_ассортимента[Product group],MATCH(Товары[[#This Row],[SubGroup]],Структура_ассортимента[Subgroup],0)),"")</f>
        <v>HET_P</v>
      </c>
      <c r="G63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2183</v>
      </c>
      <c r="O634" s="37" t="s">
        <v>5437</v>
      </c>
      <c r="P634" s="37" t="s">
        <v>5438</v>
      </c>
      <c r="Q634" s="39" t="s">
        <v>3416</v>
      </c>
      <c r="R634" s="34" t="s">
        <v>3407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3413</v>
      </c>
      <c r="X634" s="34" t="s">
        <v>3418</v>
      </c>
      <c r="Y634" s="34" t="s">
        <v>3409</v>
      </c>
      <c r="Z634" s="34">
        <v>1</v>
      </c>
      <c r="AB634" s="34" t="s">
        <v>5439</v>
      </c>
      <c r="AD634" s="34" t="s">
        <v>4937</v>
      </c>
      <c r="AE634" s="34" t="s">
        <v>5440</v>
      </c>
      <c r="AF634" s="34" t="s">
        <v>3822</v>
      </c>
      <c r="AG634" s="34" t="s">
        <v>3778</v>
      </c>
      <c r="AH634" s="34" t="s">
        <v>5441</v>
      </c>
      <c r="AI634" s="34" t="s">
        <v>3822</v>
      </c>
      <c r="AJ634" s="34" t="s">
        <v>5442</v>
      </c>
      <c r="AK634" s="34" t="s">
        <v>3778</v>
      </c>
      <c r="AL634" s="34" t="s">
        <v>5340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7" t="str">
        <f>IFERROR(INDEX(Структура_ассортимента[SuperCategory],MATCH(Товары[[#This Row],[SubGroup]],Структура_ассортимента[Subgroup],0)),"")</f>
        <v>H</v>
      </c>
      <c r="D63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7" t="str">
        <f>IFERROR(INDEX(Структура_ассортимента[Product group],MATCH(Товары[[#This Row],[SubGroup]],Структура_ассортимента[Subgroup],0)),"")</f>
        <v>HET_P</v>
      </c>
      <c r="G63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2184</v>
      </c>
      <c r="O635" s="37" t="s">
        <v>5437</v>
      </c>
      <c r="P635" s="37" t="s">
        <v>5438</v>
      </c>
      <c r="Q635" s="39" t="s">
        <v>3416</v>
      </c>
      <c r="R635" s="34" t="s">
        <v>3407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3413</v>
      </c>
      <c r="X635" s="34" t="s">
        <v>3418</v>
      </c>
      <c r="Y635" s="34" t="s">
        <v>3409</v>
      </c>
      <c r="Z635" s="34">
        <v>1</v>
      </c>
      <c r="AA635" s="34" t="s">
        <v>4937</v>
      </c>
      <c r="AB635" s="34" t="s">
        <v>5439</v>
      </c>
      <c r="AC635" s="34" t="s">
        <v>4937</v>
      </c>
      <c r="AD635" s="34" t="s">
        <v>4937</v>
      </c>
      <c r="AE635" s="34" t="s">
        <v>5440</v>
      </c>
      <c r="AF635" s="34" t="s">
        <v>3822</v>
      </c>
      <c r="AG635" s="34" t="s">
        <v>3778</v>
      </c>
      <c r="AH635" s="34" t="s">
        <v>5441</v>
      </c>
      <c r="AI635" s="34" t="s">
        <v>3822</v>
      </c>
      <c r="AJ635" s="34" t="s">
        <v>5442</v>
      </c>
      <c r="AK635" s="34" t="s">
        <v>3778</v>
      </c>
      <c r="AL635" s="34" t="s">
        <v>5340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7" t="str">
        <f>IFERROR(INDEX(Структура_ассортимента[SuperCategory],MATCH(Товары[[#This Row],[SubGroup]],Структура_ассортимента[Subgroup],0)),"")</f>
        <v>H</v>
      </c>
      <c r="D63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7" t="str">
        <f>IFERROR(INDEX(Структура_ассортимента[Product group],MATCH(Товары[[#This Row],[SubGroup]],Структура_ассортимента[Subgroup],0)),"")</f>
        <v>HET_P</v>
      </c>
      <c r="G63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2185</v>
      </c>
      <c r="O636" s="37" t="s">
        <v>5443</v>
      </c>
      <c r="P636" s="37" t="s">
        <v>5444</v>
      </c>
      <c r="Q636" s="39" t="s">
        <v>3416</v>
      </c>
      <c r="R636" s="34" t="s">
        <v>3407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3413</v>
      </c>
      <c r="X636" s="34" t="s">
        <v>3418</v>
      </c>
      <c r="Y636" s="34" t="s">
        <v>3409</v>
      </c>
      <c r="Z636" s="34">
        <v>1</v>
      </c>
      <c r="AA636" s="34" t="s">
        <v>5293</v>
      </c>
      <c r="AB636" s="34" t="s">
        <v>5293</v>
      </c>
      <c r="AC636" s="34" t="s">
        <v>4078</v>
      </c>
      <c r="AD636" s="34" t="s">
        <v>4078</v>
      </c>
      <c r="AE636" s="34" t="s">
        <v>5412</v>
      </c>
      <c r="AF636" s="34" t="s">
        <v>3856</v>
      </c>
      <c r="AG636" s="34" t="s">
        <v>5413</v>
      </c>
      <c r="AH636" s="34" t="s">
        <v>5414</v>
      </c>
      <c r="AI636" s="34" t="s">
        <v>4070</v>
      </c>
      <c r="AJ636" s="34" t="s">
        <v>5415</v>
      </c>
      <c r="AK636" s="34" t="s">
        <v>3589</v>
      </c>
      <c r="AL636" s="34" t="s">
        <v>3709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7" t="str">
        <f>IFERROR(INDEX(Структура_ассортимента[SuperCategory],MATCH(Товары[[#This Row],[SubGroup]],Структура_ассортимента[Subgroup],0)),"")</f>
        <v>H</v>
      </c>
      <c r="D63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7" t="str">
        <f>IFERROR(INDEX(Структура_ассортимента[Product group],MATCH(Товары[[#This Row],[SubGroup]],Структура_ассортимента[Subgroup],0)),"")</f>
        <v>HET_P</v>
      </c>
      <c r="G637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2186</v>
      </c>
      <c r="Q637" s="39" t="s">
        <v>3416</v>
      </c>
      <c r="R637" s="34" t="s">
        <v>3407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3413</v>
      </c>
      <c r="X637" s="34" t="s">
        <v>3418</v>
      </c>
      <c r="Y637" s="34" t="s">
        <v>3409</v>
      </c>
      <c r="Z637" s="34">
        <v>1</v>
      </c>
      <c r="AB637" s="34" t="s">
        <v>5293</v>
      </c>
      <c r="AD637" s="34" t="s">
        <v>4078</v>
      </c>
      <c r="AE637" s="34" t="s">
        <v>5412</v>
      </c>
      <c r="AF637" s="34" t="s">
        <v>3856</v>
      </c>
      <c r="AG637" s="34" t="s">
        <v>5413</v>
      </c>
      <c r="AH637" s="34" t="s">
        <v>5414</v>
      </c>
      <c r="AI637" s="34" t="s">
        <v>4070</v>
      </c>
      <c r="AJ637" s="34" t="s">
        <v>5415</v>
      </c>
      <c r="AK637" s="34" t="s">
        <v>3589</v>
      </c>
      <c r="AL637" s="34" t="s">
        <v>3709</v>
      </c>
      <c r="AM637" s="34" t="s">
        <v>7962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7" t="str">
        <f>IFERROR(INDEX(Структура_ассортимента[SuperCategory],MATCH(Товары[[#This Row],[SubGroup]],Структура_ассортимента[Subgroup],0)),"")</f>
        <v>H</v>
      </c>
      <c r="D63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7" t="str">
        <f>IFERROR(INDEX(Структура_ассортимента[Product group],MATCH(Товары[[#This Row],[SubGroup]],Структура_ассортимента[Subgroup],0)),"")</f>
        <v>HET_P</v>
      </c>
      <c r="G638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2187</v>
      </c>
      <c r="O638" s="37" t="s">
        <v>5445</v>
      </c>
      <c r="P638" s="37" t="s">
        <v>5446</v>
      </c>
      <c r="Q638" s="39" t="s">
        <v>3416</v>
      </c>
      <c r="R638" s="34" t="s">
        <v>3407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3413</v>
      </c>
      <c r="X638" s="34" t="s">
        <v>3418</v>
      </c>
      <c r="Y638" s="34" t="s">
        <v>3409</v>
      </c>
      <c r="Z638" s="34">
        <v>1</v>
      </c>
      <c r="AA638" s="34" t="s">
        <v>5225</v>
      </c>
      <c r="AB638" s="34" t="s">
        <v>5225</v>
      </c>
      <c r="AC638" s="34" t="s">
        <v>4186</v>
      </c>
      <c r="AD638" s="34" t="s">
        <v>4186</v>
      </c>
      <c r="AE638" s="34" t="s">
        <v>5412</v>
      </c>
      <c r="AF638" s="34" t="s">
        <v>3856</v>
      </c>
      <c r="AG638" s="34" t="s">
        <v>5413</v>
      </c>
      <c r="AH638" s="34" t="s">
        <v>5414</v>
      </c>
      <c r="AI638" s="34" t="s">
        <v>4070</v>
      </c>
      <c r="AJ638" s="34" t="s">
        <v>5415</v>
      </c>
      <c r="AK638" s="34" t="s">
        <v>3589</v>
      </c>
      <c r="AL638" s="34" t="s">
        <v>3709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7" t="str">
        <f>IFERROR(INDEX(Структура_ассортимента[SuperCategory],MATCH(Товары[[#This Row],[SubGroup]],Структура_ассортимента[Subgroup],0)),"")</f>
        <v>H</v>
      </c>
      <c r="D63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7" t="str">
        <f>IFERROR(INDEX(Структура_ассортимента[Product group],MATCH(Товары[[#This Row],[SubGroup]],Структура_ассортимента[Subgroup],0)),"")</f>
        <v>HET_P</v>
      </c>
      <c r="G639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2188</v>
      </c>
      <c r="O639" s="37" t="s">
        <v>5447</v>
      </c>
      <c r="P639" s="37" t="s">
        <v>5448</v>
      </c>
      <c r="Q639" s="39" t="s">
        <v>3416</v>
      </c>
      <c r="R639" s="34" t="s">
        <v>3407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3413</v>
      </c>
      <c r="X639" s="34" t="s">
        <v>3418</v>
      </c>
      <c r="Y639" s="34" t="s">
        <v>3409</v>
      </c>
      <c r="Z639" s="34">
        <v>1</v>
      </c>
      <c r="AA639" s="34" t="s">
        <v>5375</v>
      </c>
      <c r="AB639" s="34" t="s">
        <v>5375</v>
      </c>
      <c r="AC639" s="34" t="s">
        <v>5305</v>
      </c>
      <c r="AD639" s="34" t="s">
        <v>5305</v>
      </c>
      <c r="AE639" s="34" t="s">
        <v>5412</v>
      </c>
      <c r="AF639" s="34" t="s">
        <v>3856</v>
      </c>
      <c r="AG639" s="34" t="s">
        <v>5413</v>
      </c>
      <c r="AH639" s="34" t="s">
        <v>5414</v>
      </c>
      <c r="AI639" s="34" t="s">
        <v>4070</v>
      </c>
      <c r="AJ639" s="34" t="s">
        <v>5415</v>
      </c>
      <c r="AK639" s="34" t="s">
        <v>3589</v>
      </c>
      <c r="AL639" s="34" t="s">
        <v>3709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7" t="str">
        <f>IFERROR(INDEX(Структура_ассортимента[SuperCategory],MATCH(Товары[[#This Row],[SubGroup]],Структура_ассортимента[Subgroup],0)),"")</f>
        <v>H</v>
      </c>
      <c r="D64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7" t="str">
        <f>IFERROR(INDEX(Структура_ассортимента[Product group],MATCH(Товары[[#This Row],[SubGroup]],Структура_ассортимента[Subgroup],0)),"")</f>
        <v>HET_P</v>
      </c>
      <c r="G640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2189</v>
      </c>
      <c r="O640" s="37" t="s">
        <v>5449</v>
      </c>
      <c r="P640" s="37" t="s">
        <v>5450</v>
      </c>
      <c r="Q640" s="39" t="s">
        <v>3416</v>
      </c>
      <c r="R640" s="34" t="s">
        <v>3407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3413</v>
      </c>
      <c r="X640" s="34" t="s">
        <v>3418</v>
      </c>
      <c r="Y640" s="34" t="s">
        <v>3409</v>
      </c>
      <c r="Z640" s="34">
        <v>1</v>
      </c>
      <c r="AA640" s="34" t="s">
        <v>5451</v>
      </c>
      <c r="AB640" s="34" t="s">
        <v>5451</v>
      </c>
      <c r="AC640" s="34" t="s">
        <v>4113</v>
      </c>
      <c r="AD640" s="34" t="s">
        <v>4113</v>
      </c>
      <c r="AE640" s="34" t="s">
        <v>5412</v>
      </c>
      <c r="AF640" s="34" t="s">
        <v>3856</v>
      </c>
      <c r="AG640" s="34" t="s">
        <v>5413</v>
      </c>
      <c r="AH640" s="34" t="s">
        <v>5414</v>
      </c>
      <c r="AI640" s="34" t="s">
        <v>4070</v>
      </c>
      <c r="AJ640" s="34" t="s">
        <v>5415</v>
      </c>
      <c r="AK640" s="34" t="s">
        <v>3589</v>
      </c>
      <c r="AL640" s="34" t="s">
        <v>3709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7" t="str">
        <f>IFERROR(INDEX(Структура_ассортимента[SuperCategory],MATCH(Товары[[#This Row],[SubGroup]],Структура_ассортимента[Subgroup],0)),"")</f>
        <v>H</v>
      </c>
      <c r="D64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7" t="str">
        <f>IFERROR(INDEX(Структура_ассортимента[Product group],MATCH(Товары[[#This Row],[SubGroup]],Структура_ассортимента[Subgroup],0)),"")</f>
        <v>HET_P</v>
      </c>
      <c r="G641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2190</v>
      </c>
      <c r="Q641" s="39" t="s">
        <v>3411</v>
      </c>
      <c r="R641" s="34" t="s">
        <v>3407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5184</v>
      </c>
      <c r="Y641" s="34" t="s">
        <v>3409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7961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7" t="str">
        <f>IFERROR(INDEX(Структура_ассортимента[SuperCategory],MATCH(Товары[[#This Row],[SubGroup]],Структура_ассортимента[Subgroup],0)),"")</f>
        <v>H</v>
      </c>
      <c r="D64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7" t="str">
        <f>IFERROR(INDEX(Структура_ассортимента[Product group],MATCH(Товары[[#This Row],[SubGroup]],Структура_ассортимента[Subgroup],0)),"")</f>
        <v>HET_P</v>
      </c>
      <c r="G642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2191</v>
      </c>
      <c r="P642" s="37" t="s">
        <v>5452</v>
      </c>
      <c r="Q642" s="39" t="s">
        <v>3411</v>
      </c>
      <c r="R642" s="34" t="s">
        <v>3407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5421</v>
      </c>
      <c r="Y642" s="34" t="s">
        <v>3409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7" t="str">
        <f>IFERROR(INDEX(Структура_ассортимента[SuperCategory],MATCH(Товары[[#This Row],[SubGroup]],Структура_ассортимента[Subgroup],0)),"")</f>
        <v>H</v>
      </c>
      <c r="D64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7" t="str">
        <f>IFERROR(INDEX(Структура_ассортимента[Product group],MATCH(Товары[[#This Row],[SubGroup]],Структура_ассортимента[Subgroup],0)),"")</f>
        <v>HET_P</v>
      </c>
      <c r="G643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2192</v>
      </c>
      <c r="Q643" s="39" t="s">
        <v>3411</v>
      </c>
      <c r="R643" s="34" t="s">
        <v>3407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5421</v>
      </c>
      <c r="Y643" s="34" t="s">
        <v>3409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7961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7" t="str">
        <f>IFERROR(INDEX(Структура_ассортимента[SuperCategory],MATCH(Товары[[#This Row],[SubGroup]],Структура_ассортимента[Subgroup],0)),"")</f>
        <v>H</v>
      </c>
      <c r="D64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7" t="str">
        <f>IFERROR(INDEX(Структура_ассортимента[Product group],MATCH(Товары[[#This Row],[SubGroup]],Структура_ассортимента[Subgroup],0)),"")</f>
        <v>HET_P</v>
      </c>
      <c r="G644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2193</v>
      </c>
      <c r="Q644" s="39" t="s">
        <v>3411</v>
      </c>
      <c r="R644" s="34" t="s">
        <v>3407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5421</v>
      </c>
      <c r="Y644" s="34" t="s">
        <v>3409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7961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7" t="str">
        <f>IFERROR(INDEX(Структура_ассортимента[SuperCategory],MATCH(Товары[[#This Row],[SubGroup]],Структура_ассортимента[Subgroup],0)),"")</f>
        <v>H</v>
      </c>
      <c r="D64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7" t="str">
        <f>IFERROR(INDEX(Структура_ассортимента[Product group],MATCH(Товары[[#This Row],[SubGroup]],Структура_ассортимента[Subgroup],0)),"")</f>
        <v>HET_P</v>
      </c>
      <c r="G645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2194</v>
      </c>
      <c r="O645" s="37" t="s">
        <v>5453</v>
      </c>
      <c r="P645" s="37" t="s">
        <v>5454</v>
      </c>
      <c r="Q645" s="39" t="s">
        <v>3416</v>
      </c>
      <c r="R645" s="34" t="s">
        <v>3407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3413</v>
      </c>
      <c r="X645" s="34" t="s">
        <v>3418</v>
      </c>
      <c r="Y645" s="34" t="s">
        <v>3409</v>
      </c>
      <c r="Z645" s="34">
        <v>1</v>
      </c>
      <c r="AB645" s="34" t="s">
        <v>5455</v>
      </c>
      <c r="AD645" s="34" t="s">
        <v>5202</v>
      </c>
      <c r="AE645" s="34" t="s">
        <v>5456</v>
      </c>
      <c r="AF645" s="34" t="s">
        <v>3610</v>
      </c>
      <c r="AG645" s="34" t="s">
        <v>3575</v>
      </c>
      <c r="AH645" s="34" t="s">
        <v>5457</v>
      </c>
      <c r="AI645" s="34" t="s">
        <v>5458</v>
      </c>
      <c r="AJ645" s="34" t="s">
        <v>4012</v>
      </c>
      <c r="AK645" s="34" t="s">
        <v>5459</v>
      </c>
      <c r="AL645" s="34" t="s">
        <v>4476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7" t="str">
        <f>IFERROR(INDEX(Структура_ассортимента[SuperCategory],MATCH(Товары[[#This Row],[SubGroup]],Структура_ассортимента[Subgroup],0)),"")</f>
        <v>H</v>
      </c>
      <c r="D64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7" t="str">
        <f>IFERROR(INDEX(Структура_ассортимента[Product group],MATCH(Товары[[#This Row],[SubGroup]],Структура_ассортимента[Subgroup],0)),"")</f>
        <v>HET_P</v>
      </c>
      <c r="G646" s="67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7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2195</v>
      </c>
      <c r="O646" s="37" t="s">
        <v>5460</v>
      </c>
      <c r="P646" s="37" t="s">
        <v>5461</v>
      </c>
      <c r="Q646" s="39" t="s">
        <v>3416</v>
      </c>
      <c r="R646" s="34" t="s">
        <v>3407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3413</v>
      </c>
      <c r="X646" s="34" t="s">
        <v>3418</v>
      </c>
      <c r="Y646" s="34" t="s">
        <v>3409</v>
      </c>
      <c r="Z646" s="34">
        <v>1</v>
      </c>
      <c r="AB646" s="34" t="s">
        <v>5462</v>
      </c>
      <c r="AD646" s="34" t="s">
        <v>5463</v>
      </c>
      <c r="AE646" s="34" t="s">
        <v>5456</v>
      </c>
      <c r="AF646" s="34" t="s">
        <v>3610</v>
      </c>
      <c r="AG646" s="34" t="s">
        <v>3575</v>
      </c>
      <c r="AH646" s="34" t="s">
        <v>5457</v>
      </c>
      <c r="AL646" s="34" t="s">
        <v>4476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7" t="str">
        <f>IFERROR(INDEX(Структура_ассортимента[SuperCategory],MATCH(Товары[[#This Row],[SubGroup]],Структура_ассортимента[Subgroup],0)),"")</f>
        <v>H</v>
      </c>
      <c r="D64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7" t="str">
        <f>IFERROR(INDEX(Структура_ассортимента[Product group],MATCH(Товары[[#This Row],[SubGroup]],Структура_ассортимента[Subgroup],0)),"")</f>
        <v>HSP_C</v>
      </c>
      <c r="G64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2196</v>
      </c>
      <c r="O647" s="37" t="s">
        <v>5464</v>
      </c>
      <c r="P647" s="37" t="s">
        <v>5465</v>
      </c>
      <c r="Q647" s="39" t="s">
        <v>3416</v>
      </c>
      <c r="R647" s="34" t="s">
        <v>3407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3413</v>
      </c>
      <c r="X647" s="34" t="s">
        <v>3418</v>
      </c>
      <c r="Y647" s="34" t="s">
        <v>3409</v>
      </c>
      <c r="Z647" s="34">
        <v>1</v>
      </c>
      <c r="AA647" s="34" t="s">
        <v>3558</v>
      </c>
      <c r="AB647" s="34" t="s">
        <v>4384</v>
      </c>
      <c r="AC647" s="34" t="s">
        <v>4267</v>
      </c>
      <c r="AD647" s="34" t="s">
        <v>3962</v>
      </c>
      <c r="AE647" s="34" t="s">
        <v>4546</v>
      </c>
      <c r="AF647" s="34" t="s">
        <v>3455</v>
      </c>
      <c r="AG647" s="34" t="s">
        <v>4776</v>
      </c>
      <c r="AH647" s="34" t="s">
        <v>5466</v>
      </c>
      <c r="AL647" s="34" t="s">
        <v>3735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7" t="str">
        <f>IFERROR(INDEX(Структура_ассортимента[SuperCategory],MATCH(Товары[[#This Row],[SubGroup]],Структура_ассортимента[Subgroup],0)),"")</f>
        <v>H</v>
      </c>
      <c r="D64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7" t="str">
        <f>IFERROR(INDEX(Структура_ассортимента[Product group],MATCH(Товары[[#This Row],[SubGroup]],Структура_ассортимента[Subgroup],0)),"")</f>
        <v>HSP_C</v>
      </c>
      <c r="G64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2197</v>
      </c>
      <c r="O648" s="37" t="s">
        <v>5467</v>
      </c>
      <c r="P648" s="37" t="s">
        <v>5468</v>
      </c>
      <c r="Q648" s="39" t="s">
        <v>3416</v>
      </c>
      <c r="R648" s="34" t="s">
        <v>3407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3413</v>
      </c>
      <c r="X648" s="34" t="s">
        <v>3418</v>
      </c>
      <c r="Y648" s="34" t="s">
        <v>3409</v>
      </c>
      <c r="Z648" s="34">
        <v>4</v>
      </c>
      <c r="AA648" s="34" t="s">
        <v>3586</v>
      </c>
      <c r="AB648" s="34" t="s">
        <v>3584</v>
      </c>
      <c r="AC648" s="34" t="s">
        <v>5469</v>
      </c>
      <c r="AD648" s="34" t="s">
        <v>5470</v>
      </c>
      <c r="AE648" s="34" t="s">
        <v>3667</v>
      </c>
      <c r="AF648" s="34" t="s">
        <v>3667</v>
      </c>
      <c r="AG648" s="34" t="s">
        <v>4810</v>
      </c>
      <c r="AH648" s="34" t="s">
        <v>5471</v>
      </c>
      <c r="AI648" s="34" t="s">
        <v>4873</v>
      </c>
      <c r="AJ648" s="34" t="s">
        <v>3667</v>
      </c>
      <c r="AK648" s="34" t="s">
        <v>4873</v>
      </c>
      <c r="AL648" s="34" t="s">
        <v>5472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7" t="str">
        <f>IFERROR(INDEX(Структура_ассортимента[SuperCategory],MATCH(Товары[[#This Row],[SubGroup]],Структура_ассортимента[Subgroup],0)),"")</f>
        <v>H</v>
      </c>
      <c r="D64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7" t="str">
        <f>IFERROR(INDEX(Структура_ассортимента[Product group],MATCH(Товары[[#This Row],[SubGroup]],Структура_ассортимента[Subgroup],0)),"")</f>
        <v>HSP_C</v>
      </c>
      <c r="G64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2198</v>
      </c>
      <c r="O649" s="37" t="s">
        <v>5473</v>
      </c>
      <c r="P649" s="37" t="s">
        <v>5474</v>
      </c>
      <c r="Q649" s="39" t="s">
        <v>3416</v>
      </c>
      <c r="R649" s="34" t="s">
        <v>3407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3413</v>
      </c>
      <c r="X649" s="34" t="s">
        <v>3418</v>
      </c>
      <c r="Y649" s="34" t="s">
        <v>3409</v>
      </c>
      <c r="Z649" s="34">
        <v>2</v>
      </c>
      <c r="AA649" s="34" t="s">
        <v>4386</v>
      </c>
      <c r="AB649" s="34" t="s">
        <v>3759</v>
      </c>
      <c r="AC649" s="34" t="s">
        <v>4405</v>
      </c>
      <c r="AD649" s="34" t="s">
        <v>5475</v>
      </c>
      <c r="AE649" s="34" t="s">
        <v>3969</v>
      </c>
      <c r="AF649" s="34" t="s">
        <v>3575</v>
      </c>
      <c r="AG649" s="34" t="s">
        <v>4208</v>
      </c>
      <c r="AH649" s="34" t="s">
        <v>5476</v>
      </c>
      <c r="AI649" s="34" t="s">
        <v>3864</v>
      </c>
      <c r="AJ649" s="34" t="s">
        <v>5477</v>
      </c>
      <c r="AK649" s="34" t="s">
        <v>3864</v>
      </c>
      <c r="AL649" s="34" t="s">
        <v>4081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7" t="str">
        <f>IFERROR(INDEX(Структура_ассортимента[SuperCategory],MATCH(Товары[[#This Row],[SubGroup]],Структура_ассортимента[Subgroup],0)),"")</f>
        <v>H</v>
      </c>
      <c r="D65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7" t="str">
        <f>IFERROR(INDEX(Структура_ассортимента[Product group],MATCH(Товары[[#This Row],[SubGroup]],Структура_ассортимента[Subgroup],0)),"")</f>
        <v>HSP_C</v>
      </c>
      <c r="G65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7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2199</v>
      </c>
      <c r="O650" s="37" t="s">
        <v>5478</v>
      </c>
      <c r="P650" s="37" t="s">
        <v>5479</v>
      </c>
      <c r="Q650" s="39" t="s">
        <v>3416</v>
      </c>
      <c r="R650" s="34" t="s">
        <v>3407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3413</v>
      </c>
      <c r="X650" s="34" t="s">
        <v>3418</v>
      </c>
      <c r="Y650" s="34" t="s">
        <v>3409</v>
      </c>
      <c r="Z650" s="34">
        <v>4</v>
      </c>
      <c r="AA650" s="34" t="s">
        <v>4369</v>
      </c>
      <c r="AB650" s="34" t="s">
        <v>3538</v>
      </c>
      <c r="AC650" s="34" t="s">
        <v>3957</v>
      </c>
      <c r="AD650" s="34" t="s">
        <v>3957</v>
      </c>
      <c r="AE650" s="34" t="s">
        <v>4335</v>
      </c>
      <c r="AF650" s="34" t="s">
        <v>4335</v>
      </c>
      <c r="AG650" s="34" t="s">
        <v>5480</v>
      </c>
      <c r="AH650" s="34" t="s">
        <v>5481</v>
      </c>
      <c r="AI650" s="34" t="s">
        <v>4098</v>
      </c>
      <c r="AJ650" s="34" t="s">
        <v>3753</v>
      </c>
      <c r="AK650" s="34" t="s">
        <v>4098</v>
      </c>
      <c r="AL650" s="34" t="s">
        <v>5482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7" t="str">
        <f>IFERROR(INDEX(Структура_ассортимента[SuperCategory],MATCH(Товары[[#This Row],[SubGroup]],Структура_ассортимента[Subgroup],0)),"")</f>
        <v>H</v>
      </c>
      <c r="D65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7" t="str">
        <f>IFERROR(INDEX(Структура_ассортимента[Product group],MATCH(Товары[[#This Row],[SubGroup]],Структура_ассортимента[Subgroup],0)),"")</f>
        <v>HSP_C</v>
      </c>
      <c r="G65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2200</v>
      </c>
      <c r="Q651" s="39" t="s">
        <v>3416</v>
      </c>
      <c r="R651" s="34" t="s">
        <v>3407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3413</v>
      </c>
      <c r="X651" s="34" t="s">
        <v>3418</v>
      </c>
      <c r="Y651" s="34" t="s">
        <v>3409</v>
      </c>
      <c r="Z651" s="34">
        <v>3</v>
      </c>
      <c r="AA651" s="34" t="s">
        <v>4443</v>
      </c>
      <c r="AB651" s="34" t="s">
        <v>4443</v>
      </c>
      <c r="AC651" s="34" t="s">
        <v>4369</v>
      </c>
      <c r="AD651" s="34" t="s">
        <v>4369</v>
      </c>
      <c r="AE651" s="34" t="s">
        <v>3457</v>
      </c>
      <c r="AF651" s="34" t="s">
        <v>3560</v>
      </c>
      <c r="AG651" s="34" t="s">
        <v>3523</v>
      </c>
      <c r="AH651" s="34" t="s">
        <v>4532</v>
      </c>
      <c r="AL651" s="34">
        <v>459</v>
      </c>
      <c r="AM651" s="34" t="s">
        <v>7962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7" t="str">
        <f>IFERROR(INDEX(Структура_ассортимента[SuperCategory],MATCH(Товары[[#This Row],[SubGroup]],Структура_ассортимента[Subgroup],0)),"")</f>
        <v>H</v>
      </c>
      <c r="D65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7" t="str">
        <f>IFERROR(INDEX(Структура_ассортимента[Product group],MATCH(Товары[[#This Row],[SubGroup]],Структура_ассортимента[Subgroup],0)),"")</f>
        <v>HSP_C</v>
      </c>
      <c r="G65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2201</v>
      </c>
      <c r="Q652" s="39" t="s">
        <v>3416</v>
      </c>
      <c r="R652" s="34" t="s">
        <v>3407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3413</v>
      </c>
      <c r="X652" s="34" t="s">
        <v>5483</v>
      </c>
      <c r="Y652" s="34" t="s">
        <v>3409</v>
      </c>
      <c r="Z652" s="34">
        <v>5</v>
      </c>
      <c r="AA652" s="34" t="s">
        <v>3588</v>
      </c>
      <c r="AB652" s="34" t="s">
        <v>3588</v>
      </c>
      <c r="AC652" s="34" t="s">
        <v>3537</v>
      </c>
      <c r="AD652" s="34" t="s">
        <v>3537</v>
      </c>
      <c r="AE652" s="34" t="s">
        <v>4760</v>
      </c>
      <c r="AF652" s="34" t="s">
        <v>3459</v>
      </c>
      <c r="AG652" s="34" t="s">
        <v>3539</v>
      </c>
      <c r="AH652" s="34" t="s">
        <v>5484</v>
      </c>
      <c r="AL652" s="34">
        <v>1275</v>
      </c>
      <c r="AM652" s="34" t="s">
        <v>7962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7" t="str">
        <f>IFERROR(INDEX(Структура_ассортимента[SuperCategory],MATCH(Товары[[#This Row],[SubGroup]],Структура_ассортимента[Subgroup],0)),"")</f>
        <v>H</v>
      </c>
      <c r="D65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7" t="str">
        <f>IFERROR(INDEX(Структура_ассортимента[Product group],MATCH(Товары[[#This Row],[SubGroup]],Структура_ассортимента[Subgroup],0)),"")</f>
        <v>HSP_C</v>
      </c>
      <c r="G65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2202</v>
      </c>
      <c r="Q653" s="39" t="s">
        <v>3416</v>
      </c>
      <c r="R653" s="34" t="s">
        <v>3407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3413</v>
      </c>
      <c r="X653" s="34" t="s">
        <v>3418</v>
      </c>
      <c r="Y653" s="34" t="s">
        <v>3409</v>
      </c>
      <c r="Z653" s="34">
        <v>4</v>
      </c>
      <c r="AA653" s="34">
        <v>2500</v>
      </c>
      <c r="AB653" s="34" t="s">
        <v>5485</v>
      </c>
      <c r="AC653" s="34">
        <v>2450</v>
      </c>
      <c r="AD653" s="34" t="s">
        <v>4582</v>
      </c>
      <c r="AE653" s="34" t="s">
        <v>5486</v>
      </c>
      <c r="AF653" s="34" t="s">
        <v>4191</v>
      </c>
      <c r="AG653" s="34" t="s">
        <v>4210</v>
      </c>
      <c r="AH653" s="34" t="s">
        <v>5487</v>
      </c>
      <c r="AI653" s="34" t="s">
        <v>3854</v>
      </c>
      <c r="AJ653" s="34" t="s">
        <v>5488</v>
      </c>
      <c r="AK653" s="34" t="s">
        <v>3855</v>
      </c>
      <c r="AL653" s="34" t="s">
        <v>4188</v>
      </c>
      <c r="AM653" s="34" t="s">
        <v>7962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7" t="str">
        <f>IFERROR(INDEX(Структура_ассортимента[SuperCategory],MATCH(Товары[[#This Row],[SubGroup]],Структура_ассортимента[Subgroup],0)),"")</f>
        <v>H</v>
      </c>
      <c r="D65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7" t="str">
        <f>IFERROR(INDEX(Структура_ассортимента[Product group],MATCH(Товары[[#This Row],[SubGroup]],Структура_ассортимента[Subgroup],0)),"")</f>
        <v>HSP_C</v>
      </c>
      <c r="G65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7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2203</v>
      </c>
      <c r="Q654" s="39" t="s">
        <v>3416</v>
      </c>
      <c r="R654" s="34" t="s">
        <v>3407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3413</v>
      </c>
      <c r="X654" s="34" t="s">
        <v>3418</v>
      </c>
      <c r="Y654" s="34" t="s">
        <v>3409</v>
      </c>
      <c r="Z654" s="34">
        <v>4</v>
      </c>
      <c r="AA654" s="34">
        <v>2500</v>
      </c>
      <c r="AB654" s="34" t="s">
        <v>5485</v>
      </c>
      <c r="AC654" s="34">
        <v>2450</v>
      </c>
      <c r="AD654" s="34" t="s">
        <v>4582</v>
      </c>
      <c r="AE654" s="34" t="s">
        <v>5486</v>
      </c>
      <c r="AF654" s="34" t="s">
        <v>4191</v>
      </c>
      <c r="AG654" s="34" t="s">
        <v>4210</v>
      </c>
      <c r="AH654" s="34" t="s">
        <v>5487</v>
      </c>
      <c r="AI654" s="34" t="s">
        <v>3809</v>
      </c>
      <c r="AJ654" s="34" t="s">
        <v>3490</v>
      </c>
      <c r="AK654" s="34" t="s">
        <v>4220</v>
      </c>
      <c r="AL654" s="34" t="s">
        <v>4188</v>
      </c>
      <c r="AM654" s="34" t="s">
        <v>7962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7" t="str">
        <f>IFERROR(INDEX(Структура_ассортимента[SuperCategory],MATCH(Товары[[#This Row],[SubGroup]],Структура_ассортимента[Subgroup],0)),"")</f>
        <v>H</v>
      </c>
      <c r="D65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7" t="str">
        <f>IFERROR(INDEX(Структура_ассортимента[Product group],MATCH(Товары[[#This Row],[SubGroup]],Структура_ассортимента[Subgroup],0)),"")</f>
        <v>HSP_C</v>
      </c>
      <c r="G65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2204</v>
      </c>
      <c r="Q655" s="39" t="s">
        <v>3416</v>
      </c>
      <c r="R655" s="34" t="s">
        <v>3407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3417</v>
      </c>
      <c r="X655" s="34" t="s">
        <v>5489</v>
      </c>
      <c r="Y655" s="34" t="s">
        <v>3409</v>
      </c>
      <c r="Z655" s="34">
        <v>4</v>
      </c>
      <c r="AA655" s="34" t="s">
        <v>5490</v>
      </c>
      <c r="AB655" s="34" t="s">
        <v>5490</v>
      </c>
      <c r="AC655" s="34" t="s">
        <v>4131</v>
      </c>
      <c r="AD655" s="34" t="s">
        <v>4131</v>
      </c>
      <c r="AE655" s="34" t="s">
        <v>3667</v>
      </c>
      <c r="AF655" s="34" t="s">
        <v>3667</v>
      </c>
      <c r="AG655" s="34" t="s">
        <v>5491</v>
      </c>
      <c r="AH655" s="34" t="s">
        <v>5492</v>
      </c>
      <c r="AL655" s="34" t="s">
        <v>4300</v>
      </c>
      <c r="AM655" s="34" t="s">
        <v>7962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7" t="str">
        <f>IFERROR(INDEX(Структура_ассортимента[SuperCategory],MATCH(Товары[[#This Row],[SubGroup]],Структура_ассортимента[Subgroup],0)),"")</f>
        <v>H</v>
      </c>
      <c r="D65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7" t="str">
        <f>IFERROR(INDEX(Структура_ассортимента[Product group],MATCH(Товары[[#This Row],[SubGroup]],Структура_ассортимента[Subgroup],0)),"")</f>
        <v>HSP_C</v>
      </c>
      <c r="G65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2205</v>
      </c>
      <c r="O656" s="37" t="s">
        <v>5493</v>
      </c>
      <c r="P656" s="37" t="s">
        <v>5494</v>
      </c>
      <c r="Q656" s="39" t="s">
        <v>3416</v>
      </c>
      <c r="R656" s="34" t="s">
        <v>3407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3410</v>
      </c>
      <c r="X656" s="34" t="s">
        <v>3446</v>
      </c>
      <c r="Y656" s="34" t="s">
        <v>3409</v>
      </c>
      <c r="Z656" s="34">
        <v>6</v>
      </c>
      <c r="AA656" s="34" t="s">
        <v>5495</v>
      </c>
      <c r="AB656" s="34" t="s">
        <v>3643</v>
      </c>
      <c r="AC656" s="34" t="s">
        <v>5496</v>
      </c>
      <c r="AD656" s="34" t="s">
        <v>5496</v>
      </c>
      <c r="AE656" s="34" t="s">
        <v>3560</v>
      </c>
      <c r="AF656" s="34" t="s">
        <v>3443</v>
      </c>
      <c r="AG656" s="34" t="s">
        <v>4299</v>
      </c>
      <c r="AH656" s="34" t="s">
        <v>5497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7" t="str">
        <f>IFERROR(INDEX(Структура_ассортимента[SuperCategory],MATCH(Товары[[#This Row],[SubGroup]],Структура_ассортимента[Subgroup],0)),"")</f>
        <v>H</v>
      </c>
      <c r="D65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7" t="str">
        <f>IFERROR(INDEX(Структура_ассортимента[Product group],MATCH(Товары[[#This Row],[SubGroup]],Структура_ассортимента[Subgroup],0)),"")</f>
        <v>HSP_C</v>
      </c>
      <c r="G65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2206</v>
      </c>
      <c r="O657" s="37" t="s">
        <v>5498</v>
      </c>
      <c r="P657" s="37" t="s">
        <v>5499</v>
      </c>
      <c r="Q657" s="39" t="s">
        <v>3416</v>
      </c>
      <c r="R657" s="34" t="s">
        <v>3407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3417</v>
      </c>
      <c r="X657" s="34" t="s">
        <v>3418</v>
      </c>
      <c r="Y657" s="34" t="s">
        <v>3409</v>
      </c>
      <c r="Z657" s="34">
        <v>6</v>
      </c>
      <c r="AA657" s="34" t="s">
        <v>3520</v>
      </c>
      <c r="AB657" s="34" t="s">
        <v>3520</v>
      </c>
      <c r="AC657" s="34" t="s">
        <v>5500</v>
      </c>
      <c r="AD657" s="34" t="s">
        <v>5500</v>
      </c>
      <c r="AE657" s="34" t="s">
        <v>3560</v>
      </c>
      <c r="AF657" s="34" t="s">
        <v>3443</v>
      </c>
      <c r="AG657" s="34" t="s">
        <v>4101</v>
      </c>
      <c r="AH657" s="34" t="s">
        <v>5501</v>
      </c>
      <c r="AI657" s="34" t="s">
        <v>4191</v>
      </c>
      <c r="AJ657" s="34" t="s">
        <v>3668</v>
      </c>
      <c r="AK657" s="34" t="s">
        <v>4191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7" t="str">
        <f>IFERROR(INDEX(Структура_ассортимента[SuperCategory],MATCH(Товары[[#This Row],[SubGroup]],Структура_ассортимента[Subgroup],0)),"")</f>
        <v>H</v>
      </c>
      <c r="D65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7" t="str">
        <f>IFERROR(INDEX(Структура_ассортимента[Product group],MATCH(Товары[[#This Row],[SubGroup]],Структура_ассортимента[Subgroup],0)),"")</f>
        <v>HSP_C</v>
      </c>
      <c r="G65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2207</v>
      </c>
      <c r="O658" s="37" t="s">
        <v>5502</v>
      </c>
      <c r="P658" s="37" t="s">
        <v>5503</v>
      </c>
      <c r="Q658" s="39" t="s">
        <v>3416</v>
      </c>
      <c r="R658" s="34" t="s">
        <v>3407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3417</v>
      </c>
      <c r="X658" s="34" t="s">
        <v>3446</v>
      </c>
      <c r="Y658" s="34" t="s">
        <v>3409</v>
      </c>
      <c r="Z658" s="34">
        <v>6</v>
      </c>
      <c r="AA658" s="34" t="s">
        <v>3584</v>
      </c>
      <c r="AB658" s="34" t="s">
        <v>3584</v>
      </c>
      <c r="AC658" s="34" t="s">
        <v>3646</v>
      </c>
      <c r="AD658" s="34" t="s">
        <v>3646</v>
      </c>
      <c r="AE658" s="34" t="s">
        <v>3560</v>
      </c>
      <c r="AF658" s="34" t="s">
        <v>3443</v>
      </c>
      <c r="AG658" s="34" t="s">
        <v>4335</v>
      </c>
      <c r="AH658" s="34" t="s">
        <v>5504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7" t="str">
        <f>IFERROR(INDEX(Структура_ассортимента[SuperCategory],MATCH(Товары[[#This Row],[SubGroup]],Структура_ассортимента[Subgroup],0)),"")</f>
        <v>H</v>
      </c>
      <c r="D65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7" t="str">
        <f>IFERROR(INDEX(Структура_ассортимента[Product group],MATCH(Товары[[#This Row],[SubGroup]],Структура_ассортимента[Subgroup],0)),"")</f>
        <v>HSP_C</v>
      </c>
      <c r="G65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2208</v>
      </c>
      <c r="O659" s="37" t="s">
        <v>5505</v>
      </c>
      <c r="P659" s="37" t="s">
        <v>5506</v>
      </c>
      <c r="Q659" s="39" t="s">
        <v>3416</v>
      </c>
      <c r="R659" s="34" t="s">
        <v>3407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3417</v>
      </c>
      <c r="X659" s="34" t="s">
        <v>3418</v>
      </c>
      <c r="Y659" s="34" t="s">
        <v>3409</v>
      </c>
      <c r="Z659" s="34">
        <v>6</v>
      </c>
      <c r="AA659" s="34" t="s">
        <v>3538</v>
      </c>
      <c r="AB659" s="34" t="s">
        <v>3538</v>
      </c>
      <c r="AC659" s="34" t="s">
        <v>5507</v>
      </c>
      <c r="AD659" s="34" t="s">
        <v>5507</v>
      </c>
      <c r="AE659" s="34" t="s">
        <v>3778</v>
      </c>
      <c r="AF659" s="34" t="s">
        <v>5508</v>
      </c>
      <c r="AG659" s="34" t="s">
        <v>3798</v>
      </c>
      <c r="AH659" s="34" t="s">
        <v>5509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7" t="str">
        <f>IFERROR(INDEX(Структура_ассортимента[SuperCategory],MATCH(Товары[[#This Row],[SubGroup]],Структура_ассортимента[Subgroup],0)),"")</f>
        <v>H</v>
      </c>
      <c r="D66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7" t="str">
        <f>IFERROR(INDEX(Структура_ассортимента[Product group],MATCH(Товары[[#This Row],[SubGroup]],Структура_ассортимента[Subgroup],0)),"")</f>
        <v>HSP_C</v>
      </c>
      <c r="G66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2209</v>
      </c>
      <c r="Q660" s="39" t="s">
        <v>3416</v>
      </c>
      <c r="R660" s="34" t="s">
        <v>3407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3417</v>
      </c>
      <c r="X660" s="34" t="s">
        <v>3446</v>
      </c>
      <c r="Y660" s="34" t="s">
        <v>3409</v>
      </c>
      <c r="Z660" s="34">
        <v>6</v>
      </c>
      <c r="AA660" s="34" t="s">
        <v>3520</v>
      </c>
      <c r="AB660" s="34" t="s">
        <v>3520</v>
      </c>
      <c r="AC660" s="34" t="s">
        <v>3646</v>
      </c>
      <c r="AD660" s="34" t="s">
        <v>3646</v>
      </c>
      <c r="AE660" s="34" t="s">
        <v>3560</v>
      </c>
      <c r="AF660" s="34" t="s">
        <v>3443</v>
      </c>
      <c r="AG660" s="34" t="s">
        <v>3658</v>
      </c>
      <c r="AH660" s="34" t="s">
        <v>5510</v>
      </c>
      <c r="AL660" s="34">
        <v>1470</v>
      </c>
      <c r="AM660" s="34" t="s">
        <v>7962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7" t="str">
        <f>IFERROR(INDEX(Структура_ассортимента[SuperCategory],MATCH(Товары[[#This Row],[SubGroup]],Структура_ассортимента[Subgroup],0)),"")</f>
        <v>H</v>
      </c>
      <c r="D66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7" t="str">
        <f>IFERROR(INDEX(Структура_ассортимента[Product group],MATCH(Товары[[#This Row],[SubGroup]],Структура_ассортимента[Subgroup],0)),"")</f>
        <v>HSP_C</v>
      </c>
      <c r="G66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2210</v>
      </c>
      <c r="Q661" s="39" t="s">
        <v>3416</v>
      </c>
      <c r="R661" s="34" t="s">
        <v>3407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3417</v>
      </c>
      <c r="X661" s="34" t="s">
        <v>3446</v>
      </c>
      <c r="Y661" s="34" t="s">
        <v>3409</v>
      </c>
      <c r="Z661" s="34">
        <v>6</v>
      </c>
      <c r="AA661" s="34" t="s">
        <v>3586</v>
      </c>
      <c r="AB661" s="34" t="s">
        <v>3586</v>
      </c>
      <c r="AC661" s="34" t="s">
        <v>3534</v>
      </c>
      <c r="AD661" s="34" t="s">
        <v>3534</v>
      </c>
      <c r="AE661" s="34" t="s">
        <v>3560</v>
      </c>
      <c r="AF661" s="34" t="s">
        <v>3443</v>
      </c>
      <c r="AG661" s="34" t="s">
        <v>3658</v>
      </c>
      <c r="AH661" s="34" t="s">
        <v>5510</v>
      </c>
      <c r="AL661" s="34">
        <v>1470</v>
      </c>
      <c r="AM661" s="34" t="s">
        <v>7962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7" t="str">
        <f>IFERROR(INDEX(Структура_ассортимента[SuperCategory],MATCH(Товары[[#This Row],[SubGroup]],Структура_ассортимента[Subgroup],0)),"")</f>
        <v>H</v>
      </c>
      <c r="D66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7" t="str">
        <f>IFERROR(INDEX(Структура_ассортимента[Product group],MATCH(Товары[[#This Row],[SubGroup]],Структура_ассортимента[Subgroup],0)),"")</f>
        <v>HSP_C</v>
      </c>
      <c r="G66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2211</v>
      </c>
      <c r="Q662" s="39" t="s">
        <v>3416</v>
      </c>
      <c r="R662" s="34" t="s">
        <v>3407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3417</v>
      </c>
      <c r="X662" s="34" t="s">
        <v>3446</v>
      </c>
      <c r="Y662" s="34" t="s">
        <v>3409</v>
      </c>
      <c r="Z662" s="34">
        <v>6</v>
      </c>
      <c r="AA662" s="34" t="s">
        <v>3596</v>
      </c>
      <c r="AB662" s="34" t="s">
        <v>3596</v>
      </c>
      <c r="AC662" s="34" t="s">
        <v>5511</v>
      </c>
      <c r="AD662" s="34" t="s">
        <v>5511</v>
      </c>
      <c r="AE662" s="34" t="s">
        <v>3560</v>
      </c>
      <c r="AF662" s="34" t="s">
        <v>3443</v>
      </c>
      <c r="AG662" s="34" t="s">
        <v>3658</v>
      </c>
      <c r="AH662" s="34" t="s">
        <v>5510</v>
      </c>
      <c r="AL662" s="34">
        <v>1470</v>
      </c>
      <c r="AM662" s="34" t="s">
        <v>7962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7" t="str">
        <f>IFERROR(INDEX(Структура_ассортимента[SuperCategory],MATCH(Товары[[#This Row],[SubGroup]],Структура_ассортимента[Subgroup],0)),"")</f>
        <v>H</v>
      </c>
      <c r="D66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7" t="str">
        <f>IFERROR(INDEX(Структура_ассортимента[Product group],MATCH(Товары[[#This Row],[SubGroup]],Структура_ассортимента[Subgroup],0)),"")</f>
        <v>HSP_C</v>
      </c>
      <c r="G66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2212</v>
      </c>
      <c r="Q663" s="39" t="s">
        <v>3416</v>
      </c>
      <c r="R663" s="34" t="s">
        <v>3407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3417</v>
      </c>
      <c r="X663" s="34" t="s">
        <v>3446</v>
      </c>
      <c r="Y663" s="34" t="s">
        <v>3409</v>
      </c>
      <c r="Z663" s="34">
        <v>6</v>
      </c>
      <c r="AA663" s="34" t="s">
        <v>5512</v>
      </c>
      <c r="AB663" s="34" t="s">
        <v>5512</v>
      </c>
      <c r="AC663" s="34" t="s">
        <v>5495</v>
      </c>
      <c r="AD663" s="34" t="s">
        <v>5495</v>
      </c>
      <c r="AE663" s="34" t="s">
        <v>3560</v>
      </c>
      <c r="AF663" s="34" t="s">
        <v>3443</v>
      </c>
      <c r="AG663" s="34" t="s">
        <v>3658</v>
      </c>
      <c r="AH663" s="34" t="s">
        <v>5510</v>
      </c>
      <c r="AL663" s="34">
        <v>1470</v>
      </c>
      <c r="AM663" s="34" t="s">
        <v>7962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7" t="str">
        <f>IFERROR(INDEX(Структура_ассортимента[SuperCategory],MATCH(Товары[[#This Row],[SubGroup]],Структура_ассортимента[Subgroup],0)),"")</f>
        <v>H</v>
      </c>
      <c r="D66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7" t="str">
        <f>IFERROR(INDEX(Структура_ассортимента[Product group],MATCH(Товары[[#This Row],[SubGroup]],Структура_ассортимента[Subgroup],0)),"")</f>
        <v>HSP_C</v>
      </c>
      <c r="G66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2213</v>
      </c>
      <c r="Q664" s="39" t="s">
        <v>3416</v>
      </c>
      <c r="R664" s="34" t="s">
        <v>3407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3417</v>
      </c>
      <c r="X664" s="34" t="s">
        <v>3446</v>
      </c>
      <c r="Y664" s="34" t="s">
        <v>3409</v>
      </c>
      <c r="Z664" s="34">
        <v>6</v>
      </c>
      <c r="AA664" s="34" t="s">
        <v>3520</v>
      </c>
      <c r="AB664" s="34" t="s">
        <v>3520</v>
      </c>
      <c r="AC664" s="34" t="s">
        <v>5500</v>
      </c>
      <c r="AD664" s="34" t="s">
        <v>5500</v>
      </c>
      <c r="AE664" s="34" t="s">
        <v>3560</v>
      </c>
      <c r="AF664" s="34" t="s">
        <v>3443</v>
      </c>
      <c r="AG664" s="34" t="s">
        <v>3658</v>
      </c>
      <c r="AH664" s="34" t="s">
        <v>5510</v>
      </c>
      <c r="AL664" s="34">
        <v>1428</v>
      </c>
      <c r="AM664" s="34" t="s">
        <v>7962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7" t="str">
        <f>IFERROR(INDEX(Структура_ассортимента[SuperCategory],MATCH(Товары[[#This Row],[SubGroup]],Структура_ассортимента[Subgroup],0)),"")</f>
        <v>H</v>
      </c>
      <c r="D66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7" t="str">
        <f>IFERROR(INDEX(Структура_ассортимента[Product group],MATCH(Товары[[#This Row],[SubGroup]],Структура_ассортимента[Subgroup],0)),"")</f>
        <v>HSP_C</v>
      </c>
      <c r="G66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2214</v>
      </c>
      <c r="Q665" s="39" t="s">
        <v>3416</v>
      </c>
      <c r="R665" s="34" t="s">
        <v>3407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3417</v>
      </c>
      <c r="X665" s="34" t="s">
        <v>3446</v>
      </c>
      <c r="Y665" s="34" t="s">
        <v>3409</v>
      </c>
      <c r="Z665" s="34">
        <v>5</v>
      </c>
      <c r="AA665" s="34" t="s">
        <v>5513</v>
      </c>
      <c r="AB665" s="34" t="s">
        <v>5513</v>
      </c>
      <c r="AC665" s="34" t="s">
        <v>5514</v>
      </c>
      <c r="AD665" s="34" t="s">
        <v>5514</v>
      </c>
      <c r="AE665" s="34" t="s">
        <v>3621</v>
      </c>
      <c r="AF665" s="34" t="s">
        <v>3539</v>
      </c>
      <c r="AG665" s="34" t="s">
        <v>4669</v>
      </c>
      <c r="AH665" s="34" t="s">
        <v>5515</v>
      </c>
      <c r="AL665" s="34">
        <v>3795</v>
      </c>
      <c r="AM665" s="34" t="s">
        <v>7962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7" t="str">
        <f>IFERROR(INDEX(Структура_ассортимента[SuperCategory],MATCH(Товары[[#This Row],[SubGroup]],Структура_ассортимента[Subgroup],0)),"")</f>
        <v>H</v>
      </c>
      <c r="D66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7" t="str">
        <f>IFERROR(INDEX(Структура_ассортимента[Product group],MATCH(Товары[[#This Row],[SubGroup]],Структура_ассортимента[Subgroup],0)),"")</f>
        <v>HSP_C</v>
      </c>
      <c r="G66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2215</v>
      </c>
      <c r="Q666" s="39" t="s">
        <v>3416</v>
      </c>
      <c r="R666" s="34" t="s">
        <v>3407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3410</v>
      </c>
      <c r="X666" s="34" t="s">
        <v>3446</v>
      </c>
      <c r="Y666" s="34" t="s">
        <v>3409</v>
      </c>
      <c r="Z666" s="34">
        <v>5</v>
      </c>
      <c r="AA666" s="34" t="s">
        <v>5516</v>
      </c>
      <c r="AB666" s="34" t="s">
        <v>5516</v>
      </c>
      <c r="AC666" s="34" t="s">
        <v>3586</v>
      </c>
      <c r="AD666" s="34" t="s">
        <v>3586</v>
      </c>
      <c r="AE666" s="34" t="s">
        <v>4526</v>
      </c>
      <c r="AF666" s="34" t="s">
        <v>4006</v>
      </c>
      <c r="AG666" s="34" t="s">
        <v>4299</v>
      </c>
      <c r="AH666" s="34" t="s">
        <v>5517</v>
      </c>
      <c r="AL666" s="34">
        <v>1800</v>
      </c>
      <c r="AM666" s="34" t="s">
        <v>7962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7" t="str">
        <f>IFERROR(INDEX(Структура_ассортимента[SuperCategory],MATCH(Товары[[#This Row],[SubGroup]],Структура_ассортимента[Subgroup],0)),"")</f>
        <v>H</v>
      </c>
      <c r="D66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7" t="str">
        <f>IFERROR(INDEX(Структура_ассортимента[Product group],MATCH(Товары[[#This Row],[SubGroup]],Структура_ассортимента[Subgroup],0)),"")</f>
        <v>HSP_C</v>
      </c>
      <c r="G66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2216</v>
      </c>
      <c r="Q667" s="39" t="s">
        <v>3416</v>
      </c>
      <c r="R667" s="34" t="s">
        <v>3407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3410</v>
      </c>
      <c r="X667" s="34" t="s">
        <v>3446</v>
      </c>
      <c r="Y667" s="34" t="s">
        <v>3409</v>
      </c>
      <c r="Z667" s="34">
        <v>5</v>
      </c>
      <c r="AA667" s="34" t="s">
        <v>3528</v>
      </c>
      <c r="AB667" s="34" t="s">
        <v>3528</v>
      </c>
      <c r="AC667" s="34" t="s">
        <v>5518</v>
      </c>
      <c r="AD667" s="34" t="s">
        <v>5518</v>
      </c>
      <c r="AE667" s="34" t="s">
        <v>4798</v>
      </c>
      <c r="AF667" s="34" t="s">
        <v>3428</v>
      </c>
      <c r="AG667" s="34" t="s">
        <v>4288</v>
      </c>
      <c r="AH667" s="34" t="s">
        <v>5519</v>
      </c>
      <c r="AL667" s="34">
        <v>1800</v>
      </c>
      <c r="AM667" s="34" t="s">
        <v>7962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7" t="str">
        <f>IFERROR(INDEX(Структура_ассортимента[SuperCategory],MATCH(Товары[[#This Row],[SubGroup]],Структура_ассортимента[Subgroup],0)),"")</f>
        <v>H</v>
      </c>
      <c r="D66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7" t="str">
        <f>IFERROR(INDEX(Структура_ассортимента[Product group],MATCH(Товары[[#This Row],[SubGroup]],Структура_ассортимента[Subgroup],0)),"")</f>
        <v>HSP_C</v>
      </c>
      <c r="G66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2217</v>
      </c>
      <c r="Q668" s="39" t="s">
        <v>3416</v>
      </c>
      <c r="R668" s="34" t="s">
        <v>3407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3417</v>
      </c>
      <c r="X668" s="34" t="s">
        <v>3446</v>
      </c>
      <c r="Y668" s="34" t="s">
        <v>3409</v>
      </c>
      <c r="Z668" s="34">
        <v>10</v>
      </c>
      <c r="AA668" s="34" t="s">
        <v>5520</v>
      </c>
      <c r="AB668" s="34" t="s">
        <v>5520</v>
      </c>
      <c r="AC668" s="34" t="s">
        <v>3521</v>
      </c>
      <c r="AD668" s="34" t="s">
        <v>3521</v>
      </c>
      <c r="AE668" s="34" t="s">
        <v>3478</v>
      </c>
      <c r="AF668" s="34" t="s">
        <v>4499</v>
      </c>
      <c r="AG668" s="34" t="s">
        <v>3539</v>
      </c>
      <c r="AH668" s="34" t="s">
        <v>5521</v>
      </c>
      <c r="AL668" s="34">
        <v>2500</v>
      </c>
      <c r="AM668" s="34" t="s">
        <v>7962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7" t="str">
        <f>IFERROR(INDEX(Структура_ассортимента[SuperCategory],MATCH(Товары[[#This Row],[SubGroup]],Структура_ассортимента[Subgroup],0)),"")</f>
        <v>H</v>
      </c>
      <c r="D66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7" t="str">
        <f>IFERROR(INDEX(Структура_ассортимента[Product group],MATCH(Товары[[#This Row],[SubGroup]],Структура_ассортимента[Subgroup],0)),"")</f>
        <v>HSP_C</v>
      </c>
      <c r="G66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2218</v>
      </c>
      <c r="Q669" s="39" t="s">
        <v>3416</v>
      </c>
      <c r="R669" s="34" t="s">
        <v>3407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3417</v>
      </c>
      <c r="X669" s="34" t="s">
        <v>3418</v>
      </c>
      <c r="Y669" s="34" t="s">
        <v>3409</v>
      </c>
      <c r="Z669" s="34">
        <v>6</v>
      </c>
      <c r="AA669" s="34" t="s">
        <v>3528</v>
      </c>
      <c r="AB669" s="34" t="s">
        <v>3528</v>
      </c>
      <c r="AC669" s="34" t="s">
        <v>3520</v>
      </c>
      <c r="AD669" s="34" t="s">
        <v>3520</v>
      </c>
      <c r="AE669" s="34" t="s">
        <v>3560</v>
      </c>
      <c r="AF669" s="34" t="s">
        <v>4548</v>
      </c>
      <c r="AG669" s="34" t="s">
        <v>3798</v>
      </c>
      <c r="AH669" s="34" t="s">
        <v>5522</v>
      </c>
      <c r="AL669" s="34" t="s">
        <v>5523</v>
      </c>
      <c r="AM669" s="34" t="s">
        <v>7962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7" t="str">
        <f>IFERROR(INDEX(Структура_ассортимента[SuperCategory],MATCH(Товары[[#This Row],[SubGroup]],Структура_ассортимента[Subgroup],0)),"")</f>
        <v>H</v>
      </c>
      <c r="D67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7" t="str">
        <f>IFERROR(INDEX(Структура_ассортимента[Product group],MATCH(Товары[[#This Row],[SubGroup]],Структура_ассортимента[Subgroup],0)),"")</f>
        <v>HSP_C</v>
      </c>
      <c r="G67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2219</v>
      </c>
      <c r="Q670" s="39" t="s">
        <v>3416</v>
      </c>
      <c r="R670" s="34" t="s">
        <v>3407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3415</v>
      </c>
      <c r="X670" s="34" t="s">
        <v>3571</v>
      </c>
      <c r="Y670" s="34" t="s">
        <v>3409</v>
      </c>
      <c r="Z670" s="34">
        <v>5</v>
      </c>
      <c r="AA670" s="34" t="s">
        <v>5524</v>
      </c>
      <c r="AB670" s="34" t="s">
        <v>5524</v>
      </c>
      <c r="AC670" s="34" t="s">
        <v>3988</v>
      </c>
      <c r="AD670" s="34" t="s">
        <v>3988</v>
      </c>
      <c r="AE670" s="34" t="s">
        <v>4976</v>
      </c>
      <c r="AF670" s="34" t="s">
        <v>4678</v>
      </c>
      <c r="AG670" s="34" t="s">
        <v>4056</v>
      </c>
      <c r="AH670" s="34" t="s">
        <v>5525</v>
      </c>
      <c r="AL670" s="34">
        <v>1260</v>
      </c>
      <c r="AM670" s="34" t="s">
        <v>7962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7" t="str">
        <f>IFERROR(INDEX(Структура_ассортимента[SuperCategory],MATCH(Товары[[#This Row],[SubGroup]],Структура_ассортимента[Subgroup],0)),"")</f>
        <v>H</v>
      </c>
      <c r="D67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7" t="str">
        <f>IFERROR(INDEX(Структура_ассортимента[Product group],MATCH(Товары[[#This Row],[SubGroup]],Структура_ассортимента[Subgroup],0)),"")</f>
        <v>HSP_C</v>
      </c>
      <c r="G67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2220</v>
      </c>
      <c r="O671" s="37" t="s">
        <v>5526</v>
      </c>
      <c r="P671" s="37" t="s">
        <v>5527</v>
      </c>
      <c r="Q671" s="39" t="s">
        <v>3416</v>
      </c>
      <c r="R671" s="34" t="s">
        <v>3407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3415</v>
      </c>
      <c r="X671" s="34" t="s">
        <v>3571</v>
      </c>
      <c r="Y671" s="34" t="s">
        <v>3409</v>
      </c>
      <c r="Z671" s="34">
        <v>5</v>
      </c>
      <c r="AA671" s="34" t="s">
        <v>5524</v>
      </c>
      <c r="AB671" s="34" t="s">
        <v>5524</v>
      </c>
      <c r="AC671" s="34" t="s">
        <v>3988</v>
      </c>
      <c r="AD671" s="34" t="s">
        <v>3988</v>
      </c>
      <c r="AE671" s="34" t="s">
        <v>4976</v>
      </c>
      <c r="AF671" s="34" t="s">
        <v>4678</v>
      </c>
      <c r="AG671" s="34" t="s">
        <v>4056</v>
      </c>
      <c r="AH671" s="34" t="s">
        <v>5525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7" t="str">
        <f>IFERROR(INDEX(Структура_ассортимента[SuperCategory],MATCH(Товары[[#This Row],[SubGroup]],Структура_ассортимента[Subgroup],0)),"")</f>
        <v>H</v>
      </c>
      <c r="D67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7" t="str">
        <f>IFERROR(INDEX(Структура_ассортимента[Product group],MATCH(Товары[[#This Row],[SubGroup]],Структура_ассортимента[Subgroup],0)),"")</f>
        <v>HSP_C</v>
      </c>
      <c r="G67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2221</v>
      </c>
      <c r="O672" s="37" t="s">
        <v>5528</v>
      </c>
      <c r="P672" s="37" t="s">
        <v>5529</v>
      </c>
      <c r="Q672" s="39" t="s">
        <v>3416</v>
      </c>
      <c r="R672" s="34" t="s">
        <v>3407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3415</v>
      </c>
      <c r="X672" s="34" t="s">
        <v>3571</v>
      </c>
      <c r="Y672" s="34" t="s">
        <v>3409</v>
      </c>
      <c r="Z672" s="34">
        <v>5</v>
      </c>
      <c r="AA672" s="34" t="s">
        <v>4014</v>
      </c>
      <c r="AB672" s="34" t="s">
        <v>4014</v>
      </c>
      <c r="AC672" s="34" t="s">
        <v>5530</v>
      </c>
      <c r="AD672" s="34" t="s">
        <v>5530</v>
      </c>
      <c r="AE672" s="34" t="s">
        <v>4261</v>
      </c>
      <c r="AF672" s="34" t="s">
        <v>4678</v>
      </c>
      <c r="AG672" s="34" t="s">
        <v>3648</v>
      </c>
      <c r="AH672" s="34" t="s">
        <v>5531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7" t="str">
        <f>IFERROR(INDEX(Структура_ассортимента[SuperCategory],MATCH(Товары[[#This Row],[SubGroup]],Структура_ассортимента[Subgroup],0)),"")</f>
        <v>H</v>
      </c>
      <c r="D67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7" t="str">
        <f>IFERROR(INDEX(Структура_ассортимента[Product group],MATCH(Товары[[#This Row],[SubGroup]],Структура_ассортимента[Subgroup],0)),"")</f>
        <v>HSP_C</v>
      </c>
      <c r="G67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2222</v>
      </c>
      <c r="O673" s="37" t="s">
        <v>5532</v>
      </c>
      <c r="P673" s="37" t="s">
        <v>5533</v>
      </c>
      <c r="Q673" s="39" t="s">
        <v>3416</v>
      </c>
      <c r="R673" s="34" t="s">
        <v>3407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3414</v>
      </c>
      <c r="X673" s="34" t="s">
        <v>3571</v>
      </c>
      <c r="Y673" s="34" t="s">
        <v>3409</v>
      </c>
      <c r="Z673" s="34">
        <v>4</v>
      </c>
      <c r="AA673" s="34" t="s">
        <v>3795</v>
      </c>
      <c r="AB673" s="34" t="s">
        <v>3795</v>
      </c>
      <c r="AC673" s="34" t="s">
        <v>3869</v>
      </c>
      <c r="AD673" s="34" t="s">
        <v>3869</v>
      </c>
      <c r="AE673" s="34" t="s">
        <v>5534</v>
      </c>
      <c r="AF673" s="34" t="s">
        <v>5015</v>
      </c>
      <c r="AG673" s="34" t="s">
        <v>3835</v>
      </c>
      <c r="AH673" s="34" t="s">
        <v>5535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7" t="str">
        <f>IFERROR(INDEX(Структура_ассортимента[SuperCategory],MATCH(Товары[[#This Row],[SubGroup]],Структура_ассортимента[Subgroup],0)),"")</f>
        <v>H</v>
      </c>
      <c r="D67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7" t="str">
        <f>IFERROR(INDEX(Структура_ассортимента[Product group],MATCH(Товары[[#This Row],[SubGroup]],Структура_ассортимента[Subgroup],0)),"")</f>
        <v>HSP_C</v>
      </c>
      <c r="G67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2223</v>
      </c>
      <c r="O674" s="37" t="s">
        <v>5536</v>
      </c>
      <c r="P674" s="37" t="s">
        <v>5537</v>
      </c>
      <c r="Q674" s="39" t="s">
        <v>3416</v>
      </c>
      <c r="R674" s="34" t="s">
        <v>3407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3414</v>
      </c>
      <c r="X674" s="34" t="s">
        <v>3571</v>
      </c>
      <c r="Y674" s="34" t="s">
        <v>3409</v>
      </c>
      <c r="Z674" s="34">
        <v>4</v>
      </c>
      <c r="AA674" s="34" t="s">
        <v>3558</v>
      </c>
      <c r="AB674" s="34" t="s">
        <v>3558</v>
      </c>
      <c r="AC674" s="34" t="s">
        <v>4046</v>
      </c>
      <c r="AD674" s="34" t="s">
        <v>4046</v>
      </c>
      <c r="AE674" s="34" t="s">
        <v>4059</v>
      </c>
      <c r="AF674" s="34" t="s">
        <v>5015</v>
      </c>
      <c r="AG674" s="34" t="s">
        <v>4062</v>
      </c>
      <c r="AH674" s="34" t="s">
        <v>5538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7" t="str">
        <f>IFERROR(INDEX(Структура_ассортимента[SuperCategory],MATCH(Товары[[#This Row],[SubGroup]],Структура_ассортимента[Subgroup],0)),"")</f>
        <v>H</v>
      </c>
      <c r="D67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7" t="str">
        <f>IFERROR(INDEX(Структура_ассортимента[Product group],MATCH(Товары[[#This Row],[SubGroup]],Структура_ассортимента[Subgroup],0)),"")</f>
        <v>HSP_C</v>
      </c>
      <c r="G67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2224</v>
      </c>
      <c r="O675" s="37" t="s">
        <v>5539</v>
      </c>
      <c r="P675" s="37" t="s">
        <v>5540</v>
      </c>
      <c r="Q675" s="39" t="s">
        <v>3416</v>
      </c>
      <c r="R675" s="34" t="s">
        <v>3407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3414</v>
      </c>
      <c r="X675" s="34" t="s">
        <v>3571</v>
      </c>
      <c r="Y675" s="34" t="s">
        <v>3409</v>
      </c>
      <c r="Z675" s="34">
        <v>4</v>
      </c>
      <c r="AA675" s="34" t="s">
        <v>4443</v>
      </c>
      <c r="AB675" s="34" t="s">
        <v>4443</v>
      </c>
      <c r="AC675" s="34" t="s">
        <v>4256</v>
      </c>
      <c r="AD675" s="34" t="s">
        <v>4256</v>
      </c>
      <c r="AE675" s="34" t="s">
        <v>4059</v>
      </c>
      <c r="AF675" s="34" t="s">
        <v>5015</v>
      </c>
      <c r="AG675" s="34" t="s">
        <v>5541</v>
      </c>
      <c r="AH675" s="34" t="s">
        <v>5542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7" t="str">
        <f>IFERROR(INDEX(Структура_ассортимента[SuperCategory],MATCH(Товары[[#This Row],[SubGroup]],Структура_ассортимента[Subgroup],0)),"")</f>
        <v>H</v>
      </c>
      <c r="D67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7" t="str">
        <f>IFERROR(INDEX(Структура_ассортимента[Product group],MATCH(Товары[[#This Row],[SubGroup]],Структура_ассортимента[Subgroup],0)),"")</f>
        <v>HSP_C</v>
      </c>
      <c r="G67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2225</v>
      </c>
      <c r="O676" s="37" t="s">
        <v>5543</v>
      </c>
      <c r="P676" s="37" t="s">
        <v>5544</v>
      </c>
      <c r="Q676" s="39" t="s">
        <v>3416</v>
      </c>
      <c r="R676" s="34" t="s">
        <v>3407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3413</v>
      </c>
      <c r="X676" s="34" t="s">
        <v>3418</v>
      </c>
      <c r="Y676" s="34" t="s">
        <v>3409</v>
      </c>
      <c r="Z676" s="34">
        <v>3</v>
      </c>
      <c r="AA676" s="34" t="s">
        <v>4981</v>
      </c>
      <c r="AB676" s="34" t="s">
        <v>4981</v>
      </c>
      <c r="AC676" s="34" t="s">
        <v>5545</v>
      </c>
      <c r="AD676" s="34" t="s">
        <v>4631</v>
      </c>
      <c r="AE676" s="34" t="s">
        <v>5546</v>
      </c>
      <c r="AF676" s="34" t="s">
        <v>3685</v>
      </c>
      <c r="AG676" s="34" t="s">
        <v>5547</v>
      </c>
      <c r="AH676" s="34" t="s">
        <v>5548</v>
      </c>
      <c r="AI676" s="34" t="s">
        <v>5549</v>
      </c>
      <c r="AJ676" s="34" t="s">
        <v>5550</v>
      </c>
      <c r="AK676" s="34" t="s">
        <v>5551</v>
      </c>
      <c r="AL676" s="34" t="s">
        <v>4081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7" t="str">
        <f>IFERROR(INDEX(Структура_ассортимента[SuperCategory],MATCH(Товары[[#This Row],[SubGroup]],Структура_ассортимента[Subgroup],0)),"")</f>
        <v>H</v>
      </c>
      <c r="D67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7" t="str">
        <f>IFERROR(INDEX(Структура_ассортимента[Product group],MATCH(Товары[[#This Row],[SubGroup]],Структура_ассортимента[Subgroup],0)),"")</f>
        <v>HSP_C</v>
      </c>
      <c r="G677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2226</v>
      </c>
      <c r="O677" s="37" t="s">
        <v>5552</v>
      </c>
      <c r="P677" s="37" t="s">
        <v>5553</v>
      </c>
      <c r="Q677" s="39" t="s">
        <v>3416</v>
      </c>
      <c r="R677" s="34" t="s">
        <v>3407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3413</v>
      </c>
      <c r="X677" s="34" t="s">
        <v>3418</v>
      </c>
      <c r="Y677" s="34" t="s">
        <v>3409</v>
      </c>
      <c r="Z677" s="34">
        <v>5</v>
      </c>
      <c r="AA677" s="34" t="s">
        <v>3594</v>
      </c>
      <c r="AB677" s="34" t="s">
        <v>3594</v>
      </c>
      <c r="AC677" s="34" t="s">
        <v>3642</v>
      </c>
      <c r="AD677" s="34" t="s">
        <v>5500</v>
      </c>
      <c r="AE677" s="34" t="s">
        <v>4258</v>
      </c>
      <c r="AF677" s="34" t="s">
        <v>4202</v>
      </c>
      <c r="AG677" s="34" t="s">
        <v>4202</v>
      </c>
      <c r="AH677" s="34" t="s">
        <v>5554</v>
      </c>
      <c r="AI677" s="34" t="s">
        <v>4500</v>
      </c>
      <c r="AJ677" s="34" t="s">
        <v>5555</v>
      </c>
      <c r="AK677" s="34" t="s">
        <v>5556</v>
      </c>
      <c r="AL677" s="34" t="s">
        <v>5557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7" t="str">
        <f>IFERROR(INDEX(Структура_ассортимента[SuperCategory],MATCH(Товары[[#This Row],[SubGroup]],Структура_ассортимента[Subgroup],0)),"")</f>
        <v>H</v>
      </c>
      <c r="D678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7" t="str">
        <f>IFERROR(INDEX(Структура_ассортимента[Product group],MATCH(Товары[[#This Row],[SubGroup]],Структура_ассортимента[Subgroup],0)),"")</f>
        <v>HSP_C</v>
      </c>
      <c r="G678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2227</v>
      </c>
      <c r="O678" s="37" t="s">
        <v>5558</v>
      </c>
      <c r="P678" s="37" t="s">
        <v>5559</v>
      </c>
      <c r="Q678" s="39" t="s">
        <v>3416</v>
      </c>
      <c r="R678" s="34" t="s">
        <v>3407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3413</v>
      </c>
      <c r="X678" s="34" t="s">
        <v>3418</v>
      </c>
      <c r="Y678" s="34" t="s">
        <v>3409</v>
      </c>
      <c r="Z678" s="34">
        <v>4</v>
      </c>
      <c r="AA678" s="34" t="s">
        <v>3795</v>
      </c>
      <c r="AB678" s="34" t="s">
        <v>4267</v>
      </c>
      <c r="AC678" s="34" t="s">
        <v>5560</v>
      </c>
      <c r="AD678" s="34" t="s">
        <v>3601</v>
      </c>
      <c r="AE678" s="34" t="s">
        <v>4513</v>
      </c>
      <c r="AF678" s="34" t="s">
        <v>5015</v>
      </c>
      <c r="AG678" s="34" t="s">
        <v>3805</v>
      </c>
      <c r="AH678" s="34" t="s">
        <v>5561</v>
      </c>
      <c r="AI678" s="34" t="s">
        <v>3984</v>
      </c>
      <c r="AJ678" s="34" t="s">
        <v>5562</v>
      </c>
      <c r="AK678" s="34" t="s">
        <v>3496</v>
      </c>
      <c r="AL678" s="34" t="s">
        <v>4043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7" t="str">
        <f>IFERROR(INDEX(Структура_ассортимента[SuperCategory],MATCH(Товары[[#This Row],[SubGroup]],Структура_ассортимента[Subgroup],0)),"")</f>
        <v>H</v>
      </c>
      <c r="D679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7" t="str">
        <f>IFERROR(INDEX(Структура_ассортимента[Product group],MATCH(Товары[[#This Row],[SubGroup]],Структура_ассортимента[Subgroup],0)),"")</f>
        <v>HSP_C</v>
      </c>
      <c r="G679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2228</v>
      </c>
      <c r="O679" s="37" t="s">
        <v>5563</v>
      </c>
      <c r="P679" s="37" t="s">
        <v>5564</v>
      </c>
      <c r="Q679" s="39" t="s">
        <v>3416</v>
      </c>
      <c r="R679" s="34" t="s">
        <v>3407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3413</v>
      </c>
      <c r="X679" s="34" t="s">
        <v>3418</v>
      </c>
      <c r="Y679" s="34" t="s">
        <v>3409</v>
      </c>
      <c r="Z679" s="34">
        <v>4</v>
      </c>
      <c r="AA679" s="34" t="s">
        <v>4003</v>
      </c>
      <c r="AB679" s="34" t="s">
        <v>4284</v>
      </c>
      <c r="AC679" s="34" t="s">
        <v>4756</v>
      </c>
      <c r="AD679" s="34" t="s">
        <v>4046</v>
      </c>
      <c r="AE679" s="34" t="s">
        <v>3667</v>
      </c>
      <c r="AF679" s="34" t="s">
        <v>3658</v>
      </c>
      <c r="AG679" s="34" t="s">
        <v>4897</v>
      </c>
      <c r="AH679" s="34" t="s">
        <v>5565</v>
      </c>
      <c r="AI679" s="34" t="s">
        <v>3703</v>
      </c>
      <c r="AJ679" s="34" t="s">
        <v>5562</v>
      </c>
      <c r="AK679" s="34" t="s">
        <v>5566</v>
      </c>
      <c r="AL679" s="34" t="s">
        <v>5567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7" t="str">
        <f>IFERROR(INDEX(Структура_ассортимента[SuperCategory],MATCH(Товары[[#This Row],[SubGroup]],Структура_ассортимента[Subgroup],0)),"")</f>
        <v>H</v>
      </c>
      <c r="D680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7" t="str">
        <f>IFERROR(INDEX(Структура_ассортимента[Product group],MATCH(Товары[[#This Row],[SubGroup]],Структура_ассортимента[Subgroup],0)),"")</f>
        <v>HSP_C</v>
      </c>
      <c r="G680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7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2229</v>
      </c>
      <c r="Q680" s="39" t="s">
        <v>3416</v>
      </c>
      <c r="R680" s="34" t="s">
        <v>3407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3417</v>
      </c>
      <c r="X680" s="34" t="s">
        <v>3446</v>
      </c>
      <c r="Y680" s="34" t="s">
        <v>3409</v>
      </c>
      <c r="Z680" s="34">
        <v>12</v>
      </c>
      <c r="AA680" s="34" t="s">
        <v>4014</v>
      </c>
      <c r="AB680" s="34" t="s">
        <v>4014</v>
      </c>
      <c r="AC680" s="34" t="s">
        <v>3795</v>
      </c>
      <c r="AD680" s="34" t="s">
        <v>3795</v>
      </c>
      <c r="AE680" s="34" t="s">
        <v>4050</v>
      </c>
      <c r="AF680" s="34" t="s">
        <v>4218</v>
      </c>
      <c r="AG680" s="34" t="s">
        <v>4218</v>
      </c>
      <c r="AH680" s="34" t="s">
        <v>5568</v>
      </c>
      <c r="AL680" s="34">
        <v>1008</v>
      </c>
      <c r="AM680" s="34" t="s">
        <v>7962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7" t="str">
        <f>IFERROR(INDEX(Структура_ассортимента[SuperCategory],MATCH(Товары[[#This Row],[SubGroup]],Структура_ассортимента[Subgroup],0)),"")</f>
        <v>H</v>
      </c>
      <c r="D681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7" t="str">
        <f>IFERROR(INDEX(Структура_ассортимента[Product group],MATCH(Товары[[#This Row],[SubGroup]],Структура_ассортимента[Subgroup],0)),"")</f>
        <v>HSP_C</v>
      </c>
      <c r="G681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7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2230</v>
      </c>
      <c r="Q681" s="39" t="s">
        <v>3416</v>
      </c>
      <c r="R681" s="34" t="s">
        <v>3407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3413</v>
      </c>
      <c r="X681" s="34" t="s">
        <v>3418</v>
      </c>
      <c r="Y681" s="34" t="s">
        <v>3409</v>
      </c>
      <c r="Z681" s="34">
        <v>1</v>
      </c>
      <c r="AB681" s="34" t="s">
        <v>3962</v>
      </c>
      <c r="AD681" s="34" t="s">
        <v>3968</v>
      </c>
      <c r="AE681" s="34" t="s">
        <v>3686</v>
      </c>
      <c r="AF681" s="34" t="s">
        <v>3423</v>
      </c>
      <c r="AG681" s="34" t="s">
        <v>4642</v>
      </c>
      <c r="AH681" s="34" t="s">
        <v>5569</v>
      </c>
      <c r="AI681" s="34" t="s">
        <v>4318</v>
      </c>
      <c r="AJ681" s="34" t="s">
        <v>4642</v>
      </c>
      <c r="AK681" s="34" t="s">
        <v>3427</v>
      </c>
      <c r="AL681" s="34" t="s">
        <v>5570</v>
      </c>
      <c r="AM681" s="34" t="s">
        <v>7962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7" t="str">
        <f>IFERROR(INDEX(Структура_ассортимента[SuperCategory],MATCH(Товары[[#This Row],[SubGroup]],Структура_ассортимента[Subgroup],0)),"")</f>
        <v>H</v>
      </c>
      <c r="D682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7" t="str">
        <f>IFERROR(INDEX(Структура_ассортимента[Product group],MATCH(Товары[[#This Row],[SubGroup]],Структура_ассортимента[Subgroup],0)),"")</f>
        <v>HSP_C</v>
      </c>
      <c r="G682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2231</v>
      </c>
      <c r="Q682" s="39" t="s">
        <v>4432</v>
      </c>
      <c r="R682" s="34" t="s">
        <v>3407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3417</v>
      </c>
      <c r="Y682" s="34" t="s">
        <v>3409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7961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7" t="str">
        <f>IFERROR(INDEX(Структура_ассортимента[SuperCategory],MATCH(Товары[[#This Row],[SubGroup]],Структура_ассортимента[Subgroup],0)),"")</f>
        <v>H</v>
      </c>
      <c r="D683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7" t="str">
        <f>IFERROR(INDEX(Структура_ассортимента[Product group],MATCH(Товары[[#This Row],[SubGroup]],Структура_ассортимента[Subgroup],0)),"")</f>
        <v>HSP_C</v>
      </c>
      <c r="G683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2232</v>
      </c>
      <c r="Q683" s="39" t="s">
        <v>4432</v>
      </c>
      <c r="R683" s="34" t="s">
        <v>3407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3409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7961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7" t="str">
        <f>IFERROR(INDEX(Структура_ассортимента[SuperCategory],MATCH(Товары[[#This Row],[SubGroup]],Структура_ассортимента[Subgroup],0)),"")</f>
        <v>H</v>
      </c>
      <c r="D684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7" t="str">
        <f>IFERROR(INDEX(Структура_ассортимента[Product group],MATCH(Товары[[#This Row],[SubGroup]],Структура_ассортимента[Subgroup],0)),"")</f>
        <v>HSP_C</v>
      </c>
      <c r="G684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2233</v>
      </c>
      <c r="Q684" s="39" t="s">
        <v>4432</v>
      </c>
      <c r="R684" s="34" t="s">
        <v>3407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3417</v>
      </c>
      <c r="Y684" s="34" t="s">
        <v>3409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7961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7" t="str">
        <f>IFERROR(INDEX(Структура_ассортимента[SuperCategory],MATCH(Товары[[#This Row],[SubGroup]],Структура_ассортимента[Subgroup],0)),"")</f>
        <v>H</v>
      </c>
      <c r="D685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7" t="str">
        <f>IFERROR(INDEX(Структура_ассортимента[Product group],MATCH(Товары[[#This Row],[SubGroup]],Структура_ассортимента[Subgroup],0)),"")</f>
        <v>HSP_C</v>
      </c>
      <c r="G685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2234</v>
      </c>
      <c r="Q685" s="39" t="s">
        <v>4432</v>
      </c>
      <c r="R685" s="34" t="s">
        <v>3407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3417</v>
      </c>
      <c r="Y685" s="34" t="s">
        <v>3409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7961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7" t="str">
        <f>IFERROR(INDEX(Структура_ассортимента[SuperCategory],MATCH(Товары[[#This Row],[SubGroup]],Структура_ассортимента[Subgroup],0)),"")</f>
        <v>H</v>
      </c>
      <c r="D686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7" t="str">
        <f>IFERROR(INDEX(Структура_ассортимента[Product group],MATCH(Товары[[#This Row],[SubGroup]],Структура_ассортимента[Subgroup],0)),"")</f>
        <v>HSP_C</v>
      </c>
      <c r="G686" s="67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7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2235</v>
      </c>
      <c r="Q686" s="39" t="s">
        <v>4432</v>
      </c>
      <c r="R686" s="34" t="s">
        <v>3407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3409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7961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7" t="str">
        <f>IFERROR(INDEX(Структура_ассортимента[SuperCategory],MATCH(Товары[[#This Row],[SubGroup]],Структура_ассортимента[Subgroup],0)),"")</f>
        <v>H</v>
      </c>
      <c r="D687" s="211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7" t="str">
        <f>IFERROR(INDEX(Структура_ассортимента[Product group],MATCH(Товары[[#This Row],[SubGroup]],Структура_ассортимента[Subgroup],0)),"")</f>
        <v>AET_P</v>
      </c>
      <c r="G687" s="67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7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2236</v>
      </c>
      <c r="Q687" s="39" t="s">
        <v>4432</v>
      </c>
      <c r="R687" s="34" t="s">
        <v>3407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3514</v>
      </c>
      <c r="Y687" s="34" t="s">
        <v>3409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5571</v>
      </c>
      <c r="AM687" s="34" t="s">
        <v>7961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7" t="str">
        <f>IFERROR(INDEX(Структура_ассортимента[SuperCategory],MATCH(Товары[[#This Row],[SubGroup]],Структура_ассортимента[Subgroup],0)),"")</f>
        <v>L</v>
      </c>
      <c r="D68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7" t="str">
        <f>IFERROR(INDEX(Структура_ассортимента[Product group],MATCH(Товары[[#This Row],[SubGroup]],Структура_ассортимента[Subgroup],0)),"")</f>
        <v>LBL_P</v>
      </c>
      <c r="G688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2237</v>
      </c>
      <c r="Q688" s="39" t="s">
        <v>3580</v>
      </c>
      <c r="R688" s="34" t="s">
        <v>3407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3413</v>
      </c>
      <c r="Y688" s="34" t="s">
        <v>3409</v>
      </c>
      <c r="Z688" s="34">
        <v>1</v>
      </c>
      <c r="AA688" s="34">
        <v>13725</v>
      </c>
      <c r="AB688" s="34" t="s">
        <v>5572</v>
      </c>
      <c r="AC688" s="34">
        <v>11800</v>
      </c>
      <c r="AD688" s="34" t="s">
        <v>5573</v>
      </c>
      <c r="AE688" s="34" t="s">
        <v>4012</v>
      </c>
      <c r="AF688" s="34" t="s">
        <v>3555</v>
      </c>
      <c r="AG688" s="34" t="s">
        <v>3719</v>
      </c>
      <c r="AH688" s="34" t="s">
        <v>5574</v>
      </c>
      <c r="AL688" s="34" t="s">
        <v>4839</v>
      </c>
      <c r="AM688" s="34" t="s">
        <v>7961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7" t="str">
        <f>IFERROR(INDEX(Структура_ассортимента[SuperCategory],MATCH(Товары[[#This Row],[SubGroup]],Структура_ассортимента[Subgroup],0)),"")</f>
        <v>L</v>
      </c>
      <c r="D68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7" t="str">
        <f>IFERROR(INDEX(Структура_ассортимента[Product group],MATCH(Товары[[#This Row],[SubGroup]],Структура_ассортимента[Subgroup],0)),"")</f>
        <v>LBL_P</v>
      </c>
      <c r="G689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2238</v>
      </c>
      <c r="Q689" s="39" t="s">
        <v>3580</v>
      </c>
      <c r="R689" s="34" t="s">
        <v>3407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3413</v>
      </c>
      <c r="Y689" s="34" t="s">
        <v>3409</v>
      </c>
      <c r="Z689" s="34">
        <v>1</v>
      </c>
      <c r="AA689" s="34">
        <v>10000</v>
      </c>
      <c r="AB689" s="34" t="s">
        <v>5575</v>
      </c>
      <c r="AC689" s="34">
        <v>9000</v>
      </c>
      <c r="AD689" s="34" t="s">
        <v>5576</v>
      </c>
      <c r="AE689" s="34" t="s">
        <v>4126</v>
      </c>
      <c r="AF689" s="34" t="s">
        <v>3589</v>
      </c>
      <c r="AG689" s="34" t="s">
        <v>3447</v>
      </c>
      <c r="AH689" s="34" t="s">
        <v>5577</v>
      </c>
      <c r="AL689" s="34" t="s">
        <v>3886</v>
      </c>
      <c r="AM689" s="34" t="s">
        <v>7961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7" t="str">
        <f>IFERROR(INDEX(Структура_ассортимента[SuperCategory],MATCH(Товары[[#This Row],[SubGroup]],Структура_ассортимента[Subgroup],0)),"")</f>
        <v>L</v>
      </c>
      <c r="D69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7" t="str">
        <f>IFERROR(INDEX(Структура_ассортимента[Product group],MATCH(Товары[[#This Row],[SubGroup]],Структура_ассортимента[Subgroup],0)),"")</f>
        <v>LBL_P</v>
      </c>
      <c r="G690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2239</v>
      </c>
      <c r="O690" s="37" t="s">
        <v>5578</v>
      </c>
      <c r="P690" s="37" t="s">
        <v>5579</v>
      </c>
      <c r="Q690" s="39" t="s">
        <v>3416</v>
      </c>
      <c r="R690" s="34" t="s">
        <v>3407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3413</v>
      </c>
      <c r="X690" s="34" t="s">
        <v>3418</v>
      </c>
      <c r="Y690" s="34" t="s">
        <v>3409</v>
      </c>
      <c r="Z690" s="34">
        <v>1</v>
      </c>
      <c r="AB690" s="34" t="s">
        <v>4903</v>
      </c>
      <c r="AD690" s="34" t="s">
        <v>5580</v>
      </c>
      <c r="AE690" s="34" t="s">
        <v>5581</v>
      </c>
      <c r="AF690" s="34" t="s">
        <v>4193</v>
      </c>
      <c r="AG690" s="34" t="s">
        <v>3719</v>
      </c>
      <c r="AH690" s="34" t="s">
        <v>5582</v>
      </c>
      <c r="AI690" s="34" t="s">
        <v>5583</v>
      </c>
      <c r="AJ690" s="34" t="s">
        <v>5584</v>
      </c>
      <c r="AK690" s="34" t="s">
        <v>3720</v>
      </c>
      <c r="AL690" s="34" t="s">
        <v>4839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7" t="str">
        <f>IFERROR(INDEX(Структура_ассортимента[SuperCategory],MATCH(Товары[[#This Row],[SubGroup]],Структура_ассортимента[Subgroup],0)),"")</f>
        <v>L</v>
      </c>
      <c r="D69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7" t="str">
        <f>IFERROR(INDEX(Структура_ассортимента[Product group],MATCH(Товары[[#This Row],[SubGroup]],Структура_ассортимента[Subgroup],0)),"")</f>
        <v>LBL_P</v>
      </c>
      <c r="G691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2240</v>
      </c>
      <c r="O691" s="37" t="s">
        <v>5585</v>
      </c>
      <c r="P691" s="37" t="s">
        <v>5586</v>
      </c>
      <c r="Q691" s="39" t="s">
        <v>3416</v>
      </c>
      <c r="R691" s="34" t="s">
        <v>3407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3413</v>
      </c>
      <c r="X691" s="34" t="s">
        <v>3418</v>
      </c>
      <c r="Y691" s="34" t="s">
        <v>3409</v>
      </c>
      <c r="Z691" s="34">
        <v>1</v>
      </c>
      <c r="AB691" s="34" t="s">
        <v>5587</v>
      </c>
      <c r="AD691" s="34" t="s">
        <v>5588</v>
      </c>
      <c r="AE691" s="34" t="s">
        <v>5589</v>
      </c>
      <c r="AF691" s="34" t="s">
        <v>3551</v>
      </c>
      <c r="AG691" s="34" t="s">
        <v>3447</v>
      </c>
      <c r="AH691" s="34" t="s">
        <v>5590</v>
      </c>
      <c r="AL691" s="34" t="s">
        <v>3886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7" t="str">
        <f>IFERROR(INDEX(Структура_ассортимента[SuperCategory],MATCH(Товары[[#This Row],[SubGroup]],Структура_ассортимента[Subgroup],0)),"")</f>
        <v>L</v>
      </c>
      <c r="D69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7" t="str">
        <f>IFERROR(INDEX(Структура_ассортимента[Product group],MATCH(Товары[[#This Row],[SubGroup]],Структура_ассортимента[Subgroup],0)),"")</f>
        <v>LBL_P</v>
      </c>
      <c r="G692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2241</v>
      </c>
      <c r="O692" s="37" t="s">
        <v>5591</v>
      </c>
      <c r="P692" s="37" t="s">
        <v>5592</v>
      </c>
      <c r="Q692" s="39" t="s">
        <v>3416</v>
      </c>
      <c r="R692" s="34" t="s">
        <v>3407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3413</v>
      </c>
      <c r="X692" s="34" t="s">
        <v>3418</v>
      </c>
      <c r="Y692" s="34" t="s">
        <v>3409</v>
      </c>
      <c r="Z692" s="34">
        <v>1</v>
      </c>
      <c r="AB692" s="34" t="s">
        <v>5593</v>
      </c>
      <c r="AD692" s="34" t="s">
        <v>5588</v>
      </c>
      <c r="AE692" s="34" t="s">
        <v>5589</v>
      </c>
      <c r="AF692" s="34" t="s">
        <v>3551</v>
      </c>
      <c r="AG692" s="34" t="s">
        <v>3447</v>
      </c>
      <c r="AH692" s="34" t="s">
        <v>5590</v>
      </c>
      <c r="AI692" s="34" t="s">
        <v>4181</v>
      </c>
      <c r="AJ692" s="34" t="s">
        <v>5594</v>
      </c>
      <c r="AK692" s="34" t="s">
        <v>5595</v>
      </c>
      <c r="AL692" s="34" t="s">
        <v>3886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7" t="str">
        <f>IFERROR(INDEX(Структура_ассортимента[SuperCategory],MATCH(Товары[[#This Row],[SubGroup]],Структура_ассортимента[Subgroup],0)),"")</f>
        <v>L</v>
      </c>
      <c r="D69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7" t="str">
        <f>IFERROR(INDEX(Структура_ассортимента[Product group],MATCH(Товары[[#This Row],[SubGroup]],Структура_ассортимента[Subgroup],0)),"")</f>
        <v>LBL_P</v>
      </c>
      <c r="G693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2242</v>
      </c>
      <c r="Q693" s="39" t="s">
        <v>3580</v>
      </c>
      <c r="R693" s="34" t="s">
        <v>3407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3413</v>
      </c>
      <c r="Y693" s="34" t="s">
        <v>3409</v>
      </c>
      <c r="Z693" s="34">
        <v>1</v>
      </c>
      <c r="AB693" s="34" t="s">
        <v>5596</v>
      </c>
      <c r="AD693" s="34" t="s">
        <v>5597</v>
      </c>
      <c r="AE693" s="34" t="s">
        <v>4012</v>
      </c>
      <c r="AF693" s="34" t="s">
        <v>4193</v>
      </c>
      <c r="AG693" s="34" t="s">
        <v>3639</v>
      </c>
      <c r="AH693" s="34" t="s">
        <v>5582</v>
      </c>
      <c r="AL693" s="34" t="s">
        <v>4839</v>
      </c>
      <c r="AM693" s="34" t="s">
        <v>7961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7" t="str">
        <f>IFERROR(INDEX(Структура_ассортимента[SuperCategory],MATCH(Товары[[#This Row],[SubGroup]],Структура_ассортимента[Subgroup],0)),"")</f>
        <v>L</v>
      </c>
      <c r="D69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7" t="str">
        <f>IFERROR(INDEX(Структура_ассортимента[Product group],MATCH(Товары[[#This Row],[SubGroup]],Структура_ассортимента[Subgroup],0)),"")</f>
        <v>LBL_P</v>
      </c>
      <c r="G694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2243</v>
      </c>
      <c r="O694" s="37" t="s">
        <v>5598</v>
      </c>
      <c r="P694" s="37" t="s">
        <v>5599</v>
      </c>
      <c r="Q694" s="39" t="s">
        <v>3416</v>
      </c>
      <c r="R694" s="34" t="s">
        <v>3407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3413</v>
      </c>
      <c r="X694" s="34" t="s">
        <v>3418</v>
      </c>
      <c r="Y694" s="34" t="s">
        <v>3409</v>
      </c>
      <c r="Z694" s="34">
        <v>1</v>
      </c>
      <c r="AB694" s="34" t="s">
        <v>5600</v>
      </c>
      <c r="AD694" s="34" t="s">
        <v>5601</v>
      </c>
      <c r="AE694" s="34" t="s">
        <v>5323</v>
      </c>
      <c r="AF694" s="34" t="s">
        <v>4758</v>
      </c>
      <c r="AG694" s="34" t="s">
        <v>3692</v>
      </c>
      <c r="AH694" s="34" t="s">
        <v>5602</v>
      </c>
      <c r="AI694" s="34" t="s">
        <v>3589</v>
      </c>
      <c r="AJ694" s="34" t="s">
        <v>5603</v>
      </c>
      <c r="AK694" s="34" t="s">
        <v>3477</v>
      </c>
      <c r="AL694" s="34" t="s">
        <v>3725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7" t="str">
        <f>IFERROR(INDEX(Структура_ассортимента[SuperCategory],MATCH(Товары[[#This Row],[SubGroup]],Структура_ассортимента[Subgroup],0)),"")</f>
        <v>L</v>
      </c>
      <c r="D69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7" t="str">
        <f>IFERROR(INDEX(Структура_ассортимента[Product group],MATCH(Товары[[#This Row],[SubGroup]],Структура_ассортимента[Subgroup],0)),"")</f>
        <v>LBL_P</v>
      </c>
      <c r="G695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2244</v>
      </c>
      <c r="O695" s="37" t="s">
        <v>5604</v>
      </c>
      <c r="P695" s="37" t="s">
        <v>5605</v>
      </c>
      <c r="Q695" s="39" t="s">
        <v>3416</v>
      </c>
      <c r="R695" s="34" t="s">
        <v>3407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3413</v>
      </c>
      <c r="X695" s="34" t="s">
        <v>3418</v>
      </c>
      <c r="Y695" s="34" t="s">
        <v>3409</v>
      </c>
      <c r="Z695" s="34">
        <v>1</v>
      </c>
      <c r="AB695" s="34" t="s">
        <v>5606</v>
      </c>
      <c r="AD695" s="34" t="s">
        <v>5606</v>
      </c>
      <c r="AE695" s="34" t="s">
        <v>5323</v>
      </c>
      <c r="AF695" s="34" t="s">
        <v>4758</v>
      </c>
      <c r="AG695" s="34" t="s">
        <v>3692</v>
      </c>
      <c r="AH695" s="34" t="s">
        <v>5602</v>
      </c>
      <c r="AI695" s="34" t="s">
        <v>3589</v>
      </c>
      <c r="AJ695" s="34" t="s">
        <v>5603</v>
      </c>
      <c r="AK695" s="34" t="s">
        <v>3477</v>
      </c>
      <c r="AL695" s="34" t="s">
        <v>3725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7" t="str">
        <f>IFERROR(INDEX(Структура_ассортимента[SuperCategory],MATCH(Товары[[#This Row],[SubGroup]],Структура_ассортимента[Subgroup],0)),"")</f>
        <v>L</v>
      </c>
      <c r="D69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7" t="str">
        <f>IFERROR(INDEX(Структура_ассортимента[Product group],MATCH(Товары[[#This Row],[SubGroup]],Структура_ассортимента[Subgroup],0)),"")</f>
        <v>LBL_P</v>
      </c>
      <c r="G696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2245</v>
      </c>
      <c r="O696" s="37" t="s">
        <v>5607</v>
      </c>
      <c r="P696" s="37" t="s">
        <v>5608</v>
      </c>
      <c r="Q696" s="39" t="s">
        <v>3416</v>
      </c>
      <c r="R696" s="34" t="s">
        <v>3407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3413</v>
      </c>
      <c r="X696" s="34" t="s">
        <v>3418</v>
      </c>
      <c r="Y696" s="34" t="s">
        <v>3409</v>
      </c>
      <c r="Z696" s="34">
        <v>1</v>
      </c>
      <c r="AA696" s="34" t="s">
        <v>5576</v>
      </c>
      <c r="AB696" s="34" t="s">
        <v>5609</v>
      </c>
      <c r="AC696" s="34" t="s">
        <v>3879</v>
      </c>
      <c r="AD696" s="34" t="s">
        <v>5610</v>
      </c>
      <c r="AE696" s="34" t="s">
        <v>4126</v>
      </c>
      <c r="AF696" s="34" t="s">
        <v>3589</v>
      </c>
      <c r="AG696" s="34" t="s">
        <v>3447</v>
      </c>
      <c r="AH696" s="34" t="s">
        <v>5577</v>
      </c>
      <c r="AI696" s="34" t="s">
        <v>5611</v>
      </c>
      <c r="AJ696" s="34" t="s">
        <v>5612</v>
      </c>
      <c r="AK696" s="34" t="s">
        <v>4803</v>
      </c>
      <c r="AL696" s="34" t="s">
        <v>3886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7" t="str">
        <f>IFERROR(INDEX(Структура_ассортимента[SuperCategory],MATCH(Товары[[#This Row],[SubGroup]],Структура_ассортимента[Subgroup],0)),"")</f>
        <v>L</v>
      </c>
      <c r="D69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7" t="str">
        <f>IFERROR(INDEX(Структура_ассортимента[Product group],MATCH(Товары[[#This Row],[SubGroup]],Структура_ассортимента[Subgroup],0)),"")</f>
        <v>LBL_P</v>
      </c>
      <c r="G697" s="67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7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2246</v>
      </c>
      <c r="O697" s="37" t="s">
        <v>5613</v>
      </c>
      <c r="P697" s="37" t="s">
        <v>5614</v>
      </c>
      <c r="Q697" s="39" t="s">
        <v>3416</v>
      </c>
      <c r="R697" s="34" t="s">
        <v>3407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3413</v>
      </c>
      <c r="X697" s="34" t="s">
        <v>3418</v>
      </c>
      <c r="Y697" s="34" t="s">
        <v>3409</v>
      </c>
      <c r="Z697" s="34">
        <v>1</v>
      </c>
      <c r="AA697" s="34">
        <v>13725</v>
      </c>
      <c r="AB697" s="34" t="s">
        <v>5615</v>
      </c>
      <c r="AC697" s="34">
        <v>11800</v>
      </c>
      <c r="AD697" s="34" t="s">
        <v>5616</v>
      </c>
      <c r="AE697" s="34" t="s">
        <v>3612</v>
      </c>
      <c r="AF697" s="34" t="s">
        <v>3555</v>
      </c>
      <c r="AG697" s="34" t="s">
        <v>3639</v>
      </c>
      <c r="AH697" s="34" t="s">
        <v>5617</v>
      </c>
      <c r="AI697" s="34" t="s">
        <v>5618</v>
      </c>
      <c r="AJ697" s="34" t="s">
        <v>5619</v>
      </c>
      <c r="AK697" s="34" t="s">
        <v>5620</v>
      </c>
      <c r="AL697" s="34" t="s">
        <v>4839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7" t="str">
        <f>IFERROR(INDEX(Структура_ассортимента[SuperCategory],MATCH(Товары[[#This Row],[SubGroup]],Структура_ассортимента[Subgroup],0)),"")</f>
        <v>L</v>
      </c>
      <c r="D69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7" t="str">
        <f>IFERROR(INDEX(Структура_ассортимента[Product group],MATCH(Товары[[#This Row],[SubGroup]],Структура_ассортимента[Subgroup],0)),"")</f>
        <v>LEL_C</v>
      </c>
      <c r="G69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2247</v>
      </c>
      <c r="O698" s="37" t="s">
        <v>5621</v>
      </c>
      <c r="P698" s="37" t="s">
        <v>5622</v>
      </c>
      <c r="Q698" s="39" t="s">
        <v>3416</v>
      </c>
      <c r="R698" s="34" t="s">
        <v>3407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3413</v>
      </c>
      <c r="X698" s="34" t="s">
        <v>3418</v>
      </c>
      <c r="Y698" s="34" t="s">
        <v>3409</v>
      </c>
      <c r="Z698" s="34">
        <v>1</v>
      </c>
      <c r="AA698" s="34">
        <v>9815</v>
      </c>
      <c r="AB698" s="34" t="s">
        <v>5623</v>
      </c>
      <c r="AC698" s="34">
        <v>8300</v>
      </c>
      <c r="AD698" s="34" t="s">
        <v>5624</v>
      </c>
      <c r="AE698" s="34" t="s">
        <v>3885</v>
      </c>
      <c r="AF698" s="34" t="s">
        <v>3589</v>
      </c>
      <c r="AG698" s="34" t="s">
        <v>3447</v>
      </c>
      <c r="AH698" s="34" t="s">
        <v>5625</v>
      </c>
      <c r="AI698" s="34" t="s">
        <v>5626</v>
      </c>
      <c r="AJ698" s="34" t="s">
        <v>5627</v>
      </c>
      <c r="AK698" s="34" t="s">
        <v>4864</v>
      </c>
      <c r="AL698" s="34" t="s">
        <v>3886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7" t="str">
        <f>IFERROR(INDEX(Структура_ассортимента[SuperCategory],MATCH(Товары[[#This Row],[SubGroup]],Структура_ассортимента[Subgroup],0)),"")</f>
        <v>L</v>
      </c>
      <c r="D69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7" t="str">
        <f>IFERROR(INDEX(Структура_ассортимента[Product group],MATCH(Товары[[#This Row],[SubGroup]],Структура_ассортимента[Subgroup],0)),"")</f>
        <v>LEL_C</v>
      </c>
      <c r="G69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2248</v>
      </c>
      <c r="Q699" s="39" t="s">
        <v>3416</v>
      </c>
      <c r="R699" s="34" t="s">
        <v>3407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3413</v>
      </c>
      <c r="X699" s="34" t="s">
        <v>3418</v>
      </c>
      <c r="Y699" s="34" t="s">
        <v>3409</v>
      </c>
      <c r="Z699" s="34">
        <v>1</v>
      </c>
      <c r="AB699" s="34" t="s">
        <v>5628</v>
      </c>
      <c r="AD699" s="34" t="s">
        <v>3878</v>
      </c>
      <c r="AE699" s="34" t="s">
        <v>3885</v>
      </c>
      <c r="AF699" s="34" t="s">
        <v>3589</v>
      </c>
      <c r="AG699" s="34" t="s">
        <v>3447</v>
      </c>
      <c r="AH699" s="34" t="s">
        <v>5629</v>
      </c>
      <c r="AI699" s="34" t="s">
        <v>5626</v>
      </c>
      <c r="AJ699" s="34" t="s">
        <v>5627</v>
      </c>
      <c r="AK699" s="34" t="s">
        <v>4864</v>
      </c>
      <c r="AL699" s="34" t="s">
        <v>3886</v>
      </c>
      <c r="AM699" s="34" t="s">
        <v>7962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7" t="str">
        <f>IFERROR(INDEX(Структура_ассортимента[SuperCategory],MATCH(Товары[[#This Row],[SubGroup]],Структура_ассортимента[Subgroup],0)),"")</f>
        <v>L</v>
      </c>
      <c r="D70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7" t="str">
        <f>IFERROR(INDEX(Структура_ассортимента[Product group],MATCH(Товары[[#This Row],[SubGroup]],Структура_ассортимента[Subgroup],0)),"")</f>
        <v>LEL_C</v>
      </c>
      <c r="G70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2249</v>
      </c>
      <c r="O700" s="37" t="s">
        <v>5630</v>
      </c>
      <c r="P700" s="37" t="s">
        <v>5631</v>
      </c>
      <c r="Q700" s="39" t="s">
        <v>3416</v>
      </c>
      <c r="R700" s="34" t="s">
        <v>3407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3413</v>
      </c>
      <c r="X700" s="34" t="s">
        <v>3418</v>
      </c>
      <c r="Y700" s="34" t="s">
        <v>3409</v>
      </c>
      <c r="Z700" s="34">
        <v>1</v>
      </c>
      <c r="AA700" s="34">
        <v>12500</v>
      </c>
      <c r="AB700" s="34" t="s">
        <v>5632</v>
      </c>
      <c r="AC700" s="34">
        <v>10600</v>
      </c>
      <c r="AD700" s="34" t="s">
        <v>5575</v>
      </c>
      <c r="AE700" s="34" t="s">
        <v>5633</v>
      </c>
      <c r="AF700" s="34" t="s">
        <v>3724</v>
      </c>
      <c r="AG700" s="34" t="s">
        <v>4758</v>
      </c>
      <c r="AH700" s="34" t="s">
        <v>5634</v>
      </c>
      <c r="AI700" s="34" t="s">
        <v>5635</v>
      </c>
      <c r="AJ700" s="34" t="s">
        <v>5636</v>
      </c>
      <c r="AK700" s="34" t="s">
        <v>5595</v>
      </c>
      <c r="AL700" s="34" t="s">
        <v>3886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7" t="str">
        <f>IFERROR(INDEX(Структура_ассортимента[SuperCategory],MATCH(Товары[[#This Row],[SubGroup]],Структура_ассортимента[Subgroup],0)),"")</f>
        <v>L</v>
      </c>
      <c r="D70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7" t="str">
        <f>IFERROR(INDEX(Структура_ассортимента[Product group],MATCH(Товары[[#This Row],[SubGroup]],Структура_ассортимента[Subgroup],0)),"")</f>
        <v>LEL_C</v>
      </c>
      <c r="G70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2250</v>
      </c>
      <c r="O701" s="37" t="s">
        <v>5637</v>
      </c>
      <c r="P701" s="37" t="s">
        <v>5638</v>
      </c>
      <c r="Q701" s="39" t="s">
        <v>3416</v>
      </c>
      <c r="R701" s="34" t="s">
        <v>3407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3413</v>
      </c>
      <c r="X701" s="34" t="s">
        <v>3418</v>
      </c>
      <c r="Y701" s="34" t="s">
        <v>3409</v>
      </c>
      <c r="Z701" s="34">
        <v>1</v>
      </c>
      <c r="AA701" s="34" t="s">
        <v>5639</v>
      </c>
      <c r="AB701" s="34" t="s">
        <v>5640</v>
      </c>
      <c r="AC701" s="34" t="s">
        <v>5297</v>
      </c>
      <c r="AD701" s="34" t="s">
        <v>4010</v>
      </c>
      <c r="AE701" s="34" t="s">
        <v>5641</v>
      </c>
      <c r="AF701" s="34" t="s">
        <v>4758</v>
      </c>
      <c r="AG701" s="34" t="s">
        <v>3529</v>
      </c>
      <c r="AH701" s="34" t="s">
        <v>5642</v>
      </c>
      <c r="AI701" s="34" t="s">
        <v>3624</v>
      </c>
      <c r="AJ701" s="34" t="s">
        <v>5643</v>
      </c>
      <c r="AK701" s="34" t="s">
        <v>4468</v>
      </c>
      <c r="AL701" s="34" t="s">
        <v>5644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7" t="str">
        <f>IFERROR(INDEX(Структура_ассортимента[SuperCategory],MATCH(Товары[[#This Row],[SubGroup]],Структура_ассортимента[Subgroup],0)),"")</f>
        <v>L</v>
      </c>
      <c r="D70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7" t="str">
        <f>IFERROR(INDEX(Структура_ассортимента[Product group],MATCH(Товары[[#This Row],[SubGroup]],Структура_ассортимента[Subgroup],0)),"")</f>
        <v>LEL_C</v>
      </c>
      <c r="G70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2251</v>
      </c>
      <c r="O702" s="37" t="s">
        <v>5645</v>
      </c>
      <c r="P702" s="37" t="s">
        <v>5646</v>
      </c>
      <c r="Q702" s="39" t="s">
        <v>3416</v>
      </c>
      <c r="R702" s="34" t="s">
        <v>3407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3413</v>
      </c>
      <c r="X702" s="34" t="s">
        <v>3418</v>
      </c>
      <c r="Y702" s="34" t="s">
        <v>3409</v>
      </c>
      <c r="Z702" s="34">
        <v>1</v>
      </c>
      <c r="AB702" s="34" t="s">
        <v>5647</v>
      </c>
      <c r="AD702" s="34" t="s">
        <v>5648</v>
      </c>
      <c r="AE702" s="34" t="s">
        <v>4012</v>
      </c>
      <c r="AF702" s="34" t="s">
        <v>4193</v>
      </c>
      <c r="AG702" s="34" t="s">
        <v>3639</v>
      </c>
      <c r="AH702" s="34" t="s">
        <v>5582</v>
      </c>
      <c r="AI702" s="34" t="s">
        <v>4740</v>
      </c>
      <c r="AJ702" s="34" t="s">
        <v>5649</v>
      </c>
      <c r="AK702" s="34" t="s">
        <v>3720</v>
      </c>
      <c r="AL702" s="34" t="s">
        <v>4839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7" t="str">
        <f>IFERROR(INDEX(Структура_ассортимента[SuperCategory],MATCH(Товары[[#This Row],[SubGroup]],Структура_ассортимента[Subgroup],0)),"")</f>
        <v>L</v>
      </c>
      <c r="D70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7" t="str">
        <f>IFERROR(INDEX(Структура_ассортимента[Product group],MATCH(Товары[[#This Row],[SubGroup]],Структура_ассортимента[Subgroup],0)),"")</f>
        <v>LEL_C</v>
      </c>
      <c r="G70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2252</v>
      </c>
      <c r="Q703" s="39" t="s">
        <v>3416</v>
      </c>
      <c r="R703" s="34" t="s">
        <v>3407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3410</v>
      </c>
      <c r="X703" s="34" t="s">
        <v>3418</v>
      </c>
      <c r="Y703" s="34" t="s">
        <v>3409</v>
      </c>
      <c r="Z703" s="34">
        <v>1</v>
      </c>
      <c r="AB703" s="34" t="s">
        <v>5647</v>
      </c>
      <c r="AD703" s="34" t="s">
        <v>5648</v>
      </c>
      <c r="AE703" s="34" t="s">
        <v>4012</v>
      </c>
      <c r="AF703" s="34" t="s">
        <v>4193</v>
      </c>
      <c r="AG703" s="34" t="s">
        <v>3639</v>
      </c>
      <c r="AH703" s="34" t="s">
        <v>5582</v>
      </c>
      <c r="AI703" s="34" t="s">
        <v>4740</v>
      </c>
      <c r="AJ703" s="34" t="s">
        <v>5649</v>
      </c>
      <c r="AK703" s="34" t="s">
        <v>3720</v>
      </c>
      <c r="AL703" s="34" t="s">
        <v>4839</v>
      </c>
      <c r="AM703" s="34" t="s">
        <v>7962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7" t="str">
        <f>IFERROR(INDEX(Структура_ассортимента[SuperCategory],MATCH(Товары[[#This Row],[SubGroup]],Структура_ассортимента[Subgroup],0)),"")</f>
        <v>L</v>
      </c>
      <c r="D70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7" t="str">
        <f>IFERROR(INDEX(Структура_ассортимента[Product group],MATCH(Товары[[#This Row],[SubGroup]],Структура_ассортимента[Subgroup],0)),"")</f>
        <v>LEL_C</v>
      </c>
      <c r="G70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2253</v>
      </c>
      <c r="Q704" s="39" t="s">
        <v>3416</v>
      </c>
      <c r="R704" s="34" t="s">
        <v>3407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3410</v>
      </c>
      <c r="X704" s="34" t="s">
        <v>3418</v>
      </c>
      <c r="Y704" s="34" t="s">
        <v>3409</v>
      </c>
      <c r="Z704" s="34">
        <v>1</v>
      </c>
      <c r="AB704" s="34" t="s">
        <v>5650</v>
      </c>
      <c r="AD704" s="34" t="s">
        <v>5651</v>
      </c>
      <c r="AE704" s="34" t="s">
        <v>4012</v>
      </c>
      <c r="AF704" s="34" t="s">
        <v>4193</v>
      </c>
      <c r="AG704" s="34" t="s">
        <v>3639</v>
      </c>
      <c r="AH704" s="34" t="s">
        <v>5582</v>
      </c>
      <c r="AI704" s="34" t="s">
        <v>4740</v>
      </c>
      <c r="AJ704" s="34" t="s">
        <v>5649</v>
      </c>
      <c r="AK704" s="34" t="s">
        <v>3720</v>
      </c>
      <c r="AL704" s="34" t="s">
        <v>4839</v>
      </c>
      <c r="AM704" s="34" t="s">
        <v>7962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7" t="str">
        <f>IFERROR(INDEX(Структура_ассортимента[SuperCategory],MATCH(Товары[[#This Row],[SubGroup]],Структура_ассортимента[Subgroup],0)),"")</f>
        <v>L</v>
      </c>
      <c r="D70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7" t="str">
        <f>IFERROR(INDEX(Структура_ассортимента[Product group],MATCH(Товары[[#This Row],[SubGroup]],Структура_ассортимента[Subgroup],0)),"")</f>
        <v>LEL_C</v>
      </c>
      <c r="G705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2254</v>
      </c>
      <c r="O705" s="37" t="s">
        <v>5652</v>
      </c>
      <c r="P705" s="37" t="s">
        <v>5653</v>
      </c>
      <c r="Q705" s="39" t="s">
        <v>3416</v>
      </c>
      <c r="R705" s="34" t="s">
        <v>3407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3413</v>
      </c>
      <c r="X705" s="34" t="s">
        <v>3418</v>
      </c>
      <c r="Y705" s="34" t="s">
        <v>3409</v>
      </c>
      <c r="Z705" s="34">
        <v>1</v>
      </c>
      <c r="AB705" s="34" t="s">
        <v>5654</v>
      </c>
      <c r="AD705" s="34" t="s">
        <v>5655</v>
      </c>
      <c r="AE705" s="34" t="s">
        <v>4012</v>
      </c>
      <c r="AF705" s="34" t="s">
        <v>4193</v>
      </c>
      <c r="AG705" s="34" t="s">
        <v>3639</v>
      </c>
      <c r="AH705" s="34" t="s">
        <v>5582</v>
      </c>
      <c r="AI705" s="34" t="s">
        <v>4458</v>
      </c>
      <c r="AJ705" s="34" t="s">
        <v>5584</v>
      </c>
      <c r="AK705" s="34" t="s">
        <v>3720</v>
      </c>
      <c r="AL705" s="34" t="s">
        <v>4839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7" t="str">
        <f>IFERROR(INDEX(Структура_ассортимента[SuperCategory],MATCH(Товары[[#This Row],[SubGroup]],Структура_ассортимента[Subgroup],0)),"")</f>
        <v>L</v>
      </c>
      <c r="D70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7" t="str">
        <f>IFERROR(INDEX(Структура_ассортимента[Product group],MATCH(Товары[[#This Row],[SubGroup]],Структура_ассортимента[Subgroup],0)),"")</f>
        <v>LEL_C</v>
      </c>
      <c r="G706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2255</v>
      </c>
      <c r="Q706" s="39" t="s">
        <v>3411</v>
      </c>
      <c r="R706" s="34" t="s">
        <v>3407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5656</v>
      </c>
      <c r="Y706" s="34" t="s">
        <v>3409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7961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7" t="str">
        <f>IFERROR(INDEX(Структура_ассортимента[SuperCategory],MATCH(Товары[[#This Row],[SubGroup]],Структура_ассортимента[Subgroup],0)),"")</f>
        <v>L</v>
      </c>
      <c r="D70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7" t="str">
        <f>IFERROR(INDEX(Структура_ассортимента[Product group],MATCH(Товары[[#This Row],[SubGroup]],Структура_ассортимента[Subgroup],0)),"")</f>
        <v>LEL_C</v>
      </c>
      <c r="G707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2256</v>
      </c>
      <c r="Q707" s="39" t="s">
        <v>4432</v>
      </c>
      <c r="R707" s="34" t="s">
        <v>3407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5657</v>
      </c>
      <c r="Y707" s="34" t="s">
        <v>3409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7961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7" t="str">
        <f>IFERROR(INDEX(Структура_ассортимента[SuperCategory],MATCH(Товары[[#This Row],[SubGroup]],Структура_ассортимента[Subgroup],0)),"")</f>
        <v>L</v>
      </c>
      <c r="D708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7" t="str">
        <f>IFERROR(INDEX(Структура_ассортимента[Product group],MATCH(Товары[[#This Row],[SubGroup]],Структура_ассортимента[Subgroup],0)),"")</f>
        <v>LEL_C</v>
      </c>
      <c r="G708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2257</v>
      </c>
      <c r="Q708" s="39" t="s">
        <v>3411</v>
      </c>
      <c r="R708" s="34" t="s">
        <v>3407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5657</v>
      </c>
      <c r="Y708" s="34" t="s">
        <v>3409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7961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7" t="str">
        <f>IFERROR(INDEX(Структура_ассортимента[SuperCategory],MATCH(Товары[[#This Row],[SubGroup]],Структура_ассортимента[Subgroup],0)),"")</f>
        <v>L</v>
      </c>
      <c r="D709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7" t="str">
        <f>IFERROR(INDEX(Структура_ассортимента[Product group],MATCH(Товары[[#This Row],[SubGroup]],Структура_ассортимента[Subgroup],0)),"")</f>
        <v>LEL_C</v>
      </c>
      <c r="G709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2258</v>
      </c>
      <c r="Q709" s="39" t="s">
        <v>3411</v>
      </c>
      <c r="R709" s="34" t="s">
        <v>3407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5657</v>
      </c>
      <c r="Y709" s="34" t="s">
        <v>3409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7961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7" t="str">
        <f>IFERROR(INDEX(Структура_ассортимента[SuperCategory],MATCH(Товары[[#This Row],[SubGroup]],Структура_ассортимента[Subgroup],0)),"")</f>
        <v>L</v>
      </c>
      <c r="D710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7" t="str">
        <f>IFERROR(INDEX(Структура_ассортимента[Product group],MATCH(Товары[[#This Row],[SubGroup]],Структура_ассортимента[Subgroup],0)),"")</f>
        <v>LEL_C</v>
      </c>
      <c r="G710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2259</v>
      </c>
      <c r="Q710" s="39" t="s">
        <v>4432</v>
      </c>
      <c r="R710" s="34" t="s">
        <v>3407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5184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7961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7" t="str">
        <f>IFERROR(INDEX(Структура_ассортимента[SuperCategory],MATCH(Товары[[#This Row],[SubGroup]],Структура_ассортимента[Subgroup],0)),"")</f>
        <v>L</v>
      </c>
      <c r="D711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7" t="str">
        <f>IFERROR(INDEX(Структура_ассортимента[Product group],MATCH(Товары[[#This Row],[SubGroup]],Структура_ассортимента[Subgroup],0)),"")</f>
        <v>LEL_C</v>
      </c>
      <c r="G711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2260</v>
      </c>
      <c r="Q711" s="39" t="s">
        <v>4432</v>
      </c>
      <c r="R711" s="34" t="s">
        <v>3407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5658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7961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7" t="str">
        <f>IFERROR(INDEX(Структура_ассортимента[SuperCategory],MATCH(Товары[[#This Row],[SubGroup]],Структура_ассортимента[Subgroup],0)),"")</f>
        <v>L</v>
      </c>
      <c r="D712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7" t="str">
        <f>IFERROR(INDEX(Структура_ассортимента[Product group],MATCH(Товары[[#This Row],[SubGroup]],Структура_ассортимента[Subgroup],0)),"")</f>
        <v>LEL_C</v>
      </c>
      <c r="G712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2261</v>
      </c>
      <c r="Q712" s="39" t="s">
        <v>4432</v>
      </c>
      <c r="R712" s="34" t="s">
        <v>3407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5658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7961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7" t="str">
        <f>IFERROR(INDEX(Структура_ассортимента[SuperCategory],MATCH(Товары[[#This Row],[SubGroup]],Структура_ассортимента[Subgroup],0)),"")</f>
        <v>L</v>
      </c>
      <c r="D713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7" t="str">
        <f>IFERROR(INDEX(Структура_ассортимента[Product group],MATCH(Товары[[#This Row],[SubGroup]],Структура_ассортимента[Subgroup],0)),"")</f>
        <v>LEL_C</v>
      </c>
      <c r="G713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2262</v>
      </c>
      <c r="Q713" s="39" t="s">
        <v>3411</v>
      </c>
      <c r="R713" s="34" t="s">
        <v>3407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5657</v>
      </c>
      <c r="Y713" s="34" t="s">
        <v>3409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7961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7" t="str">
        <f>IFERROR(INDEX(Структура_ассортимента[SuperCategory],MATCH(Товары[[#This Row],[SubGroup]],Структура_ассортимента[Subgroup],0)),"")</f>
        <v>L</v>
      </c>
      <c r="D714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7" t="str">
        <f>IFERROR(INDEX(Структура_ассортимента[Product group],MATCH(Товары[[#This Row],[SubGroup]],Структура_ассортимента[Subgroup],0)),"")</f>
        <v>LEL_C</v>
      </c>
      <c r="G714" s="67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7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2263</v>
      </c>
      <c r="Q714" s="39" t="s">
        <v>3411</v>
      </c>
      <c r="R714" s="34" t="s">
        <v>3407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5657</v>
      </c>
      <c r="Y714" s="34" t="s">
        <v>3409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7961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7" t="str">
        <f>IFERROR(INDEX(Структура_ассортимента[SuperCategory],MATCH(Товары[[#This Row],[SubGroup]],Структура_ассортимента[Subgroup],0)),"")</f>
        <v>L</v>
      </c>
      <c r="D715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7" t="str">
        <f>IFERROR(INDEX(Структура_ассортимента[Product group],MATCH(Товары[[#This Row],[SubGroup]],Структура_ассортимента[Subgroup],0)),"")</f>
        <v>LEP_C</v>
      </c>
      <c r="G715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2264</v>
      </c>
      <c r="O715" s="37" t="s">
        <v>5659</v>
      </c>
      <c r="P715" s="37" t="s">
        <v>5660</v>
      </c>
      <c r="Q715" s="39" t="s">
        <v>3416</v>
      </c>
      <c r="R715" s="34" t="s">
        <v>3407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3413</v>
      </c>
      <c r="X715" s="34" t="s">
        <v>3571</v>
      </c>
      <c r="Y715" s="34" t="s">
        <v>3409</v>
      </c>
      <c r="Z715" s="34">
        <v>1</v>
      </c>
      <c r="AA715" s="34" t="s">
        <v>5661</v>
      </c>
      <c r="AB715" s="34" t="s">
        <v>5662</v>
      </c>
      <c r="AC715" s="34" t="s">
        <v>5575</v>
      </c>
      <c r="AD715" s="34" t="s">
        <v>5663</v>
      </c>
      <c r="AE715" s="34" t="s">
        <v>3721</v>
      </c>
      <c r="AF715" s="34" t="s">
        <v>4069</v>
      </c>
      <c r="AG715" s="34" t="s">
        <v>4407</v>
      </c>
      <c r="AH715" s="34" t="s">
        <v>5664</v>
      </c>
      <c r="AL715" s="34" t="s">
        <v>3725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7" t="str">
        <f>IFERROR(INDEX(Структура_ассортимента[SuperCategory],MATCH(Товары[[#This Row],[SubGroup]],Структура_ассортимента[Subgroup],0)),"")</f>
        <v>L</v>
      </c>
      <c r="D716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7" t="str">
        <f>IFERROR(INDEX(Структура_ассортимента[Product group],MATCH(Товары[[#This Row],[SubGroup]],Структура_ассортимента[Subgroup],0)),"")</f>
        <v>LEP_C</v>
      </c>
      <c r="G716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2265</v>
      </c>
      <c r="Q716" s="39" t="s">
        <v>3411</v>
      </c>
      <c r="R716" s="34" t="s">
        <v>3407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3412</v>
      </c>
      <c r="Y716" s="34" t="s">
        <v>3409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7961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7" t="str">
        <f>IFERROR(INDEX(Структура_ассортимента[SuperCategory],MATCH(Товары[[#This Row],[SubGroup]],Структура_ассортимента[Subgroup],0)),"")</f>
        <v>L</v>
      </c>
      <c r="D717" s="211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1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7" t="str">
        <f>IFERROR(INDEX(Структура_ассортимента[Product group],MATCH(Товары[[#This Row],[SubGroup]],Структура_ассортимента[Subgroup],0)),"")</f>
        <v>LEP_C</v>
      </c>
      <c r="G717" s="67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7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2266</v>
      </c>
      <c r="O717" s="37" t="s">
        <v>5665</v>
      </c>
      <c r="P717" s="37" t="s">
        <v>5666</v>
      </c>
      <c r="Q717" s="39" t="s">
        <v>3416</v>
      </c>
      <c r="R717" s="34" t="s">
        <v>3407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3413</v>
      </c>
      <c r="X717" s="34" t="s">
        <v>3571</v>
      </c>
      <c r="Y717" s="34" t="s">
        <v>3409</v>
      </c>
      <c r="Z717" s="34">
        <v>1</v>
      </c>
      <c r="AA717" s="34" t="s">
        <v>5667</v>
      </c>
      <c r="AB717" s="34" t="s">
        <v>5667</v>
      </c>
      <c r="AC717" s="34" t="s">
        <v>5668</v>
      </c>
      <c r="AD717" s="34" t="s">
        <v>5668</v>
      </c>
      <c r="AE717" s="34" t="s">
        <v>3721</v>
      </c>
      <c r="AF717" s="34" t="s">
        <v>4069</v>
      </c>
      <c r="AG717" s="34" t="s">
        <v>4407</v>
      </c>
      <c r="AH717" s="34" t="s">
        <v>5664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7" t="str">
        <f>IFERROR(INDEX(Структура_ассортимента[SuperCategory],MATCH(Товары[[#This Row],[SubGroup]],Структура_ассортимента[Subgroup],0)),"")</f>
        <v>A</v>
      </c>
      <c r="D718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7" t="str">
        <f>IFERROR(INDEX(Структура_ассортимента[Product group],MATCH(Товары[[#This Row],[SubGroup]],Структура_ассортимента[Subgroup],0)),"")</f>
        <v>LML_C</v>
      </c>
      <c r="G718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2267</v>
      </c>
      <c r="O718" s="37" t="s">
        <v>5669</v>
      </c>
      <c r="P718" s="37" t="s">
        <v>5670</v>
      </c>
      <c r="Q718" s="39" t="s">
        <v>3416</v>
      </c>
      <c r="R718" s="34" t="s">
        <v>3407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3414</v>
      </c>
      <c r="X718" s="34" t="s">
        <v>3571</v>
      </c>
      <c r="Y718" s="34" t="s">
        <v>3409</v>
      </c>
      <c r="Z718" s="34">
        <v>1</v>
      </c>
      <c r="AA718" s="34" t="s">
        <v>3849</v>
      </c>
      <c r="AB718" s="34" t="s">
        <v>3849</v>
      </c>
      <c r="AC718" s="34" t="s">
        <v>5671</v>
      </c>
      <c r="AD718" s="34" t="s">
        <v>5671</v>
      </c>
      <c r="AE718" s="34" t="s">
        <v>4594</v>
      </c>
      <c r="AF718" s="34" t="s">
        <v>3825</v>
      </c>
      <c r="AG718" s="34" t="s">
        <v>4191</v>
      </c>
      <c r="AH718" s="34" t="s">
        <v>5672</v>
      </c>
      <c r="AI718" s="34" t="s">
        <v>3830</v>
      </c>
      <c r="AJ718" s="34" t="s">
        <v>5673</v>
      </c>
      <c r="AK718" s="34" t="s">
        <v>5674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7" t="str">
        <f>IFERROR(INDEX(Структура_ассортимента[SuperCategory],MATCH(Товары[[#This Row],[SubGroup]],Структура_ассортимента[Subgroup],0)),"")</f>
        <v>A</v>
      </c>
      <c r="D719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7" t="str">
        <f>IFERROR(INDEX(Структура_ассортимента[Product group],MATCH(Товары[[#This Row],[SubGroup]],Структура_ассортимента[Subgroup],0)),"")</f>
        <v>LML_C</v>
      </c>
      <c r="G719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2268</v>
      </c>
      <c r="Q719" s="39" t="s">
        <v>3580</v>
      </c>
      <c r="R719" s="34" t="s">
        <v>3407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3570</v>
      </c>
      <c r="Y719" s="34" t="s">
        <v>3409</v>
      </c>
      <c r="Z719" s="34">
        <v>1</v>
      </c>
      <c r="AA719" s="34" t="s">
        <v>5655</v>
      </c>
      <c r="AB719" s="34" t="s">
        <v>5655</v>
      </c>
      <c r="AC719" s="34" t="s">
        <v>5675</v>
      </c>
      <c r="AD719" s="34" t="s">
        <v>5675</v>
      </c>
      <c r="AE719" s="34" t="s">
        <v>3779</v>
      </c>
      <c r="AF719" s="34" t="s">
        <v>3724</v>
      </c>
      <c r="AG719" s="34" t="s">
        <v>4208</v>
      </c>
      <c r="AH719" s="34" t="s">
        <v>5676</v>
      </c>
      <c r="AL719" s="34">
        <v>8</v>
      </c>
      <c r="AM719" s="34" t="s">
        <v>7961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7" t="str">
        <f>IFERROR(INDEX(Структура_ассортимента[SuperCategory],MATCH(Товары[[#This Row],[SubGroup]],Структура_ассортимента[Subgroup],0)),"")</f>
        <v>A</v>
      </c>
      <c r="D720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7" t="str">
        <f>IFERROR(INDEX(Структура_ассортимента[Product group],MATCH(Товары[[#This Row],[SubGroup]],Структура_ассортимента[Subgroup],0)),"")</f>
        <v>LML_C</v>
      </c>
      <c r="G720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2269</v>
      </c>
      <c r="Q720" s="39" t="s">
        <v>3580</v>
      </c>
      <c r="R720" s="34" t="s">
        <v>3407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3417</v>
      </c>
      <c r="Y720" s="34" t="s">
        <v>3409</v>
      </c>
      <c r="Z720" s="34">
        <v>1</v>
      </c>
      <c r="AA720" s="34" t="s">
        <v>5677</v>
      </c>
      <c r="AB720" s="34" t="s">
        <v>5678</v>
      </c>
      <c r="AC720" s="34" t="s">
        <v>5675</v>
      </c>
      <c r="AD720" s="34" t="s">
        <v>5675</v>
      </c>
      <c r="AE720" s="34" t="s">
        <v>3779</v>
      </c>
      <c r="AF720" s="34" t="s">
        <v>4069</v>
      </c>
      <c r="AG720" s="34" t="s">
        <v>4208</v>
      </c>
      <c r="AH720" s="34" t="s">
        <v>5679</v>
      </c>
      <c r="AL720" s="34" t="s">
        <v>3725</v>
      </c>
      <c r="AM720" s="34" t="s">
        <v>7961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7" t="str">
        <f>IFERROR(INDEX(Структура_ассортимента[SuperCategory],MATCH(Товары[[#This Row],[SubGroup]],Структура_ассортимента[Subgroup],0)),"")</f>
        <v>A</v>
      </c>
      <c r="D721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7" t="str">
        <f>IFERROR(INDEX(Структура_ассортимента[Product group],MATCH(Товары[[#This Row],[SubGroup]],Структура_ассортимента[Subgroup],0)),"")</f>
        <v>LML_C</v>
      </c>
      <c r="G721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2270</v>
      </c>
      <c r="O721" s="37" t="s">
        <v>5680</v>
      </c>
      <c r="P721" s="37" t="s">
        <v>5681</v>
      </c>
      <c r="Q721" s="39" t="s">
        <v>3416</v>
      </c>
      <c r="R721" s="34" t="s">
        <v>3407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3570</v>
      </c>
      <c r="X721" s="34" t="s">
        <v>3571</v>
      </c>
      <c r="Y721" s="34" t="s">
        <v>3409</v>
      </c>
      <c r="Z721" s="34">
        <v>1</v>
      </c>
      <c r="AA721" s="34" t="s">
        <v>5682</v>
      </c>
      <c r="AB721" s="34" t="s">
        <v>5682</v>
      </c>
      <c r="AC721" s="34" t="s">
        <v>5610</v>
      </c>
      <c r="AD721" s="34" t="s">
        <v>5610</v>
      </c>
      <c r="AE721" s="34" t="s">
        <v>5683</v>
      </c>
      <c r="AF721" s="34" t="s">
        <v>5684</v>
      </c>
      <c r="AG721" s="34" t="s">
        <v>5152</v>
      </c>
      <c r="AH721" s="34" t="s">
        <v>5685</v>
      </c>
      <c r="AI721" s="34" t="s">
        <v>5686</v>
      </c>
      <c r="AJ721" s="34" t="s">
        <v>5687</v>
      </c>
      <c r="AK721" s="34" t="s">
        <v>5688</v>
      </c>
      <c r="AL721" s="34" t="s">
        <v>3484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7" t="str">
        <f>IFERROR(INDEX(Структура_ассортимента[SuperCategory],MATCH(Товары[[#This Row],[SubGroup]],Структура_ассортимента[Subgroup],0)),"")</f>
        <v>A</v>
      </c>
      <c r="D722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7" t="str">
        <f>IFERROR(INDEX(Структура_ассортимента[Product group],MATCH(Товары[[#This Row],[SubGroup]],Структура_ассортимента[Subgroup],0)),"")</f>
        <v>LML_C</v>
      </c>
      <c r="G722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2271</v>
      </c>
      <c r="O722" s="37" t="s">
        <v>5689</v>
      </c>
      <c r="P722" s="37" t="s">
        <v>5690</v>
      </c>
      <c r="Q722" s="39" t="s">
        <v>3416</v>
      </c>
      <c r="R722" s="34" t="s">
        <v>3407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3570</v>
      </c>
      <c r="X722" s="34" t="s">
        <v>3571</v>
      </c>
      <c r="Y722" s="34" t="s">
        <v>3409</v>
      </c>
      <c r="Z722" s="34">
        <v>1</v>
      </c>
      <c r="AA722" s="34" t="s">
        <v>5691</v>
      </c>
      <c r="AB722" s="34" t="s">
        <v>5691</v>
      </c>
      <c r="AC722" s="34" t="s">
        <v>5692</v>
      </c>
      <c r="AD722" s="34" t="s">
        <v>5692</v>
      </c>
      <c r="AE722" s="34" t="s">
        <v>3721</v>
      </c>
      <c r="AF722" s="34" t="s">
        <v>4069</v>
      </c>
      <c r="AG722" s="34" t="s">
        <v>4909</v>
      </c>
      <c r="AH722" s="34" t="s">
        <v>5693</v>
      </c>
      <c r="AI722" s="34" t="s">
        <v>5595</v>
      </c>
      <c r="AJ722" s="34" t="s">
        <v>4966</v>
      </c>
      <c r="AK722" s="34" t="s">
        <v>5683</v>
      </c>
      <c r="AL722" s="34" t="s">
        <v>3484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7" t="str">
        <f>IFERROR(INDEX(Структура_ассортимента[SuperCategory],MATCH(Товары[[#This Row],[SubGroup]],Структура_ассортимента[Subgroup],0)),"")</f>
        <v>A</v>
      </c>
      <c r="D723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7" t="str">
        <f>IFERROR(INDEX(Структура_ассортимента[Product group],MATCH(Товары[[#This Row],[SubGroup]],Структура_ассортимента[Subgroup],0)),"")</f>
        <v>LML_C</v>
      </c>
      <c r="G723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2272</v>
      </c>
      <c r="O723" s="37" t="s">
        <v>5694</v>
      </c>
      <c r="P723" s="37" t="s">
        <v>5695</v>
      </c>
      <c r="Q723" s="39" t="s">
        <v>3416</v>
      </c>
      <c r="R723" s="34" t="s">
        <v>3407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3570</v>
      </c>
      <c r="X723" s="34" t="s">
        <v>3571</v>
      </c>
      <c r="Y723" s="34" t="s">
        <v>3409</v>
      </c>
      <c r="Z723" s="34">
        <v>1</v>
      </c>
      <c r="AA723" s="34" t="s">
        <v>5575</v>
      </c>
      <c r="AB723" s="34" t="s">
        <v>5575</v>
      </c>
      <c r="AC723" s="34" t="s">
        <v>5696</v>
      </c>
      <c r="AD723" s="34" t="s">
        <v>5696</v>
      </c>
      <c r="AE723" s="34" t="s">
        <v>4154</v>
      </c>
      <c r="AF723" s="34" t="s">
        <v>4069</v>
      </c>
      <c r="AG723" s="34" t="s">
        <v>4909</v>
      </c>
      <c r="AH723" s="34" t="s">
        <v>5697</v>
      </c>
      <c r="AI723" s="34" t="s">
        <v>5595</v>
      </c>
      <c r="AJ723" s="34" t="s">
        <v>4966</v>
      </c>
      <c r="AK723" s="34" t="s">
        <v>5683</v>
      </c>
      <c r="AL723" s="34" t="s">
        <v>3484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7" t="str">
        <f>IFERROR(INDEX(Структура_ассортимента[SuperCategory],MATCH(Товары[[#This Row],[SubGroup]],Структура_ассортимента[Subgroup],0)),"")</f>
        <v>A</v>
      </c>
      <c r="D724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7" t="str">
        <f>IFERROR(INDEX(Структура_ассортимента[Product group],MATCH(Товары[[#This Row],[SubGroup]],Структура_ассортимента[Subgroup],0)),"")</f>
        <v>LML_C</v>
      </c>
      <c r="G724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2273</v>
      </c>
      <c r="O724" s="37" t="s">
        <v>5698</v>
      </c>
      <c r="P724" s="37" t="s">
        <v>5699</v>
      </c>
      <c r="Q724" s="39" t="s">
        <v>3416</v>
      </c>
      <c r="R724" s="34" t="s">
        <v>3407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3570</v>
      </c>
      <c r="X724" s="34" t="s">
        <v>3571</v>
      </c>
      <c r="Y724" s="34" t="s">
        <v>3409</v>
      </c>
      <c r="Z724" s="34">
        <v>1</v>
      </c>
      <c r="AA724" s="34" t="s">
        <v>4460</v>
      </c>
      <c r="AB724" s="34" t="s">
        <v>5700</v>
      </c>
      <c r="AC724" s="34" t="s">
        <v>4460</v>
      </c>
      <c r="AD724" s="34" t="s">
        <v>5701</v>
      </c>
      <c r="AE724" s="34" t="s">
        <v>5683</v>
      </c>
      <c r="AF724" s="34" t="s">
        <v>5684</v>
      </c>
      <c r="AG724" s="34" t="s">
        <v>5152</v>
      </c>
      <c r="AH724" s="34" t="s">
        <v>5685</v>
      </c>
      <c r="AI724" s="34" t="s">
        <v>5702</v>
      </c>
      <c r="AJ724" s="34" t="s">
        <v>5703</v>
      </c>
      <c r="AK724" s="34" t="s">
        <v>3825</v>
      </c>
      <c r="AL724" s="34" t="s">
        <v>3484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7" t="str">
        <f>IFERROR(INDEX(Структура_ассортимента[SuperCategory],MATCH(Товары[[#This Row],[SubGroup]],Структура_ассортимента[Subgroup],0)),"")</f>
        <v/>
      </c>
      <c r="D725" s="211" t="str">
        <f>IFERROR(INDEX(Структура_ассортимента[SuperCategory Name ENG],MATCH(Товары[[#This Row],[SubGroup]],Структура_ассортимента[Subgroup],0)),"")</f>
        <v/>
      </c>
      <c r="E725" s="211" t="str">
        <f>IFERROR(INDEX(Структура_ассортимента[SuperCategory Name RUS],MATCH(Товары[[#This Row],[SubGroup]],Структура_ассортимента[Subgroup],0)),"")</f>
        <v/>
      </c>
      <c r="F725" s="67" t="str">
        <f>IFERROR(INDEX(Структура_ассортимента[Product group],MATCH(Товары[[#This Row],[SubGroup]],Структура_ассортимента[Subgroup],0)),"")</f>
        <v/>
      </c>
      <c r="G725" s="67" t="str">
        <f>IFERROR(INDEX(Структура_ассортимента[Product group name ENG],MATCH(Товары[[#This Row],[SubGroup]],Структура_ассортимента[Subgroup],0)),"")</f>
        <v/>
      </c>
      <c r="H725" s="67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2274</v>
      </c>
      <c r="Q725" s="39" t="s">
        <v>3406</v>
      </c>
      <c r="R725" s="34" t="s">
        <v>3407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3570</v>
      </c>
      <c r="Y725" s="34" t="s">
        <v>3409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7961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7" t="str">
        <f>IFERROR(INDEX(Структура_ассортимента[SuperCategory],MATCH(Товары[[#This Row],[SubGroup]],Структура_ассортимента[Subgroup],0)),"")</f>
        <v/>
      </c>
      <c r="D726" s="211" t="str">
        <f>IFERROR(INDEX(Структура_ассортимента[SuperCategory Name ENG],MATCH(Товары[[#This Row],[SubGroup]],Структура_ассортимента[Subgroup],0)),"")</f>
        <v/>
      </c>
      <c r="E726" s="211" t="str">
        <f>IFERROR(INDEX(Структура_ассортимента[SuperCategory Name RUS],MATCH(Товары[[#This Row],[SubGroup]],Структура_ассортимента[Subgroup],0)),"")</f>
        <v/>
      </c>
      <c r="F726" s="67" t="str">
        <f>IFERROR(INDEX(Структура_ассортимента[Product group],MATCH(Товары[[#This Row],[SubGroup]],Структура_ассортимента[Subgroup],0)),"")</f>
        <v/>
      </c>
      <c r="G726" s="67" t="str">
        <f>IFERROR(INDEX(Структура_ассортимента[Product group name ENG],MATCH(Товары[[#This Row],[SubGroup]],Структура_ассортимента[Subgroup],0)),"")</f>
        <v/>
      </c>
      <c r="H726" s="67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2275</v>
      </c>
      <c r="Q726" s="39" t="s">
        <v>3406</v>
      </c>
      <c r="R726" s="34" t="s">
        <v>3407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3570</v>
      </c>
      <c r="Y726" s="34" t="s">
        <v>3409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7961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7" t="str">
        <f>IFERROR(INDEX(Структура_ассортимента[SuperCategory],MATCH(Товары[[#This Row],[SubGroup]],Структура_ассортимента[Subgroup],0)),"")</f>
        <v/>
      </c>
      <c r="D727" s="211" t="str">
        <f>IFERROR(INDEX(Структура_ассортимента[SuperCategory Name ENG],MATCH(Товары[[#This Row],[SubGroup]],Структура_ассортимента[Subgroup],0)),"")</f>
        <v/>
      </c>
      <c r="E727" s="211" t="str">
        <f>IFERROR(INDEX(Структура_ассортимента[SuperCategory Name RUS],MATCH(Товары[[#This Row],[SubGroup]],Структура_ассортимента[Subgroup],0)),"")</f>
        <v/>
      </c>
      <c r="F727" s="67" t="str">
        <f>IFERROR(INDEX(Структура_ассортимента[Product group],MATCH(Товары[[#This Row],[SubGroup]],Структура_ассортимента[Subgroup],0)),"")</f>
        <v/>
      </c>
      <c r="G727" s="67" t="str">
        <f>IFERROR(INDEX(Структура_ассортимента[Product group name ENG],MATCH(Товары[[#This Row],[SubGroup]],Структура_ассортимента[Subgroup],0)),"")</f>
        <v/>
      </c>
      <c r="H727" s="67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2276</v>
      </c>
      <c r="Q727" s="39" t="s">
        <v>3406</v>
      </c>
      <c r="R727" s="34" t="s">
        <v>3407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3570</v>
      </c>
      <c r="Y727" s="34" t="s">
        <v>3409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7961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7" t="str">
        <f>IFERROR(INDEX(Структура_ассортимента[SuperCategory],MATCH(Товары[[#This Row],[SubGroup]],Структура_ассортимента[Subgroup],0)),"")</f>
        <v/>
      </c>
      <c r="D728" s="211" t="str">
        <f>IFERROR(INDEX(Структура_ассортимента[SuperCategory Name ENG],MATCH(Товары[[#This Row],[SubGroup]],Структура_ассортимента[Subgroup],0)),"")</f>
        <v/>
      </c>
      <c r="E728" s="211" t="str">
        <f>IFERROR(INDEX(Структура_ассортимента[SuperCategory Name RUS],MATCH(Товары[[#This Row],[SubGroup]],Структура_ассортимента[Subgroup],0)),"")</f>
        <v/>
      </c>
      <c r="F728" s="67" t="str">
        <f>IFERROR(INDEX(Структура_ассортимента[Product group],MATCH(Товары[[#This Row],[SubGroup]],Структура_ассортимента[Subgroup],0)),"")</f>
        <v/>
      </c>
      <c r="G728" s="67" t="str">
        <f>IFERROR(INDEX(Структура_ассортимента[Product group name ENG],MATCH(Товары[[#This Row],[SubGroup]],Структура_ассортимента[Subgroup],0)),"")</f>
        <v/>
      </c>
      <c r="H728" s="67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2277</v>
      </c>
      <c r="Q728" s="39" t="s">
        <v>3406</v>
      </c>
      <c r="R728" s="34" t="s">
        <v>3407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3570</v>
      </c>
      <c r="Y728" s="34" t="s">
        <v>3409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7961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7" t="str">
        <f>IFERROR(INDEX(Структура_ассортимента[SuperCategory],MATCH(Товары[[#This Row],[SubGroup]],Структура_ассортимента[Subgroup],0)),"")</f>
        <v/>
      </c>
      <c r="D729" s="211" t="str">
        <f>IFERROR(INDEX(Структура_ассортимента[SuperCategory Name ENG],MATCH(Товары[[#This Row],[SubGroup]],Структура_ассортимента[Subgroup],0)),"")</f>
        <v/>
      </c>
      <c r="E729" s="211" t="str">
        <f>IFERROR(INDEX(Структура_ассортимента[SuperCategory Name RUS],MATCH(Товары[[#This Row],[SubGroup]],Структура_ассортимента[Subgroup],0)),"")</f>
        <v/>
      </c>
      <c r="F729" s="67" t="str">
        <f>IFERROR(INDEX(Структура_ассортимента[Product group],MATCH(Товары[[#This Row],[SubGroup]],Структура_ассортимента[Subgroup],0)),"")</f>
        <v/>
      </c>
      <c r="G729" s="67" t="str">
        <f>IFERROR(INDEX(Структура_ассортимента[Product group name ENG],MATCH(Товары[[#This Row],[SubGroup]],Структура_ассортимента[Subgroup],0)),"")</f>
        <v/>
      </c>
      <c r="H729" s="67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2278</v>
      </c>
      <c r="Q729" s="39" t="s">
        <v>3406</v>
      </c>
      <c r="R729" s="34" t="s">
        <v>3407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3570</v>
      </c>
      <c r="Y729" s="34" t="s">
        <v>3409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7961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7" t="str">
        <f>IFERROR(INDEX(Структура_ассортимента[SuperCategory],MATCH(Товары[[#This Row],[SubGroup]],Структура_ассортимента[Subgroup],0)),"")</f>
        <v/>
      </c>
      <c r="D730" s="211" t="str">
        <f>IFERROR(INDEX(Структура_ассортимента[SuperCategory Name ENG],MATCH(Товары[[#This Row],[SubGroup]],Структура_ассортимента[Subgroup],0)),"")</f>
        <v/>
      </c>
      <c r="E730" s="211" t="str">
        <f>IFERROR(INDEX(Структура_ассортимента[SuperCategory Name RUS],MATCH(Товары[[#This Row],[SubGroup]],Структура_ассортимента[Subgroup],0)),"")</f>
        <v/>
      </c>
      <c r="F730" s="67" t="str">
        <f>IFERROR(INDEX(Структура_ассортимента[Product group],MATCH(Товары[[#This Row],[SubGroup]],Структура_ассортимента[Subgroup],0)),"")</f>
        <v/>
      </c>
      <c r="G730" s="67" t="str">
        <f>IFERROR(INDEX(Структура_ассортимента[Product group name ENG],MATCH(Товары[[#This Row],[SubGroup]],Структура_ассортимента[Subgroup],0)),"")</f>
        <v/>
      </c>
      <c r="H730" s="67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2279</v>
      </c>
      <c r="Q730" s="39" t="s">
        <v>3406</v>
      </c>
      <c r="R730" s="34" t="s">
        <v>3407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3570</v>
      </c>
      <c r="Y730" s="34" t="s">
        <v>3409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7961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7" t="str">
        <f>IFERROR(INDEX(Структура_ассортимента[SuperCategory],MATCH(Товары[[#This Row],[SubGroup]],Структура_ассортимента[Subgroup],0)),"")</f>
        <v/>
      </c>
      <c r="D731" s="211" t="str">
        <f>IFERROR(INDEX(Структура_ассортимента[SuperCategory Name ENG],MATCH(Товары[[#This Row],[SubGroup]],Структура_ассортимента[Subgroup],0)),"")</f>
        <v/>
      </c>
      <c r="E731" s="211" t="str">
        <f>IFERROR(INDEX(Структура_ассортимента[SuperCategory Name RUS],MATCH(Товары[[#This Row],[SubGroup]],Структура_ассортимента[Subgroup],0)),"")</f>
        <v/>
      </c>
      <c r="F731" s="67" t="str">
        <f>IFERROR(INDEX(Структура_ассортимента[Product group],MATCH(Товары[[#This Row],[SubGroup]],Структура_ассортимента[Subgroup],0)),"")</f>
        <v/>
      </c>
      <c r="G731" s="67" t="str">
        <f>IFERROR(INDEX(Структура_ассортимента[Product group name ENG],MATCH(Товары[[#This Row],[SubGroup]],Структура_ассортимента[Subgroup],0)),"")</f>
        <v/>
      </c>
      <c r="H731" s="67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2280</v>
      </c>
      <c r="Q731" s="39" t="s">
        <v>3406</v>
      </c>
      <c r="R731" s="34" t="s">
        <v>3407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3570</v>
      </c>
      <c r="Y731" s="34" t="s">
        <v>3409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7961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7" t="str">
        <f>IFERROR(INDEX(Структура_ассортимента[SuperCategory],MATCH(Товары[[#This Row],[SubGroup]],Структура_ассортимента[Subgroup],0)),"")</f>
        <v/>
      </c>
      <c r="D732" s="211" t="str">
        <f>IFERROR(INDEX(Структура_ассортимента[SuperCategory Name ENG],MATCH(Товары[[#This Row],[SubGroup]],Структура_ассортимента[Subgroup],0)),"")</f>
        <v/>
      </c>
      <c r="E732" s="211" t="str">
        <f>IFERROR(INDEX(Структура_ассортимента[SuperCategory Name RUS],MATCH(Товары[[#This Row],[SubGroup]],Структура_ассортимента[Subgroup],0)),"")</f>
        <v/>
      </c>
      <c r="F732" s="67" t="str">
        <f>IFERROR(INDEX(Структура_ассортимента[Product group],MATCH(Товары[[#This Row],[SubGroup]],Структура_ассортимента[Subgroup],0)),"")</f>
        <v/>
      </c>
      <c r="G732" s="67" t="str">
        <f>IFERROR(INDEX(Структура_ассортимента[Product group name ENG],MATCH(Товары[[#This Row],[SubGroup]],Структура_ассортимента[Subgroup],0)),"")</f>
        <v/>
      </c>
      <c r="H732" s="67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2281</v>
      </c>
      <c r="Q732" s="39" t="s">
        <v>3406</v>
      </c>
      <c r="R732" s="34" t="s">
        <v>3407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3570</v>
      </c>
      <c r="Y732" s="34" t="s">
        <v>3409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7961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7" t="str">
        <f>IFERROR(INDEX(Структура_ассортимента[SuperCategory],MATCH(Товары[[#This Row],[SubGroup]],Структура_ассортимента[Subgroup],0)),"")</f>
        <v/>
      </c>
      <c r="D733" s="211" t="str">
        <f>IFERROR(INDEX(Структура_ассортимента[SuperCategory Name ENG],MATCH(Товары[[#This Row],[SubGroup]],Структура_ассортимента[Subgroup],0)),"")</f>
        <v/>
      </c>
      <c r="E733" s="211" t="str">
        <f>IFERROR(INDEX(Структура_ассортимента[SuperCategory Name RUS],MATCH(Товары[[#This Row],[SubGroup]],Структура_ассортимента[Subgroup],0)),"")</f>
        <v/>
      </c>
      <c r="F733" s="67" t="str">
        <f>IFERROR(INDEX(Структура_ассортимента[Product group],MATCH(Товары[[#This Row],[SubGroup]],Структура_ассортимента[Subgroup],0)),"")</f>
        <v/>
      </c>
      <c r="G733" s="67" t="str">
        <f>IFERROR(INDEX(Структура_ассортимента[Product group name ENG],MATCH(Товары[[#This Row],[SubGroup]],Структура_ассортимента[Subgroup],0)),"")</f>
        <v/>
      </c>
      <c r="H733" s="67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2282</v>
      </c>
      <c r="Q733" s="39" t="s">
        <v>3406</v>
      </c>
      <c r="R733" s="34" t="s">
        <v>3407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3409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7961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7" t="str">
        <f>IFERROR(INDEX(Структура_ассортимента[SuperCategory],MATCH(Товары[[#This Row],[SubGroup]],Структура_ассортимента[Subgroup],0)),"")</f>
        <v/>
      </c>
      <c r="D734" s="211" t="str">
        <f>IFERROR(INDEX(Структура_ассортимента[SuperCategory Name ENG],MATCH(Товары[[#This Row],[SubGroup]],Структура_ассортимента[Subgroup],0)),"")</f>
        <v/>
      </c>
      <c r="E734" s="211" t="str">
        <f>IFERROR(INDEX(Структура_ассортимента[SuperCategory Name RUS],MATCH(Товары[[#This Row],[SubGroup]],Структура_ассортимента[Subgroup],0)),"")</f>
        <v/>
      </c>
      <c r="F734" s="67" t="str">
        <f>IFERROR(INDEX(Структура_ассортимента[Product group],MATCH(Товары[[#This Row],[SubGroup]],Структура_ассортимента[Subgroup],0)),"")</f>
        <v/>
      </c>
      <c r="G734" s="67" t="str">
        <f>IFERROR(INDEX(Структура_ассортимента[Product group name ENG],MATCH(Товары[[#This Row],[SubGroup]],Структура_ассортимента[Subgroup],0)),"")</f>
        <v/>
      </c>
      <c r="H734" s="67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2283</v>
      </c>
      <c r="Q734" s="39" t="s">
        <v>3406</v>
      </c>
      <c r="R734" s="34" t="s">
        <v>3407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3570</v>
      </c>
      <c r="Y734" s="34" t="s">
        <v>3409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7961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7" t="str">
        <f>IFERROR(INDEX(Структура_ассортимента[SuperCategory],MATCH(Товары[[#This Row],[SubGroup]],Структура_ассортимента[Subgroup],0)),"")</f>
        <v>A</v>
      </c>
      <c r="D735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7" t="str">
        <f>IFERROR(INDEX(Структура_ассортимента[Product group],MATCH(Товары[[#This Row],[SubGroup]],Структура_ассортимента[Subgroup],0)),"")</f>
        <v>LML_C</v>
      </c>
      <c r="G735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2284</v>
      </c>
      <c r="Q735" s="39" t="s">
        <v>3411</v>
      </c>
      <c r="R735" s="34" t="s">
        <v>3407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3417</v>
      </c>
      <c r="Y735" s="34" t="s">
        <v>3409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7961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7" t="str">
        <f>IFERROR(INDEX(Структура_ассортимента[SuperCategory],MATCH(Товары[[#This Row],[SubGroup]],Структура_ассортимента[Subgroup],0)),"")</f>
        <v>A</v>
      </c>
      <c r="D736" s="211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1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7" t="str">
        <f>IFERROR(INDEX(Структура_ассортимента[Product group],MATCH(Товары[[#This Row],[SubGroup]],Структура_ассортимента[Subgroup],0)),"")</f>
        <v>LML_C</v>
      </c>
      <c r="G736" s="67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7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2285</v>
      </c>
      <c r="Q736" s="39" t="s">
        <v>3411</v>
      </c>
      <c r="R736" s="34" t="s">
        <v>3407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3417</v>
      </c>
      <c r="Y736" s="34" t="s">
        <v>3409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7961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7" t="str">
        <f>IFERROR(INDEX(Структура_ассортимента[SuperCategory],MATCH(Товары[[#This Row],[SubGroup]],Структура_ассортимента[Subgroup],0)),"")</f>
        <v>R</v>
      </c>
      <c r="D73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7" t="str">
        <f>IFERROR(INDEX(Структура_ассортимента[Product group],MATCH(Товары[[#This Row],[SubGroup]],Структура_ассортимента[Subgroup],0)),"")</f>
        <v>LRL_C</v>
      </c>
      <c r="G73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2286</v>
      </c>
      <c r="Q737" s="39" t="s">
        <v>3580</v>
      </c>
      <c r="R737" s="34" t="s">
        <v>3407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5704</v>
      </c>
      <c r="Y737" s="34" t="s">
        <v>3409</v>
      </c>
      <c r="Z737" s="34">
        <v>1</v>
      </c>
      <c r="AB737" s="34" t="s">
        <v>5705</v>
      </c>
      <c r="AD737" s="34" t="s">
        <v>5576</v>
      </c>
      <c r="AE737" s="34" t="s">
        <v>5581</v>
      </c>
      <c r="AF737" s="34" t="s">
        <v>4133</v>
      </c>
      <c r="AG737" s="34" t="s">
        <v>4915</v>
      </c>
      <c r="AH737" s="34" t="s">
        <v>5706</v>
      </c>
      <c r="AL737" s="34" t="s">
        <v>4839</v>
      </c>
      <c r="AM737" s="34" t="s">
        <v>7961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7" t="str">
        <f>IFERROR(INDEX(Структура_ассортимента[SuperCategory],MATCH(Товары[[#This Row],[SubGroup]],Структура_ассортимента[Subgroup],0)),"")</f>
        <v>R</v>
      </c>
      <c r="D73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7" t="str">
        <f>IFERROR(INDEX(Структура_ассортимента[Product group],MATCH(Товары[[#This Row],[SubGroup]],Структура_ассортимента[Subgroup],0)),"")</f>
        <v>LRL_C</v>
      </c>
      <c r="G73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2287</v>
      </c>
      <c r="P738" s="37" t="s">
        <v>5707</v>
      </c>
      <c r="Q738" s="39" t="s">
        <v>3580</v>
      </c>
      <c r="R738" s="34" t="s">
        <v>3407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3410</v>
      </c>
      <c r="Y738" s="34" t="s">
        <v>3409</v>
      </c>
      <c r="Z738" s="34">
        <v>1</v>
      </c>
      <c r="AA738" s="34" t="s">
        <v>4834</v>
      </c>
      <c r="AB738" s="34" t="s">
        <v>5708</v>
      </c>
      <c r="AC738" s="34" t="s">
        <v>5709</v>
      </c>
      <c r="AD738" s="34" t="s">
        <v>5710</v>
      </c>
      <c r="AE738" s="34" t="s">
        <v>5032</v>
      </c>
      <c r="AF738" s="34" t="s">
        <v>4287</v>
      </c>
      <c r="AG738" s="34" t="s">
        <v>4915</v>
      </c>
      <c r="AH738" s="34" t="s">
        <v>5711</v>
      </c>
      <c r="AI738" s="34" t="s">
        <v>4190</v>
      </c>
      <c r="AJ738" s="34" t="s">
        <v>3610</v>
      </c>
      <c r="AK738" s="34" t="s">
        <v>3589</v>
      </c>
      <c r="AL738" s="34" t="s">
        <v>4839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7" t="str">
        <f>IFERROR(INDEX(Структура_ассортимента[SuperCategory],MATCH(Товары[[#This Row],[SubGroup]],Структура_ассортимента[Subgroup],0)),"")</f>
        <v>R</v>
      </c>
      <c r="D73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7" t="str">
        <f>IFERROR(INDEX(Структура_ассортимента[Product group],MATCH(Товары[[#This Row],[SubGroup]],Структура_ассортимента[Subgroup],0)),"")</f>
        <v>LRL_C</v>
      </c>
      <c r="G73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2288</v>
      </c>
      <c r="Q739" s="39" t="s">
        <v>3580</v>
      </c>
      <c r="R739" s="34" t="s">
        <v>3407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3410</v>
      </c>
      <c r="Y739" s="34" t="s">
        <v>3409</v>
      </c>
      <c r="Z739" s="34">
        <v>1</v>
      </c>
      <c r="AA739" s="34" t="s">
        <v>4834</v>
      </c>
      <c r="AB739" s="34" t="s">
        <v>5708</v>
      </c>
      <c r="AC739" s="34" t="s">
        <v>5709</v>
      </c>
      <c r="AD739" s="34" t="s">
        <v>5712</v>
      </c>
      <c r="AE739" s="34" t="s">
        <v>5032</v>
      </c>
      <c r="AF739" s="34" t="s">
        <v>4287</v>
      </c>
      <c r="AG739" s="34" t="s">
        <v>4915</v>
      </c>
      <c r="AH739" s="34" t="s">
        <v>5711</v>
      </c>
      <c r="AI739" s="34" t="s">
        <v>4190</v>
      </c>
      <c r="AJ739" s="34" t="s">
        <v>3610</v>
      </c>
      <c r="AK739" s="34" t="s">
        <v>3589</v>
      </c>
      <c r="AL739" s="34" t="s">
        <v>3525</v>
      </c>
      <c r="AM739" s="34" t="s">
        <v>7961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7" t="str">
        <f>IFERROR(INDEX(Структура_ассортимента[SuperCategory],MATCH(Товары[[#This Row],[SubGroup]],Структура_ассортимента[Subgroup],0)),"")</f>
        <v>R</v>
      </c>
      <c r="D74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7" t="str">
        <f>IFERROR(INDEX(Структура_ассортимента[Product group],MATCH(Товары[[#This Row],[SubGroup]],Структура_ассортимента[Subgroup],0)),"")</f>
        <v>LRL_C</v>
      </c>
      <c r="G74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2289</v>
      </c>
      <c r="P740" s="37" t="s">
        <v>5713</v>
      </c>
      <c r="Q740" s="39" t="s">
        <v>3580</v>
      </c>
      <c r="R740" s="34" t="s">
        <v>3407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3410</v>
      </c>
      <c r="Y740" s="34" t="s">
        <v>3409</v>
      </c>
      <c r="Z740" s="34">
        <v>1</v>
      </c>
      <c r="AA740" s="34" t="s">
        <v>4834</v>
      </c>
      <c r="AB740" s="34" t="s">
        <v>5708</v>
      </c>
      <c r="AC740" s="34" t="s">
        <v>5709</v>
      </c>
      <c r="AD740" s="34" t="s">
        <v>5710</v>
      </c>
      <c r="AE740" s="34" t="s">
        <v>5032</v>
      </c>
      <c r="AF740" s="34" t="s">
        <v>4287</v>
      </c>
      <c r="AG740" s="34" t="s">
        <v>4915</v>
      </c>
      <c r="AH740" s="34" t="s">
        <v>5711</v>
      </c>
      <c r="AI740" s="34" t="s">
        <v>4190</v>
      </c>
      <c r="AJ740" s="34" t="s">
        <v>3610</v>
      </c>
      <c r="AK740" s="34" t="s">
        <v>3589</v>
      </c>
      <c r="AL740" s="34" t="s">
        <v>4839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7" t="str">
        <f>IFERROR(INDEX(Структура_ассортимента[SuperCategory],MATCH(Товары[[#This Row],[SubGroup]],Структура_ассортимента[Subgroup],0)),"")</f>
        <v>R</v>
      </c>
      <c r="D74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7" t="str">
        <f>IFERROR(INDEX(Структура_ассортимента[Product group],MATCH(Товары[[#This Row],[SubGroup]],Структура_ассортимента[Subgroup],0)),"")</f>
        <v>LRL_C</v>
      </c>
      <c r="G74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2290</v>
      </c>
      <c r="Q741" s="39" t="s">
        <v>3416</v>
      </c>
      <c r="R741" s="34" t="s">
        <v>3407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3408</v>
      </c>
      <c r="X741" s="34" t="s">
        <v>3571</v>
      </c>
      <c r="Y741" s="34" t="s">
        <v>3409</v>
      </c>
      <c r="Z741" s="34">
        <v>1</v>
      </c>
      <c r="AA741" s="34" t="s">
        <v>4834</v>
      </c>
      <c r="AB741" s="34" t="s">
        <v>5714</v>
      </c>
      <c r="AC741" s="34" t="s">
        <v>5709</v>
      </c>
      <c r="AD741" s="34" t="s">
        <v>5715</v>
      </c>
      <c r="AE741" s="34" t="s">
        <v>5032</v>
      </c>
      <c r="AF741" s="34" t="s">
        <v>4287</v>
      </c>
      <c r="AG741" s="34" t="s">
        <v>4915</v>
      </c>
      <c r="AH741" s="34" t="s">
        <v>5711</v>
      </c>
      <c r="AI741" s="34" t="s">
        <v>4190</v>
      </c>
      <c r="AJ741" s="34" t="s">
        <v>3610</v>
      </c>
      <c r="AK741" s="34" t="s">
        <v>3589</v>
      </c>
      <c r="AL741" s="34" t="s">
        <v>4839</v>
      </c>
      <c r="AM741" s="34" t="s">
        <v>7962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7" t="str">
        <f>IFERROR(INDEX(Структура_ассортимента[SuperCategory],MATCH(Товары[[#This Row],[SubGroup]],Структура_ассортимента[Subgroup],0)),"")</f>
        <v>R</v>
      </c>
      <c r="D74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7" t="str">
        <f>IFERROR(INDEX(Структура_ассортимента[Product group],MATCH(Товары[[#This Row],[SubGroup]],Структура_ассортимента[Subgroup],0)),"")</f>
        <v>LRL_C</v>
      </c>
      <c r="G74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2291</v>
      </c>
      <c r="Q742" s="39" t="s">
        <v>3580</v>
      </c>
      <c r="R742" s="34" t="s">
        <v>3407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3410</v>
      </c>
      <c r="Y742" s="34" t="s">
        <v>3409</v>
      </c>
      <c r="Z742" s="34">
        <v>1</v>
      </c>
      <c r="AA742" s="34" t="s">
        <v>4834</v>
      </c>
      <c r="AB742" s="34" t="s">
        <v>5716</v>
      </c>
      <c r="AC742" s="34" t="s">
        <v>5709</v>
      </c>
      <c r="AD742" s="34" t="s">
        <v>5717</v>
      </c>
      <c r="AE742" s="34" t="s">
        <v>5032</v>
      </c>
      <c r="AF742" s="34" t="s">
        <v>4287</v>
      </c>
      <c r="AG742" s="34" t="s">
        <v>4915</v>
      </c>
      <c r="AH742" s="34" t="s">
        <v>5711</v>
      </c>
      <c r="AI742" s="34" t="s">
        <v>4190</v>
      </c>
      <c r="AJ742" s="34" t="s">
        <v>3610</v>
      </c>
      <c r="AK742" s="34" t="s">
        <v>3589</v>
      </c>
      <c r="AL742" s="34" t="s">
        <v>4839</v>
      </c>
      <c r="AM742" s="34" t="s">
        <v>7961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7" t="str">
        <f>IFERROR(INDEX(Структура_ассортимента[SuperCategory],MATCH(Товары[[#This Row],[SubGroup]],Структура_ассортимента[Subgroup],0)),"")</f>
        <v>R</v>
      </c>
      <c r="D74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7" t="str">
        <f>IFERROR(INDEX(Структура_ассортимента[Product group],MATCH(Товары[[#This Row],[SubGroup]],Структура_ассортимента[Subgroup],0)),"")</f>
        <v>LRL_C</v>
      </c>
      <c r="G74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2292</v>
      </c>
      <c r="Q743" s="39" t="s">
        <v>3580</v>
      </c>
      <c r="R743" s="34" t="s">
        <v>3407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3410</v>
      </c>
      <c r="Y743" s="34" t="s">
        <v>3409</v>
      </c>
      <c r="Z743" s="34">
        <v>1</v>
      </c>
      <c r="AA743" s="34" t="s">
        <v>4834</v>
      </c>
      <c r="AB743" s="34" t="s">
        <v>5716</v>
      </c>
      <c r="AC743" s="34" t="s">
        <v>5709</v>
      </c>
      <c r="AD743" s="34" t="s">
        <v>5717</v>
      </c>
      <c r="AE743" s="34" t="s">
        <v>5032</v>
      </c>
      <c r="AF743" s="34" t="s">
        <v>4287</v>
      </c>
      <c r="AG743" s="34" t="s">
        <v>4915</v>
      </c>
      <c r="AH743" s="34" t="s">
        <v>5711</v>
      </c>
      <c r="AI743" s="34" t="s">
        <v>4190</v>
      </c>
      <c r="AJ743" s="34" t="s">
        <v>3610</v>
      </c>
      <c r="AK743" s="34" t="s">
        <v>3589</v>
      </c>
      <c r="AL743" s="34" t="s">
        <v>4839</v>
      </c>
      <c r="AM743" s="34" t="s">
        <v>7961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7" t="str">
        <f>IFERROR(INDEX(Структура_ассортимента[SuperCategory],MATCH(Товары[[#This Row],[SubGroup]],Структура_ассортимента[Subgroup],0)),"")</f>
        <v>R</v>
      </c>
      <c r="D74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7" t="str">
        <f>IFERROR(INDEX(Структура_ассортимента[Product group],MATCH(Товары[[#This Row],[SubGroup]],Структура_ассортимента[Subgroup],0)),"")</f>
        <v>LRL_C</v>
      </c>
      <c r="G74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2293</v>
      </c>
      <c r="Q744" s="39" t="s">
        <v>3416</v>
      </c>
      <c r="R744" s="34" t="s">
        <v>3407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3408</v>
      </c>
      <c r="X744" s="34" t="s">
        <v>3571</v>
      </c>
      <c r="Y744" s="34" t="s">
        <v>3409</v>
      </c>
      <c r="Z744" s="34">
        <v>1</v>
      </c>
      <c r="AA744" s="34" t="s">
        <v>4834</v>
      </c>
      <c r="AB744" s="34" t="s">
        <v>5718</v>
      </c>
      <c r="AC744" s="34" t="s">
        <v>5709</v>
      </c>
      <c r="AD744" s="34" t="s">
        <v>5719</v>
      </c>
      <c r="AE744" s="34" t="s">
        <v>5032</v>
      </c>
      <c r="AF744" s="34" t="s">
        <v>4287</v>
      </c>
      <c r="AG744" s="34" t="s">
        <v>4915</v>
      </c>
      <c r="AH744" s="34" t="s">
        <v>5711</v>
      </c>
      <c r="AI744" s="34" t="s">
        <v>4190</v>
      </c>
      <c r="AJ744" s="34" t="s">
        <v>3610</v>
      </c>
      <c r="AK744" s="34" t="s">
        <v>3589</v>
      </c>
      <c r="AL744" s="34" t="s">
        <v>4839</v>
      </c>
      <c r="AM744" s="34" t="s">
        <v>7962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7" t="str">
        <f>IFERROR(INDEX(Структура_ассортимента[SuperCategory],MATCH(Товары[[#This Row],[SubGroup]],Структура_ассортимента[Subgroup],0)),"")</f>
        <v>R</v>
      </c>
      <c r="D74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7" t="str">
        <f>IFERROR(INDEX(Структура_ассортимента[Product group],MATCH(Товары[[#This Row],[SubGroup]],Структура_ассортимента[Subgroup],0)),"")</f>
        <v>LRL_C</v>
      </c>
      <c r="G74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2294</v>
      </c>
      <c r="Q745" s="39" t="s">
        <v>3580</v>
      </c>
      <c r="R745" s="34" t="s">
        <v>3407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3410</v>
      </c>
      <c r="Y745" s="34" t="s">
        <v>3409</v>
      </c>
      <c r="Z745" s="34">
        <v>1</v>
      </c>
      <c r="AA745" s="34" t="s">
        <v>4834</v>
      </c>
      <c r="AB745" s="34" t="s">
        <v>5708</v>
      </c>
      <c r="AC745" s="34" t="s">
        <v>5709</v>
      </c>
      <c r="AD745" s="34" t="s">
        <v>5710</v>
      </c>
      <c r="AE745" s="34" t="s">
        <v>5032</v>
      </c>
      <c r="AF745" s="34" t="s">
        <v>4287</v>
      </c>
      <c r="AG745" s="34" t="s">
        <v>4915</v>
      </c>
      <c r="AH745" s="34" t="s">
        <v>5711</v>
      </c>
      <c r="AI745" s="34" t="s">
        <v>4190</v>
      </c>
      <c r="AJ745" s="34" t="s">
        <v>3610</v>
      </c>
      <c r="AK745" s="34" t="s">
        <v>3589</v>
      </c>
      <c r="AL745" s="34" t="s">
        <v>4839</v>
      </c>
      <c r="AM745" s="34" t="s">
        <v>7961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7" t="str">
        <f>IFERROR(INDEX(Структура_ассортимента[SuperCategory],MATCH(Товары[[#This Row],[SubGroup]],Структура_ассортимента[Subgroup],0)),"")</f>
        <v>R</v>
      </c>
      <c r="D74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7" t="str">
        <f>IFERROR(INDEX(Структура_ассортимента[Product group],MATCH(Товары[[#This Row],[SubGroup]],Структура_ассортимента[Subgroup],0)),"")</f>
        <v>LRL_C</v>
      </c>
      <c r="G74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2295</v>
      </c>
      <c r="Q746" s="39" t="s">
        <v>3580</v>
      </c>
      <c r="R746" s="34" t="s">
        <v>3407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3410</v>
      </c>
      <c r="Y746" s="34" t="s">
        <v>3409</v>
      </c>
      <c r="Z746" s="34">
        <v>1</v>
      </c>
      <c r="AA746" s="34" t="s">
        <v>4834</v>
      </c>
      <c r="AB746" s="34" t="s">
        <v>5708</v>
      </c>
      <c r="AC746" s="34" t="s">
        <v>5709</v>
      </c>
      <c r="AD746" s="34" t="s">
        <v>5710</v>
      </c>
      <c r="AE746" s="34" t="s">
        <v>5032</v>
      </c>
      <c r="AF746" s="34" t="s">
        <v>4287</v>
      </c>
      <c r="AG746" s="34" t="s">
        <v>4915</v>
      </c>
      <c r="AH746" s="34" t="s">
        <v>5711</v>
      </c>
      <c r="AI746" s="34" t="s">
        <v>4190</v>
      </c>
      <c r="AJ746" s="34" t="s">
        <v>3610</v>
      </c>
      <c r="AK746" s="34" t="s">
        <v>3589</v>
      </c>
      <c r="AL746" s="34" t="s">
        <v>4839</v>
      </c>
      <c r="AM746" s="34" t="s">
        <v>7961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7" t="str">
        <f>IFERROR(INDEX(Структура_ассортимента[SuperCategory],MATCH(Товары[[#This Row],[SubGroup]],Структура_ассортимента[Subgroup],0)),"")</f>
        <v>R</v>
      </c>
      <c r="D74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7" t="str">
        <f>IFERROR(INDEX(Структура_ассортимента[Product group],MATCH(Товары[[#This Row],[SubGroup]],Структура_ассортимента[Subgroup],0)),"")</f>
        <v>LRL_C</v>
      </c>
      <c r="G74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2296</v>
      </c>
      <c r="Q747" s="39" t="s">
        <v>3416</v>
      </c>
      <c r="R747" s="34" t="s">
        <v>3407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3408</v>
      </c>
      <c r="X747" s="34" t="s">
        <v>3571</v>
      </c>
      <c r="Y747" s="34" t="s">
        <v>3409</v>
      </c>
      <c r="Z747" s="34">
        <v>1</v>
      </c>
      <c r="AA747" s="34" t="s">
        <v>4834</v>
      </c>
      <c r="AB747" s="34" t="s">
        <v>5708</v>
      </c>
      <c r="AC747" s="34" t="s">
        <v>5709</v>
      </c>
      <c r="AD747" s="34" t="s">
        <v>5710</v>
      </c>
      <c r="AE747" s="34" t="s">
        <v>5032</v>
      </c>
      <c r="AF747" s="34" t="s">
        <v>4287</v>
      </c>
      <c r="AG747" s="34" t="s">
        <v>4915</v>
      </c>
      <c r="AH747" s="34" t="s">
        <v>5711</v>
      </c>
      <c r="AI747" s="34" t="s">
        <v>4190</v>
      </c>
      <c r="AJ747" s="34" t="s">
        <v>3610</v>
      </c>
      <c r="AK747" s="34" t="s">
        <v>3589</v>
      </c>
      <c r="AL747" s="34" t="s">
        <v>4839</v>
      </c>
      <c r="AM747" s="34" t="s">
        <v>7962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7" t="str">
        <f>IFERROR(INDEX(Структура_ассортимента[SuperCategory],MATCH(Товары[[#This Row],[SubGroup]],Структура_ассортимента[Subgroup],0)),"")</f>
        <v>R</v>
      </c>
      <c r="D74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7" t="str">
        <f>IFERROR(INDEX(Структура_ассортимента[Product group],MATCH(Товары[[#This Row],[SubGroup]],Структура_ассортимента[Subgroup],0)),"")</f>
        <v>LRL_C</v>
      </c>
      <c r="G74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2297</v>
      </c>
      <c r="Q748" s="39" t="s">
        <v>3580</v>
      </c>
      <c r="R748" s="34" t="s">
        <v>3407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3410</v>
      </c>
      <c r="Y748" s="34" t="s">
        <v>3409</v>
      </c>
      <c r="Z748" s="34">
        <v>1</v>
      </c>
      <c r="AA748" s="34" t="s">
        <v>4834</v>
      </c>
      <c r="AB748" s="34" t="s">
        <v>5708</v>
      </c>
      <c r="AC748" s="34" t="s">
        <v>5709</v>
      </c>
      <c r="AD748" s="34" t="s">
        <v>5710</v>
      </c>
      <c r="AE748" s="34" t="s">
        <v>5032</v>
      </c>
      <c r="AF748" s="34" t="s">
        <v>4287</v>
      </c>
      <c r="AG748" s="34" t="s">
        <v>4915</v>
      </c>
      <c r="AH748" s="34" t="s">
        <v>5711</v>
      </c>
      <c r="AI748" s="34" t="s">
        <v>4190</v>
      </c>
      <c r="AJ748" s="34" t="s">
        <v>3610</v>
      </c>
      <c r="AK748" s="34" t="s">
        <v>3589</v>
      </c>
      <c r="AL748" s="34" t="s">
        <v>4839</v>
      </c>
      <c r="AM748" s="34" t="s">
        <v>7961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7" t="str">
        <f>IFERROR(INDEX(Структура_ассортимента[SuperCategory],MATCH(Товары[[#This Row],[SubGroup]],Структура_ассортимента[Subgroup],0)),"")</f>
        <v>R</v>
      </c>
      <c r="D74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7" t="str">
        <f>IFERROR(INDEX(Структура_ассортимента[Product group],MATCH(Товары[[#This Row],[SubGroup]],Структура_ассортимента[Subgroup],0)),"")</f>
        <v>LRL_C</v>
      </c>
      <c r="G74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2298</v>
      </c>
      <c r="Q749" s="39" t="s">
        <v>3580</v>
      </c>
      <c r="R749" s="34" t="s">
        <v>3407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3410</v>
      </c>
      <c r="Y749" s="34" t="s">
        <v>3409</v>
      </c>
      <c r="Z749" s="34">
        <v>1</v>
      </c>
      <c r="AA749" s="34" t="s">
        <v>4834</v>
      </c>
      <c r="AB749" s="34" t="s">
        <v>5716</v>
      </c>
      <c r="AC749" s="34" t="s">
        <v>5709</v>
      </c>
      <c r="AD749" s="34" t="s">
        <v>5717</v>
      </c>
      <c r="AE749" s="34" t="s">
        <v>5032</v>
      </c>
      <c r="AF749" s="34" t="s">
        <v>4287</v>
      </c>
      <c r="AG749" s="34" t="s">
        <v>4915</v>
      </c>
      <c r="AH749" s="34" t="s">
        <v>5711</v>
      </c>
      <c r="AI749" s="34" t="s">
        <v>4190</v>
      </c>
      <c r="AJ749" s="34" t="s">
        <v>3610</v>
      </c>
      <c r="AK749" s="34" t="s">
        <v>3589</v>
      </c>
      <c r="AL749" s="34" t="s">
        <v>4839</v>
      </c>
      <c r="AM749" s="34" t="s">
        <v>7961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7" t="str">
        <f>IFERROR(INDEX(Структура_ассортимента[SuperCategory],MATCH(Товары[[#This Row],[SubGroup]],Структура_ассортимента[Subgroup],0)),"")</f>
        <v>R</v>
      </c>
      <c r="D75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7" t="str">
        <f>IFERROR(INDEX(Структура_ассортимента[Product group],MATCH(Товары[[#This Row],[SubGroup]],Структура_ассортимента[Subgroup],0)),"")</f>
        <v>LRL_C</v>
      </c>
      <c r="G75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2299</v>
      </c>
      <c r="Q750" s="39" t="s">
        <v>3580</v>
      </c>
      <c r="R750" s="34" t="s">
        <v>3407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3410</v>
      </c>
      <c r="Y750" s="34" t="s">
        <v>3409</v>
      </c>
      <c r="Z750" s="34">
        <v>1</v>
      </c>
      <c r="AA750" s="34" t="s">
        <v>4834</v>
      </c>
      <c r="AB750" s="34" t="s">
        <v>5716</v>
      </c>
      <c r="AC750" s="34" t="s">
        <v>5709</v>
      </c>
      <c r="AD750" s="34" t="s">
        <v>5717</v>
      </c>
      <c r="AE750" s="34" t="s">
        <v>5032</v>
      </c>
      <c r="AF750" s="34" t="s">
        <v>4287</v>
      </c>
      <c r="AG750" s="34" t="s">
        <v>4915</v>
      </c>
      <c r="AH750" s="34" t="s">
        <v>5711</v>
      </c>
      <c r="AI750" s="34" t="s">
        <v>4190</v>
      </c>
      <c r="AJ750" s="34" t="s">
        <v>3610</v>
      </c>
      <c r="AK750" s="34" t="s">
        <v>3589</v>
      </c>
      <c r="AL750" s="34" t="s">
        <v>4839</v>
      </c>
      <c r="AM750" s="34" t="s">
        <v>7961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7" t="str">
        <f>IFERROR(INDEX(Структура_ассортимента[SuperCategory],MATCH(Товары[[#This Row],[SubGroup]],Структура_ассортимента[Subgroup],0)),"")</f>
        <v>R</v>
      </c>
      <c r="D75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7" t="str">
        <f>IFERROR(INDEX(Структура_ассортимента[Product group],MATCH(Товары[[#This Row],[SubGroup]],Структура_ассортимента[Subgroup],0)),"")</f>
        <v>LRL_C</v>
      </c>
      <c r="G75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2300</v>
      </c>
      <c r="Q751" s="39" t="s">
        <v>3580</v>
      </c>
      <c r="R751" s="34" t="s">
        <v>3407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3410</v>
      </c>
      <c r="Y751" s="34" t="s">
        <v>3409</v>
      </c>
      <c r="Z751" s="34">
        <v>1</v>
      </c>
      <c r="AA751" s="34" t="s">
        <v>5720</v>
      </c>
      <c r="AB751" s="34" t="s">
        <v>5721</v>
      </c>
      <c r="AC751" s="34" t="s">
        <v>5722</v>
      </c>
      <c r="AD751" s="34" t="s">
        <v>5721</v>
      </c>
      <c r="AE751" s="34" t="s">
        <v>5723</v>
      </c>
      <c r="AF751" s="34" t="s">
        <v>5723</v>
      </c>
      <c r="AG751" s="34" t="s">
        <v>5723</v>
      </c>
      <c r="AH751" s="34" t="s">
        <v>5724</v>
      </c>
      <c r="AI751" s="34" t="s">
        <v>4190</v>
      </c>
      <c r="AJ751" s="34" t="s">
        <v>3610</v>
      </c>
      <c r="AK751" s="34" t="s">
        <v>3589</v>
      </c>
      <c r="AL751" s="34" t="s">
        <v>3525</v>
      </c>
      <c r="AM751" s="34" t="s">
        <v>7961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7" t="str">
        <f>IFERROR(INDEX(Структура_ассортимента[SuperCategory],MATCH(Товары[[#This Row],[SubGroup]],Структура_ассортимента[Subgroup],0)),"")</f>
        <v>R</v>
      </c>
      <c r="D75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7" t="str">
        <f>IFERROR(INDEX(Структура_ассортимента[Product group],MATCH(Товары[[#This Row],[SubGroup]],Структура_ассортимента[Subgroup],0)),"")</f>
        <v>LRL_C</v>
      </c>
      <c r="G75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2301</v>
      </c>
      <c r="Q752" s="39" t="s">
        <v>3580</v>
      </c>
      <c r="R752" s="34" t="s">
        <v>3407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3410</v>
      </c>
      <c r="Y752" s="34" t="s">
        <v>3409</v>
      </c>
      <c r="Z752" s="34">
        <v>1</v>
      </c>
      <c r="AA752" s="34" t="s">
        <v>5720</v>
      </c>
      <c r="AB752" s="34" t="s">
        <v>5721</v>
      </c>
      <c r="AC752" s="34" t="s">
        <v>5722</v>
      </c>
      <c r="AD752" s="34" t="s">
        <v>5721</v>
      </c>
      <c r="AE752" s="34" t="s">
        <v>5723</v>
      </c>
      <c r="AF752" s="34" t="s">
        <v>5723</v>
      </c>
      <c r="AG752" s="34" t="s">
        <v>5723</v>
      </c>
      <c r="AH752" s="34" t="s">
        <v>5724</v>
      </c>
      <c r="AI752" s="34" t="s">
        <v>4190</v>
      </c>
      <c r="AJ752" s="34" t="s">
        <v>3610</v>
      </c>
      <c r="AK752" s="34" t="s">
        <v>3589</v>
      </c>
      <c r="AL752" s="34" t="s">
        <v>3525</v>
      </c>
      <c r="AM752" s="34" t="s">
        <v>7961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7" t="str">
        <f>IFERROR(INDEX(Структура_ассортимента[SuperCategory],MATCH(Товары[[#This Row],[SubGroup]],Структура_ассортимента[Subgroup],0)),"")</f>
        <v>R</v>
      </c>
      <c r="D75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7" t="str">
        <f>IFERROR(INDEX(Структура_ассортимента[Product group],MATCH(Товары[[#This Row],[SubGroup]],Структура_ассортимента[Subgroup],0)),"")</f>
        <v>LRL_C</v>
      </c>
      <c r="G75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2302</v>
      </c>
      <c r="O753" s="37" t="s">
        <v>5725</v>
      </c>
      <c r="P753" s="37" t="s">
        <v>5726</v>
      </c>
      <c r="Q753" s="39" t="s">
        <v>3416</v>
      </c>
      <c r="R753" s="34" t="s">
        <v>3407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3410</v>
      </c>
      <c r="X753" s="34" t="s">
        <v>5727</v>
      </c>
      <c r="Y753" s="34" t="s">
        <v>3409</v>
      </c>
      <c r="Z753" s="34">
        <v>1</v>
      </c>
      <c r="AA753" s="34" t="s">
        <v>5720</v>
      </c>
      <c r="AB753" s="34" t="s">
        <v>5728</v>
      </c>
      <c r="AC753" s="34" t="s">
        <v>4834</v>
      </c>
      <c r="AD753" s="34" t="s">
        <v>5729</v>
      </c>
      <c r="AE753" s="34" t="s">
        <v>4749</v>
      </c>
      <c r="AF753" s="34" t="s">
        <v>4598</v>
      </c>
      <c r="AG753" s="34" t="s">
        <v>5541</v>
      </c>
      <c r="AH753" s="34" t="s">
        <v>5730</v>
      </c>
      <c r="AI753" s="34" t="s">
        <v>4012</v>
      </c>
      <c r="AJ753" s="34" t="s">
        <v>5541</v>
      </c>
      <c r="AK753" s="34" t="s">
        <v>4598</v>
      </c>
      <c r="AL753" s="34" t="s">
        <v>4839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7" t="str">
        <f>IFERROR(INDEX(Структура_ассортимента[SuperCategory],MATCH(Товары[[#This Row],[SubGroup]],Структура_ассортимента[Subgroup],0)),"")</f>
        <v>R</v>
      </c>
      <c r="D75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7" t="str">
        <f>IFERROR(INDEX(Структура_ассортимента[Product group],MATCH(Товары[[#This Row],[SubGroup]],Структура_ассортимента[Subgroup],0)),"")</f>
        <v>LRL_C</v>
      </c>
      <c r="G75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2303</v>
      </c>
      <c r="P754" s="37" t="s">
        <v>5726</v>
      </c>
      <c r="Q754" s="39" t="s">
        <v>3580</v>
      </c>
      <c r="R754" s="34" t="s">
        <v>3407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3410</v>
      </c>
      <c r="Y754" s="34" t="s">
        <v>3409</v>
      </c>
      <c r="Z754" s="34">
        <v>1</v>
      </c>
      <c r="AA754" s="34" t="s">
        <v>5720</v>
      </c>
      <c r="AB754" s="34" t="s">
        <v>5655</v>
      </c>
      <c r="AC754" s="34" t="s">
        <v>4834</v>
      </c>
      <c r="AD754" s="34" t="s">
        <v>5677</v>
      </c>
      <c r="AE754" s="34" t="s">
        <v>4306</v>
      </c>
      <c r="AF754" s="34" t="s">
        <v>4090</v>
      </c>
      <c r="AG754" s="34" t="s">
        <v>4915</v>
      </c>
      <c r="AH754" s="34" t="s">
        <v>5731</v>
      </c>
      <c r="AI754" s="34" t="s">
        <v>4012</v>
      </c>
      <c r="AJ754" s="34" t="s">
        <v>5541</v>
      </c>
      <c r="AK754" s="34" t="s">
        <v>4598</v>
      </c>
      <c r="AL754" s="34" t="s">
        <v>3525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7" t="str">
        <f>IFERROR(INDEX(Структура_ассортимента[SuperCategory],MATCH(Товары[[#This Row],[SubGroup]],Структура_ассортимента[Subgroup],0)),"")</f>
        <v>R</v>
      </c>
      <c r="D75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7" t="str">
        <f>IFERROR(INDEX(Структура_ассортимента[Product group],MATCH(Товары[[#This Row],[SubGroup]],Структура_ассортимента[Subgroup],0)),"")</f>
        <v>LRL_C</v>
      </c>
      <c r="G75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2304</v>
      </c>
      <c r="P755" s="37" t="s">
        <v>5732</v>
      </c>
      <c r="Q755" s="39" t="s">
        <v>3580</v>
      </c>
      <c r="R755" s="34" t="s">
        <v>3407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3410</v>
      </c>
      <c r="Y755" s="34" t="s">
        <v>3409</v>
      </c>
      <c r="Z755" s="34">
        <v>1</v>
      </c>
      <c r="AA755" s="34" t="s">
        <v>5720</v>
      </c>
      <c r="AC755" s="34" t="s">
        <v>4834</v>
      </c>
      <c r="AE755" s="34" t="s">
        <v>5723</v>
      </c>
      <c r="AF755" s="34" t="s">
        <v>5723</v>
      </c>
      <c r="AG755" s="34" t="s">
        <v>5723</v>
      </c>
      <c r="AH755" s="34" t="s">
        <v>5724</v>
      </c>
      <c r="AI755" s="34" t="s">
        <v>3721</v>
      </c>
      <c r="AJ755" s="34" t="s">
        <v>3610</v>
      </c>
      <c r="AK755" s="34" t="s">
        <v>4069</v>
      </c>
      <c r="AL755" s="34" t="s">
        <v>3525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7" t="str">
        <f>IFERROR(INDEX(Структура_ассортимента[SuperCategory],MATCH(Товары[[#This Row],[SubGroup]],Структура_ассортимента[Subgroup],0)),"")</f>
        <v>R</v>
      </c>
      <c r="D75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7" t="str">
        <f>IFERROR(INDEX(Структура_ассортимента[Product group],MATCH(Товары[[#This Row],[SubGroup]],Структура_ассортимента[Subgroup],0)),"")</f>
        <v>LRL_C</v>
      </c>
      <c r="G75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2305</v>
      </c>
      <c r="O756" s="37" t="s">
        <v>5733</v>
      </c>
      <c r="P756" s="37" t="s">
        <v>5732</v>
      </c>
      <c r="Q756" s="39" t="s">
        <v>3416</v>
      </c>
      <c r="R756" s="34" t="s">
        <v>3407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3410</v>
      </c>
      <c r="X756" s="34" t="s">
        <v>5727</v>
      </c>
      <c r="Y756" s="34" t="s">
        <v>3409</v>
      </c>
      <c r="Z756" s="34">
        <v>1</v>
      </c>
      <c r="AA756" s="34" t="s">
        <v>5720</v>
      </c>
      <c r="AB756" s="34" t="s">
        <v>5728</v>
      </c>
      <c r="AC756" s="34" t="s">
        <v>4834</v>
      </c>
      <c r="AD756" s="34" t="s">
        <v>5729</v>
      </c>
      <c r="AE756" s="34" t="s">
        <v>4749</v>
      </c>
      <c r="AF756" s="34" t="s">
        <v>4598</v>
      </c>
      <c r="AG756" s="34" t="s">
        <v>5541</v>
      </c>
      <c r="AH756" s="34" t="s">
        <v>5730</v>
      </c>
      <c r="AI756" s="34" t="s">
        <v>3721</v>
      </c>
      <c r="AJ756" s="34" t="s">
        <v>3610</v>
      </c>
      <c r="AK756" s="34" t="s">
        <v>4069</v>
      </c>
      <c r="AL756" s="34" t="s">
        <v>4839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7" t="str">
        <f>IFERROR(INDEX(Структура_ассортимента[SuperCategory],MATCH(Товары[[#This Row],[SubGroup]],Структура_ассортимента[Subgroup],0)),"")</f>
        <v>R</v>
      </c>
      <c r="D75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7" t="str">
        <f>IFERROR(INDEX(Структура_ассортимента[Product group],MATCH(Товары[[#This Row],[SubGroup]],Структура_ассортимента[Subgroup],0)),"")</f>
        <v>LRL_C</v>
      </c>
      <c r="G75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2306</v>
      </c>
      <c r="O757" s="37" t="s">
        <v>5734</v>
      </c>
      <c r="P757" s="37" t="s">
        <v>5735</v>
      </c>
      <c r="Q757" s="39" t="s">
        <v>3416</v>
      </c>
      <c r="R757" s="34" t="s">
        <v>3407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3410</v>
      </c>
      <c r="X757" s="34" t="s">
        <v>5727</v>
      </c>
      <c r="Y757" s="34" t="s">
        <v>3409</v>
      </c>
      <c r="Z757" s="34">
        <v>1</v>
      </c>
      <c r="AA757" s="34" t="s">
        <v>5720</v>
      </c>
      <c r="AB757" s="34" t="s">
        <v>5728</v>
      </c>
      <c r="AC757" s="34" t="s">
        <v>4834</v>
      </c>
      <c r="AD757" s="34" t="s">
        <v>5729</v>
      </c>
      <c r="AE757" s="34" t="s">
        <v>4749</v>
      </c>
      <c r="AF757" s="34" t="s">
        <v>4598</v>
      </c>
      <c r="AG757" s="34" t="s">
        <v>5541</v>
      </c>
      <c r="AH757" s="34" t="s">
        <v>5730</v>
      </c>
      <c r="AI757" s="34" t="s">
        <v>3721</v>
      </c>
      <c r="AJ757" s="34" t="s">
        <v>3610</v>
      </c>
      <c r="AK757" s="34" t="s">
        <v>4069</v>
      </c>
      <c r="AL757" s="34" t="s">
        <v>4839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7" t="str">
        <f>IFERROR(INDEX(Структура_ассортимента[SuperCategory],MATCH(Товары[[#This Row],[SubGroup]],Структура_ассортимента[Subgroup],0)),"")</f>
        <v>R</v>
      </c>
      <c r="D75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7" t="str">
        <f>IFERROR(INDEX(Структура_ассортимента[Product group],MATCH(Товары[[#This Row],[SubGroup]],Структура_ассортимента[Subgroup],0)),"")</f>
        <v>LRL_C</v>
      </c>
      <c r="G75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2307</v>
      </c>
      <c r="P758" s="37" t="s">
        <v>5735</v>
      </c>
      <c r="Q758" s="39" t="s">
        <v>3580</v>
      </c>
      <c r="R758" s="34" t="s">
        <v>3407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3410</v>
      </c>
      <c r="Y758" s="34" t="s">
        <v>3409</v>
      </c>
      <c r="Z758" s="34">
        <v>1</v>
      </c>
      <c r="AA758" s="34" t="s">
        <v>5720</v>
      </c>
      <c r="AB758" s="34" t="s">
        <v>5721</v>
      </c>
      <c r="AC758" s="34" t="s">
        <v>4834</v>
      </c>
      <c r="AD758" s="34" t="s">
        <v>5721</v>
      </c>
      <c r="AE758" s="34" t="s">
        <v>5723</v>
      </c>
      <c r="AF758" s="34" t="s">
        <v>5723</v>
      </c>
      <c r="AG758" s="34" t="s">
        <v>5723</v>
      </c>
      <c r="AH758" s="34" t="s">
        <v>5724</v>
      </c>
      <c r="AI758" s="34" t="s">
        <v>3721</v>
      </c>
      <c r="AJ758" s="34" t="s">
        <v>3610</v>
      </c>
      <c r="AK758" s="34" t="s">
        <v>4069</v>
      </c>
      <c r="AL758" s="34" t="s">
        <v>3525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7" t="str">
        <f>IFERROR(INDEX(Структура_ассортимента[SuperCategory],MATCH(Товары[[#This Row],[SubGroup]],Структура_ассортимента[Subgroup],0)),"")</f>
        <v>R</v>
      </c>
      <c r="D75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7" t="str">
        <f>IFERROR(INDEX(Структура_ассортимента[Product group],MATCH(Товары[[#This Row],[SubGroup]],Структура_ассортимента[Subgroup],0)),"")</f>
        <v>LRL_C</v>
      </c>
      <c r="G75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2308</v>
      </c>
      <c r="Q759" s="39" t="s">
        <v>3416</v>
      </c>
      <c r="R759" s="34" t="s">
        <v>3407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5704</v>
      </c>
      <c r="X759" s="34" t="s">
        <v>5727</v>
      </c>
      <c r="Y759" s="34" t="s">
        <v>3409</v>
      </c>
      <c r="Z759" s="34">
        <v>1</v>
      </c>
      <c r="AA759" s="34" t="s">
        <v>5720</v>
      </c>
      <c r="AB759" s="34" t="s">
        <v>5728</v>
      </c>
      <c r="AC759" s="34" t="s">
        <v>4834</v>
      </c>
      <c r="AD759" s="34" t="s">
        <v>5729</v>
      </c>
      <c r="AE759" s="34" t="s">
        <v>4749</v>
      </c>
      <c r="AF759" s="34" t="s">
        <v>4598</v>
      </c>
      <c r="AG759" s="34" t="s">
        <v>5541</v>
      </c>
      <c r="AH759" s="34" t="s">
        <v>5730</v>
      </c>
      <c r="AI759" s="34" t="s">
        <v>3721</v>
      </c>
      <c r="AJ759" s="34" t="s">
        <v>3610</v>
      </c>
      <c r="AK759" s="34" t="s">
        <v>4069</v>
      </c>
      <c r="AL759" s="34" t="s">
        <v>4839</v>
      </c>
      <c r="AM759" s="34" t="s">
        <v>7962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7" t="str">
        <f>IFERROR(INDEX(Структура_ассортимента[SuperCategory],MATCH(Товары[[#This Row],[SubGroup]],Структура_ассортимента[Subgroup],0)),"")</f>
        <v>R</v>
      </c>
      <c r="D76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7" t="str">
        <f>IFERROR(INDEX(Структура_ассортимента[Product group],MATCH(Товары[[#This Row],[SubGroup]],Структура_ассортимента[Subgroup],0)),"")</f>
        <v>LRL_C</v>
      </c>
      <c r="G76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2309</v>
      </c>
      <c r="Q760" s="39" t="s">
        <v>3580</v>
      </c>
      <c r="R760" s="34" t="s">
        <v>3407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3410</v>
      </c>
      <c r="Y760" s="34" t="s">
        <v>3409</v>
      </c>
      <c r="Z760" s="34">
        <v>1</v>
      </c>
      <c r="AA760" s="34" t="s">
        <v>5720</v>
      </c>
      <c r="AB760" s="34" t="s">
        <v>5721</v>
      </c>
      <c r="AC760" s="34" t="s">
        <v>4834</v>
      </c>
      <c r="AD760" s="34" t="s">
        <v>5721</v>
      </c>
      <c r="AE760" s="34" t="s">
        <v>5723</v>
      </c>
      <c r="AF760" s="34" t="s">
        <v>5723</v>
      </c>
      <c r="AG760" s="34" t="s">
        <v>5723</v>
      </c>
      <c r="AH760" s="34" t="s">
        <v>5724</v>
      </c>
      <c r="AI760" s="34" t="s">
        <v>4154</v>
      </c>
      <c r="AJ760" s="34" t="s">
        <v>3809</v>
      </c>
      <c r="AK760" s="34" t="s">
        <v>3609</v>
      </c>
      <c r="AL760" s="34" t="s">
        <v>3525</v>
      </c>
      <c r="AM760" s="34" t="s">
        <v>7961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7" t="str">
        <f>IFERROR(INDEX(Структура_ассортимента[SuperCategory],MATCH(Товары[[#This Row],[SubGroup]],Структура_ассортимента[Subgroup],0)),"")</f>
        <v>R</v>
      </c>
      <c r="D76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7" t="str">
        <f>IFERROR(INDEX(Структура_ассортимента[Product group],MATCH(Товары[[#This Row],[SubGroup]],Структура_ассортимента[Subgroup],0)),"")</f>
        <v>LRL_C</v>
      </c>
      <c r="G76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2310</v>
      </c>
      <c r="Q761" s="39" t="s">
        <v>3580</v>
      </c>
      <c r="R761" s="34" t="s">
        <v>3407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3410</v>
      </c>
      <c r="Y761" s="34" t="s">
        <v>3409</v>
      </c>
      <c r="Z761" s="34">
        <v>1</v>
      </c>
      <c r="AA761" s="34" t="s">
        <v>5720</v>
      </c>
      <c r="AB761" s="34" t="s">
        <v>5721</v>
      </c>
      <c r="AC761" s="34" t="s">
        <v>4834</v>
      </c>
      <c r="AD761" s="34" t="s">
        <v>5721</v>
      </c>
      <c r="AE761" s="34" t="s">
        <v>5723</v>
      </c>
      <c r="AF761" s="34" t="s">
        <v>5723</v>
      </c>
      <c r="AG761" s="34" t="s">
        <v>5723</v>
      </c>
      <c r="AH761" s="34" t="s">
        <v>5724</v>
      </c>
      <c r="AI761" s="34" t="s">
        <v>4154</v>
      </c>
      <c r="AJ761" s="34" t="s">
        <v>3809</v>
      </c>
      <c r="AK761" s="34" t="s">
        <v>3609</v>
      </c>
      <c r="AL761" s="34" t="s">
        <v>3525</v>
      </c>
      <c r="AM761" s="34" t="s">
        <v>7961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7" t="str">
        <f>IFERROR(INDEX(Структура_ассортимента[SuperCategory],MATCH(Товары[[#This Row],[SubGroup]],Структура_ассортимента[Subgroup],0)),"")</f>
        <v>R</v>
      </c>
      <c r="D76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7" t="str">
        <f>IFERROR(INDEX(Структура_ассортимента[Product group],MATCH(Товары[[#This Row],[SubGroup]],Структура_ассортимента[Subgroup],0)),"")</f>
        <v>LRL_C</v>
      </c>
      <c r="G76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2311</v>
      </c>
      <c r="Q762" s="39" t="s">
        <v>3580</v>
      </c>
      <c r="R762" s="34" t="s">
        <v>3407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3410</v>
      </c>
      <c r="Y762" s="34" t="s">
        <v>3409</v>
      </c>
      <c r="Z762" s="34">
        <v>1</v>
      </c>
      <c r="AA762" s="34" t="s">
        <v>5720</v>
      </c>
      <c r="AB762" s="34" t="s">
        <v>5721</v>
      </c>
      <c r="AC762" s="34" t="s">
        <v>4834</v>
      </c>
      <c r="AD762" s="34" t="s">
        <v>5721</v>
      </c>
      <c r="AE762" s="34" t="s">
        <v>5723</v>
      </c>
      <c r="AF762" s="34" t="s">
        <v>5723</v>
      </c>
      <c r="AG762" s="34" t="s">
        <v>5723</v>
      </c>
      <c r="AH762" s="34" t="s">
        <v>5724</v>
      </c>
      <c r="AI762" s="34" t="s">
        <v>4154</v>
      </c>
      <c r="AJ762" s="34" t="s">
        <v>3809</v>
      </c>
      <c r="AK762" s="34" t="s">
        <v>3609</v>
      </c>
      <c r="AL762" s="34" t="s">
        <v>3525</v>
      </c>
      <c r="AM762" s="34" t="s">
        <v>7961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7" t="str">
        <f>IFERROR(INDEX(Структура_ассортимента[SuperCategory],MATCH(Товары[[#This Row],[SubGroup]],Структура_ассортимента[Subgroup],0)),"")</f>
        <v>R</v>
      </c>
      <c r="D76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7" t="str">
        <f>IFERROR(INDEX(Структура_ассортимента[Product group],MATCH(Товары[[#This Row],[SubGroup]],Структура_ассортимента[Subgroup],0)),"")</f>
        <v>LRL_C</v>
      </c>
      <c r="G76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2312</v>
      </c>
      <c r="Q763" s="39" t="s">
        <v>3580</v>
      </c>
      <c r="R763" s="34" t="s">
        <v>3407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3410</v>
      </c>
      <c r="Y763" s="34" t="s">
        <v>3409</v>
      </c>
      <c r="Z763" s="34">
        <v>1</v>
      </c>
      <c r="AA763" s="34" t="s">
        <v>5720</v>
      </c>
      <c r="AB763" s="34" t="s">
        <v>5721</v>
      </c>
      <c r="AC763" s="34" t="s">
        <v>4834</v>
      </c>
      <c r="AD763" s="34" t="s">
        <v>5721</v>
      </c>
      <c r="AE763" s="34" t="s">
        <v>5723</v>
      </c>
      <c r="AF763" s="34" t="s">
        <v>5723</v>
      </c>
      <c r="AG763" s="34" t="s">
        <v>5723</v>
      </c>
      <c r="AH763" s="34" t="s">
        <v>5724</v>
      </c>
      <c r="AI763" s="34" t="s">
        <v>4154</v>
      </c>
      <c r="AJ763" s="34" t="s">
        <v>3809</v>
      </c>
      <c r="AK763" s="34" t="s">
        <v>3609</v>
      </c>
      <c r="AL763" s="34" t="s">
        <v>3525</v>
      </c>
      <c r="AM763" s="34" t="s">
        <v>7961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7" t="str">
        <f>IFERROR(INDEX(Структура_ассортимента[SuperCategory],MATCH(Товары[[#This Row],[SubGroup]],Структура_ассортимента[Subgroup],0)),"")</f>
        <v>R</v>
      </c>
      <c r="D76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7" t="str">
        <f>IFERROR(INDEX(Структура_ассортимента[Product group],MATCH(Товары[[#This Row],[SubGroup]],Структура_ассортимента[Subgroup],0)),"")</f>
        <v>LRL_C</v>
      </c>
      <c r="G76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2313</v>
      </c>
      <c r="Q764" s="39" t="s">
        <v>3580</v>
      </c>
      <c r="R764" s="34" t="s">
        <v>3407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3410</v>
      </c>
      <c r="Y764" s="34" t="s">
        <v>3409</v>
      </c>
      <c r="Z764" s="34">
        <v>1</v>
      </c>
      <c r="AA764" s="34" t="s">
        <v>5720</v>
      </c>
      <c r="AB764" s="34" t="s">
        <v>5721</v>
      </c>
      <c r="AC764" s="34" t="s">
        <v>4834</v>
      </c>
      <c r="AD764" s="34" t="s">
        <v>5721</v>
      </c>
      <c r="AE764" s="34" t="s">
        <v>5723</v>
      </c>
      <c r="AF764" s="34" t="s">
        <v>5723</v>
      </c>
      <c r="AG764" s="34" t="s">
        <v>5723</v>
      </c>
      <c r="AH764" s="34" t="s">
        <v>5724</v>
      </c>
      <c r="AI764" s="34" t="s">
        <v>4154</v>
      </c>
      <c r="AJ764" s="34" t="s">
        <v>3809</v>
      </c>
      <c r="AK764" s="34" t="s">
        <v>3609</v>
      </c>
      <c r="AL764" s="34" t="s">
        <v>3525</v>
      </c>
      <c r="AM764" s="34" t="s">
        <v>7961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7" t="str">
        <f>IFERROR(INDEX(Структура_ассортимента[SuperCategory],MATCH(Товары[[#This Row],[SubGroup]],Структура_ассортимента[Subgroup],0)),"")</f>
        <v>R</v>
      </c>
      <c r="D76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7" t="str">
        <f>IFERROR(INDEX(Структура_ассортимента[Product group],MATCH(Товары[[#This Row],[SubGroup]],Структура_ассортимента[Subgroup],0)),"")</f>
        <v>LRL_C</v>
      </c>
      <c r="G76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2314</v>
      </c>
      <c r="Q765" s="39" t="s">
        <v>3580</v>
      </c>
      <c r="R765" s="34" t="s">
        <v>3407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3410</v>
      </c>
      <c r="Y765" s="34" t="s">
        <v>3409</v>
      </c>
      <c r="Z765" s="34">
        <v>1</v>
      </c>
      <c r="AA765" s="34" t="s">
        <v>5720</v>
      </c>
      <c r="AB765" s="34" t="s">
        <v>5721</v>
      </c>
      <c r="AC765" s="34" t="s">
        <v>4834</v>
      </c>
      <c r="AD765" s="34" t="s">
        <v>5721</v>
      </c>
      <c r="AE765" s="34" t="s">
        <v>5723</v>
      </c>
      <c r="AF765" s="34" t="s">
        <v>5723</v>
      </c>
      <c r="AG765" s="34" t="s">
        <v>5723</v>
      </c>
      <c r="AH765" s="34" t="s">
        <v>5724</v>
      </c>
      <c r="AI765" s="34" t="s">
        <v>4154</v>
      </c>
      <c r="AJ765" s="34" t="s">
        <v>3809</v>
      </c>
      <c r="AK765" s="34" t="s">
        <v>3609</v>
      </c>
      <c r="AL765" s="34" t="s">
        <v>3525</v>
      </c>
      <c r="AM765" s="34" t="s">
        <v>7961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7" t="str">
        <f>IFERROR(INDEX(Структура_ассортимента[SuperCategory],MATCH(Товары[[#This Row],[SubGroup]],Структура_ассортимента[Subgroup],0)),"")</f>
        <v>R</v>
      </c>
      <c r="D76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7" t="str">
        <f>IFERROR(INDEX(Структура_ассортимента[Product group],MATCH(Товары[[#This Row],[SubGroup]],Структура_ассортимента[Subgroup],0)),"")</f>
        <v>LRL_C</v>
      </c>
      <c r="G76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2315</v>
      </c>
      <c r="Q766" s="39" t="s">
        <v>3416</v>
      </c>
      <c r="R766" s="34" t="s">
        <v>3407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5704</v>
      </c>
      <c r="X766" s="34" t="s">
        <v>5727</v>
      </c>
      <c r="Y766" s="34" t="s">
        <v>3409</v>
      </c>
      <c r="Z766" s="34">
        <v>1</v>
      </c>
      <c r="AA766" s="34" t="s">
        <v>5720</v>
      </c>
      <c r="AB766" s="34" t="s">
        <v>5736</v>
      </c>
      <c r="AC766" s="34" t="s">
        <v>4834</v>
      </c>
      <c r="AD766" s="34" t="s">
        <v>3879</v>
      </c>
      <c r="AE766" s="34" t="s">
        <v>4749</v>
      </c>
      <c r="AF766" s="34" t="s">
        <v>4598</v>
      </c>
      <c r="AG766" s="34" t="s">
        <v>5541</v>
      </c>
      <c r="AH766" s="34" t="s">
        <v>5730</v>
      </c>
      <c r="AI766" s="34" t="s">
        <v>4154</v>
      </c>
      <c r="AJ766" s="34" t="s">
        <v>3809</v>
      </c>
      <c r="AK766" s="34" t="s">
        <v>3609</v>
      </c>
      <c r="AL766" s="34" t="s">
        <v>4839</v>
      </c>
      <c r="AM766" s="34" t="s">
        <v>7962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7" t="str">
        <f>IFERROR(INDEX(Структура_ассортимента[SuperCategory],MATCH(Товары[[#This Row],[SubGroup]],Структура_ассортимента[Subgroup],0)),"")</f>
        <v>R</v>
      </c>
      <c r="D76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7" t="str">
        <f>IFERROR(INDEX(Структура_ассортимента[Product group],MATCH(Товары[[#This Row],[SubGroup]],Структура_ассортимента[Subgroup],0)),"")</f>
        <v>LRL_C</v>
      </c>
      <c r="G767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2316</v>
      </c>
      <c r="Q767" s="39" t="s">
        <v>3416</v>
      </c>
      <c r="R767" s="34" t="s">
        <v>3407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3410</v>
      </c>
      <c r="X767" s="34" t="s">
        <v>5727</v>
      </c>
      <c r="Y767" s="34" t="s">
        <v>3409</v>
      </c>
      <c r="Z767" s="34">
        <v>1</v>
      </c>
      <c r="AA767" s="34" t="s">
        <v>5720</v>
      </c>
      <c r="AB767" s="34" t="s">
        <v>5721</v>
      </c>
      <c r="AC767" s="34" t="s">
        <v>4834</v>
      </c>
      <c r="AD767" s="34" t="s">
        <v>5721</v>
      </c>
      <c r="AE767" s="34" t="s">
        <v>5723</v>
      </c>
      <c r="AF767" s="34" t="s">
        <v>5723</v>
      </c>
      <c r="AG767" s="34" t="s">
        <v>5723</v>
      </c>
      <c r="AH767" s="34" t="s">
        <v>5724</v>
      </c>
      <c r="AI767" s="34" t="s">
        <v>3721</v>
      </c>
      <c r="AJ767" s="34" t="s">
        <v>3610</v>
      </c>
      <c r="AK767" s="34" t="s">
        <v>4069</v>
      </c>
      <c r="AL767" s="34" t="s">
        <v>3525</v>
      </c>
      <c r="AM767" s="34" t="s">
        <v>7962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7" t="str">
        <f>IFERROR(INDEX(Структура_ассортимента[SuperCategory],MATCH(Товары[[#This Row],[SubGroup]],Структура_ассортимента[Subgroup],0)),"")</f>
        <v>R</v>
      </c>
      <c r="D76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7" t="str">
        <f>IFERROR(INDEX(Структура_ассортимента[Product group],MATCH(Товары[[#This Row],[SubGroup]],Структура_ассортимента[Subgroup],0)),"")</f>
        <v>LRL_C</v>
      </c>
      <c r="G768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2317</v>
      </c>
      <c r="Q768" s="39" t="s">
        <v>3580</v>
      </c>
      <c r="R768" s="34" t="s">
        <v>3407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3410</v>
      </c>
      <c r="Y768" s="34" t="s">
        <v>3409</v>
      </c>
      <c r="Z768" s="34">
        <v>1</v>
      </c>
      <c r="AI768" s="34" t="s">
        <v>3721</v>
      </c>
      <c r="AJ768" s="34" t="s">
        <v>3610</v>
      </c>
      <c r="AK768" s="34" t="s">
        <v>4069</v>
      </c>
      <c r="AM768" s="34" t="s">
        <v>7961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7" t="str">
        <f>IFERROR(INDEX(Структура_ассортимента[SuperCategory],MATCH(Товары[[#This Row],[SubGroup]],Структура_ассортимента[Subgroup],0)),"")</f>
        <v>R</v>
      </c>
      <c r="D76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7" t="str">
        <f>IFERROR(INDEX(Структура_ассортимента[Product group],MATCH(Товары[[#This Row],[SubGroup]],Структура_ассортимента[Subgroup],0)),"")</f>
        <v>LRL_C</v>
      </c>
      <c r="G769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2318</v>
      </c>
      <c r="O769" s="37" t="s">
        <v>5737</v>
      </c>
      <c r="P769" s="37" t="s">
        <v>5707</v>
      </c>
      <c r="Q769" s="39" t="s">
        <v>3416</v>
      </c>
      <c r="R769" s="34" t="s">
        <v>3407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3408</v>
      </c>
      <c r="X769" s="34" t="s">
        <v>3571</v>
      </c>
      <c r="Y769" s="34" t="s">
        <v>3409</v>
      </c>
      <c r="Z769" s="34">
        <v>1</v>
      </c>
      <c r="AA769" s="34" t="s">
        <v>4834</v>
      </c>
      <c r="AB769" s="34" t="s">
        <v>5738</v>
      </c>
      <c r="AC769" s="34" t="s">
        <v>5709</v>
      </c>
      <c r="AD769" s="34" t="s">
        <v>5710</v>
      </c>
      <c r="AE769" s="34" t="s">
        <v>5032</v>
      </c>
      <c r="AF769" s="34" t="s">
        <v>4287</v>
      </c>
      <c r="AG769" s="34" t="s">
        <v>4915</v>
      </c>
      <c r="AH769" s="34" t="s">
        <v>5711</v>
      </c>
      <c r="AI769" s="34" t="s">
        <v>4190</v>
      </c>
      <c r="AJ769" s="34" t="s">
        <v>3610</v>
      </c>
      <c r="AK769" s="34" t="s">
        <v>3589</v>
      </c>
      <c r="AL769" s="34" t="s">
        <v>4839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7" t="str">
        <f>IFERROR(INDEX(Структура_ассортимента[SuperCategory],MATCH(Товары[[#This Row],[SubGroup]],Структура_ассортимента[Subgroup],0)),"")</f>
        <v>R</v>
      </c>
      <c r="D77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7" t="str">
        <f>IFERROR(INDEX(Структура_ассортимента[Product group],MATCH(Товары[[#This Row],[SubGroup]],Структура_ассортимента[Subgroup],0)),"")</f>
        <v>LRL_C</v>
      </c>
      <c r="G770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2319</v>
      </c>
      <c r="O770" s="37" t="s">
        <v>5739</v>
      </c>
      <c r="P770" s="37" t="s">
        <v>5713</v>
      </c>
      <c r="Q770" s="39" t="s">
        <v>3416</v>
      </c>
      <c r="R770" s="34" t="s">
        <v>3407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3408</v>
      </c>
      <c r="X770" s="34" t="s">
        <v>3571</v>
      </c>
      <c r="Y770" s="34" t="s">
        <v>3409</v>
      </c>
      <c r="Z770" s="34">
        <v>1</v>
      </c>
      <c r="AA770" s="34" t="s">
        <v>4834</v>
      </c>
      <c r="AB770" s="34" t="s">
        <v>5708</v>
      </c>
      <c r="AC770" s="34" t="s">
        <v>5709</v>
      </c>
      <c r="AD770" s="34" t="s">
        <v>5710</v>
      </c>
      <c r="AE770" s="34" t="s">
        <v>5032</v>
      </c>
      <c r="AF770" s="34" t="s">
        <v>4287</v>
      </c>
      <c r="AG770" s="34" t="s">
        <v>4915</v>
      </c>
      <c r="AH770" s="34" t="s">
        <v>5711</v>
      </c>
      <c r="AI770" s="34" t="s">
        <v>4190</v>
      </c>
      <c r="AJ770" s="34" t="s">
        <v>3610</v>
      </c>
      <c r="AK770" s="34" t="s">
        <v>3589</v>
      </c>
      <c r="AL770" s="34" t="s">
        <v>4839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7" t="str">
        <f>IFERROR(INDEX(Структура_ассортимента[SuperCategory],MATCH(Товары[[#This Row],[SubGroup]],Структура_ассортимента[Subgroup],0)),"")</f>
        <v>R</v>
      </c>
      <c r="D77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7" t="str">
        <f>IFERROR(INDEX(Структура_ассортимента[Product group],MATCH(Товары[[#This Row],[SubGroup]],Структура_ассортимента[Subgroup],0)),"")</f>
        <v>LRL_C</v>
      </c>
      <c r="G771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2320</v>
      </c>
      <c r="Q771" s="39" t="s">
        <v>3416</v>
      </c>
      <c r="R771" s="34" t="s">
        <v>3407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3408</v>
      </c>
      <c r="X771" s="34" t="s">
        <v>3571</v>
      </c>
      <c r="Y771" s="34" t="s">
        <v>3409</v>
      </c>
      <c r="Z771" s="34">
        <v>1</v>
      </c>
      <c r="AA771" s="34" t="s">
        <v>4834</v>
      </c>
      <c r="AB771" s="34" t="s">
        <v>4834</v>
      </c>
      <c r="AC771" s="34" t="s">
        <v>5709</v>
      </c>
      <c r="AD771" s="34" t="s">
        <v>5709</v>
      </c>
      <c r="AE771" s="34" t="s">
        <v>4306</v>
      </c>
      <c r="AF771" s="34" t="s">
        <v>4090</v>
      </c>
      <c r="AG771" s="34" t="s">
        <v>4915</v>
      </c>
      <c r="AH771" s="34" t="s">
        <v>5740</v>
      </c>
      <c r="AI771" s="34" t="s">
        <v>4190</v>
      </c>
      <c r="AJ771" s="34" t="s">
        <v>3610</v>
      </c>
      <c r="AK771" s="34" t="s">
        <v>3589</v>
      </c>
      <c r="AM771" s="34" t="s">
        <v>7962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7" t="str">
        <f>IFERROR(INDEX(Структура_ассортимента[SuperCategory],MATCH(Товары[[#This Row],[SubGroup]],Структура_ассортимента[Subgroup],0)),"")</f>
        <v>R</v>
      </c>
      <c r="D77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7" t="str">
        <f>IFERROR(INDEX(Структура_ассортимента[Product group],MATCH(Товары[[#This Row],[SubGroup]],Структура_ассортимента[Subgroup],0)),"")</f>
        <v>LRL_C</v>
      </c>
      <c r="G772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2321</v>
      </c>
      <c r="O772" s="37" t="s">
        <v>5741</v>
      </c>
      <c r="P772" s="37" t="s">
        <v>5742</v>
      </c>
      <c r="Q772" s="39" t="s">
        <v>3416</v>
      </c>
      <c r="R772" s="34" t="s">
        <v>3407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3410</v>
      </c>
      <c r="Y772" s="34" t="s">
        <v>3409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7" t="str">
        <f>IFERROR(INDEX(Структура_ассортимента[SuperCategory],MATCH(Товары[[#This Row],[SubGroup]],Структура_ассортимента[Subgroup],0)),"")</f>
        <v>R</v>
      </c>
      <c r="D77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7" t="str">
        <f>IFERROR(INDEX(Структура_ассортимента[Product group],MATCH(Товары[[#This Row],[SubGroup]],Структура_ассортимента[Subgroup],0)),"")</f>
        <v>LRL_C</v>
      </c>
      <c r="G773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2322</v>
      </c>
      <c r="O773" s="37" t="s">
        <v>5743</v>
      </c>
      <c r="P773" s="37" t="s">
        <v>5744</v>
      </c>
      <c r="Q773" s="39" t="s">
        <v>3416</v>
      </c>
      <c r="R773" s="34" t="s">
        <v>3407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3410</v>
      </c>
      <c r="Y773" s="34" t="s">
        <v>3409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7" t="str">
        <f>IFERROR(INDEX(Структура_ассортимента[SuperCategory],MATCH(Товары[[#This Row],[SubGroup]],Структура_ассортимента[Subgroup],0)),"")</f>
        <v>R</v>
      </c>
      <c r="D77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7" t="str">
        <f>IFERROR(INDEX(Структура_ассортимента[Product group],MATCH(Товары[[#This Row],[SubGroup]],Структура_ассортимента[Subgroup],0)),"")</f>
        <v>LRL_C</v>
      </c>
      <c r="G774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2323</v>
      </c>
      <c r="Q774" s="39" t="s">
        <v>4432</v>
      </c>
      <c r="R774" s="34" t="s">
        <v>3407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5658</v>
      </c>
      <c r="Y774" s="34" t="s">
        <v>3409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7961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7" t="str">
        <f>IFERROR(INDEX(Структура_ассортимента[SuperCategory],MATCH(Товары[[#This Row],[SubGroup]],Структура_ассортимента[Subgroup],0)),"")</f>
        <v>R</v>
      </c>
      <c r="D77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7" t="str">
        <f>IFERROR(INDEX(Структура_ассортимента[Product group],MATCH(Товары[[#This Row],[SubGroup]],Структура_ассортимента[Subgroup],0)),"")</f>
        <v>LRL_C</v>
      </c>
      <c r="G775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2324</v>
      </c>
      <c r="Q775" s="39" t="s">
        <v>3411</v>
      </c>
      <c r="R775" s="34" t="s">
        <v>3407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5658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7961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7" t="str">
        <f>IFERROR(INDEX(Структура_ассортимента[SuperCategory],MATCH(Товары[[#This Row],[SubGroup]],Структура_ассортимента[Subgroup],0)),"")</f>
        <v>R</v>
      </c>
      <c r="D77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7" t="str">
        <f>IFERROR(INDEX(Структура_ассортимента[Product group],MATCH(Товары[[#This Row],[SubGroup]],Структура_ассортимента[Subgroup],0)),"")</f>
        <v>LRL_C</v>
      </c>
      <c r="G776" s="67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7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2325</v>
      </c>
      <c r="Q776" s="39" t="s">
        <v>3411</v>
      </c>
      <c r="R776" s="34" t="s">
        <v>3407</v>
      </c>
      <c r="S776" s="46">
        <v>42736</v>
      </c>
      <c r="T776" s="46">
        <v>0</v>
      </c>
      <c r="U776" s="46">
        <v>0</v>
      </c>
      <c r="V776" s="34" t="s">
        <v>5745</v>
      </c>
      <c r="W776" s="34" t="s">
        <v>5658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7961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7" t="str">
        <f>IFERROR(INDEX(Структура_ассортимента[SuperCategory],MATCH(Товары[[#This Row],[SubGroup]],Структура_ассортимента[Subgroup],0)),"")</f>
        <v>R</v>
      </c>
      <c r="D77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7" t="str">
        <f>IFERROR(INDEX(Структура_ассортимента[Product group],MATCH(Товары[[#This Row],[SubGroup]],Структура_ассортимента[Subgroup],0)),"")</f>
        <v>LRL_P</v>
      </c>
      <c r="G77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2326</v>
      </c>
      <c r="O777" s="37" t="s">
        <v>5746</v>
      </c>
      <c r="P777" s="37" t="s">
        <v>5747</v>
      </c>
      <c r="Q777" s="39" t="s">
        <v>3416</v>
      </c>
      <c r="R777" s="34" t="s">
        <v>3407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3413</v>
      </c>
      <c r="X777" s="34" t="s">
        <v>5727</v>
      </c>
      <c r="Y777" s="34" t="s">
        <v>3409</v>
      </c>
      <c r="Z777" s="34">
        <v>5</v>
      </c>
      <c r="AA777" s="34">
        <v>40</v>
      </c>
      <c r="AB777" s="34" t="s">
        <v>5470</v>
      </c>
      <c r="AC777" s="34">
        <v>40</v>
      </c>
      <c r="AD777" s="34" t="s">
        <v>3643</v>
      </c>
      <c r="AE777" s="34" t="s">
        <v>3560</v>
      </c>
      <c r="AF777" s="34" t="s">
        <v>3443</v>
      </c>
      <c r="AG777" s="34" t="s">
        <v>4127</v>
      </c>
      <c r="AH777" s="34" t="s">
        <v>5748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7" t="str">
        <f>IFERROR(INDEX(Структура_ассортимента[SuperCategory],MATCH(Товары[[#This Row],[SubGroup]],Структура_ассортимента[Subgroup],0)),"")</f>
        <v>R</v>
      </c>
      <c r="D77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7" t="str">
        <f>IFERROR(INDEX(Структура_ассортимента[Product group],MATCH(Товары[[#This Row],[SubGroup]],Структура_ассортимента[Subgroup],0)),"")</f>
        <v>LRL_P</v>
      </c>
      <c r="G77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2327</v>
      </c>
      <c r="P778" s="37" t="s">
        <v>5749</v>
      </c>
      <c r="Q778" s="39" t="s">
        <v>3580</v>
      </c>
      <c r="R778" s="34" t="s">
        <v>3407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5704</v>
      </c>
      <c r="Y778" s="34" t="s">
        <v>3409</v>
      </c>
      <c r="Z778" s="34">
        <v>1</v>
      </c>
      <c r="AA778" s="34" t="s">
        <v>5750</v>
      </c>
      <c r="AB778" s="34" t="s">
        <v>5750</v>
      </c>
      <c r="AC778" s="34" t="s">
        <v>5751</v>
      </c>
      <c r="AD778" s="34" t="s">
        <v>5751</v>
      </c>
      <c r="AE778" s="34" t="s">
        <v>3809</v>
      </c>
      <c r="AF778" s="34" t="s">
        <v>3744</v>
      </c>
      <c r="AG778" s="34" t="s">
        <v>4006</v>
      </c>
      <c r="AH778" s="34" t="s">
        <v>5752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7" t="str">
        <f>IFERROR(INDEX(Структура_ассортимента[SuperCategory],MATCH(Товары[[#This Row],[SubGroup]],Структура_ассортимента[Subgroup],0)),"")</f>
        <v>R</v>
      </c>
      <c r="D77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7" t="str">
        <f>IFERROR(INDEX(Структура_ассортимента[Product group],MATCH(Товары[[#This Row],[SubGroup]],Структура_ассортимента[Subgroup],0)),"")</f>
        <v>LRL_P</v>
      </c>
      <c r="G77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2328</v>
      </c>
      <c r="O779" s="37" t="s">
        <v>5753</v>
      </c>
      <c r="P779" s="37" t="s">
        <v>5754</v>
      </c>
      <c r="Q779" s="39" t="s">
        <v>3416</v>
      </c>
      <c r="R779" s="34" t="s">
        <v>3407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5704</v>
      </c>
      <c r="X779" s="34" t="s">
        <v>5727</v>
      </c>
      <c r="Y779" s="34" t="s">
        <v>3409</v>
      </c>
      <c r="Z779" s="34">
        <v>5</v>
      </c>
      <c r="AA779" s="34" t="s">
        <v>5496</v>
      </c>
      <c r="AB779" s="34" t="s">
        <v>5496</v>
      </c>
      <c r="AC779" s="34" t="s">
        <v>5755</v>
      </c>
      <c r="AD779" s="34" t="s">
        <v>5755</v>
      </c>
      <c r="AE779" s="34" t="s">
        <v>3560</v>
      </c>
      <c r="AF779" s="34" t="s">
        <v>3443</v>
      </c>
      <c r="AG779" s="34" t="s">
        <v>4127</v>
      </c>
      <c r="AH779" s="34" t="s">
        <v>5748</v>
      </c>
      <c r="AL779" s="34" t="s">
        <v>5756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7" t="str">
        <f>IFERROR(INDEX(Структура_ассортимента[SuperCategory],MATCH(Товары[[#This Row],[SubGroup]],Структура_ассортимента[Subgroup],0)),"")</f>
        <v>R</v>
      </c>
      <c r="D78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7" t="str">
        <f>IFERROR(INDEX(Структура_ассортимента[Product group],MATCH(Товары[[#This Row],[SubGroup]],Структура_ассортимента[Subgroup],0)),"")</f>
        <v>LRL_P</v>
      </c>
      <c r="G78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2329</v>
      </c>
      <c r="O780" s="37" t="s">
        <v>5757</v>
      </c>
      <c r="P780" s="37" t="s">
        <v>5758</v>
      </c>
      <c r="Q780" s="39" t="s">
        <v>3416</v>
      </c>
      <c r="R780" s="34" t="s">
        <v>3407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5704</v>
      </c>
      <c r="X780" s="34" t="s">
        <v>5727</v>
      </c>
      <c r="Y780" s="34" t="s">
        <v>3409</v>
      </c>
      <c r="Z780" s="34">
        <v>2</v>
      </c>
      <c r="AA780" s="34" t="s">
        <v>4363</v>
      </c>
      <c r="AB780" s="34" t="s">
        <v>4492</v>
      </c>
      <c r="AC780" s="34" t="s">
        <v>4667</v>
      </c>
      <c r="AD780" s="34" t="s">
        <v>4369</v>
      </c>
      <c r="AE780" s="34" t="s">
        <v>3457</v>
      </c>
      <c r="AF780" s="34" t="s">
        <v>3969</v>
      </c>
      <c r="AG780" s="34" t="s">
        <v>4127</v>
      </c>
      <c r="AH780" s="34" t="s">
        <v>5759</v>
      </c>
      <c r="AL780" s="34" t="s">
        <v>4914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7" t="str">
        <f>IFERROR(INDEX(Структура_ассортимента[SuperCategory],MATCH(Товары[[#This Row],[SubGroup]],Структура_ассортимента[Subgroup],0)),"")</f>
        <v>R</v>
      </c>
      <c r="D78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7" t="str">
        <f>IFERROR(INDEX(Структура_ассортимента[Product group],MATCH(Товары[[#This Row],[SubGroup]],Структура_ассортимента[Subgroup],0)),"")</f>
        <v>LRL_P</v>
      </c>
      <c r="G78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2330</v>
      </c>
      <c r="Q781" s="39" t="s">
        <v>3519</v>
      </c>
      <c r="R781" s="34" t="s">
        <v>3407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5704</v>
      </c>
      <c r="X781" s="34" t="s">
        <v>5727</v>
      </c>
      <c r="Y781" s="34" t="s">
        <v>3409</v>
      </c>
      <c r="Z781" s="34">
        <v>1</v>
      </c>
      <c r="AA781" s="34" t="s">
        <v>5225</v>
      </c>
      <c r="AB781" s="34" t="s">
        <v>5303</v>
      </c>
      <c r="AC781" s="34" t="s">
        <v>4725</v>
      </c>
      <c r="AD781" s="34" t="s">
        <v>5760</v>
      </c>
      <c r="AE781" s="34" t="s">
        <v>4594</v>
      </c>
      <c r="AF781" s="34" t="s">
        <v>3724</v>
      </c>
      <c r="AG781" s="34" t="s">
        <v>4407</v>
      </c>
      <c r="AH781" s="34" t="s">
        <v>5761</v>
      </c>
      <c r="AL781" s="34" t="s">
        <v>4839</v>
      </c>
      <c r="AM781" s="34" t="s">
        <v>7962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7" t="str">
        <f>IFERROR(INDEX(Структура_ассортимента[SuperCategory],MATCH(Товары[[#This Row],[SubGroup]],Структура_ассортимента[Subgroup],0)),"")</f>
        <v>R</v>
      </c>
      <c r="D78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7" t="str">
        <f>IFERROR(INDEX(Структура_ассортимента[Product group],MATCH(Товары[[#This Row],[SubGroup]],Структура_ассортимента[Subgroup],0)),"")</f>
        <v>LRL_P</v>
      </c>
      <c r="G78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2331</v>
      </c>
      <c r="O782" s="37" t="s">
        <v>5762</v>
      </c>
      <c r="P782" s="37" t="s">
        <v>5763</v>
      </c>
      <c r="Q782" s="39" t="s">
        <v>3416</v>
      </c>
      <c r="R782" s="34" t="s">
        <v>3407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5704</v>
      </c>
      <c r="X782" s="34" t="s">
        <v>5727</v>
      </c>
      <c r="Y782" s="34" t="s">
        <v>3409</v>
      </c>
      <c r="Z782" s="34">
        <v>1</v>
      </c>
      <c r="AA782" s="34" t="s">
        <v>5576</v>
      </c>
      <c r="AB782" s="34" t="s">
        <v>5764</v>
      </c>
      <c r="AC782" s="34" t="s">
        <v>3879</v>
      </c>
      <c r="AD782" s="34" t="s">
        <v>5765</v>
      </c>
      <c r="AE782" s="34" t="s">
        <v>5633</v>
      </c>
      <c r="AF782" s="34" t="s">
        <v>4598</v>
      </c>
      <c r="AG782" s="34" t="s">
        <v>3724</v>
      </c>
      <c r="AH782" s="34" t="s">
        <v>5766</v>
      </c>
      <c r="AL782" s="34" t="s">
        <v>4839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7" t="str">
        <f>IFERROR(INDEX(Структура_ассортимента[SuperCategory],MATCH(Товары[[#This Row],[SubGroup]],Структура_ассортимента[Subgroup],0)),"")</f>
        <v>R</v>
      </c>
      <c r="D78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7" t="str">
        <f>IFERROR(INDEX(Структура_ассортимента[Product group],MATCH(Товары[[#This Row],[SubGroup]],Структура_ассортимента[Subgroup],0)),"")</f>
        <v>LRL_P</v>
      </c>
      <c r="G78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2332</v>
      </c>
      <c r="O783" s="37" t="s">
        <v>5767</v>
      </c>
      <c r="P783" s="37" t="s">
        <v>5768</v>
      </c>
      <c r="Q783" s="39" t="s">
        <v>3416</v>
      </c>
      <c r="R783" s="34" t="s">
        <v>3407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3408</v>
      </c>
      <c r="X783" s="34" t="s">
        <v>3571</v>
      </c>
      <c r="Y783" s="34" t="s">
        <v>3409</v>
      </c>
      <c r="Z783" s="34">
        <v>1</v>
      </c>
      <c r="AA783" s="34" t="s">
        <v>5601</v>
      </c>
      <c r="AB783" s="34" t="s">
        <v>5386</v>
      </c>
      <c r="AC783" s="34" t="s">
        <v>4725</v>
      </c>
      <c r="AD783" s="34" t="s">
        <v>5386</v>
      </c>
      <c r="AE783" s="34" t="s">
        <v>4012</v>
      </c>
      <c r="AF783" s="34" t="s">
        <v>4598</v>
      </c>
      <c r="AG783" s="34" t="s">
        <v>5541</v>
      </c>
      <c r="AH783" s="34" t="s">
        <v>5769</v>
      </c>
      <c r="AI783" s="34" t="s">
        <v>4424</v>
      </c>
      <c r="AJ783" s="34" t="s">
        <v>5770</v>
      </c>
      <c r="AK783" s="34" t="s">
        <v>5771</v>
      </c>
      <c r="AL783" s="34" t="s">
        <v>3484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7" t="str">
        <f>IFERROR(INDEX(Структура_ассортимента[SuperCategory],MATCH(Товары[[#This Row],[SubGroup]],Структура_ассортимента[Subgroup],0)),"")</f>
        <v>R</v>
      </c>
      <c r="D78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7" t="str">
        <f>IFERROR(INDEX(Структура_ассортимента[Product group],MATCH(Товары[[#This Row],[SubGroup]],Структура_ассортимента[Subgroup],0)),"")</f>
        <v>LRL_P</v>
      </c>
      <c r="G78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2333</v>
      </c>
      <c r="Q784" s="39" t="s">
        <v>3416</v>
      </c>
      <c r="R784" s="34" t="s">
        <v>3407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3410</v>
      </c>
      <c r="X784" s="34" t="s">
        <v>3446</v>
      </c>
      <c r="Y784" s="34" t="s">
        <v>3409</v>
      </c>
      <c r="Z784" s="34">
        <v>1</v>
      </c>
      <c r="AA784" s="34">
        <v>800</v>
      </c>
      <c r="AB784" s="34" t="s">
        <v>5772</v>
      </c>
      <c r="AC784" s="34">
        <v>780</v>
      </c>
      <c r="AD784" s="34" t="s">
        <v>4599</v>
      </c>
      <c r="AE784" s="34" t="s">
        <v>5773</v>
      </c>
      <c r="AF784" s="34" t="s">
        <v>3458</v>
      </c>
      <c r="AG784" s="34" t="s">
        <v>4652</v>
      </c>
      <c r="AH784" s="34" t="s">
        <v>5774</v>
      </c>
      <c r="AL784" s="34" t="s">
        <v>5775</v>
      </c>
      <c r="AM784" s="34" t="s">
        <v>7962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7" t="str">
        <f>IFERROR(INDEX(Структура_ассортимента[SuperCategory],MATCH(Товары[[#This Row],[SubGroup]],Структура_ассортимента[Subgroup],0)),"")</f>
        <v>R</v>
      </c>
      <c r="D78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7" t="str">
        <f>IFERROR(INDEX(Структура_ассортимента[Product group],MATCH(Товары[[#This Row],[SubGroup]],Структура_ассортимента[Subgroup],0)),"")</f>
        <v>LRL_P</v>
      </c>
      <c r="G78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2334</v>
      </c>
      <c r="P785" s="37" t="s">
        <v>5776</v>
      </c>
      <c r="Q785" s="39" t="s">
        <v>3580</v>
      </c>
      <c r="R785" s="34" t="s">
        <v>3407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3413</v>
      </c>
      <c r="Y785" s="34" t="s">
        <v>3409</v>
      </c>
      <c r="Z785" s="34">
        <v>1</v>
      </c>
      <c r="AA785" s="34">
        <v>0</v>
      </c>
      <c r="AB785" s="34" t="s">
        <v>3863</v>
      </c>
      <c r="AC785" s="34">
        <v>0</v>
      </c>
      <c r="AD785" s="34" t="s">
        <v>5777</v>
      </c>
      <c r="AE785" s="34" t="s">
        <v>3835</v>
      </c>
      <c r="AF785" s="34" t="s">
        <v>3423</v>
      </c>
      <c r="AG785" s="34" t="s">
        <v>3798</v>
      </c>
      <c r="AH785" s="34" t="s">
        <v>5778</v>
      </c>
      <c r="AL785" s="34" t="s">
        <v>5779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7" t="str">
        <f>IFERROR(INDEX(Структура_ассортимента[SuperCategory],MATCH(Товары[[#This Row],[SubGroup]],Структура_ассортимента[Subgroup],0)),"")</f>
        <v>R</v>
      </c>
      <c r="D78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7" t="str">
        <f>IFERROR(INDEX(Структура_ассортимента[Product group],MATCH(Товары[[#This Row],[SubGroup]],Структура_ассортимента[Subgroup],0)),"")</f>
        <v>LRL_P</v>
      </c>
      <c r="G78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2335</v>
      </c>
      <c r="O786" s="37" t="s">
        <v>5780</v>
      </c>
      <c r="P786" s="37" t="s">
        <v>5781</v>
      </c>
      <c r="Q786" s="39" t="s">
        <v>3416</v>
      </c>
      <c r="R786" s="34" t="s">
        <v>3407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3413</v>
      </c>
      <c r="X786" s="34" t="s">
        <v>3418</v>
      </c>
      <c r="Y786" s="34" t="s">
        <v>3409</v>
      </c>
      <c r="Z786" s="34">
        <v>1</v>
      </c>
      <c r="AA786" s="34">
        <v>500</v>
      </c>
      <c r="AB786" s="34" t="s">
        <v>4421</v>
      </c>
      <c r="AC786" s="34">
        <v>480</v>
      </c>
      <c r="AD786" s="34" t="s">
        <v>3465</v>
      </c>
      <c r="AE786" s="34" t="s">
        <v>4201</v>
      </c>
      <c r="AF786" s="34" t="s">
        <v>3529</v>
      </c>
      <c r="AG786" s="34" t="s">
        <v>3667</v>
      </c>
      <c r="AH786" s="34" t="s">
        <v>5782</v>
      </c>
      <c r="AL786" s="34" t="s">
        <v>5309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7" t="str">
        <f>IFERROR(INDEX(Структура_ассортимента[SuperCategory],MATCH(Товары[[#This Row],[SubGroup]],Структура_ассортимента[Subgroup],0)),"")</f>
        <v>R</v>
      </c>
      <c r="D78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7" t="str">
        <f>IFERROR(INDEX(Структура_ассортимента[Product group],MATCH(Товары[[#This Row],[SubGroup]],Структура_ассортимента[Subgroup],0)),"")</f>
        <v>LRL_P</v>
      </c>
      <c r="G787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2336</v>
      </c>
      <c r="Q787" s="39" t="s">
        <v>3416</v>
      </c>
      <c r="R787" s="34" t="s">
        <v>3407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3413</v>
      </c>
      <c r="X787" s="34" t="s">
        <v>3654</v>
      </c>
      <c r="Y787" s="34" t="s">
        <v>3409</v>
      </c>
      <c r="Z787" s="34">
        <v>1</v>
      </c>
      <c r="AA787" s="34">
        <v>150</v>
      </c>
      <c r="AB787" s="34" t="s">
        <v>4046</v>
      </c>
      <c r="AC787" s="34">
        <v>145</v>
      </c>
      <c r="AD787" s="34" t="s">
        <v>4019</v>
      </c>
      <c r="AE787" s="34" t="s">
        <v>5783</v>
      </c>
      <c r="AF787" s="34" t="s">
        <v>5784</v>
      </c>
      <c r="AG787" s="34" t="s">
        <v>4106</v>
      </c>
      <c r="AH787" s="34" t="s">
        <v>5785</v>
      </c>
      <c r="AI787" s="34" t="s">
        <v>5786</v>
      </c>
      <c r="AJ787" s="34" t="s">
        <v>4106</v>
      </c>
      <c r="AK787" s="34" t="s">
        <v>3778</v>
      </c>
      <c r="AL787" s="34" t="s">
        <v>4300</v>
      </c>
      <c r="AM787" s="34" t="s">
        <v>7962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7" t="str">
        <f>IFERROR(INDEX(Структура_ассортимента[SuperCategory],MATCH(Товары[[#This Row],[SubGroup]],Структура_ассортимента[Subgroup],0)),"")</f>
        <v>R</v>
      </c>
      <c r="D78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7" t="str">
        <f>IFERROR(INDEX(Структура_ассортимента[Product group],MATCH(Товары[[#This Row],[SubGroup]],Структура_ассортимента[Subgroup],0)),"")</f>
        <v>LRL_P</v>
      </c>
      <c r="G788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2337</v>
      </c>
      <c r="Q788" s="39" t="s">
        <v>3416</v>
      </c>
      <c r="R788" s="34" t="s">
        <v>3407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3413</v>
      </c>
      <c r="X788" s="34" t="s">
        <v>3446</v>
      </c>
      <c r="Y788" s="34" t="s">
        <v>3409</v>
      </c>
      <c r="Z788" s="34">
        <v>1</v>
      </c>
      <c r="AA788" s="34">
        <v>1300</v>
      </c>
      <c r="AB788" s="34" t="s">
        <v>5787</v>
      </c>
      <c r="AC788" s="34">
        <v>1250</v>
      </c>
      <c r="AD788" s="34" t="s">
        <v>5788</v>
      </c>
      <c r="AE788" s="34" t="s">
        <v>4803</v>
      </c>
      <c r="AF788" s="34" t="s">
        <v>3685</v>
      </c>
      <c r="AG788" s="34" t="s">
        <v>3620</v>
      </c>
      <c r="AH788" s="34" t="s">
        <v>5789</v>
      </c>
      <c r="AL788" s="34" t="s">
        <v>4081</v>
      </c>
      <c r="AM788" s="34" t="s">
        <v>7962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7" t="str">
        <f>IFERROR(INDEX(Структура_ассортимента[SuperCategory],MATCH(Товары[[#This Row],[SubGroup]],Структура_ассортимента[Subgroup],0)),"")</f>
        <v>R</v>
      </c>
      <c r="D78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7" t="str">
        <f>IFERROR(INDEX(Структура_ассортимента[Product group],MATCH(Товары[[#This Row],[SubGroup]],Структура_ассортимента[Subgroup],0)),"")</f>
        <v>LRL_P</v>
      </c>
      <c r="G789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2338</v>
      </c>
      <c r="Q789" s="39" t="s">
        <v>3580</v>
      </c>
      <c r="R789" s="34" t="s">
        <v>3407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3413</v>
      </c>
      <c r="Y789" s="34" t="s">
        <v>3409</v>
      </c>
      <c r="Z789" s="34">
        <v>1</v>
      </c>
      <c r="AA789" s="34">
        <v>650</v>
      </c>
      <c r="AB789" s="34" t="s">
        <v>5790</v>
      </c>
      <c r="AC789" s="34">
        <v>620</v>
      </c>
      <c r="AD789" s="34" t="s">
        <v>4531</v>
      </c>
      <c r="AE789" s="34" t="s">
        <v>3787</v>
      </c>
      <c r="AF789" s="34" t="s">
        <v>3732</v>
      </c>
      <c r="AG789" s="34" t="s">
        <v>5791</v>
      </c>
      <c r="AH789" s="34" t="s">
        <v>5792</v>
      </c>
      <c r="AL789" s="34" t="s">
        <v>4689</v>
      </c>
      <c r="AM789" s="34" t="s">
        <v>7961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7" t="str">
        <f>IFERROR(INDEX(Структура_ассортимента[SuperCategory],MATCH(Товары[[#This Row],[SubGroup]],Структура_ассортимента[Subgroup],0)),"")</f>
        <v>R</v>
      </c>
      <c r="D79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7" t="str">
        <f>IFERROR(INDEX(Структура_ассортимента[Product group],MATCH(Товары[[#This Row],[SubGroup]],Структура_ассортимента[Subgroup],0)),"")</f>
        <v>LRL_P</v>
      </c>
      <c r="G790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2339</v>
      </c>
      <c r="Q790" s="39" t="s">
        <v>3416</v>
      </c>
      <c r="R790" s="34" t="s">
        <v>3407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3413</v>
      </c>
      <c r="X790" s="34" t="s">
        <v>5727</v>
      </c>
      <c r="Y790" s="34" t="s">
        <v>3409</v>
      </c>
      <c r="Z790" s="34">
        <v>1</v>
      </c>
      <c r="AB790" s="34" t="s">
        <v>3538</v>
      </c>
      <c r="AD790" s="34" t="s">
        <v>3537</v>
      </c>
      <c r="AE790" s="34" t="s">
        <v>4500</v>
      </c>
      <c r="AF790" s="34" t="s">
        <v>3454</v>
      </c>
      <c r="AG790" s="34" t="s">
        <v>4085</v>
      </c>
      <c r="AH790" s="34" t="s">
        <v>5793</v>
      </c>
      <c r="AL790" s="34" t="s">
        <v>5794</v>
      </c>
      <c r="AM790" s="34" t="s">
        <v>7962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7" t="str">
        <f>IFERROR(INDEX(Структура_ассортимента[SuperCategory],MATCH(Товары[[#This Row],[SubGroup]],Структура_ассортимента[Subgroup],0)),"")</f>
        <v>R</v>
      </c>
      <c r="D79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7" t="str">
        <f>IFERROR(INDEX(Структура_ассортимента[Product group],MATCH(Товары[[#This Row],[SubGroup]],Структура_ассортимента[Subgroup],0)),"")</f>
        <v>LRL_P</v>
      </c>
      <c r="G791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2340</v>
      </c>
      <c r="Q791" s="39" t="s">
        <v>3519</v>
      </c>
      <c r="R791" s="34" t="s">
        <v>3407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3415</v>
      </c>
      <c r="X791" s="34" t="s">
        <v>3446</v>
      </c>
      <c r="Y791" s="34" t="s">
        <v>3409</v>
      </c>
      <c r="Z791" s="34">
        <v>1</v>
      </c>
      <c r="AB791" s="34" t="s">
        <v>3743</v>
      </c>
      <c r="AD791" s="34" t="s">
        <v>4599</v>
      </c>
      <c r="AE791" s="34" t="s">
        <v>4555</v>
      </c>
      <c r="AF791" s="34" t="s">
        <v>3692</v>
      </c>
      <c r="AG791" s="34" t="s">
        <v>4048</v>
      </c>
      <c r="AH791" s="34" t="s">
        <v>5795</v>
      </c>
      <c r="AI791" s="34" t="s">
        <v>3609</v>
      </c>
      <c r="AJ791" s="34" t="s">
        <v>3744</v>
      </c>
      <c r="AK791" s="34" t="s">
        <v>3550</v>
      </c>
      <c r="AL791" s="34" t="s">
        <v>5796</v>
      </c>
      <c r="AM791" s="34" t="s">
        <v>7962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7" t="str">
        <f>IFERROR(INDEX(Структура_ассортимента[SuperCategory],MATCH(Товары[[#This Row],[SubGroup]],Структура_ассортимента[Subgroup],0)),"")</f>
        <v>R</v>
      </c>
      <c r="D79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7" t="str">
        <f>IFERROR(INDEX(Структура_ассортимента[Product group],MATCH(Товары[[#This Row],[SubGroup]],Структура_ассортимента[Subgroup],0)),"")</f>
        <v>LRL_P</v>
      </c>
      <c r="G792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2341</v>
      </c>
      <c r="Q792" s="39" t="s">
        <v>3416</v>
      </c>
      <c r="R792" s="34" t="s">
        <v>3407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3413</v>
      </c>
      <c r="X792" s="34" t="s">
        <v>3418</v>
      </c>
      <c r="Y792" s="34" t="s">
        <v>3409</v>
      </c>
      <c r="Z792" s="34">
        <v>1</v>
      </c>
      <c r="AB792" s="34" t="s">
        <v>5790</v>
      </c>
      <c r="AD792" s="34" t="s">
        <v>4531</v>
      </c>
      <c r="AE792" s="34" t="s">
        <v>3787</v>
      </c>
      <c r="AF792" s="34" t="s">
        <v>3732</v>
      </c>
      <c r="AG792" s="34" t="s">
        <v>5791</v>
      </c>
      <c r="AH792" s="34" t="s">
        <v>5792</v>
      </c>
      <c r="AM792" s="34" t="s">
        <v>7962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7" t="str">
        <f>IFERROR(INDEX(Структура_ассортимента[SuperCategory],MATCH(Товары[[#This Row],[SubGroup]],Структура_ассортимента[Subgroup],0)),"")</f>
        <v>R</v>
      </c>
      <c r="D79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7" t="str">
        <f>IFERROR(INDEX(Структура_ассортимента[Product group],MATCH(Товары[[#This Row],[SubGroup]],Структура_ассортимента[Subgroup],0)),"")</f>
        <v>LRL_P</v>
      </c>
      <c r="G793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2342</v>
      </c>
      <c r="Q793" s="39" t="s">
        <v>3416</v>
      </c>
      <c r="R793" s="34" t="s">
        <v>3407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3413</v>
      </c>
      <c r="X793" s="34" t="s">
        <v>3418</v>
      </c>
      <c r="Y793" s="34" t="s">
        <v>3409</v>
      </c>
      <c r="Z793" s="34">
        <v>1</v>
      </c>
      <c r="AB793" s="34" t="s">
        <v>3863</v>
      </c>
      <c r="AD793" s="34" t="s">
        <v>5777</v>
      </c>
      <c r="AE793" s="34" t="s">
        <v>3835</v>
      </c>
      <c r="AF793" s="34" t="s">
        <v>3423</v>
      </c>
      <c r="AG793" s="34" t="s">
        <v>3798</v>
      </c>
      <c r="AH793" s="34" t="s">
        <v>5797</v>
      </c>
      <c r="AM793" s="34" t="s">
        <v>7962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7" t="str">
        <f>IFERROR(INDEX(Структура_ассортимента[SuperCategory],MATCH(Товары[[#This Row],[SubGroup]],Структура_ассортимента[Subgroup],0)),"")</f>
        <v>R</v>
      </c>
      <c r="D79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7" t="str">
        <f>IFERROR(INDEX(Структура_ассортимента[Product group],MATCH(Товары[[#This Row],[SubGroup]],Структура_ассортимента[Subgroup],0)),"")</f>
        <v>LRL_P</v>
      </c>
      <c r="G794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2343</v>
      </c>
      <c r="O794" s="37" t="s">
        <v>5798</v>
      </c>
      <c r="P794" s="37" t="s">
        <v>5799</v>
      </c>
      <c r="Q794" s="39" t="s">
        <v>3416</v>
      </c>
      <c r="R794" s="34" t="s">
        <v>3407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5704</v>
      </c>
      <c r="X794" s="34" t="s">
        <v>5727</v>
      </c>
      <c r="Y794" s="34" t="s">
        <v>3409</v>
      </c>
      <c r="Z794" s="34">
        <v>1</v>
      </c>
      <c r="AB794" s="34" t="s">
        <v>5750</v>
      </c>
      <c r="AD794" s="34" t="s">
        <v>5751</v>
      </c>
      <c r="AE794" s="34" t="s">
        <v>3809</v>
      </c>
      <c r="AF794" s="34" t="s">
        <v>3744</v>
      </c>
      <c r="AG794" s="34" t="s">
        <v>4006</v>
      </c>
      <c r="AH794" s="34" t="s">
        <v>5752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7" t="str">
        <f>IFERROR(INDEX(Структура_ассортимента[SuperCategory],MATCH(Товары[[#This Row],[SubGroup]],Структура_ассортимента[Subgroup],0)),"")</f>
        <v>R</v>
      </c>
      <c r="D79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7" t="str">
        <f>IFERROR(INDEX(Структура_ассортимента[Product group],MATCH(Товары[[#This Row],[SubGroup]],Структура_ассортимента[Subgroup],0)),"")</f>
        <v>LRL_P</v>
      </c>
      <c r="G795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2344</v>
      </c>
      <c r="Q795" s="39" t="s">
        <v>3416</v>
      </c>
      <c r="R795" s="34" t="s">
        <v>3407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3415</v>
      </c>
      <c r="Y795" s="34" t="s">
        <v>3409</v>
      </c>
      <c r="Z795" s="34">
        <v>1</v>
      </c>
      <c r="AM795" s="34" t="s">
        <v>7962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7" t="str">
        <f>IFERROR(INDEX(Структура_ассортимента[SuperCategory],MATCH(Товары[[#This Row],[SubGroup]],Структура_ассортимента[Subgroup],0)),"")</f>
        <v>R</v>
      </c>
      <c r="D79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7" t="str">
        <f>IFERROR(INDEX(Структура_ассортимента[Product group],MATCH(Товары[[#This Row],[SubGroup]],Структура_ассортимента[Subgroup],0)),"")</f>
        <v>LRL_P</v>
      </c>
      <c r="G796" s="67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7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2345</v>
      </c>
      <c r="Q796" s="39" t="s">
        <v>3411</v>
      </c>
      <c r="R796" s="34" t="s">
        <v>3407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5658</v>
      </c>
      <c r="Y796" s="34" t="s">
        <v>3409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5800</v>
      </c>
      <c r="AM796" s="34" t="s">
        <v>7961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7" t="str">
        <f>IFERROR(INDEX(Структура_ассортимента[SuperCategory],MATCH(Товары[[#This Row],[SubGroup]],Структура_ассортимента[Subgroup],0)),"")</f>
        <v>R</v>
      </c>
      <c r="D79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7" t="str">
        <f>IFERROR(INDEX(Структура_ассортимента[Product group],MATCH(Товары[[#This Row],[SubGroup]],Структура_ассортимента[Subgroup],0)),"")</f>
        <v>LSP_C</v>
      </c>
      <c r="G797" s="67">
        <f>IFERROR(INDEX(Структура_ассортимента[Product group name ENG],MATCH(Товары[[#This Row],[SubGroup]],Структура_ассортимента[Subgroup],0)),"")</f>
        <v>0</v>
      </c>
      <c r="H79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2346</v>
      </c>
      <c r="O797" s="37" t="s">
        <v>5801</v>
      </c>
      <c r="P797" s="37" t="s">
        <v>5802</v>
      </c>
      <c r="Q797" s="39" t="s">
        <v>3416</v>
      </c>
      <c r="R797" s="34" t="s">
        <v>3407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3413</v>
      </c>
      <c r="X797" s="34" t="s">
        <v>3571</v>
      </c>
      <c r="Y797" s="34" t="s">
        <v>3409</v>
      </c>
      <c r="Z797" s="34">
        <v>1</v>
      </c>
      <c r="AA797" s="34" t="s">
        <v>5803</v>
      </c>
      <c r="AB797" s="34" t="s">
        <v>5803</v>
      </c>
      <c r="AC797" s="34" t="s">
        <v>4473</v>
      </c>
      <c r="AD797" s="34" t="s">
        <v>4473</v>
      </c>
      <c r="AE797" s="34" t="s">
        <v>4859</v>
      </c>
      <c r="AF797" s="34" t="s">
        <v>4069</v>
      </c>
      <c r="AG797" s="34" t="s">
        <v>3667</v>
      </c>
      <c r="AH797" s="34" t="s">
        <v>5804</v>
      </c>
      <c r="AI797" s="34" t="s">
        <v>4789</v>
      </c>
      <c r="AJ797" s="34" t="s">
        <v>4864</v>
      </c>
      <c r="AK797" s="34" t="s">
        <v>4808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7" t="str">
        <f>IFERROR(INDEX(Структура_ассортимента[SuperCategory],MATCH(Товары[[#This Row],[SubGroup]],Структура_ассортимента[Subgroup],0)),"")</f>
        <v>R</v>
      </c>
      <c r="D79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7" t="str">
        <f>IFERROR(INDEX(Структура_ассортимента[Product group],MATCH(Товары[[#This Row],[SubGroup]],Структура_ассортимента[Subgroup],0)),"")</f>
        <v>LSP_C</v>
      </c>
      <c r="G798" s="67">
        <f>IFERROR(INDEX(Структура_ассортимента[Product group name ENG],MATCH(Товары[[#This Row],[SubGroup]],Структура_ассортимента[Subgroup],0)),"")</f>
        <v>0</v>
      </c>
      <c r="H79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2347</v>
      </c>
      <c r="O798" s="37" t="s">
        <v>5805</v>
      </c>
      <c r="P798" s="37" t="s">
        <v>5806</v>
      </c>
      <c r="Q798" s="39" t="s">
        <v>3416</v>
      </c>
      <c r="R798" s="34" t="s">
        <v>3407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3417</v>
      </c>
      <c r="X798" s="34" t="s">
        <v>3418</v>
      </c>
      <c r="Y798" s="34" t="s">
        <v>3409</v>
      </c>
      <c r="Z798" s="34">
        <v>3</v>
      </c>
      <c r="AA798" s="34" t="s">
        <v>5807</v>
      </c>
      <c r="AB798" s="34" t="s">
        <v>5807</v>
      </c>
      <c r="AC798" s="34" t="s">
        <v>4384</v>
      </c>
      <c r="AD798" s="34" t="s">
        <v>4384</v>
      </c>
      <c r="AE798" s="34" t="s">
        <v>4915</v>
      </c>
      <c r="AF798" s="34" t="s">
        <v>4048</v>
      </c>
      <c r="AG798" s="34" t="s">
        <v>4098</v>
      </c>
      <c r="AH798" s="34" t="s">
        <v>5808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7" t="str">
        <f>IFERROR(INDEX(Структура_ассортимента[SuperCategory],MATCH(Товары[[#This Row],[SubGroup]],Структура_ассортимента[Subgroup],0)),"")</f>
        <v>R</v>
      </c>
      <c r="D799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7" t="str">
        <f>IFERROR(INDEX(Структура_ассортимента[Product group],MATCH(Товары[[#This Row],[SubGroup]],Структура_ассортимента[Subgroup],0)),"")</f>
        <v>LSP_C</v>
      </c>
      <c r="G799" s="67">
        <f>IFERROR(INDEX(Структура_ассортимента[Product group name ENG],MATCH(Товары[[#This Row],[SubGroup]],Структура_ассортимента[Subgroup],0)),"")</f>
        <v>0</v>
      </c>
      <c r="H799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2348</v>
      </c>
      <c r="O799" s="37" t="s">
        <v>5809</v>
      </c>
      <c r="P799" s="37" t="s">
        <v>5810</v>
      </c>
      <c r="Q799" s="39" t="s">
        <v>3416</v>
      </c>
      <c r="R799" s="34" t="s">
        <v>3407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3417</v>
      </c>
      <c r="X799" s="34" t="s">
        <v>5727</v>
      </c>
      <c r="Y799" s="34" t="s">
        <v>3409</v>
      </c>
      <c r="Z799" s="34">
        <v>3</v>
      </c>
      <c r="AA799" s="34" t="s">
        <v>3618</v>
      </c>
      <c r="AB799" s="34" t="s">
        <v>3618</v>
      </c>
      <c r="AC799" s="34" t="s">
        <v>4007</v>
      </c>
      <c r="AD799" s="34" t="s">
        <v>4007</v>
      </c>
      <c r="AE799" s="34" t="s">
        <v>3807</v>
      </c>
      <c r="AF799" s="34" t="s">
        <v>4006</v>
      </c>
      <c r="AG799" s="34" t="s">
        <v>3978</v>
      </c>
      <c r="AH799" s="34" t="s">
        <v>5811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7" t="str">
        <f>IFERROR(INDEX(Структура_ассортимента[SuperCategory],MATCH(Товары[[#This Row],[SubGroup]],Структура_ассортимента[Subgroup],0)),"")</f>
        <v>R</v>
      </c>
      <c r="D800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7" t="str">
        <f>IFERROR(INDEX(Структура_ассортимента[Product group],MATCH(Товары[[#This Row],[SubGroup]],Структура_ассортимента[Subgroup],0)),"")</f>
        <v>LSP_C</v>
      </c>
      <c r="G800" s="67">
        <f>IFERROR(INDEX(Структура_ассортимента[Product group name ENG],MATCH(Товары[[#This Row],[SubGroup]],Структура_ассортимента[Subgroup],0)),"")</f>
        <v>0</v>
      </c>
      <c r="H800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2349</v>
      </c>
      <c r="O800" s="37" t="s">
        <v>5812</v>
      </c>
      <c r="P800" s="37" t="s">
        <v>5813</v>
      </c>
      <c r="Q800" s="39" t="s">
        <v>3416</v>
      </c>
      <c r="R800" s="34" t="s">
        <v>3407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3417</v>
      </c>
      <c r="X800" s="34" t="s">
        <v>5727</v>
      </c>
      <c r="Y800" s="34" t="s">
        <v>3409</v>
      </c>
      <c r="Z800" s="34">
        <v>3</v>
      </c>
      <c r="AA800" s="34" t="s">
        <v>4492</v>
      </c>
      <c r="AB800" s="34" t="s">
        <v>4492</v>
      </c>
      <c r="AC800" s="34" t="s">
        <v>3558</v>
      </c>
      <c r="AD800" s="34" t="s">
        <v>3558</v>
      </c>
      <c r="AE800" s="34" t="s">
        <v>3807</v>
      </c>
      <c r="AF800" s="34" t="s">
        <v>4006</v>
      </c>
      <c r="AG800" s="34" t="s">
        <v>3978</v>
      </c>
      <c r="AH800" s="34" t="s">
        <v>5811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7" t="str">
        <f>IFERROR(INDEX(Структура_ассортимента[SuperCategory],MATCH(Товары[[#This Row],[SubGroup]],Структура_ассортимента[Subgroup],0)),"")</f>
        <v>R</v>
      </c>
      <c r="D801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7" t="str">
        <f>IFERROR(INDEX(Структура_ассортимента[Product group],MATCH(Товары[[#This Row],[SubGroup]],Структура_ассортимента[Subgroup],0)),"")</f>
        <v>LSP_C</v>
      </c>
      <c r="G801" s="67">
        <f>IFERROR(INDEX(Структура_ассортимента[Product group name ENG],MATCH(Товары[[#This Row],[SubGroup]],Структура_ассортимента[Subgroup],0)),"")</f>
        <v>0</v>
      </c>
      <c r="H801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2350</v>
      </c>
      <c r="O801" s="37" t="s">
        <v>5814</v>
      </c>
      <c r="P801" s="37" t="s">
        <v>5815</v>
      </c>
      <c r="Q801" s="39" t="s">
        <v>3416</v>
      </c>
      <c r="R801" s="34" t="s">
        <v>3407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3413</v>
      </c>
      <c r="X801" s="34" t="s">
        <v>5727</v>
      </c>
      <c r="Y801" s="34" t="s">
        <v>3409</v>
      </c>
      <c r="Z801" s="34">
        <v>3</v>
      </c>
      <c r="AA801" s="34" t="s">
        <v>4286</v>
      </c>
      <c r="AB801" s="34" t="s">
        <v>5816</v>
      </c>
      <c r="AC801" s="34" t="s">
        <v>4026</v>
      </c>
      <c r="AD801" s="34" t="s">
        <v>4284</v>
      </c>
      <c r="AE801" s="34" t="s">
        <v>4555</v>
      </c>
      <c r="AF801" s="34" t="s">
        <v>4526</v>
      </c>
      <c r="AG801" s="34" t="s">
        <v>5817</v>
      </c>
      <c r="AH801" s="34" t="s">
        <v>5818</v>
      </c>
      <c r="AL801" s="34" t="s">
        <v>5819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7" t="str">
        <f>IFERROR(INDEX(Структура_ассортимента[SuperCategory],MATCH(Товары[[#This Row],[SubGroup]],Структура_ассортимента[Subgroup],0)),"")</f>
        <v>R</v>
      </c>
      <c r="D802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7" t="str">
        <f>IFERROR(INDEX(Структура_ассортимента[Product group],MATCH(Товары[[#This Row],[SubGroup]],Структура_ассортимента[Subgroup],0)),"")</f>
        <v>LSP_C</v>
      </c>
      <c r="G802" s="67">
        <f>IFERROR(INDEX(Структура_ассортимента[Product group name ENG],MATCH(Товары[[#This Row],[SubGroup]],Структура_ассортимента[Subgroup],0)),"")</f>
        <v>0</v>
      </c>
      <c r="H802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2351</v>
      </c>
      <c r="O802" s="37" t="s">
        <v>5820</v>
      </c>
      <c r="P802" s="37" t="s">
        <v>5813</v>
      </c>
      <c r="Q802" s="39" t="s">
        <v>3416</v>
      </c>
      <c r="R802" s="34" t="s">
        <v>3407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3413</v>
      </c>
      <c r="X802" s="34" t="s">
        <v>5727</v>
      </c>
      <c r="Y802" s="34" t="s">
        <v>3409</v>
      </c>
      <c r="Z802" s="34">
        <v>3</v>
      </c>
      <c r="AA802" s="34" t="s">
        <v>5821</v>
      </c>
      <c r="AB802" s="34" t="s">
        <v>5822</v>
      </c>
      <c r="AC802" s="34" t="s">
        <v>3558</v>
      </c>
      <c r="AD802" s="34" t="s">
        <v>3558</v>
      </c>
      <c r="AE802" s="34" t="s">
        <v>4859</v>
      </c>
      <c r="AF802" s="34" t="s">
        <v>4526</v>
      </c>
      <c r="AG802" s="34" t="s">
        <v>3978</v>
      </c>
      <c r="AH802" s="34" t="s">
        <v>4842</v>
      </c>
      <c r="AL802" s="34" t="s">
        <v>5819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7" t="str">
        <f>IFERROR(INDEX(Структура_ассортимента[SuperCategory],MATCH(Товары[[#This Row],[SubGroup]],Структура_ассортимента[Subgroup],0)),"")</f>
        <v>R</v>
      </c>
      <c r="D803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7" t="str">
        <f>IFERROR(INDEX(Структура_ассортимента[Product group],MATCH(Товары[[#This Row],[SubGroup]],Структура_ассортимента[Subgroup],0)),"")</f>
        <v>LSP_C</v>
      </c>
      <c r="G803" s="67">
        <f>IFERROR(INDEX(Структура_ассортимента[Product group name ENG],MATCH(Товары[[#This Row],[SubGroup]],Структура_ассортимента[Subgroup],0)),"")</f>
        <v>0</v>
      </c>
      <c r="H803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2352</v>
      </c>
      <c r="O803" s="37" t="s">
        <v>5823</v>
      </c>
      <c r="P803" s="37" t="s">
        <v>5824</v>
      </c>
      <c r="Q803" s="39" t="s">
        <v>3416</v>
      </c>
      <c r="R803" s="34" t="s">
        <v>3407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3413</v>
      </c>
      <c r="X803" s="34" t="s">
        <v>3418</v>
      </c>
      <c r="Y803" s="34" t="s">
        <v>3409</v>
      </c>
      <c r="Z803" s="34">
        <v>3</v>
      </c>
      <c r="AA803" s="34">
        <v>249</v>
      </c>
      <c r="AB803" s="34" t="s">
        <v>4786</v>
      </c>
      <c r="AC803" s="34">
        <v>195</v>
      </c>
      <c r="AD803" s="34" t="s">
        <v>3869</v>
      </c>
      <c r="AE803" s="34" t="s">
        <v>4758</v>
      </c>
      <c r="AF803" s="34" t="s">
        <v>4587</v>
      </c>
      <c r="AG803" s="34" t="s">
        <v>4098</v>
      </c>
      <c r="AH803" s="34" t="s">
        <v>5825</v>
      </c>
      <c r="AL803" s="34" t="s">
        <v>5826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7" t="str">
        <f>IFERROR(INDEX(Структура_ассортимента[SuperCategory],MATCH(Товары[[#This Row],[SubGroup]],Структура_ассортимента[Subgroup],0)),"")</f>
        <v>R</v>
      </c>
      <c r="D804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7" t="str">
        <f>IFERROR(INDEX(Структура_ассортимента[Product group],MATCH(Товары[[#This Row],[SubGroup]],Структура_ассортимента[Subgroup],0)),"")</f>
        <v>LSP_C</v>
      </c>
      <c r="G804" s="67">
        <f>IFERROR(INDEX(Структура_ассортимента[Product group name ENG],MATCH(Товары[[#This Row],[SubGroup]],Структура_ассортимента[Subgroup],0)),"")</f>
        <v>0</v>
      </c>
      <c r="H804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2353</v>
      </c>
      <c r="O804" s="37" t="s">
        <v>5827</v>
      </c>
      <c r="P804" s="37" t="s">
        <v>5828</v>
      </c>
      <c r="Q804" s="39" t="s">
        <v>3416</v>
      </c>
      <c r="R804" s="34" t="s">
        <v>3407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3413</v>
      </c>
      <c r="X804" s="34" t="s">
        <v>3418</v>
      </c>
      <c r="Y804" s="34" t="s">
        <v>3409</v>
      </c>
      <c r="Z804" s="34">
        <v>3</v>
      </c>
      <c r="AA804" s="34">
        <v>249</v>
      </c>
      <c r="AB804" s="34" t="s">
        <v>5807</v>
      </c>
      <c r="AC804" s="34">
        <v>195</v>
      </c>
      <c r="AD804" s="34" t="s">
        <v>4384</v>
      </c>
      <c r="AE804" s="34" t="s">
        <v>4915</v>
      </c>
      <c r="AF804" s="34" t="s">
        <v>3753</v>
      </c>
      <c r="AG804" s="34" t="s">
        <v>4101</v>
      </c>
      <c r="AH804" s="34" t="s">
        <v>5829</v>
      </c>
      <c r="AL804" s="34" t="s">
        <v>5830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7" t="str">
        <f>IFERROR(INDEX(Структура_ассортимента[SuperCategory],MATCH(Товары[[#This Row],[SubGroup]],Структура_ассортимента[Subgroup],0)),"")</f>
        <v>R</v>
      </c>
      <c r="D805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7" t="str">
        <f>IFERROR(INDEX(Структура_ассортимента[Product group],MATCH(Товары[[#This Row],[SubGroup]],Структура_ассортимента[Subgroup],0)),"")</f>
        <v>LSP_C</v>
      </c>
      <c r="G805" s="67">
        <f>IFERROR(INDEX(Структура_ассортимента[Product group name ENG],MATCH(Товары[[#This Row],[SubGroup]],Структура_ассортимента[Subgroup],0)),"")</f>
        <v>0</v>
      </c>
      <c r="H805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2354</v>
      </c>
      <c r="O805" s="37" t="s">
        <v>5831</v>
      </c>
      <c r="P805" s="37" t="s">
        <v>5832</v>
      </c>
      <c r="Q805" s="39" t="s">
        <v>3416</v>
      </c>
      <c r="R805" s="34" t="s">
        <v>3407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3413</v>
      </c>
      <c r="X805" s="34" t="s">
        <v>3418</v>
      </c>
      <c r="Y805" s="34" t="s">
        <v>3409</v>
      </c>
      <c r="Z805" s="34">
        <v>3</v>
      </c>
      <c r="AA805" s="34">
        <v>270</v>
      </c>
      <c r="AB805" s="34" t="s">
        <v>4046</v>
      </c>
      <c r="AC805" s="34">
        <v>230</v>
      </c>
      <c r="AD805" s="34" t="s">
        <v>4019</v>
      </c>
      <c r="AE805" s="34" t="s">
        <v>5833</v>
      </c>
      <c r="AF805" s="34" t="s">
        <v>3578</v>
      </c>
      <c r="AG805" s="34" t="s">
        <v>4085</v>
      </c>
      <c r="AH805" s="34" t="s">
        <v>5834</v>
      </c>
      <c r="AL805" s="34" t="s">
        <v>5171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7" t="str">
        <f>IFERROR(INDEX(Структура_ассортимента[SuperCategory],MATCH(Товары[[#This Row],[SubGroup]],Структура_ассортимента[Subgroup],0)),"")</f>
        <v>R</v>
      </c>
      <c r="D806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7" t="str">
        <f>IFERROR(INDEX(Структура_ассортимента[Product group],MATCH(Товары[[#This Row],[SubGroup]],Структура_ассортимента[Subgroup],0)),"")</f>
        <v>LSP_C</v>
      </c>
      <c r="G806" s="67">
        <f>IFERROR(INDEX(Структура_ассортимента[Product group name ENG],MATCH(Товары[[#This Row],[SubGroup]],Структура_ассортимента[Subgroup],0)),"")</f>
        <v>0</v>
      </c>
      <c r="H806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2355</v>
      </c>
      <c r="O806" s="37" t="s">
        <v>5835</v>
      </c>
      <c r="P806" s="37" t="s">
        <v>5836</v>
      </c>
      <c r="Q806" s="39" t="s">
        <v>3416</v>
      </c>
      <c r="R806" s="34" t="s">
        <v>3407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3413</v>
      </c>
      <c r="X806" s="34" t="s">
        <v>3418</v>
      </c>
      <c r="Y806" s="34" t="s">
        <v>3409</v>
      </c>
      <c r="Z806" s="34">
        <v>3</v>
      </c>
      <c r="AA806" s="34">
        <v>335</v>
      </c>
      <c r="AB806" s="34" t="s">
        <v>3618</v>
      </c>
      <c r="AC806" s="34">
        <v>300</v>
      </c>
      <c r="AD806" s="34" t="s">
        <v>4806</v>
      </c>
      <c r="AE806" s="34" t="s">
        <v>4780</v>
      </c>
      <c r="AF806" s="34" t="s">
        <v>3578</v>
      </c>
      <c r="AG806" s="34" t="s">
        <v>3675</v>
      </c>
      <c r="AH806" s="34" t="s">
        <v>5837</v>
      </c>
      <c r="AL806" s="34" t="s">
        <v>5838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7" t="str">
        <f>IFERROR(INDEX(Структура_ассортимента[SuperCategory],MATCH(Товары[[#This Row],[SubGroup]],Структура_ассортимента[Subgroup],0)),"")</f>
        <v>R</v>
      </c>
      <c r="D807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7" t="str">
        <f>IFERROR(INDEX(Структура_ассортимента[Product group],MATCH(Товары[[#This Row],[SubGroup]],Структура_ассортимента[Subgroup],0)),"")</f>
        <v>LSP_C</v>
      </c>
      <c r="G807" s="67">
        <f>IFERROR(INDEX(Структура_ассортимента[Product group name ENG],MATCH(Товары[[#This Row],[SubGroup]],Структура_ассортимента[Subgroup],0)),"")</f>
        <v>0</v>
      </c>
      <c r="H807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2356</v>
      </c>
      <c r="O807" s="37" t="s">
        <v>5839</v>
      </c>
      <c r="P807" s="37" t="s">
        <v>5840</v>
      </c>
      <c r="Q807" s="39" t="s">
        <v>3416</v>
      </c>
      <c r="R807" s="34" t="s">
        <v>3407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3413</v>
      </c>
      <c r="X807" s="34" t="s">
        <v>3418</v>
      </c>
      <c r="Y807" s="34" t="s">
        <v>3409</v>
      </c>
      <c r="Z807" s="34">
        <v>3</v>
      </c>
      <c r="AB807" s="34" t="s">
        <v>5822</v>
      </c>
      <c r="AD807" s="34" t="s">
        <v>4256</v>
      </c>
      <c r="AE807" s="34" t="s">
        <v>4787</v>
      </c>
      <c r="AF807" s="34" t="s">
        <v>4499</v>
      </c>
      <c r="AG807" s="34" t="s">
        <v>3978</v>
      </c>
      <c r="AH807" s="34" t="s">
        <v>5841</v>
      </c>
      <c r="AL807" s="34" t="s">
        <v>5819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7" t="str">
        <f>IFERROR(INDEX(Структура_ассортимента[SuperCategory],MATCH(Товары[[#This Row],[SubGroup]],Структура_ассортимента[Subgroup],0)),"")</f>
        <v>R</v>
      </c>
      <c r="D808" s="211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1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7" t="str">
        <f>IFERROR(INDEX(Структура_ассортимента[Product group],MATCH(Товары[[#This Row],[SubGroup]],Структура_ассортимента[Subgroup],0)),"")</f>
        <v>LSP_C</v>
      </c>
      <c r="G808" s="67">
        <f>IFERROR(INDEX(Структура_ассортимента[Product group name ENG],MATCH(Товары[[#This Row],[SubGroup]],Структура_ассортимента[Subgroup],0)),"")</f>
        <v>0</v>
      </c>
      <c r="H808" s="67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2357</v>
      </c>
      <c r="Q808" s="39" t="s">
        <v>3416</v>
      </c>
      <c r="R808" s="34" t="s">
        <v>3407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3413</v>
      </c>
      <c r="X808" s="34" t="s">
        <v>3418</v>
      </c>
      <c r="Y808" s="34" t="s">
        <v>3409</v>
      </c>
      <c r="Z808" s="34">
        <v>3</v>
      </c>
      <c r="AB808" s="34" t="s">
        <v>5822</v>
      </c>
      <c r="AD808" s="34" t="s">
        <v>4256</v>
      </c>
      <c r="AH808" s="34" t="s">
        <v>3943</v>
      </c>
      <c r="AI808" s="34" t="s">
        <v>3692</v>
      </c>
      <c r="AJ808" s="34" t="s">
        <v>3523</v>
      </c>
      <c r="AK808" s="34" t="s">
        <v>3539</v>
      </c>
      <c r="AM808" s="34" t="s">
        <v>7962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7" t="str">
        <f>IFERROR(INDEX(Структура_ассортимента[SuperCategory],MATCH(Товары[[#This Row],[SubGroup]],Структура_ассортимента[Subgroup],0)),"")</f>
        <v>W</v>
      </c>
      <c r="D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7" t="str">
        <f>IFERROR(INDEX(Структура_ассортимента[Product group],MATCH(Товары[[#This Row],[SubGroup]],Структура_ассортимента[Subgroup],0)),"")</f>
        <v>WMT_C</v>
      </c>
      <c r="G8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2358</v>
      </c>
      <c r="Q809" s="39" t="s">
        <v>3411</v>
      </c>
      <c r="R809" s="34" t="s">
        <v>3407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3410</v>
      </c>
      <c r="Y809" s="34" t="s">
        <v>3409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7961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7" t="str">
        <f>IFERROR(INDEX(Структура_ассортимента[SuperCategory],MATCH(Товары[[#This Row],[SubGroup]],Структура_ассортимента[Subgroup],0)),"")</f>
        <v>W</v>
      </c>
      <c r="D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7" t="str">
        <f>IFERROR(INDEX(Структура_ассортимента[Product group],MATCH(Товары[[#This Row],[SubGroup]],Структура_ассортимента[Subgroup],0)),"")</f>
        <v>WMT_C</v>
      </c>
      <c r="G8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2359</v>
      </c>
      <c r="Q810" s="39" t="s">
        <v>3411</v>
      </c>
      <c r="R810" s="34" t="s">
        <v>3407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3410</v>
      </c>
      <c r="Y810" s="34" t="s">
        <v>3409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7961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7" t="str">
        <f>IFERROR(INDEX(Структура_ассортимента[SuperCategory],MATCH(Товары[[#This Row],[SubGroup]],Структура_ассортимента[Subgroup],0)),"")</f>
        <v>W</v>
      </c>
      <c r="D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7" t="str">
        <f>IFERROR(INDEX(Структура_ассортимента[Product group],MATCH(Товары[[#This Row],[SubGroup]],Структура_ассортимента[Subgroup],0)),"")</f>
        <v>WMT_C</v>
      </c>
      <c r="G8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2360</v>
      </c>
      <c r="Q811" s="39" t="s">
        <v>3411</v>
      </c>
      <c r="R811" s="34" t="s">
        <v>3407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3409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5842</v>
      </c>
      <c r="AL811" s="34">
        <v>12</v>
      </c>
      <c r="AM811" s="34" t="s">
        <v>7961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7" t="str">
        <f>IFERROR(INDEX(Структура_ассортимента[SuperCategory],MATCH(Товары[[#This Row],[SubGroup]],Структура_ассортимента[Subgroup],0)),"")</f>
        <v>W</v>
      </c>
      <c r="D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7" t="str">
        <f>IFERROR(INDEX(Структура_ассортимента[Product group],MATCH(Товары[[#This Row],[SubGroup]],Структура_ассортимента[Subgroup],0)),"")</f>
        <v>WMT_C</v>
      </c>
      <c r="G8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2361</v>
      </c>
      <c r="Q812" s="39" t="s">
        <v>3411</v>
      </c>
      <c r="R812" s="34" t="s">
        <v>3407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3410</v>
      </c>
      <c r="Y812" s="34" t="s">
        <v>3409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7961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7" t="str">
        <f>IFERROR(INDEX(Структура_ассортимента[SuperCategory],MATCH(Товары[[#This Row],[SubGroup]],Структура_ассортимента[Subgroup],0)),"")</f>
        <v>W</v>
      </c>
      <c r="D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7" t="str">
        <f>IFERROR(INDEX(Структура_ассортимента[Product group],MATCH(Товары[[#This Row],[SubGroup]],Структура_ассортимента[Subgroup],0)),"")</f>
        <v>WMT_C</v>
      </c>
      <c r="G8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2362</v>
      </c>
      <c r="Q813" s="39" t="s">
        <v>4432</v>
      </c>
      <c r="R813" s="34" t="s">
        <v>3407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3410</v>
      </c>
      <c r="Y813" s="34" t="s">
        <v>3409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7961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7" t="str">
        <f>IFERROR(INDEX(Структура_ассортимента[SuperCategory],MATCH(Товары[[#This Row],[SubGroup]],Структура_ассортимента[Subgroup],0)),"")</f>
        <v>W</v>
      </c>
      <c r="D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7" t="str">
        <f>IFERROR(INDEX(Структура_ассортимента[Product group],MATCH(Товары[[#This Row],[SubGroup]],Структура_ассортимента[Subgroup],0)),"")</f>
        <v>WMT_C</v>
      </c>
      <c r="G8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2363</v>
      </c>
      <c r="Q814" s="39" t="s">
        <v>3411</v>
      </c>
      <c r="R814" s="34" t="s">
        <v>3407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3410</v>
      </c>
      <c r="Y814" s="34" t="s">
        <v>3409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7961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7" t="str">
        <f>IFERROR(INDEX(Структура_ассортимента[SuperCategory],MATCH(Товары[[#This Row],[SubGroup]],Структура_ассортимента[Subgroup],0)),"")</f>
        <v>W</v>
      </c>
      <c r="D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7" t="str">
        <f>IFERROR(INDEX(Структура_ассортимента[Product group],MATCH(Товары[[#This Row],[SubGroup]],Структура_ассортимента[Subgroup],0)),"")</f>
        <v>WMT_C</v>
      </c>
      <c r="G8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2364</v>
      </c>
      <c r="Q815" s="39" t="s">
        <v>3411</v>
      </c>
      <c r="R815" s="34" t="s">
        <v>3407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3410</v>
      </c>
      <c r="Y815" s="34" t="s">
        <v>3409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7961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7" t="str">
        <f>IFERROR(INDEX(Структура_ассортимента[SuperCategory],MATCH(Товары[[#This Row],[SubGroup]],Структура_ассортимента[Subgroup],0)),"")</f>
        <v>W</v>
      </c>
      <c r="D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7" t="str">
        <f>IFERROR(INDEX(Структура_ассортимента[Product group],MATCH(Товары[[#This Row],[SubGroup]],Структура_ассортимента[Subgroup],0)),"")</f>
        <v>WMT_C</v>
      </c>
      <c r="G8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2365</v>
      </c>
      <c r="Q816" s="39" t="s">
        <v>3411</v>
      </c>
      <c r="R816" s="34" t="s">
        <v>3407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3410</v>
      </c>
      <c r="Y816" s="34" t="s">
        <v>3409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7961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7" t="str">
        <f>IFERROR(INDEX(Структура_ассортимента[SuperCategory],MATCH(Товары[[#This Row],[SubGroup]],Структура_ассортимента[Subgroup],0)),"")</f>
        <v>W</v>
      </c>
      <c r="D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7" t="str">
        <f>IFERROR(INDEX(Структура_ассортимента[Product group],MATCH(Товары[[#This Row],[SubGroup]],Структура_ассортимента[Subgroup],0)),"")</f>
        <v>WMT_C</v>
      </c>
      <c r="G8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2366</v>
      </c>
      <c r="Q817" s="39" t="s">
        <v>3411</v>
      </c>
      <c r="R817" s="34" t="s">
        <v>3407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3410</v>
      </c>
      <c r="Y817" s="34" t="s">
        <v>3409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7961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7" t="str">
        <f>IFERROR(INDEX(Структура_ассортимента[SuperCategory],MATCH(Товары[[#This Row],[SubGroup]],Структура_ассортимента[Subgroup],0)),"")</f>
        <v>W</v>
      </c>
      <c r="D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7" t="str">
        <f>IFERROR(INDEX(Структура_ассортимента[Product group],MATCH(Товары[[#This Row],[SubGroup]],Структура_ассортимента[Subgroup],0)),"")</f>
        <v>WMT_C</v>
      </c>
      <c r="G8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2367</v>
      </c>
      <c r="Q818" s="39" t="s">
        <v>3411</v>
      </c>
      <c r="R818" s="34" t="s">
        <v>3407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3410</v>
      </c>
      <c r="Y818" s="34" t="s">
        <v>3409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7961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7" t="str">
        <f>IFERROR(INDEX(Структура_ассортимента[SuperCategory],MATCH(Товары[[#This Row],[SubGroup]],Структура_ассортимента[Subgroup],0)),"")</f>
        <v>W</v>
      </c>
      <c r="D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7" t="str">
        <f>IFERROR(INDEX(Структура_ассортимента[Product group],MATCH(Товары[[#This Row],[SubGroup]],Структура_ассортимента[Subgroup],0)),"")</f>
        <v>WMT_C</v>
      </c>
      <c r="G8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2368</v>
      </c>
      <c r="Q819" s="39" t="s">
        <v>3411</v>
      </c>
      <c r="R819" s="34" t="s">
        <v>3407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3410</v>
      </c>
      <c r="Y819" s="34" t="s">
        <v>3409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7961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7" t="str">
        <f>IFERROR(INDEX(Структура_ассортимента[SuperCategory],MATCH(Товары[[#This Row],[SubGroup]],Структура_ассортимента[Subgroup],0)),"")</f>
        <v>W</v>
      </c>
      <c r="D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7" t="str">
        <f>IFERROR(INDEX(Структура_ассортимента[Product group],MATCH(Товары[[#This Row],[SubGroup]],Структура_ассортимента[Subgroup],0)),"")</f>
        <v>WMT_C</v>
      </c>
      <c r="G8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2369</v>
      </c>
      <c r="Q820" s="39" t="s">
        <v>3411</v>
      </c>
      <c r="R820" s="34" t="s">
        <v>3407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3410</v>
      </c>
      <c r="Y820" s="34" t="s">
        <v>3409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7961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7" t="str">
        <f>IFERROR(INDEX(Структура_ассортимента[SuperCategory],MATCH(Товары[[#This Row],[SubGroup]],Структура_ассортимента[Subgroup],0)),"")</f>
        <v>W</v>
      </c>
      <c r="D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7" t="str">
        <f>IFERROR(INDEX(Структура_ассортимента[Product group],MATCH(Товары[[#This Row],[SubGroup]],Структура_ассортимента[Subgroup],0)),"")</f>
        <v>WMT_C</v>
      </c>
      <c r="G8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2370</v>
      </c>
      <c r="Q821" s="39" t="s">
        <v>3411</v>
      </c>
      <c r="R821" s="34" t="s">
        <v>3407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3410</v>
      </c>
      <c r="Y821" s="34" t="s">
        <v>3409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7961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7" t="str">
        <f>IFERROR(INDEX(Структура_ассортимента[SuperCategory],MATCH(Товары[[#This Row],[SubGroup]],Структура_ассортимента[Subgroup],0)),"")</f>
        <v>W</v>
      </c>
      <c r="D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7" t="str">
        <f>IFERROR(INDEX(Структура_ассортимента[Product group],MATCH(Товары[[#This Row],[SubGroup]],Структура_ассортимента[Subgroup],0)),"")</f>
        <v>WMT_C</v>
      </c>
      <c r="G8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2371</v>
      </c>
      <c r="Q822" s="39" t="s">
        <v>3411</v>
      </c>
      <c r="R822" s="34" t="s">
        <v>3407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3410</v>
      </c>
      <c r="Y822" s="34" t="s">
        <v>3409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7961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7" t="str">
        <f>IFERROR(INDEX(Структура_ассортимента[SuperCategory],MATCH(Товары[[#This Row],[SubGroup]],Структура_ассортимента[Subgroup],0)),"")</f>
        <v>W</v>
      </c>
      <c r="D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7" t="str">
        <f>IFERROR(INDEX(Структура_ассортимента[Product group],MATCH(Товары[[#This Row],[SubGroup]],Структура_ассортимента[Subgroup],0)),"")</f>
        <v>WMA_C</v>
      </c>
      <c r="G8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2372</v>
      </c>
      <c r="Q823" s="39" t="s">
        <v>4432</v>
      </c>
      <c r="R823" s="34" t="s">
        <v>3407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3410</v>
      </c>
      <c r="Y823" s="34" t="s">
        <v>3409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7961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7" t="str">
        <f>IFERROR(INDEX(Структура_ассортимента[SuperCategory],MATCH(Товары[[#This Row],[SubGroup]],Структура_ассортимента[Subgroup],0)),"")</f>
        <v>W</v>
      </c>
      <c r="D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7" t="str">
        <f>IFERROR(INDEX(Структура_ассортимента[Product group],MATCH(Товары[[#This Row],[SubGroup]],Структура_ассортимента[Subgroup],0)),"")</f>
        <v>WMA_C</v>
      </c>
      <c r="G8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2373</v>
      </c>
      <c r="P824" s="37" t="s">
        <v>5843</v>
      </c>
      <c r="Q824" s="39" t="s">
        <v>4432</v>
      </c>
      <c r="R824" s="34" t="s">
        <v>3407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3410</v>
      </c>
      <c r="Y824" s="34" t="s">
        <v>3409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7" t="str">
        <f>IFERROR(INDEX(Структура_ассортимента[SuperCategory],MATCH(Товары[[#This Row],[SubGroup]],Структура_ассортимента[Subgroup],0)),"")</f>
        <v>W</v>
      </c>
      <c r="D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7" t="str">
        <f>IFERROR(INDEX(Структура_ассортимента[Product group],MATCH(Товары[[#This Row],[SubGroup]],Структура_ассортимента[Subgroup],0)),"")</f>
        <v>WMA_C</v>
      </c>
      <c r="G8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2374</v>
      </c>
      <c r="Q825" s="39" t="s">
        <v>4432</v>
      </c>
      <c r="R825" s="34" t="s">
        <v>3407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3410</v>
      </c>
      <c r="Y825" s="34" t="s">
        <v>3409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7961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7" t="str">
        <f>IFERROR(INDEX(Структура_ассортимента[SuperCategory],MATCH(Товары[[#This Row],[SubGroup]],Структура_ассортимента[Subgroup],0)),"")</f>
        <v>W</v>
      </c>
      <c r="D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7" t="str">
        <f>IFERROR(INDEX(Структура_ассортимента[Product group],MATCH(Товары[[#This Row],[SubGroup]],Структура_ассортимента[Subgroup],0)),"")</f>
        <v>WMA_C</v>
      </c>
      <c r="G8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2375</v>
      </c>
      <c r="Q826" s="39" t="s">
        <v>4432</v>
      </c>
      <c r="R826" s="34" t="s">
        <v>3407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3410</v>
      </c>
      <c r="Y826" s="34" t="s">
        <v>3409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7961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7" t="str">
        <f>IFERROR(INDEX(Структура_ассортимента[SuperCategory],MATCH(Товары[[#This Row],[SubGroup]],Структура_ассортимента[Subgroup],0)),"")</f>
        <v>W</v>
      </c>
      <c r="D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7" t="str">
        <f>IFERROR(INDEX(Структура_ассортимента[Product group],MATCH(Товары[[#This Row],[SubGroup]],Структура_ассортимента[Subgroup],0)),"")</f>
        <v>WMA_C</v>
      </c>
      <c r="G8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2376</v>
      </c>
      <c r="Q827" s="39" t="s">
        <v>4432</v>
      </c>
      <c r="R827" s="34" t="s">
        <v>3407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3410</v>
      </c>
      <c r="Y827" s="34" t="s">
        <v>3409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7961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7" t="str">
        <f>IFERROR(INDEX(Структура_ассортимента[SuperCategory],MATCH(Товары[[#This Row],[SubGroup]],Структура_ассортимента[Subgroup],0)),"")</f>
        <v>W</v>
      </c>
      <c r="D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7" t="str">
        <f>IFERROR(INDEX(Структура_ассортимента[Product group],MATCH(Товары[[#This Row],[SubGroup]],Структура_ассортимента[Subgroup],0)),"")</f>
        <v>WMS_C</v>
      </c>
      <c r="G82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2377</v>
      </c>
      <c r="Q828" s="39" t="s">
        <v>3411</v>
      </c>
      <c r="R828" s="34" t="s">
        <v>3407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3410</v>
      </c>
      <c r="Y828" s="34" t="s">
        <v>3409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7961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7" t="str">
        <f>IFERROR(INDEX(Структура_ассортимента[SuperCategory],MATCH(Товары[[#This Row],[SubGroup]],Структура_ассортимента[Subgroup],0)),"")</f>
        <v>W</v>
      </c>
      <c r="D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7" t="str">
        <f>IFERROR(INDEX(Структура_ассортимента[Product group],MATCH(Товары[[#This Row],[SubGroup]],Структура_ассортимента[Subgroup],0)),"")</f>
        <v>WMS_C</v>
      </c>
      <c r="G82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2378</v>
      </c>
      <c r="Q829" s="39" t="s">
        <v>3411</v>
      </c>
      <c r="R829" s="34" t="s">
        <v>3407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3410</v>
      </c>
      <c r="Y829" s="34" t="s">
        <v>3409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7961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7" t="str">
        <f>IFERROR(INDEX(Структура_ассортимента[SuperCategory],MATCH(Товары[[#This Row],[SubGroup]],Структура_ассортимента[Subgroup],0)),"")</f>
        <v>W</v>
      </c>
      <c r="D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7" t="str">
        <f>IFERROR(INDEX(Структура_ассортимента[Product group],MATCH(Товары[[#This Row],[SubGroup]],Структура_ассортимента[Subgroup],0)),"")</f>
        <v>WMA_C</v>
      </c>
      <c r="G8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2379</v>
      </c>
      <c r="Q830" s="39" t="s">
        <v>4432</v>
      </c>
      <c r="R830" s="34" t="s">
        <v>3407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3410</v>
      </c>
      <c r="Y830" s="34" t="s">
        <v>3409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7961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7" t="str">
        <f>IFERROR(INDEX(Структура_ассортимента[SuperCategory],MATCH(Товары[[#This Row],[SubGroup]],Структура_ассортимента[Subgroup],0)),"")</f>
        <v>W</v>
      </c>
      <c r="D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7" t="str">
        <f>IFERROR(INDEX(Структура_ассортимента[Product group],MATCH(Товары[[#This Row],[SubGroup]],Структура_ассортимента[Subgroup],0)),"")</f>
        <v>WMA_C</v>
      </c>
      <c r="G8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2380</v>
      </c>
      <c r="Q831" s="39" t="s">
        <v>4432</v>
      </c>
      <c r="R831" s="34" t="s">
        <v>3407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3410</v>
      </c>
      <c r="Y831" s="34" t="s">
        <v>3409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7961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7" t="str">
        <f>IFERROR(INDEX(Структура_ассортимента[SuperCategory],MATCH(Товары[[#This Row],[SubGroup]],Структура_ассортимента[Subgroup],0)),"")</f>
        <v>W</v>
      </c>
      <c r="D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7" t="str">
        <f>IFERROR(INDEX(Структура_ассортимента[Product group],MATCH(Товары[[#This Row],[SubGroup]],Структура_ассортимента[Subgroup],0)),"")</f>
        <v>WMA_C</v>
      </c>
      <c r="G8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2381</v>
      </c>
      <c r="Q832" s="39" t="s">
        <v>4432</v>
      </c>
      <c r="R832" s="34" t="s">
        <v>3407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3410</v>
      </c>
      <c r="Y832" s="34" t="s">
        <v>3409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7961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7" t="str">
        <f>IFERROR(INDEX(Структура_ассортимента[SuperCategory],MATCH(Товары[[#This Row],[SubGroup]],Структура_ассортимента[Subgroup],0)),"")</f>
        <v>W</v>
      </c>
      <c r="D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7" t="str">
        <f>IFERROR(INDEX(Структура_ассортимента[Product group],MATCH(Товары[[#This Row],[SubGroup]],Структура_ассортимента[Subgroup],0)),"")</f>
        <v>WMA_C</v>
      </c>
      <c r="G8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2382</v>
      </c>
      <c r="Q833" s="39" t="s">
        <v>4432</v>
      </c>
      <c r="R833" s="34" t="s">
        <v>3407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3410</v>
      </c>
      <c r="Y833" s="34" t="s">
        <v>3409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7961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7" t="str">
        <f>IFERROR(INDEX(Структура_ассортимента[SuperCategory],MATCH(Товары[[#This Row],[SubGroup]],Структура_ассортимента[Subgroup],0)),"")</f>
        <v>W</v>
      </c>
      <c r="D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7" t="str">
        <f>IFERROR(INDEX(Структура_ассортимента[Product group],MATCH(Товары[[#This Row],[SubGroup]],Структура_ассортимента[Subgroup],0)),"")</f>
        <v>WMA_C</v>
      </c>
      <c r="G8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2383</v>
      </c>
      <c r="Q834" s="39" t="s">
        <v>4432</v>
      </c>
      <c r="R834" s="34" t="s">
        <v>3407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3410</v>
      </c>
      <c r="Y834" s="34" t="s">
        <v>3409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7961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7" t="str">
        <f>IFERROR(INDEX(Структура_ассортимента[SuperCategory],MATCH(Товары[[#This Row],[SubGroup]],Структура_ассортимента[Subgroup],0)),"")</f>
        <v>W</v>
      </c>
      <c r="D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7" t="str">
        <f>IFERROR(INDEX(Структура_ассортимента[Product group],MATCH(Товары[[#This Row],[SubGroup]],Структура_ассортимента[Subgroup],0)),"")</f>
        <v>WMO_C</v>
      </c>
      <c r="G8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2384</v>
      </c>
      <c r="P835" s="37" t="s">
        <v>5844</v>
      </c>
      <c r="Q835" s="39" t="s">
        <v>3411</v>
      </c>
      <c r="R835" s="34" t="s">
        <v>3407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3410</v>
      </c>
      <c r="Y835" s="34" t="s">
        <v>3409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7" t="str">
        <f>IFERROR(INDEX(Структура_ассортимента[SuperCategory],MATCH(Товары[[#This Row],[SubGroup]],Структура_ассортимента[Subgroup],0)),"")</f>
        <v>W</v>
      </c>
      <c r="D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7" t="str">
        <f>IFERROR(INDEX(Структура_ассортимента[Product group],MATCH(Товары[[#This Row],[SubGroup]],Структура_ассортимента[Subgroup],0)),"")</f>
        <v>WMO_C</v>
      </c>
      <c r="G8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2385</v>
      </c>
      <c r="Q836" s="39" t="s">
        <v>3411</v>
      </c>
      <c r="R836" s="34" t="s">
        <v>3407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3410</v>
      </c>
      <c r="Y836" s="34" t="s">
        <v>3409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7961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7" t="str">
        <f>IFERROR(INDEX(Структура_ассортимента[SuperCategory],MATCH(Товары[[#This Row],[SubGroup]],Структура_ассортимента[Subgroup],0)),"")</f>
        <v>W</v>
      </c>
      <c r="D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7" t="str">
        <f>IFERROR(INDEX(Структура_ассортимента[Product group],MATCH(Товары[[#This Row],[SubGroup]],Структура_ассортимента[Subgroup],0)),"")</f>
        <v>WMO_C</v>
      </c>
      <c r="G8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2386</v>
      </c>
      <c r="Q837" s="39" t="s">
        <v>3411</v>
      </c>
      <c r="R837" s="34" t="s">
        <v>3407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3410</v>
      </c>
      <c r="Y837" s="34" t="s">
        <v>3409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7961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7" t="str">
        <f>IFERROR(INDEX(Структура_ассортимента[SuperCategory],MATCH(Товары[[#This Row],[SubGroup]],Структура_ассортимента[Subgroup],0)),"")</f>
        <v>W</v>
      </c>
      <c r="D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7" t="str">
        <f>IFERROR(INDEX(Структура_ассортимента[Product group],MATCH(Товары[[#This Row],[SubGroup]],Структура_ассортимента[Subgroup],0)),"")</f>
        <v>WMO_C</v>
      </c>
      <c r="G8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2387</v>
      </c>
      <c r="Q838" s="39" t="s">
        <v>3411</v>
      </c>
      <c r="R838" s="34" t="s">
        <v>3407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3410</v>
      </c>
      <c r="Y838" s="34" t="s">
        <v>3409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7961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7" t="str">
        <f>IFERROR(INDEX(Структура_ассортимента[SuperCategory],MATCH(Товары[[#This Row],[SubGroup]],Структура_ассортимента[Subgroup],0)),"")</f>
        <v>W</v>
      </c>
      <c r="D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7" t="str">
        <f>IFERROR(INDEX(Структура_ассортимента[Product group],MATCH(Товары[[#This Row],[SubGroup]],Структура_ассортимента[Subgroup],0)),"")</f>
        <v>WMO_C</v>
      </c>
      <c r="G8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2388</v>
      </c>
      <c r="Q839" s="39" t="s">
        <v>3411</v>
      </c>
      <c r="R839" s="34" t="s">
        <v>3407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3410</v>
      </c>
      <c r="Y839" s="34" t="s">
        <v>3409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7961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7" t="str">
        <f>IFERROR(INDEX(Структура_ассортимента[SuperCategory],MATCH(Товары[[#This Row],[SubGroup]],Структура_ассортимента[Subgroup],0)),"")</f>
        <v>W</v>
      </c>
      <c r="D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7" t="str">
        <f>IFERROR(INDEX(Структура_ассортимента[Product group],MATCH(Товары[[#This Row],[SubGroup]],Структура_ассортимента[Subgroup],0)),"")</f>
        <v>WMO_C</v>
      </c>
      <c r="G8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2389</v>
      </c>
      <c r="Q840" s="39" t="s">
        <v>3411</v>
      </c>
      <c r="R840" s="34" t="s">
        <v>3407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3410</v>
      </c>
      <c r="Y840" s="34" t="s">
        <v>3409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7961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7" t="str">
        <f>IFERROR(INDEX(Структура_ассортимента[SuperCategory],MATCH(Товары[[#This Row],[SubGroup]],Структура_ассортимента[Subgroup],0)),"")</f>
        <v>W</v>
      </c>
      <c r="D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7" t="str">
        <f>IFERROR(INDEX(Структура_ассортимента[Product group],MATCH(Товары[[#This Row],[SubGroup]],Структура_ассортимента[Subgroup],0)),"")</f>
        <v>WMO_C</v>
      </c>
      <c r="G8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2390</v>
      </c>
      <c r="P841" s="37" t="s">
        <v>5845</v>
      </c>
      <c r="Q841" s="39" t="s">
        <v>3411</v>
      </c>
      <c r="R841" s="34" t="s">
        <v>3407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3410</v>
      </c>
      <c r="Y841" s="34" t="s">
        <v>3409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7" t="str">
        <f>IFERROR(INDEX(Структура_ассортимента[SuperCategory],MATCH(Товары[[#This Row],[SubGroup]],Структура_ассортимента[Subgroup],0)),"")</f>
        <v>W</v>
      </c>
      <c r="D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7" t="str">
        <f>IFERROR(INDEX(Структура_ассортимента[Product group],MATCH(Товары[[#This Row],[SubGroup]],Структура_ассортимента[Subgroup],0)),"")</f>
        <v>WMO_C</v>
      </c>
      <c r="G8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2391</v>
      </c>
      <c r="Q842" s="39" t="s">
        <v>3411</v>
      </c>
      <c r="R842" s="34" t="s">
        <v>3407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3410</v>
      </c>
      <c r="Y842" s="34" t="s">
        <v>3409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7961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7" t="str">
        <f>IFERROR(INDEX(Структура_ассортимента[SuperCategory],MATCH(Товары[[#This Row],[SubGroup]],Структура_ассортимента[Subgroup],0)),"")</f>
        <v>W</v>
      </c>
      <c r="D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7" t="str">
        <f>IFERROR(INDEX(Структура_ассортимента[Product group],MATCH(Товары[[#This Row],[SubGroup]],Структура_ассортимента[Subgroup],0)),"")</f>
        <v>WMO_C</v>
      </c>
      <c r="G8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2392</v>
      </c>
      <c r="Q843" s="39" t="s">
        <v>3411</v>
      </c>
      <c r="R843" s="34" t="s">
        <v>3407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3410</v>
      </c>
      <c r="Y843" s="34" t="s">
        <v>3409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7961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7" t="str">
        <f>IFERROR(INDEX(Структура_ассортимента[SuperCategory],MATCH(Товары[[#This Row],[SubGroup]],Структура_ассортимента[Subgroup],0)),"")</f>
        <v>W</v>
      </c>
      <c r="D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7" t="str">
        <f>IFERROR(INDEX(Структура_ассортимента[Product group],MATCH(Товары[[#This Row],[SubGroup]],Структура_ассортимента[Subgroup],0)),"")</f>
        <v>WMO_C</v>
      </c>
      <c r="G8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2393</v>
      </c>
      <c r="P844" s="37" t="s">
        <v>5846</v>
      </c>
      <c r="Q844" s="39" t="s">
        <v>3411</v>
      </c>
      <c r="R844" s="34" t="s">
        <v>3407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3410</v>
      </c>
      <c r="Y844" s="34" t="s">
        <v>3409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7" t="str">
        <f>IFERROR(INDEX(Структура_ассортимента[SuperCategory],MATCH(Товары[[#This Row],[SubGroup]],Структура_ассортимента[Subgroup],0)),"")</f>
        <v>W</v>
      </c>
      <c r="D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7" t="str">
        <f>IFERROR(INDEX(Структура_ассортимента[Product group],MATCH(Товары[[#This Row],[SubGroup]],Структура_ассортимента[Subgroup],0)),"")</f>
        <v>WMO_C</v>
      </c>
      <c r="G8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2394</v>
      </c>
      <c r="Q845" s="39" t="s">
        <v>3411</v>
      </c>
      <c r="R845" s="34" t="s">
        <v>3407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3410</v>
      </c>
      <c r="Y845" s="34" t="s">
        <v>3409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7961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7" t="str">
        <f>IFERROR(INDEX(Структура_ассортимента[SuperCategory],MATCH(Товары[[#This Row],[SubGroup]],Структура_ассортимента[Subgroup],0)),"")</f>
        <v>W</v>
      </c>
      <c r="D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7" t="str">
        <f>IFERROR(INDEX(Структура_ассортимента[Product group],MATCH(Товары[[#This Row],[SubGroup]],Структура_ассортимента[Subgroup],0)),"")</f>
        <v>WMA_C</v>
      </c>
      <c r="G8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2395</v>
      </c>
      <c r="Q846" s="39" t="s">
        <v>4432</v>
      </c>
      <c r="R846" s="34" t="s">
        <v>3407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3410</v>
      </c>
      <c r="Y846" s="34" t="s">
        <v>3409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7961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7" t="str">
        <f>IFERROR(INDEX(Структура_ассортимента[SuperCategory],MATCH(Товары[[#This Row],[SubGroup]],Структура_ассортимента[Subgroup],0)),"")</f>
        <v>W</v>
      </c>
      <c r="D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7" t="str">
        <f>IFERROR(INDEX(Структура_ассортимента[Product group],MATCH(Товары[[#This Row],[SubGroup]],Структура_ассортимента[Subgroup],0)),"")</f>
        <v>WMO_C</v>
      </c>
      <c r="G8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2396</v>
      </c>
      <c r="Q847" s="39" t="s">
        <v>4432</v>
      </c>
      <c r="R847" s="34" t="s">
        <v>3407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3410</v>
      </c>
      <c r="Y847" s="34" t="s">
        <v>3409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7961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7" t="str">
        <f>IFERROR(INDEX(Структура_ассортимента[SuperCategory],MATCH(Товары[[#This Row],[SubGroup]],Структура_ассортимента[Subgroup],0)),"")</f>
        <v>W</v>
      </c>
      <c r="D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7" t="str">
        <f>IFERROR(INDEX(Структура_ассортимента[Product group],MATCH(Товары[[#This Row],[SubGroup]],Структура_ассортимента[Subgroup],0)),"")</f>
        <v>WMO_C</v>
      </c>
      <c r="G8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2397</v>
      </c>
      <c r="Q848" s="39" t="s">
        <v>4432</v>
      </c>
      <c r="R848" s="34" t="s">
        <v>3407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3410</v>
      </c>
      <c r="Y848" s="34" t="s">
        <v>3409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7961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7" t="str">
        <f>IFERROR(INDEX(Структура_ассортимента[SuperCategory],MATCH(Товары[[#This Row],[SubGroup]],Структура_ассортимента[Subgroup],0)),"")</f>
        <v>W</v>
      </c>
      <c r="D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7" t="str">
        <f>IFERROR(INDEX(Структура_ассортимента[Product group],MATCH(Товары[[#This Row],[SubGroup]],Структура_ассортимента[Subgroup],0)),"")</f>
        <v>WMH_C</v>
      </c>
      <c r="G8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2398</v>
      </c>
      <c r="Q849" s="39" t="s">
        <v>4432</v>
      </c>
      <c r="R849" s="34" t="s">
        <v>3407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3417</v>
      </c>
      <c r="Y849" s="34" t="s">
        <v>5847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7961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7" t="str">
        <f>IFERROR(INDEX(Структура_ассортимента[SuperCategory],MATCH(Товары[[#This Row],[SubGroup]],Структура_ассортимента[Subgroup],0)),"")</f>
        <v>W</v>
      </c>
      <c r="D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7" t="str">
        <f>IFERROR(INDEX(Структура_ассортимента[Product group],MATCH(Товары[[#This Row],[SubGroup]],Структура_ассортимента[Subgroup],0)),"")</f>
        <v>WMH_C</v>
      </c>
      <c r="G8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2399</v>
      </c>
      <c r="Q850" s="39" t="s">
        <v>3411</v>
      </c>
      <c r="R850" s="34" t="s">
        <v>3407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3410</v>
      </c>
      <c r="Y850" s="34" t="s">
        <v>3409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7961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7" t="str">
        <f>IFERROR(INDEX(Структура_ассортимента[SuperCategory],MATCH(Товары[[#This Row],[SubGroup]],Структура_ассортимента[Subgroup],0)),"")</f>
        <v>W</v>
      </c>
      <c r="D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7" t="str">
        <f>IFERROR(INDEX(Структура_ассортимента[Product group],MATCH(Товары[[#This Row],[SubGroup]],Структура_ассортимента[Subgroup],0)),"")</f>
        <v>WMH_C</v>
      </c>
      <c r="G8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2400</v>
      </c>
      <c r="Q851" s="39" t="s">
        <v>4432</v>
      </c>
      <c r="R851" s="34" t="s">
        <v>3407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3417</v>
      </c>
      <c r="Y851" s="34" t="s">
        <v>5848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7961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7" t="str">
        <f>IFERROR(INDEX(Структура_ассортимента[SuperCategory],MATCH(Товары[[#This Row],[SubGroup]],Структура_ассортимента[Subgroup],0)),"")</f>
        <v>W</v>
      </c>
      <c r="D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7" t="str">
        <f>IFERROR(INDEX(Структура_ассортимента[Product group],MATCH(Товары[[#This Row],[SubGroup]],Структура_ассортимента[Subgroup],0)),"")</f>
        <v>WMS_C</v>
      </c>
      <c r="G8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2401</v>
      </c>
      <c r="Q852" s="39" t="s">
        <v>4432</v>
      </c>
      <c r="R852" s="34" t="s">
        <v>3407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3410</v>
      </c>
      <c r="Y852" s="34" t="s">
        <v>3409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7961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7" t="str">
        <f>IFERROR(INDEX(Структура_ассортимента[SuperCategory],MATCH(Товары[[#This Row],[SubGroup]],Структура_ассортимента[Subgroup],0)),"")</f>
        <v>W</v>
      </c>
      <c r="D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7" t="str">
        <f>IFERROR(INDEX(Структура_ассортимента[Product group],MATCH(Товары[[#This Row],[SubGroup]],Структура_ассортимента[Subgroup],0)),"")</f>
        <v>WMS_C</v>
      </c>
      <c r="G8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2402</v>
      </c>
      <c r="Q853" s="39" t="s">
        <v>4432</v>
      </c>
      <c r="R853" s="34" t="s">
        <v>3407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3410</v>
      </c>
      <c r="Y853" s="34" t="s">
        <v>3409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7961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7" t="str">
        <f>IFERROR(INDEX(Структура_ассортимента[SuperCategory],MATCH(Товары[[#This Row],[SubGroup]],Структура_ассортимента[Subgroup],0)),"")</f>
        <v>W</v>
      </c>
      <c r="D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7" t="str">
        <f>IFERROR(INDEX(Структура_ассортимента[Product group],MATCH(Товары[[#This Row],[SubGroup]],Структура_ассортимента[Subgroup],0)),"")</f>
        <v>WMS_C</v>
      </c>
      <c r="G8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2403</v>
      </c>
      <c r="Q854" s="39" t="s">
        <v>4432</v>
      </c>
      <c r="R854" s="34" t="s">
        <v>3407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3410</v>
      </c>
      <c r="Y854" s="34" t="s">
        <v>3409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7961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7" t="str">
        <f>IFERROR(INDEX(Структура_ассортимента[SuperCategory],MATCH(Товары[[#This Row],[SubGroup]],Структура_ассортимента[Subgroup],0)),"")</f>
        <v>W</v>
      </c>
      <c r="D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7" t="str">
        <f>IFERROR(INDEX(Структура_ассортимента[Product group],MATCH(Товары[[#This Row],[SubGroup]],Структура_ассортимента[Subgroup],0)),"")</f>
        <v>WMS_C</v>
      </c>
      <c r="G8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2404</v>
      </c>
      <c r="Q855" s="39" t="s">
        <v>4432</v>
      </c>
      <c r="R855" s="34" t="s">
        <v>3407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3410</v>
      </c>
      <c r="Y855" s="34" t="s">
        <v>3409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7961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7" t="str">
        <f>IFERROR(INDEX(Структура_ассортимента[SuperCategory],MATCH(Товары[[#This Row],[SubGroup]],Структура_ассортимента[Subgroup],0)),"")</f>
        <v>W</v>
      </c>
      <c r="D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7" t="str">
        <f>IFERROR(INDEX(Структура_ассортимента[Product group],MATCH(Товары[[#This Row],[SubGroup]],Структура_ассортимента[Subgroup],0)),"")</f>
        <v>WMS_C</v>
      </c>
      <c r="G8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2405</v>
      </c>
      <c r="Q856" s="39" t="s">
        <v>4432</v>
      </c>
      <c r="R856" s="34" t="s">
        <v>3407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3410</v>
      </c>
      <c r="Y856" s="34" t="s">
        <v>3409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7961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7" t="str">
        <f>IFERROR(INDEX(Структура_ассортимента[SuperCategory],MATCH(Товары[[#This Row],[SubGroup]],Структура_ассортимента[Subgroup],0)),"")</f>
        <v>W</v>
      </c>
      <c r="D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7" t="str">
        <f>IFERROR(INDEX(Структура_ассортимента[Product group],MATCH(Товары[[#This Row],[SubGroup]],Структура_ассортимента[Subgroup],0)),"")</f>
        <v>WMS_C</v>
      </c>
      <c r="G8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2406</v>
      </c>
      <c r="Q857" s="39" t="s">
        <v>4432</v>
      </c>
      <c r="R857" s="34" t="s">
        <v>3407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3410</v>
      </c>
      <c r="Y857" s="34" t="s">
        <v>3409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7961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7" t="str">
        <f>IFERROR(INDEX(Структура_ассортимента[SuperCategory],MATCH(Товары[[#This Row],[SubGroup]],Структура_ассортимента[Subgroup],0)),"")</f>
        <v>W</v>
      </c>
      <c r="D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7" t="str">
        <f>IFERROR(INDEX(Структура_ассортимента[Product group],MATCH(Товары[[#This Row],[SubGroup]],Структура_ассортимента[Subgroup],0)),"")</f>
        <v>WMS_C</v>
      </c>
      <c r="G8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2407</v>
      </c>
      <c r="Q858" s="39" t="s">
        <v>4432</v>
      </c>
      <c r="R858" s="34" t="s">
        <v>3407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3410</v>
      </c>
      <c r="Y858" s="34" t="s">
        <v>3409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7961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7" t="str">
        <f>IFERROR(INDEX(Структура_ассортимента[SuperCategory],MATCH(Товары[[#This Row],[SubGroup]],Структура_ассортимента[Subgroup],0)),"")</f>
        <v>W</v>
      </c>
      <c r="D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7" t="str">
        <f>IFERROR(INDEX(Структура_ассортимента[Product group],MATCH(Товары[[#This Row],[SubGroup]],Структура_ассортимента[Subgroup],0)),"")</f>
        <v>WMT_C</v>
      </c>
      <c r="G8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2408</v>
      </c>
      <c r="Q859" s="39" t="s">
        <v>3411</v>
      </c>
      <c r="R859" s="34" t="s">
        <v>3407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3410</v>
      </c>
      <c r="Y859" s="34" t="s">
        <v>3409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7961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7" t="str">
        <f>IFERROR(INDEX(Структура_ассортимента[SuperCategory],MATCH(Товары[[#This Row],[SubGroup]],Структура_ассортимента[Subgroup],0)),"")</f>
        <v>W</v>
      </c>
      <c r="D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7" t="str">
        <f>IFERROR(INDEX(Структура_ассортимента[Product group],MATCH(Товары[[#This Row],[SubGroup]],Структура_ассортимента[Subgroup],0)),"")</f>
        <v>WMO_C</v>
      </c>
      <c r="G8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2409</v>
      </c>
      <c r="Q860" s="39" t="s">
        <v>3411</v>
      </c>
      <c r="R860" s="34" t="s">
        <v>3407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3410</v>
      </c>
      <c r="Y860" s="34" t="s">
        <v>3409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7961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7" t="str">
        <f>IFERROR(INDEX(Структура_ассортимента[SuperCategory],MATCH(Товары[[#This Row],[SubGroup]],Структура_ассортимента[Subgroup],0)),"")</f>
        <v>W</v>
      </c>
      <c r="D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7" t="str">
        <f>IFERROR(INDEX(Структура_ассортимента[Product group],MATCH(Товары[[#This Row],[SubGroup]],Структура_ассортимента[Subgroup],0)),"")</f>
        <v>WMO_C</v>
      </c>
      <c r="G8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2410</v>
      </c>
      <c r="Q861" s="39" t="s">
        <v>3411</v>
      </c>
      <c r="R861" s="34" t="s">
        <v>3407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3410</v>
      </c>
      <c r="Y861" s="34" t="s">
        <v>3409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7961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7" t="str">
        <f>IFERROR(INDEX(Структура_ассортимента[SuperCategory],MATCH(Товары[[#This Row],[SubGroup]],Структура_ассортимента[Subgroup],0)),"")</f>
        <v>W</v>
      </c>
      <c r="D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7" t="str">
        <f>IFERROR(INDEX(Структура_ассортимента[Product group],MATCH(Товары[[#This Row],[SubGroup]],Структура_ассортимента[Subgroup],0)),"")</f>
        <v>WMO_C</v>
      </c>
      <c r="G8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2411</v>
      </c>
      <c r="Q862" s="39" t="s">
        <v>3411</v>
      </c>
      <c r="R862" s="34" t="s">
        <v>3407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3410</v>
      </c>
      <c r="Y862" s="34" t="s">
        <v>3409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7961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7" t="str">
        <f>IFERROR(INDEX(Структура_ассортимента[SuperCategory],MATCH(Товары[[#This Row],[SubGroup]],Структура_ассортимента[Subgroup],0)),"")</f>
        <v>W</v>
      </c>
      <c r="D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7" t="str">
        <f>IFERROR(INDEX(Структура_ассортимента[Product group],MATCH(Товары[[#This Row],[SubGroup]],Структура_ассортимента[Subgroup],0)),"")</f>
        <v>WMO_C</v>
      </c>
      <c r="G8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2412</v>
      </c>
      <c r="Q863" s="39" t="s">
        <v>3411</v>
      </c>
      <c r="R863" s="34" t="s">
        <v>3407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3410</v>
      </c>
      <c r="Y863" s="34" t="s">
        <v>3409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7961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7" t="str">
        <f>IFERROR(INDEX(Структура_ассортимента[SuperCategory],MATCH(Товары[[#This Row],[SubGroup]],Структура_ассортимента[Subgroup],0)),"")</f>
        <v>W</v>
      </c>
      <c r="D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7" t="str">
        <f>IFERROR(INDEX(Структура_ассортимента[Product group],MATCH(Товары[[#This Row],[SubGroup]],Структура_ассортимента[Subgroup],0)),"")</f>
        <v>WMO_C</v>
      </c>
      <c r="G8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2413</v>
      </c>
      <c r="Q864" s="39" t="s">
        <v>3411</v>
      </c>
      <c r="R864" s="34" t="s">
        <v>3407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3410</v>
      </c>
      <c r="Y864" s="34" t="s">
        <v>3409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7961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7" t="str">
        <f>IFERROR(INDEX(Структура_ассортимента[SuperCategory],MATCH(Товары[[#This Row],[SubGroup]],Структура_ассортимента[Subgroup],0)),"")</f>
        <v>W</v>
      </c>
      <c r="D8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7" t="str">
        <f>IFERROR(INDEX(Структура_ассортимента[Product group],MATCH(Товары[[#This Row],[SubGroup]],Структура_ассортимента[Subgroup],0)),"")</f>
        <v>WMO_C</v>
      </c>
      <c r="G8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2414</v>
      </c>
      <c r="Q865" s="39" t="s">
        <v>3411</v>
      </c>
      <c r="R865" s="34" t="s">
        <v>3407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3410</v>
      </c>
      <c r="Y865" s="34" t="s">
        <v>3409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7961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7" t="str">
        <f>IFERROR(INDEX(Структура_ассортимента[SuperCategory],MATCH(Товары[[#This Row],[SubGroup]],Структура_ассортимента[Subgroup],0)),"")</f>
        <v>W</v>
      </c>
      <c r="D8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7" t="str">
        <f>IFERROR(INDEX(Структура_ассортимента[Product group],MATCH(Товары[[#This Row],[SubGroup]],Структура_ассортимента[Subgroup],0)),"")</f>
        <v>WMA_C</v>
      </c>
      <c r="G8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2415</v>
      </c>
      <c r="Q866" s="39" t="s">
        <v>4432</v>
      </c>
      <c r="R866" s="34" t="s">
        <v>3407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3410</v>
      </c>
      <c r="Y866" s="34" t="s">
        <v>3409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7961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7" t="str">
        <f>IFERROR(INDEX(Структура_ассортимента[SuperCategory],MATCH(Товары[[#This Row],[SubGroup]],Структура_ассортимента[Subgroup],0)),"")</f>
        <v>W</v>
      </c>
      <c r="D8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7" t="str">
        <f>IFERROR(INDEX(Структура_ассортимента[Product group],MATCH(Товары[[#This Row],[SubGroup]],Структура_ассортимента[Subgroup],0)),"")</f>
        <v>WMA_C</v>
      </c>
      <c r="G8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2416</v>
      </c>
      <c r="Q867" s="39" t="s">
        <v>4432</v>
      </c>
      <c r="R867" s="34" t="s">
        <v>3407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3410</v>
      </c>
      <c r="Y867" s="34" t="s">
        <v>3409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7961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7" t="str">
        <f>IFERROR(INDEX(Структура_ассортимента[SuperCategory],MATCH(Товары[[#This Row],[SubGroup]],Структура_ассортимента[Subgroup],0)),"")</f>
        <v>W</v>
      </c>
      <c r="D8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7" t="str">
        <f>IFERROR(INDEX(Структура_ассортимента[Product group],MATCH(Товары[[#This Row],[SubGroup]],Структура_ассортимента[Subgroup],0)),"")</f>
        <v>WMA_C</v>
      </c>
      <c r="G8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2417</v>
      </c>
      <c r="Q868" s="39" t="s">
        <v>3411</v>
      </c>
      <c r="R868" s="34" t="s">
        <v>3407</v>
      </c>
      <c r="S868" s="46">
        <v>0</v>
      </c>
      <c r="T868" s="46">
        <v>0</v>
      </c>
      <c r="U868" s="46">
        <v>0</v>
      </c>
      <c r="W868" s="34" t="s">
        <v>3410</v>
      </c>
      <c r="Y868" s="34" t="s">
        <v>3409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7961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7" t="str">
        <f>IFERROR(INDEX(Структура_ассортимента[SuperCategory],MATCH(Товары[[#This Row],[SubGroup]],Структура_ассортимента[Subgroup],0)),"")</f>
        <v>W</v>
      </c>
      <c r="D8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7" t="str">
        <f>IFERROR(INDEX(Структура_ассортимента[Product group],MATCH(Товары[[#This Row],[SubGroup]],Структура_ассортимента[Subgroup],0)),"")</f>
        <v>WMA_C</v>
      </c>
      <c r="G8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2418</v>
      </c>
      <c r="Q869" s="39" t="s">
        <v>3411</v>
      </c>
      <c r="R869" s="34" t="s">
        <v>3407</v>
      </c>
      <c r="S869" s="46">
        <v>0</v>
      </c>
      <c r="T869" s="46">
        <v>0</v>
      </c>
      <c r="U869" s="46">
        <v>0</v>
      </c>
      <c r="W869" s="34" t="s">
        <v>3410</v>
      </c>
      <c r="Y869" s="34" t="s">
        <v>3409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7961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7" t="str">
        <f>IFERROR(INDEX(Структура_ассортимента[SuperCategory],MATCH(Товары[[#This Row],[SubGroup]],Структура_ассортимента[Subgroup],0)),"")</f>
        <v>W</v>
      </c>
      <c r="D8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7" t="str">
        <f>IFERROR(INDEX(Структура_ассортимента[Product group],MATCH(Товары[[#This Row],[SubGroup]],Структура_ассортимента[Subgroup],0)),"")</f>
        <v>WMO_C</v>
      </c>
      <c r="G8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2419</v>
      </c>
      <c r="Q870" s="39" t="s">
        <v>3411</v>
      </c>
      <c r="R870" s="34" t="s">
        <v>3407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3410</v>
      </c>
      <c r="Y870" s="34" t="s">
        <v>3409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7961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7" t="str">
        <f>IFERROR(INDEX(Структура_ассортимента[SuperCategory],MATCH(Товары[[#This Row],[SubGroup]],Структура_ассортимента[Subgroup],0)),"")</f>
        <v>W</v>
      </c>
      <c r="D8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7" t="str">
        <f>IFERROR(INDEX(Структура_ассортимента[Product group],MATCH(Товары[[#This Row],[SubGroup]],Структура_ассортимента[Subgroup],0)),"")</f>
        <v>WMA_C</v>
      </c>
      <c r="G87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2420</v>
      </c>
      <c r="Q871" s="39" t="s">
        <v>3411</v>
      </c>
      <c r="R871" s="34" t="s">
        <v>3407</v>
      </c>
      <c r="S871" s="46">
        <v>0</v>
      </c>
      <c r="T871" s="46">
        <v>0</v>
      </c>
      <c r="U871" s="46">
        <v>0</v>
      </c>
      <c r="W871" s="34" t="s">
        <v>3410</v>
      </c>
      <c r="Y871" s="34" t="s">
        <v>3409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7961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7" t="str">
        <f>IFERROR(INDEX(Структура_ассортимента[SuperCategory],MATCH(Товары[[#This Row],[SubGroup]],Структура_ассортимента[Subgroup],0)),"")</f>
        <v>W</v>
      </c>
      <c r="D8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7" t="str">
        <f>IFERROR(INDEX(Структура_ассортимента[Product group],MATCH(Товары[[#This Row],[SubGroup]],Структура_ассортимента[Subgroup],0)),"")</f>
        <v>WMA_C</v>
      </c>
      <c r="G87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2421</v>
      </c>
      <c r="Q872" s="39" t="s">
        <v>3411</v>
      </c>
      <c r="R872" s="34" t="s">
        <v>3407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3410</v>
      </c>
      <c r="Y872" s="34" t="s">
        <v>3409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7961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7" t="str">
        <f>IFERROR(INDEX(Структура_ассортимента[SuperCategory],MATCH(Товары[[#This Row],[SubGroup]],Структура_ассортимента[Subgroup],0)),"")</f>
        <v>W</v>
      </c>
      <c r="D8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7" t="str">
        <f>IFERROR(INDEX(Структура_ассортимента[Product group],MATCH(Товары[[#This Row],[SubGroup]],Структура_ассортимента[Subgroup],0)),"")</f>
        <v>WMA_C</v>
      </c>
      <c r="G87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2422</v>
      </c>
      <c r="Q873" s="39" t="s">
        <v>4432</v>
      </c>
      <c r="R873" s="34" t="s">
        <v>3407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3410</v>
      </c>
      <c r="Y873" s="34" t="s">
        <v>3409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7961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7" t="str">
        <f>IFERROR(INDEX(Структура_ассортимента[SuperCategory],MATCH(Товары[[#This Row],[SubGroup]],Структура_ассортимента[Subgroup],0)),"")</f>
        <v>W</v>
      </c>
      <c r="D8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7" t="str">
        <f>IFERROR(INDEX(Структура_ассортимента[Product group],MATCH(Товары[[#This Row],[SubGroup]],Структура_ассортимента[Subgroup],0)),"")</f>
        <v>WMO_C</v>
      </c>
      <c r="G8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2423</v>
      </c>
      <c r="Q874" s="39" t="s">
        <v>3411</v>
      </c>
      <c r="R874" s="34" t="s">
        <v>3407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3410</v>
      </c>
      <c r="Y874" s="34" t="s">
        <v>3409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7961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7" t="str">
        <f>IFERROR(INDEX(Структура_ассортимента[SuperCategory],MATCH(Товары[[#This Row],[SubGroup]],Структура_ассортимента[Subgroup],0)),"")</f>
        <v>W</v>
      </c>
      <c r="D8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7" t="str">
        <f>IFERROR(INDEX(Структура_ассортимента[Product group],MATCH(Товары[[#This Row],[SubGroup]],Структура_ассортимента[Subgroup],0)),"")</f>
        <v>WMT_C</v>
      </c>
      <c r="G87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2424</v>
      </c>
      <c r="Q875" s="39" t="s">
        <v>4432</v>
      </c>
      <c r="R875" s="34" t="s">
        <v>3407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3410</v>
      </c>
      <c r="Y875" s="34" t="s">
        <v>3409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7961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7" t="str">
        <f>IFERROR(INDEX(Структура_ассортимента[SuperCategory],MATCH(Товары[[#This Row],[SubGroup]],Структура_ассортимента[Subgroup],0)),"")</f>
        <v>W</v>
      </c>
      <c r="D8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7" t="str">
        <f>IFERROR(INDEX(Структура_ассортимента[Product group],MATCH(Товары[[#This Row],[SubGroup]],Структура_ассортимента[Subgroup],0)),"")</f>
        <v>WMT_C</v>
      </c>
      <c r="G87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2425</v>
      </c>
      <c r="Q876" s="39" t="s">
        <v>3411</v>
      </c>
      <c r="R876" s="34" t="s">
        <v>3407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3410</v>
      </c>
      <c r="Y876" s="34" t="s">
        <v>3409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7961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7" t="str">
        <f>IFERROR(INDEX(Структура_ассортимента[SuperCategory],MATCH(Товары[[#This Row],[SubGroup]],Структура_ассортимента[Subgroup],0)),"")</f>
        <v>W</v>
      </c>
      <c r="D8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7" t="str">
        <f>IFERROR(INDEX(Структура_ассортимента[Product group],MATCH(Товары[[#This Row],[SubGroup]],Структура_ассортимента[Subgroup],0)),"")</f>
        <v>WMT_C</v>
      </c>
      <c r="G87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2426</v>
      </c>
      <c r="Q877" s="39" t="s">
        <v>4432</v>
      </c>
      <c r="R877" s="34" t="s">
        <v>3407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3410</v>
      </c>
      <c r="Y877" s="34" t="s">
        <v>3409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7961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7" t="str">
        <f>IFERROR(INDEX(Структура_ассортимента[SuperCategory],MATCH(Товары[[#This Row],[SubGroup]],Структура_ассортимента[Subgroup],0)),"")</f>
        <v>W</v>
      </c>
      <c r="D8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7" t="str">
        <f>IFERROR(INDEX(Структура_ассортимента[Product group],MATCH(Товары[[#This Row],[SubGroup]],Структура_ассортимента[Subgroup],0)),"")</f>
        <v>WMT_C</v>
      </c>
      <c r="G87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2427</v>
      </c>
      <c r="Q878" s="39" t="s">
        <v>3411</v>
      </c>
      <c r="R878" s="34" t="s">
        <v>3407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3410</v>
      </c>
      <c r="Y878" s="34" t="s">
        <v>3409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7961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7" t="str">
        <f>IFERROR(INDEX(Структура_ассортимента[SuperCategory],MATCH(Товары[[#This Row],[SubGroup]],Структура_ассортимента[Subgroup],0)),"")</f>
        <v>W</v>
      </c>
      <c r="D8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7" t="str">
        <f>IFERROR(INDEX(Структура_ассортимента[Product group],MATCH(Товары[[#This Row],[SubGroup]],Структура_ассортимента[Subgroup],0)),"")</f>
        <v>WMH_C</v>
      </c>
      <c r="G8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2428</v>
      </c>
      <c r="Q879" s="39" t="s">
        <v>3411</v>
      </c>
      <c r="R879" s="34" t="s">
        <v>3407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3417</v>
      </c>
      <c r="Y879" s="34" t="s">
        <v>5848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7961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7" t="str">
        <f>IFERROR(INDEX(Структура_ассортимента[SuperCategory],MATCH(Товары[[#This Row],[SubGroup]],Структура_ассортимента[Subgroup],0)),"")</f>
        <v>W</v>
      </c>
      <c r="D8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7" t="str">
        <f>IFERROR(INDEX(Структура_ассортимента[Product group],MATCH(Товары[[#This Row],[SubGroup]],Структура_ассортимента[Subgroup],0)),"")</f>
        <v>WMH_C</v>
      </c>
      <c r="G8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2429</v>
      </c>
      <c r="Q880" s="39" t="s">
        <v>3411</v>
      </c>
      <c r="R880" s="34" t="s">
        <v>3407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3417</v>
      </c>
      <c r="Y880" s="34" t="s">
        <v>5848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7961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7" t="str">
        <f>IFERROR(INDEX(Структура_ассортимента[SuperCategory],MATCH(Товары[[#This Row],[SubGroup]],Структура_ассортимента[Subgroup],0)),"")</f>
        <v>W</v>
      </c>
      <c r="D8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7" t="str">
        <f>IFERROR(INDEX(Структура_ассортимента[Product group],MATCH(Товары[[#This Row],[SubGroup]],Структура_ассортимента[Subgroup],0)),"")</f>
        <v>WMO_C</v>
      </c>
      <c r="G8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2430</v>
      </c>
      <c r="Q881" s="39" t="s">
        <v>3411</v>
      </c>
      <c r="R881" s="34" t="s">
        <v>3407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5849</v>
      </c>
      <c r="Y881" s="34" t="s">
        <v>3409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7961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7" t="str">
        <f>IFERROR(INDEX(Структура_ассортимента[SuperCategory],MATCH(Товары[[#This Row],[SubGroup]],Структура_ассортимента[Subgroup],0)),"")</f>
        <v>W</v>
      </c>
      <c r="D8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7" t="str">
        <f>IFERROR(INDEX(Структура_ассортимента[Product group],MATCH(Товары[[#This Row],[SubGroup]],Структура_ассортимента[Subgroup],0)),"")</f>
        <v>WMA_C</v>
      </c>
      <c r="G88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2431</v>
      </c>
      <c r="Q882" s="39" t="s">
        <v>4432</v>
      </c>
      <c r="R882" s="34" t="s">
        <v>3407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5849</v>
      </c>
      <c r="Y882" s="34" t="s">
        <v>3409</v>
      </c>
      <c r="Z882" s="34">
        <v>36</v>
      </c>
      <c r="AM882" s="34" t="s">
        <v>7961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7" t="str">
        <f>IFERROR(INDEX(Структура_ассортимента[SuperCategory],MATCH(Товары[[#This Row],[SubGroup]],Структура_ассортимента[Subgroup],0)),"")</f>
        <v>W</v>
      </c>
      <c r="D8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7" t="str">
        <f>IFERROR(INDEX(Структура_ассортимента[Product group],MATCH(Товары[[#This Row],[SubGroup]],Структура_ассортимента[Subgroup],0)),"")</f>
        <v>WMA_C</v>
      </c>
      <c r="G88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2432</v>
      </c>
      <c r="Q883" s="39" t="s">
        <v>3411</v>
      </c>
      <c r="R883" s="34" t="s">
        <v>3407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5849</v>
      </c>
      <c r="Y883" s="34" t="s">
        <v>3409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7961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7" t="str">
        <f>IFERROR(INDEX(Структура_ассортимента[SuperCategory],MATCH(Товары[[#This Row],[SubGroup]],Структура_ассортимента[Subgroup],0)),"")</f>
        <v>W</v>
      </c>
      <c r="D8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7" t="str">
        <f>IFERROR(INDEX(Структура_ассортимента[Product group],MATCH(Товары[[#This Row],[SubGroup]],Структура_ассортимента[Subgroup],0)),"")</f>
        <v>WMA_C</v>
      </c>
      <c r="G88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2433</v>
      </c>
      <c r="Q884" s="39" t="s">
        <v>3411</v>
      </c>
      <c r="R884" s="34" t="s">
        <v>3407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5849</v>
      </c>
      <c r="Y884" s="34" t="s">
        <v>3409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7961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7" t="str">
        <f>IFERROR(INDEX(Структура_ассортимента[SuperCategory],MATCH(Товары[[#This Row],[SubGroup]],Структура_ассортимента[Subgroup],0)),"")</f>
        <v>W</v>
      </c>
      <c r="D8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7" t="str">
        <f>IFERROR(INDEX(Структура_ассортимента[Product group],MATCH(Товары[[#This Row],[SubGroup]],Структура_ассортимента[Subgroup],0)),"")</f>
        <v>WMO_C</v>
      </c>
      <c r="G8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2434</v>
      </c>
      <c r="Q885" s="39" t="s">
        <v>3411</v>
      </c>
      <c r="R885" s="34" t="s">
        <v>3407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3410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7961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7" t="str">
        <f>IFERROR(INDEX(Структура_ассортимента[SuperCategory],MATCH(Товары[[#This Row],[SubGroup]],Структура_ассортимента[Subgroup],0)),"")</f>
        <v>W</v>
      </c>
      <c r="D8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7" t="str">
        <f>IFERROR(INDEX(Структура_ассортимента[Product group],MATCH(Товары[[#This Row],[SubGroup]],Структура_ассортимента[Subgroup],0)),"")</f>
        <v>WMO_C</v>
      </c>
      <c r="G8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2435</v>
      </c>
      <c r="P886" s="37" t="s">
        <v>5850</v>
      </c>
      <c r="Q886" s="39" t="s">
        <v>3411</v>
      </c>
      <c r="R886" s="34" t="s">
        <v>3407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3410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7" t="str">
        <f>IFERROR(INDEX(Структура_ассортимента[SuperCategory],MATCH(Товары[[#This Row],[SubGroup]],Структура_ассортимента[Subgroup],0)),"")</f>
        <v>W</v>
      </c>
      <c r="D8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7" t="str">
        <f>IFERROR(INDEX(Структура_ассортимента[Product group],MATCH(Товары[[#This Row],[SubGroup]],Структура_ассортимента[Subgroup],0)),"")</f>
        <v>WMT_C</v>
      </c>
      <c r="G88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2436</v>
      </c>
      <c r="Q887" s="39" t="s">
        <v>3411</v>
      </c>
      <c r="R887" s="34" t="s">
        <v>3407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3417</v>
      </c>
      <c r="Y887" s="34" t="s">
        <v>3409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7961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7" t="str">
        <f>IFERROR(INDEX(Структура_ассортимента[SuperCategory],MATCH(Товары[[#This Row],[SubGroup]],Структура_ассортимента[Subgroup],0)),"")</f>
        <v>W</v>
      </c>
      <c r="D8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7" t="str">
        <f>IFERROR(INDEX(Структура_ассортимента[Product group],MATCH(Товары[[#This Row],[SubGroup]],Структура_ассортимента[Subgroup],0)),"")</f>
        <v>WMT_C</v>
      </c>
      <c r="G88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2437</v>
      </c>
      <c r="Q888" s="39" t="s">
        <v>3411</v>
      </c>
      <c r="R888" s="34" t="s">
        <v>3407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3417</v>
      </c>
      <c r="Y888" s="34" t="s">
        <v>3409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7961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7" t="str">
        <f>IFERROR(INDEX(Структура_ассортимента[SuperCategory],MATCH(Товары[[#This Row],[SubGroup]],Структура_ассортимента[Subgroup],0)),"")</f>
        <v>W</v>
      </c>
      <c r="D8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7" t="str">
        <f>IFERROR(INDEX(Структура_ассортимента[Product group],MATCH(Товары[[#This Row],[SubGroup]],Структура_ассортимента[Subgroup],0)),"")</f>
        <v>WMT_C</v>
      </c>
      <c r="G88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2438</v>
      </c>
      <c r="Q889" s="39" t="s">
        <v>3411</v>
      </c>
      <c r="R889" s="34" t="s">
        <v>3407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3417</v>
      </c>
      <c r="Y889" s="34" t="s">
        <v>3409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7961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7" t="str">
        <f>IFERROR(INDEX(Структура_ассортимента[SuperCategory],MATCH(Товары[[#This Row],[SubGroup]],Структура_ассортимента[Subgroup],0)),"")</f>
        <v>W</v>
      </c>
      <c r="D8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7" t="str">
        <f>IFERROR(INDEX(Структура_ассортимента[Product group],MATCH(Товары[[#This Row],[SubGroup]],Структура_ассортимента[Subgroup],0)),"")</f>
        <v>WMT_C</v>
      </c>
      <c r="G89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2439</v>
      </c>
      <c r="Q890" s="39" t="s">
        <v>3411</v>
      </c>
      <c r="R890" s="34" t="s">
        <v>3407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3410</v>
      </c>
      <c r="Y890" s="34" t="s">
        <v>3409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7961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7" t="str">
        <f>IFERROR(INDEX(Структура_ассортимента[SuperCategory],MATCH(Товары[[#This Row],[SubGroup]],Структура_ассортимента[Subgroup],0)),"")</f>
        <v>W</v>
      </c>
      <c r="D8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7" t="str">
        <f>IFERROR(INDEX(Структура_ассортимента[Product group],MATCH(Товары[[#This Row],[SubGroup]],Структура_ассортимента[Subgroup],0)),"")</f>
        <v>WMT_C</v>
      </c>
      <c r="G8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2440</v>
      </c>
      <c r="Q891" s="39" t="s">
        <v>3411</v>
      </c>
      <c r="R891" s="34" t="s">
        <v>3407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3410</v>
      </c>
      <c r="Y891" s="34" t="s">
        <v>3409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7961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7" t="str">
        <f>IFERROR(INDEX(Структура_ассортимента[SuperCategory],MATCH(Товары[[#This Row],[SubGroup]],Структура_ассортимента[Subgroup],0)),"")</f>
        <v>W</v>
      </c>
      <c r="D8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7" t="str">
        <f>IFERROR(INDEX(Структура_ассортимента[Product group],MATCH(Товары[[#This Row],[SubGroup]],Структура_ассортимента[Subgroup],0)),"")</f>
        <v>WMA_C</v>
      </c>
      <c r="G8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2441</v>
      </c>
      <c r="Q892" s="39" t="s">
        <v>3411</v>
      </c>
      <c r="R892" s="34" t="s">
        <v>3407</v>
      </c>
      <c r="S892" s="46">
        <v>0</v>
      </c>
      <c r="T892" s="46">
        <v>0</v>
      </c>
      <c r="U892" s="46">
        <v>0</v>
      </c>
      <c r="V892" s="34" t="s">
        <v>4460</v>
      </c>
      <c r="W892" s="34" t="s">
        <v>3410</v>
      </c>
      <c r="Y892" s="34" t="s">
        <v>3409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7961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7" t="str">
        <f>IFERROR(INDEX(Структура_ассортимента[SuperCategory],MATCH(Товары[[#This Row],[SubGroup]],Структура_ассортимента[Subgroup],0)),"")</f>
        <v>W</v>
      </c>
      <c r="D8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7" t="str">
        <f>IFERROR(INDEX(Структура_ассортимента[Product group],MATCH(Товары[[#This Row],[SubGroup]],Структура_ассортимента[Subgroup],0)),"")</f>
        <v>WMA_C</v>
      </c>
      <c r="G8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2442</v>
      </c>
      <c r="O893" s="37" t="s">
        <v>5851</v>
      </c>
      <c r="P893" s="37" t="s">
        <v>5852</v>
      </c>
      <c r="Q893" s="39" t="s">
        <v>3416</v>
      </c>
      <c r="R893" s="34" t="s">
        <v>3407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3410</v>
      </c>
      <c r="X893" s="34" t="s">
        <v>3446</v>
      </c>
      <c r="Y893" s="34" t="s">
        <v>3409</v>
      </c>
      <c r="Z893" s="34">
        <v>10</v>
      </c>
      <c r="AA893" s="34">
        <v>0</v>
      </c>
      <c r="AB893" s="34" t="s">
        <v>3597</v>
      </c>
      <c r="AC893" s="34">
        <v>-2146826246</v>
      </c>
      <c r="AD893" s="34" t="s">
        <v>3537</v>
      </c>
      <c r="AE893" s="34" t="s">
        <v>4512</v>
      </c>
      <c r="AF893" s="34" t="s">
        <v>3835</v>
      </c>
      <c r="AG893" s="34" t="s">
        <v>4088</v>
      </c>
      <c r="AH893" s="34" t="s">
        <v>5853</v>
      </c>
      <c r="AL893" s="34" t="s">
        <v>5171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7" t="str">
        <f>IFERROR(INDEX(Структура_ассортимента[SuperCategory],MATCH(Товары[[#This Row],[SubGroup]],Структура_ассортимента[Subgroup],0)),"")</f>
        <v>W</v>
      </c>
      <c r="D8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7" t="str">
        <f>IFERROR(INDEX(Структура_ассортимента[Product group],MATCH(Товары[[#This Row],[SubGroup]],Структура_ассортимента[Subgroup],0)),"")</f>
        <v>WMA_C</v>
      </c>
      <c r="G8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2443</v>
      </c>
      <c r="O894" s="37" t="s">
        <v>5854</v>
      </c>
      <c r="P894" s="37" t="s">
        <v>5855</v>
      </c>
      <c r="Q894" s="39" t="s">
        <v>3416</v>
      </c>
      <c r="R894" s="34" t="s">
        <v>3407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3410</v>
      </c>
      <c r="X894" s="34" t="s">
        <v>3446</v>
      </c>
      <c r="Y894" s="34" t="s">
        <v>3409</v>
      </c>
      <c r="Z894" s="34">
        <v>5</v>
      </c>
      <c r="AA894" s="34">
        <v>0</v>
      </c>
      <c r="AB894" s="34" t="s">
        <v>4019</v>
      </c>
      <c r="AC894" s="34">
        <v>0</v>
      </c>
      <c r="AD894" s="34" t="s">
        <v>3601</v>
      </c>
      <c r="AE894" s="34" t="s">
        <v>5773</v>
      </c>
      <c r="AF894" s="34" t="s">
        <v>3835</v>
      </c>
      <c r="AG894" s="34" t="s">
        <v>4269</v>
      </c>
      <c r="AH894" s="34" t="s">
        <v>5856</v>
      </c>
      <c r="AL894" s="34" t="s">
        <v>4770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7" t="str">
        <f>IFERROR(INDEX(Структура_ассортимента[SuperCategory],MATCH(Товары[[#This Row],[SubGroup]],Структура_ассортимента[Subgroup],0)),"")</f>
        <v>W</v>
      </c>
      <c r="D8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7" t="str">
        <f>IFERROR(INDEX(Структура_ассортимента[Product group],MATCH(Товары[[#This Row],[SubGroup]],Структура_ассортимента[Subgroup],0)),"")</f>
        <v>WMA_C</v>
      </c>
      <c r="G8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2444</v>
      </c>
      <c r="O895" s="37" t="s">
        <v>5857</v>
      </c>
      <c r="P895" s="37" t="s">
        <v>5858</v>
      </c>
      <c r="Q895" s="39" t="s">
        <v>3416</v>
      </c>
      <c r="R895" s="34" t="s">
        <v>3407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3410</v>
      </c>
      <c r="X895" s="34" t="s">
        <v>3446</v>
      </c>
      <c r="Y895" s="34" t="s">
        <v>3409</v>
      </c>
      <c r="Z895" s="34">
        <v>5</v>
      </c>
      <c r="AA895" s="34">
        <v>0</v>
      </c>
      <c r="AB895" s="34" t="s">
        <v>3673</v>
      </c>
      <c r="AC895" s="34">
        <v>0</v>
      </c>
      <c r="AD895" s="34" t="s">
        <v>3968</v>
      </c>
      <c r="AE895" s="34" t="s">
        <v>5773</v>
      </c>
      <c r="AF895" s="34" t="s">
        <v>3835</v>
      </c>
      <c r="AG895" s="34" t="s">
        <v>4269</v>
      </c>
      <c r="AH895" s="34" t="s">
        <v>5856</v>
      </c>
      <c r="AL895" s="34" t="s">
        <v>4770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7" t="str">
        <f>IFERROR(INDEX(Структура_ассортимента[SuperCategory],MATCH(Товары[[#This Row],[SubGroup]],Структура_ассортимента[Subgroup],0)),"")</f>
        <v>W</v>
      </c>
      <c r="D8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7" t="str">
        <f>IFERROR(INDEX(Структура_ассортимента[Product group],MATCH(Товары[[#This Row],[SubGroup]],Структура_ассортимента[Subgroup],0)),"")</f>
        <v>WMA_C</v>
      </c>
      <c r="G8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2445</v>
      </c>
      <c r="Q896" s="39" t="s">
        <v>3416</v>
      </c>
      <c r="R896" s="34" t="s">
        <v>3407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3410</v>
      </c>
      <c r="X896" s="34" t="s">
        <v>3446</v>
      </c>
      <c r="Y896" s="34" t="s">
        <v>3409</v>
      </c>
      <c r="Z896" s="34">
        <v>2</v>
      </c>
      <c r="AA896" s="34" t="s">
        <v>5859</v>
      </c>
      <c r="AB896" s="34" t="s">
        <v>5859</v>
      </c>
      <c r="AC896" s="34" t="s">
        <v>4997</v>
      </c>
      <c r="AD896" s="34" t="s">
        <v>4997</v>
      </c>
      <c r="AE896" s="34" t="s">
        <v>5860</v>
      </c>
      <c r="AF896" s="34" t="s">
        <v>4325</v>
      </c>
      <c r="AG896" s="34" t="s">
        <v>3621</v>
      </c>
      <c r="AH896" s="34" t="s">
        <v>5861</v>
      </c>
      <c r="AI896" s="34" t="s">
        <v>3554</v>
      </c>
      <c r="AJ896" s="34" t="s">
        <v>4413</v>
      </c>
      <c r="AK896" s="34" t="s">
        <v>4213</v>
      </c>
      <c r="AL896" s="34">
        <v>72</v>
      </c>
      <c r="AM896" s="34" t="s">
        <v>7962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7" t="str">
        <f>IFERROR(INDEX(Структура_ассортимента[SuperCategory],MATCH(Товары[[#This Row],[SubGroup]],Структура_ассортимента[Subgroup],0)),"")</f>
        <v>W</v>
      </c>
      <c r="D8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7" t="str">
        <f>IFERROR(INDEX(Структура_ассортимента[Product group],MATCH(Товары[[#This Row],[SubGroup]],Структура_ассортимента[Subgroup],0)),"")</f>
        <v>WMA_C</v>
      </c>
      <c r="G8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2446</v>
      </c>
      <c r="Q897" s="39" t="s">
        <v>3416</v>
      </c>
      <c r="R897" s="34" t="s">
        <v>3407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3410</v>
      </c>
      <c r="X897" s="34" t="s">
        <v>3446</v>
      </c>
      <c r="Y897" s="34" t="s">
        <v>3409</v>
      </c>
      <c r="Z897" s="34">
        <v>2</v>
      </c>
      <c r="AA897" s="34" t="s">
        <v>5862</v>
      </c>
      <c r="AB897" s="34" t="s">
        <v>5862</v>
      </c>
      <c r="AC897" s="34" t="s">
        <v>5816</v>
      </c>
      <c r="AD897" s="34" t="s">
        <v>5816</v>
      </c>
      <c r="AE897" s="34" t="s">
        <v>5032</v>
      </c>
      <c r="AF897" s="34" t="s">
        <v>4325</v>
      </c>
      <c r="AG897" s="34" t="s">
        <v>4191</v>
      </c>
      <c r="AH897" s="34" t="s">
        <v>5863</v>
      </c>
      <c r="AI897" s="34" t="s">
        <v>5864</v>
      </c>
      <c r="AJ897" s="34" t="s">
        <v>4191</v>
      </c>
      <c r="AK897" s="34" t="s">
        <v>4218</v>
      </c>
      <c r="AL897" s="34">
        <v>144</v>
      </c>
      <c r="AM897" s="34" t="s">
        <v>7962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7" t="str">
        <f>IFERROR(INDEX(Структура_ассортимента[SuperCategory],MATCH(Товары[[#This Row],[SubGroup]],Структура_ассортимента[Subgroup],0)),"")</f>
        <v>W</v>
      </c>
      <c r="D8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7" t="str">
        <f>IFERROR(INDEX(Структура_ассортимента[Product group],MATCH(Товары[[#This Row],[SubGroup]],Структура_ассортимента[Subgroup],0)),"")</f>
        <v>WMA_C</v>
      </c>
      <c r="G8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2447</v>
      </c>
      <c r="Q898" s="39" t="s">
        <v>3416</v>
      </c>
      <c r="R898" s="34" t="s">
        <v>3407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3410</v>
      </c>
      <c r="X898" s="34" t="s">
        <v>3446</v>
      </c>
      <c r="Y898" s="34" t="s">
        <v>3409</v>
      </c>
      <c r="Z898" s="34">
        <v>2</v>
      </c>
      <c r="AA898" s="34" t="s">
        <v>5865</v>
      </c>
      <c r="AB898" s="34" t="s">
        <v>5179</v>
      </c>
      <c r="AC898" s="34" t="s">
        <v>3728</v>
      </c>
      <c r="AD898" s="34" t="s">
        <v>3728</v>
      </c>
      <c r="AE898" s="34" t="s">
        <v>5866</v>
      </c>
      <c r="AF898" s="34" t="s">
        <v>4325</v>
      </c>
      <c r="AG898" s="34" t="s">
        <v>3621</v>
      </c>
      <c r="AH898" s="34" t="s">
        <v>5867</v>
      </c>
      <c r="AI898" s="34" t="s">
        <v>3641</v>
      </c>
      <c r="AJ898" s="34" t="s">
        <v>4413</v>
      </c>
      <c r="AK898" s="34" t="s">
        <v>4213</v>
      </c>
      <c r="AL898" s="34" t="s">
        <v>4320</v>
      </c>
      <c r="AM898" s="34" t="s">
        <v>7962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7" t="str">
        <f>IFERROR(INDEX(Структура_ассортимента[SuperCategory],MATCH(Товары[[#This Row],[SubGroup]],Структура_ассортимента[Subgroup],0)),"")</f>
        <v>W</v>
      </c>
      <c r="D8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7" t="str">
        <f>IFERROR(INDEX(Структура_ассортимента[Product group],MATCH(Товары[[#This Row],[SubGroup]],Структура_ассортимента[Subgroup],0)),"")</f>
        <v>WMA_C</v>
      </c>
      <c r="G89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2448</v>
      </c>
      <c r="Q899" s="39" t="s">
        <v>3416</v>
      </c>
      <c r="R899" s="34" t="s">
        <v>3407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3410</v>
      </c>
      <c r="X899" s="34" t="s">
        <v>3446</v>
      </c>
      <c r="Y899" s="34" t="s">
        <v>3409</v>
      </c>
      <c r="Z899" s="34">
        <v>2</v>
      </c>
      <c r="AA899" s="34" t="s">
        <v>5868</v>
      </c>
      <c r="AB899" s="34" t="s">
        <v>5868</v>
      </c>
      <c r="AC899" s="34" t="s">
        <v>5869</v>
      </c>
      <c r="AD899" s="34" t="s">
        <v>5869</v>
      </c>
      <c r="AE899" s="34" t="s">
        <v>5870</v>
      </c>
      <c r="AF899" s="34" t="s">
        <v>4325</v>
      </c>
      <c r="AG899" s="34" t="s">
        <v>3621</v>
      </c>
      <c r="AH899" s="34" t="s">
        <v>5871</v>
      </c>
      <c r="AI899" s="34" t="s">
        <v>5872</v>
      </c>
      <c r="AJ899" s="34" t="s">
        <v>4847</v>
      </c>
      <c r="AK899" s="34" t="s">
        <v>4048</v>
      </c>
      <c r="AL899" s="34">
        <v>80</v>
      </c>
      <c r="AM899" s="34" t="s">
        <v>7962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7" t="str">
        <f>IFERROR(INDEX(Структура_ассортимента[SuperCategory],MATCH(Товары[[#This Row],[SubGroup]],Структура_ассортимента[Subgroup],0)),"")</f>
        <v>W</v>
      </c>
      <c r="D9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7" t="str">
        <f>IFERROR(INDEX(Структура_ассортимента[Product group],MATCH(Товары[[#This Row],[SubGroup]],Структура_ассортимента[Subgroup],0)),"")</f>
        <v>WMA_C</v>
      </c>
      <c r="G90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2449</v>
      </c>
      <c r="Q900" s="39" t="s">
        <v>3416</v>
      </c>
      <c r="R900" s="34" t="s">
        <v>3407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3417</v>
      </c>
      <c r="X900" s="34" t="s">
        <v>3446</v>
      </c>
      <c r="Y900" s="34" t="s">
        <v>3409</v>
      </c>
      <c r="Z900" s="34">
        <v>10</v>
      </c>
      <c r="AA900" s="34" t="s">
        <v>3558</v>
      </c>
      <c r="AB900" s="34" t="s">
        <v>3558</v>
      </c>
      <c r="AC900" s="34" t="s">
        <v>3874</v>
      </c>
      <c r="AD900" s="34" t="s">
        <v>3874</v>
      </c>
      <c r="AE900" s="34" t="s">
        <v>5873</v>
      </c>
      <c r="AF900" s="34" t="s">
        <v>4776</v>
      </c>
      <c r="AG900" s="34" t="s">
        <v>4000</v>
      </c>
      <c r="AH900" s="34" t="s">
        <v>5874</v>
      </c>
      <c r="AL900" s="34">
        <v>420</v>
      </c>
      <c r="AM900" s="34" t="s">
        <v>7962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7" t="str">
        <f>IFERROR(INDEX(Структура_ассортимента[SuperCategory],MATCH(Товары[[#This Row],[SubGroup]],Структура_ассортимента[Subgroup],0)),"")</f>
        <v>W</v>
      </c>
      <c r="D9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7" t="str">
        <f>IFERROR(INDEX(Структура_ассортимента[Product group],MATCH(Товары[[#This Row],[SubGroup]],Структура_ассортимента[Subgroup],0)),"")</f>
        <v>WMA_C</v>
      </c>
      <c r="G90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2450</v>
      </c>
      <c r="Q901" s="39" t="s">
        <v>3416</v>
      </c>
      <c r="R901" s="34" t="s">
        <v>3407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3417</v>
      </c>
      <c r="X901" s="34" t="s">
        <v>3446</v>
      </c>
      <c r="Y901" s="34" t="s">
        <v>3409</v>
      </c>
      <c r="Z901" s="34">
        <v>3</v>
      </c>
      <c r="AA901" s="34" t="s">
        <v>5875</v>
      </c>
      <c r="AB901" s="34" t="s">
        <v>5875</v>
      </c>
      <c r="AC901" s="34" t="s">
        <v>3857</v>
      </c>
      <c r="AD901" s="34" t="s">
        <v>3857</v>
      </c>
      <c r="AE901" s="34" t="s">
        <v>5876</v>
      </c>
      <c r="AF901" s="34" t="s">
        <v>4810</v>
      </c>
      <c r="AG901" s="34" t="s">
        <v>4006</v>
      </c>
      <c r="AH901" s="34" t="s">
        <v>5877</v>
      </c>
      <c r="AI901" s="34" t="s">
        <v>3441</v>
      </c>
      <c r="AJ901" s="34" t="s">
        <v>5508</v>
      </c>
      <c r="AK901" s="34" t="s">
        <v>4248</v>
      </c>
      <c r="AL901" s="34">
        <v>240</v>
      </c>
      <c r="AM901" s="34" t="s">
        <v>7962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7" t="str">
        <f>IFERROR(INDEX(Структура_ассортимента[SuperCategory],MATCH(Товары[[#This Row],[SubGroup]],Структура_ассортимента[Subgroup],0)),"")</f>
        <v>W</v>
      </c>
      <c r="D9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7" t="str">
        <f>IFERROR(INDEX(Структура_ассортимента[Product group],MATCH(Товары[[#This Row],[SubGroup]],Структура_ассортимента[Subgroup],0)),"")</f>
        <v>WMA_C</v>
      </c>
      <c r="G90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2451</v>
      </c>
      <c r="Q902" s="39" t="s">
        <v>3416</v>
      </c>
      <c r="R902" s="34" t="s">
        <v>3407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3417</v>
      </c>
      <c r="X902" s="34" t="s">
        <v>3446</v>
      </c>
      <c r="Y902" s="34" t="s">
        <v>3409</v>
      </c>
      <c r="Z902" s="34">
        <v>5</v>
      </c>
      <c r="AA902" s="34" t="s">
        <v>5878</v>
      </c>
      <c r="AB902" s="34" t="s">
        <v>5878</v>
      </c>
      <c r="AC902" s="34" t="s">
        <v>3595</v>
      </c>
      <c r="AD902" s="34" t="s">
        <v>3595</v>
      </c>
      <c r="AE902" s="34" t="s">
        <v>5879</v>
      </c>
      <c r="AF902" s="34" t="s">
        <v>4202</v>
      </c>
      <c r="AG902" s="34" t="s">
        <v>5880</v>
      </c>
      <c r="AH902" s="34" t="s">
        <v>5881</v>
      </c>
      <c r="AI902" s="34" t="s">
        <v>4846</v>
      </c>
      <c r="AJ902" s="34" t="s">
        <v>4416</v>
      </c>
      <c r="AK902" s="34" t="s">
        <v>4191</v>
      </c>
      <c r="AL902" s="34">
        <v>405</v>
      </c>
      <c r="AM902" s="34" t="s">
        <v>7962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7" t="str">
        <f>IFERROR(INDEX(Структура_ассортимента[SuperCategory],MATCH(Товары[[#This Row],[SubGroup]],Структура_ассортимента[Subgroup],0)),"")</f>
        <v>W</v>
      </c>
      <c r="D9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7" t="str">
        <f>IFERROR(INDEX(Структура_ассортимента[Product group],MATCH(Товары[[#This Row],[SubGroup]],Структура_ассортимента[Subgroup],0)),"")</f>
        <v>WMA_C</v>
      </c>
      <c r="G90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2452</v>
      </c>
      <c r="Q903" s="39" t="s">
        <v>3416</v>
      </c>
      <c r="R903" s="34" t="s">
        <v>3407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3410</v>
      </c>
      <c r="X903" s="34" t="s">
        <v>3446</v>
      </c>
      <c r="Y903" s="34" t="s">
        <v>3409</v>
      </c>
      <c r="Z903" s="34">
        <v>3</v>
      </c>
      <c r="AA903" s="34" t="s">
        <v>5882</v>
      </c>
      <c r="AB903" s="34" t="s">
        <v>3557</v>
      </c>
      <c r="AC903" s="34" t="s">
        <v>4026</v>
      </c>
      <c r="AD903" s="34" t="s">
        <v>3558</v>
      </c>
      <c r="AE903" s="34" t="s">
        <v>5213</v>
      </c>
      <c r="AF903" s="34" t="s">
        <v>3427</v>
      </c>
      <c r="AG903" s="34" t="s">
        <v>4416</v>
      </c>
      <c r="AH903" s="34" t="s">
        <v>5883</v>
      </c>
      <c r="AI903" s="34" t="s">
        <v>5884</v>
      </c>
      <c r="AJ903" s="34" t="s">
        <v>3560</v>
      </c>
      <c r="AK903" s="34" t="s">
        <v>4776</v>
      </c>
      <c r="AL903" s="34" t="s">
        <v>3429</v>
      </c>
      <c r="AM903" s="34" t="s">
        <v>7962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7" t="str">
        <f>IFERROR(INDEX(Структура_ассортимента[SuperCategory],MATCH(Товары[[#This Row],[SubGroup]],Структура_ассортимента[Subgroup],0)),"")</f>
        <v>W</v>
      </c>
      <c r="D9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7" t="str">
        <f>IFERROR(INDEX(Структура_ассортимента[Product group],MATCH(Товары[[#This Row],[SubGroup]],Структура_ассортимента[Subgroup],0)),"")</f>
        <v>WMA_C</v>
      </c>
      <c r="G90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2453</v>
      </c>
      <c r="Q904" s="39" t="s">
        <v>3416</v>
      </c>
      <c r="R904" s="34" t="s">
        <v>3407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3410</v>
      </c>
      <c r="X904" s="34" t="s">
        <v>3446</v>
      </c>
      <c r="Y904" s="34" t="s">
        <v>3409</v>
      </c>
      <c r="Z904" s="34">
        <v>3</v>
      </c>
      <c r="AA904" s="34" t="s">
        <v>5885</v>
      </c>
      <c r="AB904" s="34" t="s">
        <v>5885</v>
      </c>
      <c r="AC904" s="34" t="s">
        <v>4014</v>
      </c>
      <c r="AD904" s="34" t="s">
        <v>4014</v>
      </c>
      <c r="AE904" s="34" t="s">
        <v>5213</v>
      </c>
      <c r="AF904" s="34" t="s">
        <v>3427</v>
      </c>
      <c r="AG904" s="34" t="s">
        <v>4416</v>
      </c>
      <c r="AH904" s="34" t="s">
        <v>5883</v>
      </c>
      <c r="AI904" s="34" t="s">
        <v>4909</v>
      </c>
      <c r="AJ904" s="34" t="s">
        <v>3478</v>
      </c>
      <c r="AK904" s="34" t="s">
        <v>4810</v>
      </c>
      <c r="AL904" s="34">
        <v>144</v>
      </c>
      <c r="AM904" s="34" t="s">
        <v>7962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7" t="str">
        <f>IFERROR(INDEX(Структура_ассортимента[SuperCategory],MATCH(Товары[[#This Row],[SubGroup]],Структура_ассортимента[Subgroup],0)),"")</f>
        <v>W</v>
      </c>
      <c r="D9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7" t="str">
        <f>IFERROR(INDEX(Структура_ассортимента[Product group],MATCH(Товары[[#This Row],[SubGroup]],Структура_ассортимента[Subgroup],0)),"")</f>
        <v>WMA_C</v>
      </c>
      <c r="G90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2454</v>
      </c>
      <c r="Q905" s="39" t="s">
        <v>3416</v>
      </c>
      <c r="R905" s="34" t="s">
        <v>3407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3417</v>
      </c>
      <c r="X905" s="34" t="s">
        <v>3446</v>
      </c>
      <c r="Y905" s="34" t="s">
        <v>3409</v>
      </c>
      <c r="Z905" s="34">
        <v>5</v>
      </c>
      <c r="AA905" s="34" t="s">
        <v>5886</v>
      </c>
      <c r="AB905" s="34" t="s">
        <v>5886</v>
      </c>
      <c r="AC905" s="34" t="s">
        <v>5887</v>
      </c>
      <c r="AD905" s="34" t="s">
        <v>5887</v>
      </c>
      <c r="AE905" s="34" t="s">
        <v>3457</v>
      </c>
      <c r="AF905" s="34" t="s">
        <v>3667</v>
      </c>
      <c r="AG905" s="34" t="s">
        <v>4191</v>
      </c>
      <c r="AH905" s="34" t="s">
        <v>5888</v>
      </c>
      <c r="AI905" s="34" t="s">
        <v>4482</v>
      </c>
      <c r="AJ905" s="34" t="s">
        <v>4500</v>
      </c>
      <c r="AK905" s="34" t="s">
        <v>4020</v>
      </c>
      <c r="AL905" s="34">
        <v>405</v>
      </c>
      <c r="AM905" s="34" t="s">
        <v>7962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7" t="str">
        <f>IFERROR(INDEX(Структура_ассортимента[SuperCategory],MATCH(Товары[[#This Row],[SubGroup]],Структура_ассортимента[Subgroup],0)),"")</f>
        <v>W</v>
      </c>
      <c r="D9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7" t="str">
        <f>IFERROR(INDEX(Структура_ассортимента[Product group],MATCH(Товары[[#This Row],[SubGroup]],Структура_ассортимента[Subgroup],0)),"")</f>
        <v>WMA_C</v>
      </c>
      <c r="G90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2455</v>
      </c>
      <c r="Q906" s="39" t="s">
        <v>3416</v>
      </c>
      <c r="R906" s="34" t="s">
        <v>3407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3410</v>
      </c>
      <c r="X906" s="34" t="s">
        <v>3446</v>
      </c>
      <c r="Y906" s="34" t="s">
        <v>3409</v>
      </c>
      <c r="Z906" s="34">
        <v>2</v>
      </c>
      <c r="AA906" s="34" t="s">
        <v>3729</v>
      </c>
      <c r="AB906" s="34" t="s">
        <v>3729</v>
      </c>
      <c r="AC906" s="34" t="s">
        <v>5889</v>
      </c>
      <c r="AD906" s="34" t="s">
        <v>5889</v>
      </c>
      <c r="AE906" s="34" t="s">
        <v>3842</v>
      </c>
      <c r="AF906" s="34" t="s">
        <v>3565</v>
      </c>
      <c r="AG906" s="34" t="s">
        <v>3443</v>
      </c>
      <c r="AH906" s="34" t="s">
        <v>5890</v>
      </c>
      <c r="AI906" s="34" t="s">
        <v>3732</v>
      </c>
      <c r="AJ906" s="34" t="s">
        <v>3427</v>
      </c>
      <c r="AK906" s="34" t="s">
        <v>5891</v>
      </c>
      <c r="AL906" s="34">
        <v>120</v>
      </c>
      <c r="AM906" s="34" t="s">
        <v>7962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7" t="str">
        <f>IFERROR(INDEX(Структура_ассортимента[SuperCategory],MATCH(Товары[[#This Row],[SubGroup]],Структура_ассортимента[Subgroup],0)),"")</f>
        <v>W</v>
      </c>
      <c r="D9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7" t="str">
        <f>IFERROR(INDEX(Структура_ассортимента[Product group],MATCH(Товары[[#This Row],[SubGroup]],Структура_ассортимента[Subgroup],0)),"")</f>
        <v>WMA_C</v>
      </c>
      <c r="G90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2456</v>
      </c>
      <c r="Q907" s="39" t="s">
        <v>3416</v>
      </c>
      <c r="R907" s="34" t="s">
        <v>3407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3410</v>
      </c>
      <c r="X907" s="34" t="s">
        <v>3446</v>
      </c>
      <c r="Y907" s="34" t="s">
        <v>3409</v>
      </c>
      <c r="Z907" s="34">
        <v>2</v>
      </c>
      <c r="AA907" s="34" t="s">
        <v>4531</v>
      </c>
      <c r="AB907" s="34" t="s">
        <v>4531</v>
      </c>
      <c r="AC907" s="34" t="s">
        <v>4277</v>
      </c>
      <c r="AD907" s="34" t="s">
        <v>4277</v>
      </c>
      <c r="AE907" s="34" t="s">
        <v>3842</v>
      </c>
      <c r="AF907" s="34" t="s">
        <v>3565</v>
      </c>
      <c r="AG907" s="34" t="s">
        <v>3753</v>
      </c>
      <c r="AH907" s="34" t="s">
        <v>5892</v>
      </c>
      <c r="AI907" s="34" t="s">
        <v>4768</v>
      </c>
      <c r="AJ907" s="34" t="s">
        <v>3433</v>
      </c>
      <c r="AK907" s="34" t="s">
        <v>3522</v>
      </c>
      <c r="AL907" s="34">
        <v>120</v>
      </c>
      <c r="AM907" s="34" t="s">
        <v>7962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7" t="str">
        <f>IFERROR(INDEX(Структура_ассортимента[SuperCategory],MATCH(Товары[[#This Row],[SubGroup]],Структура_ассортимента[Subgroup],0)),"")</f>
        <v>W</v>
      </c>
      <c r="D9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7" t="str">
        <f>IFERROR(INDEX(Структура_ассортимента[Product group],MATCH(Товары[[#This Row],[SubGroup]],Структура_ассортимента[Subgroup],0)),"")</f>
        <v>WMA_C</v>
      </c>
      <c r="G90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2457</v>
      </c>
      <c r="Q908" s="39" t="s">
        <v>3416</v>
      </c>
      <c r="R908" s="34" t="s">
        <v>3407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3410</v>
      </c>
      <c r="X908" s="34" t="s">
        <v>3446</v>
      </c>
      <c r="Y908" s="34" t="s">
        <v>3409</v>
      </c>
      <c r="Z908" s="34">
        <v>2</v>
      </c>
      <c r="AA908" s="34" t="s">
        <v>4720</v>
      </c>
      <c r="AB908" s="34" t="s">
        <v>4720</v>
      </c>
      <c r="AC908" s="34" t="s">
        <v>3557</v>
      </c>
      <c r="AD908" s="34" t="s">
        <v>3557</v>
      </c>
      <c r="AE908" s="34" t="s">
        <v>3447</v>
      </c>
      <c r="AF908" s="34" t="s">
        <v>5893</v>
      </c>
      <c r="AG908" s="34" t="s">
        <v>3578</v>
      </c>
      <c r="AH908" s="34" t="s">
        <v>5894</v>
      </c>
      <c r="AI908" s="34" t="s">
        <v>4909</v>
      </c>
      <c r="AJ908" s="34" t="s">
        <v>4500</v>
      </c>
      <c r="AK908" s="34" t="s">
        <v>3441</v>
      </c>
      <c r="AL908" s="34">
        <v>108</v>
      </c>
      <c r="AM908" s="34" t="s">
        <v>7962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7" t="str">
        <f>IFERROR(INDEX(Структура_ассортимента[SuperCategory],MATCH(Товары[[#This Row],[SubGroup]],Структура_ассортимента[Subgroup],0)),"")</f>
        <v>W</v>
      </c>
      <c r="D9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7" t="str">
        <f>IFERROR(INDEX(Структура_ассортимента[Product group],MATCH(Товары[[#This Row],[SubGroup]],Структура_ассортимента[Subgroup],0)),"")</f>
        <v>WMA_C</v>
      </c>
      <c r="G90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2458</v>
      </c>
      <c r="Q909" s="39" t="s">
        <v>3416</v>
      </c>
      <c r="R909" s="34" t="s">
        <v>3407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3410</v>
      </c>
      <c r="X909" s="34" t="s">
        <v>3446</v>
      </c>
      <c r="Y909" s="34" t="s">
        <v>3409</v>
      </c>
      <c r="Z909" s="34">
        <v>4</v>
      </c>
      <c r="AA909" s="34" t="s">
        <v>5895</v>
      </c>
      <c r="AB909" s="34" t="s">
        <v>5895</v>
      </c>
      <c r="AC909" s="34" t="s">
        <v>3594</v>
      </c>
      <c r="AD909" s="34" t="s">
        <v>3594</v>
      </c>
      <c r="AE909" s="34" t="s">
        <v>3809</v>
      </c>
      <c r="AF909" s="34" t="s">
        <v>3835</v>
      </c>
      <c r="AG909" s="34" t="s">
        <v>4127</v>
      </c>
      <c r="AH909" s="34" t="s">
        <v>5896</v>
      </c>
      <c r="AL909" s="34">
        <v>360</v>
      </c>
      <c r="AM909" s="34" t="s">
        <v>7962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7" t="str">
        <f>IFERROR(INDEX(Структура_ассортимента[SuperCategory],MATCH(Товары[[#This Row],[SubGroup]],Структура_ассортимента[Subgroup],0)),"")</f>
        <v>W</v>
      </c>
      <c r="D9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7" t="str">
        <f>IFERROR(INDEX(Структура_ассортимента[Product group],MATCH(Товары[[#This Row],[SubGroup]],Структура_ассортимента[Subgroup],0)),"")</f>
        <v>WMA_C</v>
      </c>
      <c r="G91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2459</v>
      </c>
      <c r="Q910" s="39" t="s">
        <v>3416</v>
      </c>
      <c r="R910" s="34" t="s">
        <v>3407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3410</v>
      </c>
      <c r="X910" s="34" t="s">
        <v>3446</v>
      </c>
      <c r="Y910" s="34" t="s">
        <v>3409</v>
      </c>
      <c r="Z910" s="34">
        <v>2</v>
      </c>
      <c r="AA910" s="34" t="s">
        <v>5897</v>
      </c>
      <c r="AB910" s="34" t="s">
        <v>5897</v>
      </c>
      <c r="AC910" s="34" t="s">
        <v>5898</v>
      </c>
      <c r="AD910" s="34" t="s">
        <v>5898</v>
      </c>
      <c r="AE910" s="34" t="s">
        <v>3842</v>
      </c>
      <c r="AF910" s="34" t="s">
        <v>3685</v>
      </c>
      <c r="AG910" s="34" t="s">
        <v>3427</v>
      </c>
      <c r="AH910" s="34" t="s">
        <v>5899</v>
      </c>
      <c r="AI910" s="34" t="s">
        <v>3778</v>
      </c>
      <c r="AJ910" s="34" t="s">
        <v>3427</v>
      </c>
      <c r="AK910" s="34" t="s">
        <v>4652</v>
      </c>
      <c r="AL910" s="34">
        <v>120</v>
      </c>
      <c r="AM910" s="34" t="s">
        <v>7962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7" t="str">
        <f>IFERROR(INDEX(Структура_ассортимента[SuperCategory],MATCH(Товары[[#This Row],[SubGroup]],Структура_ассортимента[Subgroup],0)),"")</f>
        <v>W</v>
      </c>
      <c r="D9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7" t="str">
        <f>IFERROR(INDEX(Структура_ассортимента[Product group],MATCH(Товары[[#This Row],[SubGroup]],Структура_ассортимента[Subgroup],0)),"")</f>
        <v>WMA_C</v>
      </c>
      <c r="G91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2460</v>
      </c>
      <c r="Q911" s="39" t="s">
        <v>3416</v>
      </c>
      <c r="R911" s="34" t="s">
        <v>3407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3410</v>
      </c>
      <c r="X911" s="34" t="s">
        <v>3446</v>
      </c>
      <c r="Y911" s="34" t="s">
        <v>3409</v>
      </c>
      <c r="Z911" s="34">
        <v>2</v>
      </c>
      <c r="AA911" s="34" t="s">
        <v>5900</v>
      </c>
      <c r="AB911" s="34" t="s">
        <v>5900</v>
      </c>
      <c r="AC911" s="34" t="s">
        <v>5901</v>
      </c>
      <c r="AD911" s="34" t="s">
        <v>5901</v>
      </c>
      <c r="AE911" s="34" t="s">
        <v>3842</v>
      </c>
      <c r="AF911" s="34" t="s">
        <v>3685</v>
      </c>
      <c r="AG911" s="34" t="s">
        <v>3423</v>
      </c>
      <c r="AH911" s="34" t="s">
        <v>5902</v>
      </c>
      <c r="AI911" s="34" t="s">
        <v>4455</v>
      </c>
      <c r="AJ911" s="34" t="s">
        <v>4366</v>
      </c>
      <c r="AK911" s="34" t="s">
        <v>4895</v>
      </c>
      <c r="AL911" s="34">
        <v>120</v>
      </c>
      <c r="AM911" s="34" t="s">
        <v>7962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7" t="str">
        <f>IFERROR(INDEX(Структура_ассортимента[SuperCategory],MATCH(Товары[[#This Row],[SubGroup]],Структура_ассортимента[Subgroup],0)),"")</f>
        <v>W</v>
      </c>
      <c r="D9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7" t="str">
        <f>IFERROR(INDEX(Структура_ассортимента[Product group],MATCH(Товары[[#This Row],[SubGroup]],Структура_ассортимента[Subgroup],0)),"")</f>
        <v>WMA_C</v>
      </c>
      <c r="G91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2461</v>
      </c>
      <c r="Q912" s="39" t="s">
        <v>3416</v>
      </c>
      <c r="R912" s="34" t="s">
        <v>3407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3410</v>
      </c>
      <c r="X912" s="34" t="s">
        <v>3446</v>
      </c>
      <c r="Y912" s="34" t="s">
        <v>3409</v>
      </c>
      <c r="Z912" s="34">
        <v>4</v>
      </c>
      <c r="AA912" s="34" t="s">
        <v>4631</v>
      </c>
      <c r="AB912" s="34" t="s">
        <v>4631</v>
      </c>
      <c r="AC912" s="34" t="s">
        <v>3731</v>
      </c>
      <c r="AD912" s="34" t="s">
        <v>3731</v>
      </c>
      <c r="AE912" s="34" t="s">
        <v>4090</v>
      </c>
      <c r="AF912" s="34" t="s">
        <v>3835</v>
      </c>
      <c r="AG912" s="34" t="s">
        <v>3667</v>
      </c>
      <c r="AH912" s="34" t="s">
        <v>5903</v>
      </c>
      <c r="AL912" s="34" t="s">
        <v>5904</v>
      </c>
      <c r="AM912" s="34" t="s">
        <v>7962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7" t="str">
        <f>IFERROR(INDEX(Структура_ассортимента[SuperCategory],MATCH(Товары[[#This Row],[SubGroup]],Структура_ассортимента[Subgroup],0)),"")</f>
        <v>W</v>
      </c>
      <c r="D9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7" t="str">
        <f>IFERROR(INDEX(Структура_ассортимента[Product group],MATCH(Товары[[#This Row],[SubGroup]],Структура_ассортимента[Subgroup],0)),"")</f>
        <v>WMA_C</v>
      </c>
      <c r="G91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2462</v>
      </c>
      <c r="Q913" s="39" t="s">
        <v>3416</v>
      </c>
      <c r="R913" s="34" t="s">
        <v>3407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3410</v>
      </c>
      <c r="X913" s="34" t="s">
        <v>3446</v>
      </c>
      <c r="Y913" s="34" t="s">
        <v>3409</v>
      </c>
      <c r="Z913" s="34">
        <v>4</v>
      </c>
      <c r="AA913" s="34" t="s">
        <v>3440</v>
      </c>
      <c r="AB913" s="34" t="s">
        <v>3440</v>
      </c>
      <c r="AC913" s="34" t="s">
        <v>3767</v>
      </c>
      <c r="AD913" s="34" t="s">
        <v>3767</v>
      </c>
      <c r="AE913" s="34" t="s">
        <v>5636</v>
      </c>
      <c r="AF913" s="34" t="s">
        <v>4895</v>
      </c>
      <c r="AG913" s="34" t="s">
        <v>3433</v>
      </c>
      <c r="AH913" s="34" t="s">
        <v>5905</v>
      </c>
      <c r="AL913" s="34">
        <v>36</v>
      </c>
      <c r="AM913" s="34" t="s">
        <v>7962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7" t="str">
        <f>IFERROR(INDEX(Структура_ассортимента[SuperCategory],MATCH(Товары[[#This Row],[SubGroup]],Структура_ассортимента[Subgroup],0)),"")</f>
        <v>W</v>
      </c>
      <c r="D9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7" t="str">
        <f>IFERROR(INDEX(Структура_ассортимента[Product group],MATCH(Товары[[#This Row],[SubGroup]],Структура_ассортимента[Subgroup],0)),"")</f>
        <v>WMA_C</v>
      </c>
      <c r="G91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2463</v>
      </c>
      <c r="Q914" s="39" t="s">
        <v>3416</v>
      </c>
      <c r="R914" s="34" t="s">
        <v>3407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3410</v>
      </c>
      <c r="X914" s="34" t="s">
        <v>3446</v>
      </c>
      <c r="Y914" s="34" t="s">
        <v>3409</v>
      </c>
      <c r="Z914" s="34">
        <v>4</v>
      </c>
      <c r="AA914" s="34" t="s">
        <v>5906</v>
      </c>
      <c r="AB914" s="34" t="s">
        <v>5906</v>
      </c>
      <c r="AC914" s="34" t="s">
        <v>5907</v>
      </c>
      <c r="AD914" s="34" t="s">
        <v>5907</v>
      </c>
      <c r="AE914" s="34" t="s">
        <v>5908</v>
      </c>
      <c r="AF914" s="34" t="s">
        <v>3522</v>
      </c>
      <c r="AG914" s="34" t="s">
        <v>3424</v>
      </c>
      <c r="AH914" s="34" t="s">
        <v>5909</v>
      </c>
      <c r="AL914" s="34">
        <v>80</v>
      </c>
      <c r="AM914" s="34" t="s">
        <v>7962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7" t="str">
        <f>IFERROR(INDEX(Структура_ассортимента[SuperCategory],MATCH(Товары[[#This Row],[SubGroup]],Структура_ассортимента[Subgroup],0)),"")</f>
        <v>W</v>
      </c>
      <c r="D9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7" t="str">
        <f>IFERROR(INDEX(Структура_ассортимента[Product group],MATCH(Товары[[#This Row],[SubGroup]],Структура_ассортимента[Subgroup],0)),"")</f>
        <v>WMA_C</v>
      </c>
      <c r="G91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2464</v>
      </c>
      <c r="Q915" s="39" t="s">
        <v>3416</v>
      </c>
      <c r="R915" s="34" t="s">
        <v>3407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3410</v>
      </c>
      <c r="X915" s="34" t="s">
        <v>3446</v>
      </c>
      <c r="Y915" s="34" t="s">
        <v>3409</v>
      </c>
      <c r="Z915" s="34">
        <v>6</v>
      </c>
      <c r="AA915" s="34" t="s">
        <v>4369</v>
      </c>
      <c r="AB915" s="34" t="s">
        <v>4369</v>
      </c>
      <c r="AC915" s="34" t="s">
        <v>4037</v>
      </c>
      <c r="AD915" s="34" t="s">
        <v>4037</v>
      </c>
      <c r="AE915" s="34" t="s">
        <v>4449</v>
      </c>
      <c r="AF915" s="34" t="s">
        <v>3685</v>
      </c>
      <c r="AG915" s="34" t="s">
        <v>5547</v>
      </c>
      <c r="AH915" s="34" t="s">
        <v>5910</v>
      </c>
      <c r="AL915" s="34">
        <v>210</v>
      </c>
      <c r="AM915" s="34" t="s">
        <v>7962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7" t="str">
        <f>IFERROR(INDEX(Структура_ассортимента[SuperCategory],MATCH(Товары[[#This Row],[SubGroup]],Структура_ассортимента[Subgroup],0)),"")</f>
        <v>W</v>
      </c>
      <c r="D9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7" t="str">
        <f>IFERROR(INDEX(Структура_ассортимента[Product group],MATCH(Товары[[#This Row],[SubGroup]],Структура_ассортимента[Subgroup],0)),"")</f>
        <v>WMA_C</v>
      </c>
      <c r="G91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2465</v>
      </c>
      <c r="Q916" s="39" t="s">
        <v>3416</v>
      </c>
      <c r="R916" s="34" t="s">
        <v>3407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3410</v>
      </c>
      <c r="X916" s="34" t="s">
        <v>3446</v>
      </c>
      <c r="Y916" s="34" t="s">
        <v>3409</v>
      </c>
      <c r="Z916" s="34">
        <v>10</v>
      </c>
      <c r="AA916" s="34" t="s">
        <v>3982</v>
      </c>
      <c r="AB916" s="34" t="s">
        <v>3595</v>
      </c>
      <c r="AC916" s="34" t="s">
        <v>3863</v>
      </c>
      <c r="AD916" s="34" t="s">
        <v>5911</v>
      </c>
      <c r="AE916" s="34" t="s">
        <v>3620</v>
      </c>
      <c r="AF916" s="34" t="s">
        <v>4488</v>
      </c>
      <c r="AG916" s="34" t="s">
        <v>5912</v>
      </c>
      <c r="AH916" s="34" t="s">
        <v>5913</v>
      </c>
      <c r="AL916" s="34" t="s">
        <v>5914</v>
      </c>
      <c r="AM916" s="34" t="s">
        <v>7962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7" t="str">
        <f>IFERROR(INDEX(Структура_ассортимента[SuperCategory],MATCH(Товары[[#This Row],[SubGroup]],Структура_ассортимента[Subgroup],0)),"")</f>
        <v>W</v>
      </c>
      <c r="D9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7" t="str">
        <f>IFERROR(INDEX(Структура_ассортимента[Product group],MATCH(Товары[[#This Row],[SubGroup]],Структура_ассортимента[Subgroup],0)),"")</f>
        <v>WMA_C</v>
      </c>
      <c r="G9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2466</v>
      </c>
      <c r="Q917" s="39" t="s">
        <v>3416</v>
      </c>
      <c r="R917" s="34" t="s">
        <v>3407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3410</v>
      </c>
      <c r="X917" s="34" t="s">
        <v>3446</v>
      </c>
      <c r="Y917" s="34" t="s">
        <v>3409</v>
      </c>
      <c r="Z917" s="34">
        <v>10</v>
      </c>
      <c r="AA917" s="34" t="s">
        <v>5915</v>
      </c>
      <c r="AB917" s="34" t="s">
        <v>5915</v>
      </c>
      <c r="AC917" s="34" t="s">
        <v>3520</v>
      </c>
      <c r="AD917" s="34" t="s">
        <v>3520</v>
      </c>
      <c r="AE917" s="34" t="s">
        <v>3692</v>
      </c>
      <c r="AF917" s="34" t="s">
        <v>3443</v>
      </c>
      <c r="AG917" s="34" t="s">
        <v>5916</v>
      </c>
      <c r="AH917" s="34" t="s">
        <v>5917</v>
      </c>
      <c r="AL917" s="34">
        <v>1320</v>
      </c>
      <c r="AM917" s="34" t="s">
        <v>7962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7" t="str">
        <f>IFERROR(INDEX(Структура_ассортимента[SuperCategory],MATCH(Товары[[#This Row],[SubGroup]],Структура_ассортимента[Subgroup],0)),"")</f>
        <v>W</v>
      </c>
      <c r="D9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7" t="str">
        <f>IFERROR(INDEX(Структура_ассортимента[Product group],MATCH(Товары[[#This Row],[SubGroup]],Структура_ассортимента[Subgroup],0)),"")</f>
        <v>WMA_C</v>
      </c>
      <c r="G9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2467</v>
      </c>
      <c r="Q918" s="39" t="s">
        <v>3416</v>
      </c>
      <c r="R918" s="34" t="s">
        <v>3407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3410</v>
      </c>
      <c r="X918" s="34" t="s">
        <v>3446</v>
      </c>
      <c r="Y918" s="34" t="s">
        <v>3409</v>
      </c>
      <c r="Z918" s="34">
        <v>10</v>
      </c>
      <c r="AA918" s="34" t="s">
        <v>5918</v>
      </c>
      <c r="AB918" s="34" t="s">
        <v>5918</v>
      </c>
      <c r="AC918" s="34" t="s">
        <v>5470</v>
      </c>
      <c r="AD918" s="34" t="s">
        <v>5470</v>
      </c>
      <c r="AE918" s="34" t="s">
        <v>3574</v>
      </c>
      <c r="AF918" s="34" t="s">
        <v>4526</v>
      </c>
      <c r="AG918" s="34" t="s">
        <v>5919</v>
      </c>
      <c r="AH918" s="34" t="s">
        <v>5920</v>
      </c>
      <c r="AL918" s="34">
        <v>5400</v>
      </c>
      <c r="AM918" s="34" t="s">
        <v>7962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7" t="str">
        <f>IFERROR(INDEX(Структура_ассортимента[SuperCategory],MATCH(Товары[[#This Row],[SubGroup]],Структура_ассортимента[Subgroup],0)),"")</f>
        <v>W</v>
      </c>
      <c r="D9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7" t="str">
        <f>IFERROR(INDEX(Структура_ассортимента[Product group],MATCH(Товары[[#This Row],[SubGroup]],Структура_ассортимента[Subgroup],0)),"")</f>
        <v>WMA_C</v>
      </c>
      <c r="G9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2468</v>
      </c>
      <c r="O919" s="37" t="s">
        <v>5921</v>
      </c>
      <c r="P919" s="37" t="s">
        <v>5922</v>
      </c>
      <c r="Q919" s="39" t="s">
        <v>3416</v>
      </c>
      <c r="R919" s="34" t="s">
        <v>3407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3410</v>
      </c>
      <c r="X919" s="34" t="s">
        <v>3446</v>
      </c>
      <c r="Y919" s="34" t="s">
        <v>3409</v>
      </c>
      <c r="Z919" s="34">
        <v>24</v>
      </c>
      <c r="AA919" s="34" t="s">
        <v>5915</v>
      </c>
      <c r="AB919" s="34" t="s">
        <v>5915</v>
      </c>
      <c r="AC919" s="34" t="s">
        <v>3581</v>
      </c>
      <c r="AD919" s="34" t="s">
        <v>3581</v>
      </c>
      <c r="AE919" s="34" t="s">
        <v>4124</v>
      </c>
      <c r="AF919" s="34" t="s">
        <v>3443</v>
      </c>
      <c r="AG919" s="34" t="s">
        <v>3658</v>
      </c>
      <c r="AH919" s="34" t="s">
        <v>5923</v>
      </c>
      <c r="AI919" s="34" t="s">
        <v>4523</v>
      </c>
      <c r="AJ919" s="34" t="s">
        <v>4647</v>
      </c>
      <c r="AK919" s="34" t="s">
        <v>3566</v>
      </c>
      <c r="AL919" s="34" t="s">
        <v>4832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7" t="str">
        <f>IFERROR(INDEX(Структура_ассортимента[SuperCategory],MATCH(Товары[[#This Row],[SubGroup]],Структура_ассортимента[Subgroup],0)),"")</f>
        <v>W</v>
      </c>
      <c r="D9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7" t="str">
        <f>IFERROR(INDEX(Структура_ассортимента[Product group],MATCH(Товары[[#This Row],[SubGroup]],Структура_ассортимента[Subgroup],0)),"")</f>
        <v>WMA_C</v>
      </c>
      <c r="G9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2469</v>
      </c>
      <c r="Q920" s="39" t="s">
        <v>3416</v>
      </c>
      <c r="R920" s="34" t="s">
        <v>3407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3410</v>
      </c>
      <c r="X920" s="34" t="s">
        <v>3446</v>
      </c>
      <c r="Y920" s="34" t="s">
        <v>3409</v>
      </c>
      <c r="Z920" s="34">
        <v>30</v>
      </c>
      <c r="AA920" s="34" t="s">
        <v>5512</v>
      </c>
      <c r="AB920" s="34" t="s">
        <v>5512</v>
      </c>
      <c r="AC920" s="34" t="s">
        <v>3581</v>
      </c>
      <c r="AD920" s="34" t="s">
        <v>3581</v>
      </c>
      <c r="AE920" s="34" t="s">
        <v>4098</v>
      </c>
      <c r="AF920" s="34" t="s">
        <v>4098</v>
      </c>
      <c r="AG920" s="34" t="s">
        <v>5195</v>
      </c>
      <c r="AH920" s="34" t="s">
        <v>5924</v>
      </c>
      <c r="AI920" s="34" t="s">
        <v>4523</v>
      </c>
      <c r="AJ920" s="34" t="s">
        <v>4647</v>
      </c>
      <c r="AK920" s="34" t="s">
        <v>3566</v>
      </c>
      <c r="AL920" s="34" t="s">
        <v>5925</v>
      </c>
      <c r="AM920" s="34" t="s">
        <v>7962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7" t="str">
        <f>IFERROR(INDEX(Структура_ассортимента[SuperCategory],MATCH(Товары[[#This Row],[SubGroup]],Структура_ассортимента[Subgroup],0)),"")</f>
        <v>W</v>
      </c>
      <c r="D9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7" t="str">
        <f>IFERROR(INDEX(Структура_ассортимента[Product group],MATCH(Товары[[#This Row],[SubGroup]],Структура_ассортимента[Subgroup],0)),"")</f>
        <v>WMA_C</v>
      </c>
      <c r="G9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2470</v>
      </c>
      <c r="Q921" s="39" t="s">
        <v>3416</v>
      </c>
      <c r="R921" s="34" t="s">
        <v>3407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3410</v>
      </c>
      <c r="X921" s="34" t="s">
        <v>3446</v>
      </c>
      <c r="Y921" s="34" t="s">
        <v>3409</v>
      </c>
      <c r="Z921" s="34">
        <v>35</v>
      </c>
      <c r="AA921" s="34" t="s">
        <v>3520</v>
      </c>
      <c r="AB921" s="34" t="s">
        <v>3520</v>
      </c>
      <c r="AC921" s="34" t="s">
        <v>3581</v>
      </c>
      <c r="AD921" s="34" t="s">
        <v>3581</v>
      </c>
      <c r="AE921" s="34" t="s">
        <v>4098</v>
      </c>
      <c r="AF921" s="34" t="s">
        <v>4098</v>
      </c>
      <c r="AG921" s="34" t="s">
        <v>5195</v>
      </c>
      <c r="AH921" s="34" t="s">
        <v>5924</v>
      </c>
      <c r="AI921" s="34" t="s">
        <v>4523</v>
      </c>
      <c r="AJ921" s="34" t="s">
        <v>4647</v>
      </c>
      <c r="AK921" s="34" t="s">
        <v>3566</v>
      </c>
      <c r="AL921" s="34" t="s">
        <v>5926</v>
      </c>
      <c r="AM921" s="34" t="s">
        <v>7962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7" t="str">
        <f>IFERROR(INDEX(Структура_ассортимента[SuperCategory],MATCH(Товары[[#This Row],[SubGroup]],Структура_ассортимента[Subgroup],0)),"")</f>
        <v>W</v>
      </c>
      <c r="D9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7" t="str">
        <f>IFERROR(INDEX(Структура_ассортимента[Product group],MATCH(Товары[[#This Row],[SubGroup]],Структура_ассортимента[Subgroup],0)),"")</f>
        <v>WMA_C</v>
      </c>
      <c r="G9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2471</v>
      </c>
      <c r="O922" s="37" t="s">
        <v>5927</v>
      </c>
      <c r="P922" s="37" t="s">
        <v>5852</v>
      </c>
      <c r="Q922" s="39" t="s">
        <v>3416</v>
      </c>
      <c r="R922" s="34" t="s">
        <v>3407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3410</v>
      </c>
      <c r="X922" s="34" t="s">
        <v>3446</v>
      </c>
      <c r="Y922" s="34" t="s">
        <v>3409</v>
      </c>
      <c r="Z922" s="34">
        <v>10</v>
      </c>
      <c r="AA922" s="34" t="s">
        <v>5928</v>
      </c>
      <c r="AB922" s="34" t="s">
        <v>5928</v>
      </c>
      <c r="AC922" s="34" t="s">
        <v>3869</v>
      </c>
      <c r="AD922" s="34" t="s">
        <v>3869</v>
      </c>
      <c r="AE922" s="34" t="s">
        <v>3692</v>
      </c>
      <c r="AF922" s="34" t="s">
        <v>3787</v>
      </c>
      <c r="AG922" s="34" t="s">
        <v>4647</v>
      </c>
      <c r="AH922" s="34" t="s">
        <v>4795</v>
      </c>
      <c r="AI922" s="34" t="s">
        <v>4261</v>
      </c>
      <c r="AJ922" s="34" t="s">
        <v>3550</v>
      </c>
      <c r="AK922" s="34" t="s">
        <v>4823</v>
      </c>
      <c r="AL922" s="34" t="s">
        <v>5929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7" t="str">
        <f>IFERROR(INDEX(Структура_ассортимента[SuperCategory],MATCH(Товары[[#This Row],[SubGroup]],Структура_ассортимента[Subgroup],0)),"")</f>
        <v>W</v>
      </c>
      <c r="D9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7" t="str">
        <f>IFERROR(INDEX(Структура_ассортимента[Product group],MATCH(Товары[[#This Row],[SubGroup]],Структура_ассортимента[Subgroup],0)),"")</f>
        <v>WMA_C</v>
      </c>
      <c r="G9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2472</v>
      </c>
      <c r="Q923" s="39" t="s">
        <v>3416</v>
      </c>
      <c r="R923" s="34" t="s">
        <v>3407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3410</v>
      </c>
      <c r="X923" s="34" t="s">
        <v>3446</v>
      </c>
      <c r="Y923" s="34" t="s">
        <v>3409</v>
      </c>
      <c r="Z923" s="34">
        <v>20</v>
      </c>
      <c r="AA923" s="34" t="s">
        <v>4286</v>
      </c>
      <c r="AB923" s="34" t="s">
        <v>5930</v>
      </c>
      <c r="AC923" s="34" t="s">
        <v>5931</v>
      </c>
      <c r="AD923" s="34" t="s">
        <v>3989</v>
      </c>
      <c r="AE923" s="34" t="s">
        <v>4976</v>
      </c>
      <c r="AF923" s="34" t="s">
        <v>4823</v>
      </c>
      <c r="AG923" s="34" t="s">
        <v>3550</v>
      </c>
      <c r="AH923" s="34" t="s">
        <v>5932</v>
      </c>
      <c r="AI923" s="34" t="s">
        <v>4261</v>
      </c>
      <c r="AJ923" s="34" t="s">
        <v>3550</v>
      </c>
      <c r="AK923" s="34" t="s">
        <v>4823</v>
      </c>
      <c r="AL923" s="34" t="s">
        <v>3604</v>
      </c>
      <c r="AM923" s="34" t="s">
        <v>7962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7" t="str">
        <f>IFERROR(INDEX(Структура_ассортимента[SuperCategory],MATCH(Товары[[#This Row],[SubGroup]],Структура_ассортимента[Subgroup],0)),"")</f>
        <v>W</v>
      </c>
      <c r="D9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7" t="str">
        <f>IFERROR(INDEX(Структура_ассортимента[Product group],MATCH(Товары[[#This Row],[SubGroup]],Структура_ассортимента[Subgroup],0)),"")</f>
        <v>WMA_C</v>
      </c>
      <c r="G9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2473</v>
      </c>
      <c r="Q924" s="39" t="s">
        <v>3416</v>
      </c>
      <c r="R924" s="34" t="s">
        <v>3407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3410</v>
      </c>
      <c r="X924" s="34" t="s">
        <v>3446</v>
      </c>
      <c r="Y924" s="34" t="s">
        <v>3409</v>
      </c>
      <c r="Z924" s="34">
        <v>20</v>
      </c>
      <c r="AA924" s="34" t="s">
        <v>5933</v>
      </c>
      <c r="AB924" s="34" t="s">
        <v>3967</v>
      </c>
      <c r="AC924" s="34" t="s">
        <v>5931</v>
      </c>
      <c r="AD924" s="34" t="s">
        <v>3967</v>
      </c>
      <c r="AE924" s="34" t="s">
        <v>4976</v>
      </c>
      <c r="AF924" s="34" t="s">
        <v>4823</v>
      </c>
      <c r="AG924" s="34" t="s">
        <v>3550</v>
      </c>
      <c r="AH924" s="34" t="s">
        <v>5932</v>
      </c>
      <c r="AI924" s="34" t="s">
        <v>4261</v>
      </c>
      <c r="AJ924" s="34" t="s">
        <v>3550</v>
      </c>
      <c r="AK924" s="34" t="s">
        <v>4823</v>
      </c>
      <c r="AL924" s="34" t="s">
        <v>4832</v>
      </c>
      <c r="AM924" s="34" t="s">
        <v>7962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7" t="str">
        <f>IFERROR(INDEX(Структура_ассортимента[SuperCategory],MATCH(Товары[[#This Row],[SubGroup]],Структура_ассортимента[Subgroup],0)),"")</f>
        <v>W</v>
      </c>
      <c r="D9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7" t="str">
        <f>IFERROR(INDEX(Структура_ассортимента[Product group],MATCH(Товары[[#This Row],[SubGroup]],Структура_ассортимента[Subgroup],0)),"")</f>
        <v>WMA_C</v>
      </c>
      <c r="G9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2474</v>
      </c>
      <c r="Q925" s="39" t="s">
        <v>3416</v>
      </c>
      <c r="R925" s="34" t="s">
        <v>3407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3410</v>
      </c>
      <c r="X925" s="34" t="s">
        <v>3446</v>
      </c>
      <c r="Y925" s="34" t="s">
        <v>3409</v>
      </c>
      <c r="Z925" s="34">
        <v>24</v>
      </c>
      <c r="AA925" s="34" t="s">
        <v>5928</v>
      </c>
      <c r="AB925" s="34" t="s">
        <v>5934</v>
      </c>
      <c r="AC925" s="34" t="s">
        <v>3869</v>
      </c>
      <c r="AD925" s="34" t="s">
        <v>4003</v>
      </c>
      <c r="AE925" s="34" t="s">
        <v>3692</v>
      </c>
      <c r="AF925" s="34" t="s">
        <v>3787</v>
      </c>
      <c r="AG925" s="34" t="s">
        <v>4647</v>
      </c>
      <c r="AH925" s="34" t="s">
        <v>4795</v>
      </c>
      <c r="AI925" s="34" t="s">
        <v>4261</v>
      </c>
      <c r="AJ925" s="34" t="s">
        <v>3550</v>
      </c>
      <c r="AK925" s="34" t="s">
        <v>4823</v>
      </c>
      <c r="AL925" s="34" t="s">
        <v>3614</v>
      </c>
      <c r="AM925" s="34" t="s">
        <v>7962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7" t="str">
        <f>IFERROR(INDEX(Структура_ассортимента[SuperCategory],MATCH(Товары[[#This Row],[SubGroup]],Структура_ассортимента[Subgroup],0)),"")</f>
        <v>W</v>
      </c>
      <c r="D9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7" t="str">
        <f>IFERROR(INDEX(Структура_ассортимента[Product group],MATCH(Товары[[#This Row],[SubGroup]],Структура_ассортимента[Subgroup],0)),"")</f>
        <v>WMA_C</v>
      </c>
      <c r="G9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2475</v>
      </c>
      <c r="Q926" s="39" t="s">
        <v>3416</v>
      </c>
      <c r="R926" s="34" t="s">
        <v>3407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3410</v>
      </c>
      <c r="X926" s="34" t="s">
        <v>3446</v>
      </c>
      <c r="Y926" s="34" t="s">
        <v>3409</v>
      </c>
      <c r="Z926" s="34">
        <v>24</v>
      </c>
      <c r="AA926" s="34">
        <v>0</v>
      </c>
      <c r="AB926" s="34" t="s">
        <v>5934</v>
      </c>
      <c r="AC926" s="34">
        <v>0</v>
      </c>
      <c r="AD926" s="34" t="s">
        <v>4003</v>
      </c>
      <c r="AE926" s="34" t="s">
        <v>3692</v>
      </c>
      <c r="AF926" s="34" t="s">
        <v>3787</v>
      </c>
      <c r="AG926" s="34" t="s">
        <v>4647</v>
      </c>
      <c r="AH926" s="34" t="s">
        <v>4795</v>
      </c>
      <c r="AI926" s="34" t="s">
        <v>4261</v>
      </c>
      <c r="AJ926" s="34" t="s">
        <v>3550</v>
      </c>
      <c r="AK926" s="34" t="s">
        <v>4823</v>
      </c>
      <c r="AL926" s="34" t="s">
        <v>3614</v>
      </c>
      <c r="AM926" s="34" t="s">
        <v>7962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7" t="str">
        <f>IFERROR(INDEX(Структура_ассортимента[SuperCategory],MATCH(Товары[[#This Row],[SubGroup]],Структура_ассортимента[Subgroup],0)),"")</f>
        <v>W</v>
      </c>
      <c r="D9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7" t="str">
        <f>IFERROR(INDEX(Структура_ассортимента[Product group],MATCH(Товары[[#This Row],[SubGroup]],Структура_ассортимента[Subgroup],0)),"")</f>
        <v>WMA_C</v>
      </c>
      <c r="G9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2476</v>
      </c>
      <c r="O927" s="37" t="s">
        <v>5935</v>
      </c>
      <c r="P927" s="37" t="s">
        <v>5936</v>
      </c>
      <c r="Q927" s="39" t="s">
        <v>3416</v>
      </c>
      <c r="R927" s="34" t="s">
        <v>3407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3410</v>
      </c>
      <c r="X927" s="34" t="s">
        <v>3446</v>
      </c>
      <c r="Y927" s="34" t="s">
        <v>3409</v>
      </c>
      <c r="Z927" s="34">
        <v>6</v>
      </c>
      <c r="AA927" s="34" t="s">
        <v>5507</v>
      </c>
      <c r="AB927" s="34" t="s">
        <v>5507</v>
      </c>
      <c r="AC927" s="34" t="s">
        <v>3594</v>
      </c>
      <c r="AD927" s="34" t="s">
        <v>3594</v>
      </c>
      <c r="AE927" s="34" t="s">
        <v>3692</v>
      </c>
      <c r="AF927" s="34" t="s">
        <v>5480</v>
      </c>
      <c r="AG927" s="34" t="s">
        <v>3578</v>
      </c>
      <c r="AH927" s="34" t="s">
        <v>5937</v>
      </c>
      <c r="AI927" s="34" t="s">
        <v>3575</v>
      </c>
      <c r="AJ927" s="34" t="s">
        <v>4669</v>
      </c>
      <c r="AK927" s="34" t="s">
        <v>4669</v>
      </c>
      <c r="AL927" s="34" t="s">
        <v>5938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7" t="str">
        <f>IFERROR(INDEX(Структура_ассортимента[SuperCategory],MATCH(Товары[[#This Row],[SubGroup]],Структура_ассортимента[Subgroup],0)),"")</f>
        <v>W</v>
      </c>
      <c r="D9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7" t="str">
        <f>IFERROR(INDEX(Структура_ассортимента[Product group],MATCH(Товары[[#This Row],[SubGroup]],Структура_ассортимента[Subgroup],0)),"")</f>
        <v>WMA_C</v>
      </c>
      <c r="G9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2477</v>
      </c>
      <c r="Q928" s="39" t="s">
        <v>3416</v>
      </c>
      <c r="R928" s="34" t="s">
        <v>3407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3410</v>
      </c>
      <c r="X928" s="34" t="s">
        <v>3446</v>
      </c>
      <c r="Y928" s="34" t="s">
        <v>3409</v>
      </c>
      <c r="Z928" s="34">
        <v>10</v>
      </c>
      <c r="AA928" s="34" t="s">
        <v>5939</v>
      </c>
      <c r="AB928" s="34" t="s">
        <v>5939</v>
      </c>
      <c r="AC928" s="34" t="s">
        <v>5940</v>
      </c>
      <c r="AD928" s="34" t="s">
        <v>5940</v>
      </c>
      <c r="AE928" s="34" t="s">
        <v>4669</v>
      </c>
      <c r="AF928" s="34" t="s">
        <v>4669</v>
      </c>
      <c r="AG928" s="34" t="s">
        <v>3575</v>
      </c>
      <c r="AH928" s="34" t="s">
        <v>5941</v>
      </c>
      <c r="AI928" s="34" t="s">
        <v>3575</v>
      </c>
      <c r="AJ928" s="34" t="s">
        <v>4669</v>
      </c>
      <c r="AK928" s="34" t="s">
        <v>4669</v>
      </c>
      <c r="AL928" s="34" t="s">
        <v>3604</v>
      </c>
      <c r="AM928" s="34" t="s">
        <v>7962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7" t="str">
        <f>IFERROR(INDEX(Структура_ассортимента[SuperCategory],MATCH(Товары[[#This Row],[SubGroup]],Структура_ассортимента[Subgroup],0)),"")</f>
        <v>W</v>
      </c>
      <c r="D9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7" t="str">
        <f>IFERROR(INDEX(Структура_ассортимента[Product group],MATCH(Товары[[#This Row],[SubGroup]],Структура_ассортимента[Subgroup],0)),"")</f>
        <v>WMA_C</v>
      </c>
      <c r="G9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2478</v>
      </c>
      <c r="Q929" s="39" t="s">
        <v>3416</v>
      </c>
      <c r="R929" s="34" t="s">
        <v>3407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3410</v>
      </c>
      <c r="X929" s="34" t="s">
        <v>3446</v>
      </c>
      <c r="Y929" s="34" t="s">
        <v>3409</v>
      </c>
      <c r="Z929" s="34">
        <v>10</v>
      </c>
      <c r="AA929" s="34" t="s">
        <v>5942</v>
      </c>
      <c r="AB929" s="34" t="s">
        <v>5942</v>
      </c>
      <c r="AC929" s="34" t="s">
        <v>5940</v>
      </c>
      <c r="AD929" s="34" t="s">
        <v>5940</v>
      </c>
      <c r="AE929" s="34" t="s">
        <v>4669</v>
      </c>
      <c r="AF929" s="34" t="s">
        <v>4669</v>
      </c>
      <c r="AG929" s="34" t="s">
        <v>3575</v>
      </c>
      <c r="AH929" s="34" t="s">
        <v>5941</v>
      </c>
      <c r="AI929" s="34" t="s">
        <v>3575</v>
      </c>
      <c r="AJ929" s="34" t="s">
        <v>4669</v>
      </c>
      <c r="AK929" s="34" t="s">
        <v>4669</v>
      </c>
      <c r="AL929" s="34" t="s">
        <v>5943</v>
      </c>
      <c r="AM929" s="34" t="s">
        <v>7962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7" t="str">
        <f>IFERROR(INDEX(Структура_ассортимента[SuperCategory],MATCH(Товары[[#This Row],[SubGroup]],Структура_ассортимента[Subgroup],0)),"")</f>
        <v>W</v>
      </c>
      <c r="D9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7" t="str">
        <f>IFERROR(INDEX(Структура_ассортимента[Product group],MATCH(Товары[[#This Row],[SubGroup]],Структура_ассортимента[Subgroup],0)),"")</f>
        <v>WMA_C</v>
      </c>
      <c r="G93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2479</v>
      </c>
      <c r="O930" s="37" t="s">
        <v>5944</v>
      </c>
      <c r="P930" s="37" t="s">
        <v>5858</v>
      </c>
      <c r="Q930" s="39" t="s">
        <v>3416</v>
      </c>
      <c r="R930" s="34" t="s">
        <v>3407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3410</v>
      </c>
      <c r="X930" s="34" t="s">
        <v>3446</v>
      </c>
      <c r="Y930" s="34" t="s">
        <v>3409</v>
      </c>
      <c r="Z930" s="34">
        <v>5</v>
      </c>
      <c r="AA930" s="34" t="s">
        <v>4854</v>
      </c>
      <c r="AB930" s="34" t="s">
        <v>5945</v>
      </c>
      <c r="AC930" s="34" t="s">
        <v>3869</v>
      </c>
      <c r="AD930" s="34" t="s">
        <v>5946</v>
      </c>
      <c r="AE930" s="34" t="s">
        <v>4027</v>
      </c>
      <c r="AF930" s="34" t="s">
        <v>3822</v>
      </c>
      <c r="AG930" s="34" t="s">
        <v>4809</v>
      </c>
      <c r="AH930" s="34" t="s">
        <v>5947</v>
      </c>
      <c r="AI930" s="34" t="s">
        <v>3787</v>
      </c>
      <c r="AJ930" s="34" t="s">
        <v>4595</v>
      </c>
      <c r="AK930" s="34" t="s">
        <v>4669</v>
      </c>
      <c r="AL930" s="34" t="s">
        <v>4689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7" t="str">
        <f>IFERROR(INDEX(Структура_ассортимента[SuperCategory],MATCH(Товары[[#This Row],[SubGroup]],Структура_ассортимента[Subgroup],0)),"")</f>
        <v>W</v>
      </c>
      <c r="D9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7" t="str">
        <f>IFERROR(INDEX(Структура_ассортимента[Product group],MATCH(Товары[[#This Row],[SubGroup]],Структура_ассортимента[Subgroup],0)),"")</f>
        <v>WMA_C</v>
      </c>
      <c r="G93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2480</v>
      </c>
      <c r="Q931" s="39" t="s">
        <v>3416</v>
      </c>
      <c r="R931" s="34" t="s">
        <v>3407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3410</v>
      </c>
      <c r="X931" s="34" t="s">
        <v>3446</v>
      </c>
      <c r="Y931" s="34" t="s">
        <v>3409</v>
      </c>
      <c r="Z931" s="34">
        <v>15</v>
      </c>
      <c r="AA931" s="34" t="s">
        <v>5931</v>
      </c>
      <c r="AB931" s="34" t="s">
        <v>5948</v>
      </c>
      <c r="AC931" s="34" t="s">
        <v>4440</v>
      </c>
      <c r="AD931" s="34" t="s">
        <v>5948</v>
      </c>
      <c r="AE931" s="34" t="s">
        <v>3787</v>
      </c>
      <c r="AF931" s="34" t="s">
        <v>4669</v>
      </c>
      <c r="AG931" s="34" t="s">
        <v>4507</v>
      </c>
      <c r="AH931" s="34" t="s">
        <v>5949</v>
      </c>
      <c r="AI931" s="34" t="s">
        <v>3787</v>
      </c>
      <c r="AJ931" s="34" t="s">
        <v>4595</v>
      </c>
      <c r="AK931" s="34" t="s">
        <v>4669</v>
      </c>
      <c r="AL931" s="34" t="s">
        <v>3604</v>
      </c>
      <c r="AM931" s="34" t="s">
        <v>7962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7" t="str">
        <f>IFERROR(INDEX(Структура_ассортимента[SuperCategory],MATCH(Товары[[#This Row],[SubGroup]],Структура_ассортимента[Subgroup],0)),"")</f>
        <v>W</v>
      </c>
      <c r="D9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7" t="str">
        <f>IFERROR(INDEX(Структура_ассортимента[Product group],MATCH(Товары[[#This Row],[SubGroup]],Структура_ассортимента[Subgroup],0)),"")</f>
        <v>WMA_C</v>
      </c>
      <c r="G93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2481</v>
      </c>
      <c r="Q932" s="39" t="s">
        <v>3416</v>
      </c>
      <c r="R932" s="34" t="s">
        <v>3407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3410</v>
      </c>
      <c r="X932" s="34" t="s">
        <v>3446</v>
      </c>
      <c r="Y932" s="34" t="s">
        <v>3409</v>
      </c>
      <c r="Z932" s="34">
        <v>24</v>
      </c>
      <c r="AA932" s="34" t="s">
        <v>4854</v>
      </c>
      <c r="AB932" s="34" t="s">
        <v>4026</v>
      </c>
      <c r="AC932" s="34" t="s">
        <v>3869</v>
      </c>
      <c r="AD932" s="34" t="s">
        <v>3873</v>
      </c>
      <c r="AE932" s="34" t="s">
        <v>4027</v>
      </c>
      <c r="AF932" s="34" t="s">
        <v>3822</v>
      </c>
      <c r="AG932" s="34" t="s">
        <v>4809</v>
      </c>
      <c r="AH932" s="34" t="s">
        <v>5947</v>
      </c>
      <c r="AI932" s="34" t="s">
        <v>3787</v>
      </c>
      <c r="AJ932" s="34" t="s">
        <v>4595</v>
      </c>
      <c r="AK932" s="34" t="s">
        <v>4669</v>
      </c>
      <c r="AL932" s="34" t="s">
        <v>3848</v>
      </c>
      <c r="AM932" s="34" t="s">
        <v>7962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7" t="str">
        <f>IFERROR(INDEX(Структура_ассортимента[SuperCategory],MATCH(Товары[[#This Row],[SubGroup]],Структура_ассортимента[Subgroup],0)),"")</f>
        <v>W</v>
      </c>
      <c r="D9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7" t="str">
        <f>IFERROR(INDEX(Структура_ассортимента[Product group],MATCH(Товары[[#This Row],[SubGroup]],Структура_ассортимента[Subgroup],0)),"")</f>
        <v>WMA_C</v>
      </c>
      <c r="G93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2482</v>
      </c>
      <c r="O933" s="37" t="s">
        <v>5950</v>
      </c>
      <c r="P933" s="37" t="s">
        <v>5951</v>
      </c>
      <c r="Q933" s="39" t="s">
        <v>3416</v>
      </c>
      <c r="R933" s="34" t="s">
        <v>3407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3410</v>
      </c>
      <c r="X933" s="34" t="s">
        <v>3446</v>
      </c>
      <c r="Y933" s="34" t="s">
        <v>3409</v>
      </c>
      <c r="Z933" s="34">
        <v>5</v>
      </c>
      <c r="AA933" s="34" t="s">
        <v>4007</v>
      </c>
      <c r="AB933" s="34" t="s">
        <v>5952</v>
      </c>
      <c r="AC933" s="34" t="s">
        <v>4014</v>
      </c>
      <c r="AD933" s="34" t="s">
        <v>4014</v>
      </c>
      <c r="AE933" s="34" t="s">
        <v>3610</v>
      </c>
      <c r="AF933" s="34" t="s">
        <v>3610</v>
      </c>
      <c r="AG933" s="34" t="s">
        <v>4526</v>
      </c>
      <c r="AH933" s="34" t="s">
        <v>5953</v>
      </c>
      <c r="AI933" s="34" t="s">
        <v>5230</v>
      </c>
      <c r="AJ933" s="34" t="s">
        <v>4087</v>
      </c>
      <c r="AK933" s="34" t="s">
        <v>4870</v>
      </c>
      <c r="AL933" s="34" t="s">
        <v>4689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7" t="str">
        <f>IFERROR(INDEX(Структура_ассортимента[SuperCategory],MATCH(Товары[[#This Row],[SubGroup]],Структура_ассортимента[Subgroup],0)),"")</f>
        <v>W</v>
      </c>
      <c r="D9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7" t="str">
        <f>IFERROR(INDEX(Структура_ассортимента[Product group],MATCH(Товары[[#This Row],[SubGroup]],Структура_ассортимента[Subgroup],0)),"")</f>
        <v>WMA_C</v>
      </c>
      <c r="G93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2483</v>
      </c>
      <c r="Q934" s="39" t="s">
        <v>3416</v>
      </c>
      <c r="R934" s="34" t="s">
        <v>3407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3410</v>
      </c>
      <c r="X934" s="34" t="s">
        <v>3446</v>
      </c>
      <c r="Y934" s="34" t="s">
        <v>3409</v>
      </c>
      <c r="Z934" s="34">
        <v>15</v>
      </c>
      <c r="AA934" s="34" t="s">
        <v>5954</v>
      </c>
      <c r="AB934" s="34" t="s">
        <v>4046</v>
      </c>
      <c r="AC934" s="34" t="s">
        <v>5955</v>
      </c>
      <c r="AD934" s="34" t="s">
        <v>5933</v>
      </c>
      <c r="AE934" s="34" t="s">
        <v>3610</v>
      </c>
      <c r="AF934" s="34" t="s">
        <v>3610</v>
      </c>
      <c r="AG934" s="34" t="s">
        <v>4526</v>
      </c>
      <c r="AH934" s="34" t="s">
        <v>5953</v>
      </c>
      <c r="AI934" s="34" t="s">
        <v>5230</v>
      </c>
      <c r="AJ934" s="34" t="s">
        <v>4087</v>
      </c>
      <c r="AK934" s="34" t="s">
        <v>4870</v>
      </c>
      <c r="AL934" s="34" t="s">
        <v>4502</v>
      </c>
      <c r="AM934" s="34" t="s">
        <v>7962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7" t="str">
        <f>IFERROR(INDEX(Структура_ассортимента[SuperCategory],MATCH(Товары[[#This Row],[SubGroup]],Структура_ассортимента[Subgroup],0)),"")</f>
        <v>W</v>
      </c>
      <c r="D9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7" t="str">
        <f>IFERROR(INDEX(Структура_ассортимента[Product group],MATCH(Товары[[#This Row],[SubGroup]],Структура_ассортимента[Subgroup],0)),"")</f>
        <v>WMA_C</v>
      </c>
      <c r="G93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2484</v>
      </c>
      <c r="Q935" s="39" t="s">
        <v>3416</v>
      </c>
      <c r="R935" s="34" t="s">
        <v>3407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3410</v>
      </c>
      <c r="X935" s="34" t="s">
        <v>3446</v>
      </c>
      <c r="Y935" s="34" t="s">
        <v>3409</v>
      </c>
      <c r="Z935" s="34">
        <v>48</v>
      </c>
      <c r="AA935" s="34" t="s">
        <v>3419</v>
      </c>
      <c r="AB935" s="34" t="s">
        <v>4762</v>
      </c>
      <c r="AC935" s="34" t="s">
        <v>3419</v>
      </c>
      <c r="AD935" s="34" t="s">
        <v>4014</v>
      </c>
      <c r="AE935" s="34" t="s">
        <v>3610</v>
      </c>
      <c r="AF935" s="34" t="s">
        <v>3610</v>
      </c>
      <c r="AG935" s="34" t="s">
        <v>4526</v>
      </c>
      <c r="AH935" s="34" t="s">
        <v>5953</v>
      </c>
      <c r="AI935" s="34" t="s">
        <v>5230</v>
      </c>
      <c r="AJ935" s="34" t="s">
        <v>4087</v>
      </c>
      <c r="AK935" s="34" t="s">
        <v>4870</v>
      </c>
      <c r="AL935" s="34" t="s">
        <v>3735</v>
      </c>
      <c r="AM935" s="34" t="s">
        <v>7962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7" t="str">
        <f>IFERROR(INDEX(Структура_ассортимента[SuperCategory],MATCH(Товары[[#This Row],[SubGroup]],Структура_ассортимента[Subgroup],0)),"")</f>
        <v>W</v>
      </c>
      <c r="D9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7" t="str">
        <f>IFERROR(INDEX(Структура_ассортимента[Product group],MATCH(Товары[[#This Row],[SubGroup]],Структура_ассортимента[Subgroup],0)),"")</f>
        <v>WMA_C</v>
      </c>
      <c r="G93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2485</v>
      </c>
      <c r="Q936" s="39" t="s">
        <v>3416</v>
      </c>
      <c r="R936" s="34" t="s">
        <v>3407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3410</v>
      </c>
      <c r="X936" s="34" t="s">
        <v>3446</v>
      </c>
      <c r="Y936" s="34" t="s">
        <v>3409</v>
      </c>
      <c r="Z936" s="34">
        <v>48</v>
      </c>
      <c r="AA936" s="34">
        <v>0</v>
      </c>
      <c r="AB936" s="34" t="s">
        <v>4007</v>
      </c>
      <c r="AC936" s="34">
        <v>0</v>
      </c>
      <c r="AD936" s="34" t="s">
        <v>4014</v>
      </c>
      <c r="AE936" s="34" t="s">
        <v>3610</v>
      </c>
      <c r="AF936" s="34" t="s">
        <v>3610</v>
      </c>
      <c r="AG936" s="34" t="s">
        <v>4526</v>
      </c>
      <c r="AH936" s="34" t="s">
        <v>5953</v>
      </c>
      <c r="AI936" s="34" t="s">
        <v>5230</v>
      </c>
      <c r="AJ936" s="34" t="s">
        <v>4087</v>
      </c>
      <c r="AK936" s="34" t="s">
        <v>4870</v>
      </c>
      <c r="AL936" s="34" t="s">
        <v>3735</v>
      </c>
      <c r="AM936" s="34" t="s">
        <v>7962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7" t="str">
        <f>IFERROR(INDEX(Структура_ассортимента[SuperCategory],MATCH(Товары[[#This Row],[SubGroup]],Структура_ассортимента[Subgroup],0)),"")</f>
        <v>W</v>
      </c>
      <c r="D9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7" t="str">
        <f>IFERROR(INDEX(Структура_ассортимента[Product group],MATCH(Товары[[#This Row],[SubGroup]],Структура_ассортимента[Subgroup],0)),"")</f>
        <v>WMA_C</v>
      </c>
      <c r="G93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2486</v>
      </c>
      <c r="Q937" s="39" t="s">
        <v>3580</v>
      </c>
      <c r="R937" s="34" t="s">
        <v>3407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3410</v>
      </c>
      <c r="Y937" s="34" t="s">
        <v>3409</v>
      </c>
      <c r="Z937" s="34">
        <v>48</v>
      </c>
      <c r="AA937" s="34" t="s">
        <v>3419</v>
      </c>
      <c r="AB937" s="34" t="s">
        <v>3973</v>
      </c>
      <c r="AC937" s="34" t="s">
        <v>3419</v>
      </c>
      <c r="AD937" s="34" t="s">
        <v>3987</v>
      </c>
      <c r="AE937" s="34" t="s">
        <v>4027</v>
      </c>
      <c r="AF937" s="34" t="s">
        <v>3822</v>
      </c>
      <c r="AG937" s="34" t="s">
        <v>4809</v>
      </c>
      <c r="AH937" s="34" t="s">
        <v>5947</v>
      </c>
      <c r="AL937" s="34" t="s">
        <v>3735</v>
      </c>
      <c r="AM937" s="34" t="s">
        <v>7961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7" t="str">
        <f>IFERROR(INDEX(Структура_ассортимента[SuperCategory],MATCH(Товары[[#This Row],[SubGroup]],Структура_ассортимента[Subgroup],0)),"")</f>
        <v>W</v>
      </c>
      <c r="D9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7" t="str">
        <f>IFERROR(INDEX(Структура_ассортимента[Product group],MATCH(Товары[[#This Row],[SubGroup]],Структура_ассортимента[Subgroup],0)),"")</f>
        <v>WMA_C</v>
      </c>
      <c r="G93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2487</v>
      </c>
      <c r="O938" s="37" t="s">
        <v>5956</v>
      </c>
      <c r="P938" s="37" t="s">
        <v>5957</v>
      </c>
      <c r="Q938" s="39" t="s">
        <v>3416</v>
      </c>
      <c r="R938" s="34" t="s">
        <v>3407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3410</v>
      </c>
      <c r="X938" s="34" t="s">
        <v>3446</v>
      </c>
      <c r="Y938" s="34" t="s">
        <v>3409</v>
      </c>
      <c r="Z938" s="34">
        <v>54</v>
      </c>
      <c r="AA938" s="34">
        <v>0</v>
      </c>
      <c r="AB938" s="34" t="s">
        <v>3558</v>
      </c>
      <c r="AC938" s="34">
        <v>0</v>
      </c>
      <c r="AD938" s="34" t="s">
        <v>4721</v>
      </c>
      <c r="AE938" s="34" t="s">
        <v>3692</v>
      </c>
      <c r="AF938" s="34" t="s">
        <v>3693</v>
      </c>
      <c r="AG938" s="34" t="s">
        <v>4218</v>
      </c>
      <c r="AH938" s="34" t="s">
        <v>5958</v>
      </c>
      <c r="AL938" s="34" t="s">
        <v>5959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7" t="str">
        <f>IFERROR(INDEX(Структура_ассортимента[SuperCategory],MATCH(Товары[[#This Row],[SubGroup]],Структура_ассортимента[Subgroup],0)),"")</f>
        <v>W</v>
      </c>
      <c r="D9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7" t="str">
        <f>IFERROR(INDEX(Структура_ассортимента[Product group],MATCH(Товары[[#This Row],[SubGroup]],Структура_ассортимента[Subgroup],0)),"")</f>
        <v>WMA_C</v>
      </c>
      <c r="G93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2488</v>
      </c>
      <c r="O939" s="37" t="s">
        <v>5960</v>
      </c>
      <c r="P939" s="37" t="s">
        <v>5961</v>
      </c>
      <c r="Q939" s="39" t="s">
        <v>3416</v>
      </c>
      <c r="R939" s="34" t="s">
        <v>3407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3410</v>
      </c>
      <c r="X939" s="34" t="s">
        <v>3446</v>
      </c>
      <c r="Y939" s="34" t="s">
        <v>3409</v>
      </c>
      <c r="Z939" s="34">
        <v>48</v>
      </c>
      <c r="AA939" s="34">
        <v>0</v>
      </c>
      <c r="AB939" s="34" t="s">
        <v>4007</v>
      </c>
      <c r="AC939" s="34">
        <v>0</v>
      </c>
      <c r="AD939" s="34" t="s">
        <v>4014</v>
      </c>
      <c r="AE939" s="34" t="s">
        <v>3610</v>
      </c>
      <c r="AF939" s="34" t="s">
        <v>3610</v>
      </c>
      <c r="AG939" s="34" t="s">
        <v>4526</v>
      </c>
      <c r="AH939" s="34" t="s">
        <v>5953</v>
      </c>
      <c r="AI939" s="34" t="s">
        <v>3787</v>
      </c>
      <c r="AJ939" s="34" t="s">
        <v>4595</v>
      </c>
      <c r="AK939" s="34" t="s">
        <v>4669</v>
      </c>
      <c r="AL939" s="34" t="s">
        <v>3735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7" t="str">
        <f>IFERROR(INDEX(Структура_ассортимента[SuperCategory],MATCH(Товары[[#This Row],[SubGroup]],Структура_ассортимента[Subgroup],0)),"")</f>
        <v>W</v>
      </c>
      <c r="D9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7" t="str">
        <f>IFERROR(INDEX(Структура_ассортимента[Product group],MATCH(Товары[[#This Row],[SubGroup]],Структура_ассортимента[Subgroup],0)),"")</f>
        <v>WMA_C</v>
      </c>
      <c r="G94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2489</v>
      </c>
      <c r="Q940" s="39" t="s">
        <v>3416</v>
      </c>
      <c r="R940" s="34" t="s">
        <v>3407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3410</v>
      </c>
      <c r="X940" s="34" t="s">
        <v>3571</v>
      </c>
      <c r="Y940" s="34" t="s">
        <v>3409</v>
      </c>
      <c r="Z940" s="34">
        <v>6</v>
      </c>
      <c r="AA940" s="34" t="s">
        <v>4003</v>
      </c>
      <c r="AB940" s="34" t="s">
        <v>4003</v>
      </c>
      <c r="AC940" s="34" t="s">
        <v>4047</v>
      </c>
      <c r="AD940" s="34" t="s">
        <v>4047</v>
      </c>
      <c r="AE940" s="34" t="s">
        <v>5962</v>
      </c>
      <c r="AF940" s="34" t="s">
        <v>3835</v>
      </c>
      <c r="AG940" s="34" t="s">
        <v>4809</v>
      </c>
      <c r="AH940" s="34" t="s">
        <v>5963</v>
      </c>
      <c r="AI940" s="34" t="s">
        <v>5964</v>
      </c>
      <c r="AJ940" s="34" t="s">
        <v>3560</v>
      </c>
      <c r="AK940" s="34" t="s">
        <v>4669</v>
      </c>
      <c r="AL940" s="34" t="s">
        <v>3848</v>
      </c>
      <c r="AM940" s="34" t="s">
        <v>7962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7" t="str">
        <f>IFERROR(INDEX(Структура_ассортимента[SuperCategory],MATCH(Товары[[#This Row],[SubGroup]],Структура_ассортимента[Subgroup],0)),"")</f>
        <v>W</v>
      </c>
      <c r="D9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7" t="str">
        <f>IFERROR(INDEX(Структура_ассортимента[Product group],MATCH(Товары[[#This Row],[SubGroup]],Структура_ассортимента[Subgroup],0)),"")</f>
        <v>WMA_C</v>
      </c>
      <c r="G94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2490</v>
      </c>
      <c r="O941" s="37" t="s">
        <v>5965</v>
      </c>
      <c r="P941" s="37" t="s">
        <v>5966</v>
      </c>
      <c r="Q941" s="39" t="s">
        <v>3416</v>
      </c>
      <c r="R941" s="34" t="s">
        <v>3407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3410</v>
      </c>
      <c r="X941" s="34" t="s">
        <v>3571</v>
      </c>
      <c r="Y941" s="34" t="s">
        <v>3409</v>
      </c>
      <c r="Z941" s="34">
        <v>6</v>
      </c>
      <c r="AA941" s="34" t="s">
        <v>5967</v>
      </c>
      <c r="AB941" s="34" t="s">
        <v>5933</v>
      </c>
      <c r="AC941" s="34" t="s">
        <v>5968</v>
      </c>
      <c r="AD941" s="34" t="s">
        <v>4854</v>
      </c>
      <c r="AE941" s="34" t="s">
        <v>5215</v>
      </c>
      <c r="AF941" s="34" t="s">
        <v>3685</v>
      </c>
      <c r="AG941" s="34" t="s">
        <v>4191</v>
      </c>
      <c r="AH941" s="34" t="s">
        <v>4583</v>
      </c>
      <c r="AI941" s="34" t="s">
        <v>5111</v>
      </c>
      <c r="AJ941" s="34" t="s">
        <v>3811</v>
      </c>
      <c r="AK941" s="34" t="s">
        <v>4669</v>
      </c>
      <c r="AL941" s="34" t="s">
        <v>3429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7" t="str">
        <f>IFERROR(INDEX(Структура_ассортимента[SuperCategory],MATCH(Товары[[#This Row],[SubGroup]],Структура_ассортимента[Subgroup],0)),"")</f>
        <v>W</v>
      </c>
      <c r="D9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7" t="str">
        <f>IFERROR(INDEX(Структура_ассортимента[Product group],MATCH(Товары[[#This Row],[SubGroup]],Структура_ассортимента[Subgroup],0)),"")</f>
        <v>WMA_C</v>
      </c>
      <c r="G94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2491</v>
      </c>
      <c r="Q942" s="39" t="s">
        <v>3416</v>
      </c>
      <c r="R942" s="34" t="s">
        <v>3407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3410</v>
      </c>
      <c r="X942" s="34" t="s">
        <v>3571</v>
      </c>
      <c r="Y942" s="34" t="s">
        <v>3409</v>
      </c>
      <c r="Z942" s="34">
        <v>24</v>
      </c>
      <c r="AA942" s="34" t="s">
        <v>5969</v>
      </c>
      <c r="AB942" s="34" t="s">
        <v>5933</v>
      </c>
      <c r="AC942" s="34" t="s">
        <v>5968</v>
      </c>
      <c r="AD942" s="34" t="s">
        <v>4854</v>
      </c>
      <c r="AE942" s="34" t="s">
        <v>5215</v>
      </c>
      <c r="AF942" s="34" t="s">
        <v>3685</v>
      </c>
      <c r="AG942" s="34" t="s">
        <v>4191</v>
      </c>
      <c r="AH942" s="34" t="s">
        <v>4583</v>
      </c>
      <c r="AI942" s="34" t="s">
        <v>5111</v>
      </c>
      <c r="AJ942" s="34" t="s">
        <v>3811</v>
      </c>
      <c r="AK942" s="34" t="s">
        <v>4669</v>
      </c>
      <c r="AL942" s="34" t="s">
        <v>3848</v>
      </c>
      <c r="AM942" s="34" t="s">
        <v>7962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7" t="str">
        <f>IFERROR(INDEX(Структура_ассортимента[SuperCategory],MATCH(Товары[[#This Row],[SubGroup]],Структура_ассортимента[Subgroup],0)),"")</f>
        <v>W</v>
      </c>
      <c r="D9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7" t="str">
        <f>IFERROR(INDEX(Структура_ассортимента[Product group],MATCH(Товары[[#This Row],[SubGroup]],Структура_ассортимента[Subgroup],0)),"")</f>
        <v>WMA_C</v>
      </c>
      <c r="G94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2492</v>
      </c>
      <c r="O943" s="37" t="s">
        <v>5970</v>
      </c>
      <c r="P943" s="37" t="s">
        <v>5971</v>
      </c>
      <c r="Q943" s="39" t="s">
        <v>3416</v>
      </c>
      <c r="R943" s="34" t="s">
        <v>3407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3410</v>
      </c>
      <c r="X943" s="34" t="s">
        <v>3571</v>
      </c>
      <c r="Y943" s="34" t="s">
        <v>3409</v>
      </c>
      <c r="Z943" s="34">
        <v>24</v>
      </c>
      <c r="AA943" s="34">
        <v>0</v>
      </c>
      <c r="AB943" s="34" t="s">
        <v>5933</v>
      </c>
      <c r="AC943" s="34">
        <v>0</v>
      </c>
      <c r="AD943" s="34" t="s">
        <v>4854</v>
      </c>
      <c r="AE943" s="34" t="s">
        <v>5215</v>
      </c>
      <c r="AF943" s="34" t="s">
        <v>3685</v>
      </c>
      <c r="AG943" s="34" t="s">
        <v>4191</v>
      </c>
      <c r="AH943" s="34" t="s">
        <v>4583</v>
      </c>
      <c r="AI943" s="34" t="s">
        <v>5111</v>
      </c>
      <c r="AJ943" s="34" t="s">
        <v>3811</v>
      </c>
      <c r="AK943" s="34" t="s">
        <v>4669</v>
      </c>
      <c r="AL943" s="34" t="s">
        <v>3848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7" t="str">
        <f>IFERROR(INDEX(Структура_ассортимента[SuperCategory],MATCH(Товары[[#This Row],[SubGroup]],Структура_ассортимента[Subgroup],0)),"")</f>
        <v>W</v>
      </c>
      <c r="D9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7" t="str">
        <f>IFERROR(INDEX(Структура_ассортимента[Product group],MATCH(Товары[[#This Row],[SubGroup]],Структура_ассортимента[Subgroup],0)),"")</f>
        <v>WMA_C</v>
      </c>
      <c r="G94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2493</v>
      </c>
      <c r="O944" s="37" t="s">
        <v>5972</v>
      </c>
      <c r="P944" s="37" t="s">
        <v>5973</v>
      </c>
      <c r="Q944" s="39" t="s">
        <v>3416</v>
      </c>
      <c r="R944" s="34" t="s">
        <v>3407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3410</v>
      </c>
      <c r="X944" s="34" t="s">
        <v>3571</v>
      </c>
      <c r="Y944" s="34" t="s">
        <v>3409</v>
      </c>
      <c r="Z944" s="34">
        <v>2</v>
      </c>
      <c r="AA944" s="34" t="s">
        <v>5046</v>
      </c>
      <c r="AB944" s="34" t="s">
        <v>5046</v>
      </c>
      <c r="AC944" s="34" t="s">
        <v>4582</v>
      </c>
      <c r="AD944" s="34" t="s">
        <v>4582</v>
      </c>
      <c r="AE944" s="34" t="s">
        <v>4939</v>
      </c>
      <c r="AF944" s="34" t="s">
        <v>3809</v>
      </c>
      <c r="AG944" s="34" t="s">
        <v>3621</v>
      </c>
      <c r="AH944" s="34" t="s">
        <v>5974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7" t="str">
        <f>IFERROR(INDEX(Структура_ассортимента[SuperCategory],MATCH(Товары[[#This Row],[SubGroup]],Структура_ассортимента[Subgroup],0)),"")</f>
        <v>W</v>
      </c>
      <c r="D9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7" t="str">
        <f>IFERROR(INDEX(Структура_ассортимента[Product group],MATCH(Товары[[#This Row],[SubGroup]],Структура_ассортимента[Subgroup],0)),"")</f>
        <v>WMA_C</v>
      </c>
      <c r="G94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2494</v>
      </c>
      <c r="Q945" s="39" t="s">
        <v>3416</v>
      </c>
      <c r="R945" s="34" t="s">
        <v>3407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3410</v>
      </c>
      <c r="X945" s="34" t="s">
        <v>3571</v>
      </c>
      <c r="Y945" s="34" t="s">
        <v>3409</v>
      </c>
      <c r="Z945" s="34">
        <v>2</v>
      </c>
      <c r="AA945" s="34" t="s">
        <v>5975</v>
      </c>
      <c r="AB945" s="34" t="s">
        <v>5975</v>
      </c>
      <c r="AC945" s="34" t="s">
        <v>4575</v>
      </c>
      <c r="AD945" s="34" t="s">
        <v>4575</v>
      </c>
      <c r="AE945" s="34" t="s">
        <v>4939</v>
      </c>
      <c r="AF945" s="34" t="s">
        <v>3809</v>
      </c>
      <c r="AG945" s="34" t="s">
        <v>3621</v>
      </c>
      <c r="AH945" s="34" t="s">
        <v>5974</v>
      </c>
      <c r="AL945" s="34">
        <v>76</v>
      </c>
      <c r="AM945" s="34" t="s">
        <v>7962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7" t="str">
        <f>IFERROR(INDEX(Структура_ассортимента[SuperCategory],MATCH(Товары[[#This Row],[SubGroup]],Структура_ассортимента[Subgroup],0)),"")</f>
        <v>W</v>
      </c>
      <c r="D9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7" t="str">
        <f>IFERROR(INDEX(Структура_ассортимента[Product group],MATCH(Товары[[#This Row],[SubGroup]],Структура_ассортимента[Subgroup],0)),"")</f>
        <v>WMA_C</v>
      </c>
      <c r="G94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2495</v>
      </c>
      <c r="Q946" s="39" t="s">
        <v>3416</v>
      </c>
      <c r="R946" s="34" t="s">
        <v>3407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3410</v>
      </c>
      <c r="X946" s="34" t="s">
        <v>3571</v>
      </c>
      <c r="Y946" s="34" t="s">
        <v>3409</v>
      </c>
      <c r="Z946" s="34">
        <v>2</v>
      </c>
      <c r="AA946" s="34" t="s">
        <v>5976</v>
      </c>
      <c r="AB946" s="34" t="s">
        <v>5976</v>
      </c>
      <c r="AC946" s="34" t="s">
        <v>5977</v>
      </c>
      <c r="AD946" s="34" t="s">
        <v>5977</v>
      </c>
      <c r="AE946" s="34" t="s">
        <v>5978</v>
      </c>
      <c r="AF946" s="34" t="s">
        <v>3578</v>
      </c>
      <c r="AG946" s="34" t="s">
        <v>4124</v>
      </c>
      <c r="AH946" s="34" t="s">
        <v>5979</v>
      </c>
      <c r="AL946" s="34" t="s">
        <v>5980</v>
      </c>
      <c r="AM946" s="34" t="s">
        <v>7962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7" t="str">
        <f>IFERROR(INDEX(Структура_ассортимента[SuperCategory],MATCH(Товары[[#This Row],[SubGroup]],Структура_ассортимента[Subgroup],0)),"")</f>
        <v>W</v>
      </c>
      <c r="D9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7" t="str">
        <f>IFERROR(INDEX(Структура_ассортимента[Product group],MATCH(Товары[[#This Row],[SubGroup]],Структура_ассортимента[Subgroup],0)),"")</f>
        <v>WMA_C</v>
      </c>
      <c r="G94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2496</v>
      </c>
      <c r="Q947" s="39" t="s">
        <v>3416</v>
      </c>
      <c r="R947" s="34" t="s">
        <v>3407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3410</v>
      </c>
      <c r="X947" s="34" t="s">
        <v>3571</v>
      </c>
      <c r="Y947" s="34" t="s">
        <v>3409</v>
      </c>
      <c r="Z947" s="34">
        <v>10</v>
      </c>
      <c r="AA947" s="34" t="s">
        <v>3488</v>
      </c>
      <c r="AB947" s="34" t="s">
        <v>3488</v>
      </c>
      <c r="AC947" s="34" t="s">
        <v>5097</v>
      </c>
      <c r="AD947" s="34" t="s">
        <v>5097</v>
      </c>
      <c r="AE947" s="34" t="s">
        <v>5981</v>
      </c>
      <c r="AF947" s="34" t="s">
        <v>4546</v>
      </c>
      <c r="AG947" s="34" t="s">
        <v>3667</v>
      </c>
      <c r="AH947" s="34" t="s">
        <v>5982</v>
      </c>
      <c r="AI947" s="34" t="s">
        <v>5983</v>
      </c>
      <c r="AJ947" s="34" t="s">
        <v>5433</v>
      </c>
      <c r="AK947" s="34" t="s">
        <v>4642</v>
      </c>
      <c r="AL947" s="34">
        <v>90</v>
      </c>
      <c r="AM947" s="34" t="s">
        <v>7962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7" t="str">
        <f>IFERROR(INDEX(Структура_ассортимента[SuperCategory],MATCH(Товары[[#This Row],[SubGroup]],Структура_ассортимента[Subgroup],0)),"")</f>
        <v>W</v>
      </c>
      <c r="D9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7" t="str">
        <f>IFERROR(INDEX(Структура_ассортимента[Product group],MATCH(Товары[[#This Row],[SubGroup]],Структура_ассортимента[Subgroup],0)),"")</f>
        <v>WMA_C</v>
      </c>
      <c r="G94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2497</v>
      </c>
      <c r="O948" s="37" t="s">
        <v>5984</v>
      </c>
      <c r="P948" s="37" t="s">
        <v>5985</v>
      </c>
      <c r="Q948" s="39" t="s">
        <v>3416</v>
      </c>
      <c r="R948" s="34" t="s">
        <v>3407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3410</v>
      </c>
      <c r="X948" s="34" t="s">
        <v>3446</v>
      </c>
      <c r="Y948" s="34" t="s">
        <v>3409</v>
      </c>
      <c r="Z948" s="34">
        <v>5</v>
      </c>
      <c r="AA948" s="34" t="s">
        <v>3419</v>
      </c>
      <c r="AB948" s="34" t="s">
        <v>4014</v>
      </c>
      <c r="AC948" s="34" t="s">
        <v>3419</v>
      </c>
      <c r="AD948" s="34" t="s">
        <v>4686</v>
      </c>
      <c r="AE948" s="34" t="s">
        <v>3529</v>
      </c>
      <c r="AF948" s="34" t="s">
        <v>4027</v>
      </c>
      <c r="AG948" s="34" t="s">
        <v>4202</v>
      </c>
      <c r="AH948" s="34" t="s">
        <v>5986</v>
      </c>
      <c r="AI948" s="34" t="s">
        <v>5987</v>
      </c>
      <c r="AJ948" s="34" t="s">
        <v>3491</v>
      </c>
      <c r="AK948" s="34" t="s">
        <v>5547</v>
      </c>
      <c r="AL948" s="34" t="s">
        <v>3614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7" t="str">
        <f>IFERROR(INDEX(Структура_ассортимента[SuperCategory],MATCH(Товары[[#This Row],[SubGroup]],Структура_ассортимента[Subgroup],0)),"")</f>
        <v>W</v>
      </c>
      <c r="D9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7" t="str">
        <f>IFERROR(INDEX(Структура_ассортимента[Product group],MATCH(Товары[[#This Row],[SubGroup]],Структура_ассортимента[Subgroup],0)),"")</f>
        <v>WMA_C</v>
      </c>
      <c r="G94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2498</v>
      </c>
      <c r="Q949" s="39" t="s">
        <v>3416</v>
      </c>
      <c r="R949" s="34" t="s">
        <v>3407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3410</v>
      </c>
      <c r="X949" s="34" t="s">
        <v>3446</v>
      </c>
      <c r="Y949" s="34" t="s">
        <v>3409</v>
      </c>
      <c r="Z949" s="34">
        <v>4</v>
      </c>
      <c r="AA949" s="34" t="s">
        <v>3419</v>
      </c>
      <c r="AB949" s="34" t="s">
        <v>3558</v>
      </c>
      <c r="AC949" s="34" t="s">
        <v>3419</v>
      </c>
      <c r="AD949" s="34" t="s">
        <v>4721</v>
      </c>
      <c r="AE949" s="34" t="s">
        <v>3692</v>
      </c>
      <c r="AF949" s="34" t="s">
        <v>3692</v>
      </c>
      <c r="AG949" s="34" t="s">
        <v>4790</v>
      </c>
      <c r="AH949" s="34" t="s">
        <v>5988</v>
      </c>
      <c r="AI949" s="34" t="s">
        <v>4093</v>
      </c>
      <c r="AJ949" s="34" t="s">
        <v>3856</v>
      </c>
      <c r="AK949" s="34" t="s">
        <v>3866</v>
      </c>
      <c r="AL949" s="34" t="s">
        <v>4135</v>
      </c>
      <c r="AM949" s="34" t="s">
        <v>7962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7" t="str">
        <f>IFERROR(INDEX(Структура_ассортимента[SuperCategory],MATCH(Товары[[#This Row],[SubGroup]],Структура_ассортимента[Subgroup],0)),"")</f>
        <v>W</v>
      </c>
      <c r="D9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7" t="str">
        <f>IFERROR(INDEX(Структура_ассортимента[Product group],MATCH(Товары[[#This Row],[SubGroup]],Структура_ассортимента[Subgroup],0)),"")</f>
        <v>WMA_C</v>
      </c>
      <c r="G95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2499</v>
      </c>
      <c r="Q950" s="39" t="s">
        <v>3416</v>
      </c>
      <c r="R950" s="34" t="s">
        <v>3407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3410</v>
      </c>
      <c r="X950" s="34" t="s">
        <v>3446</v>
      </c>
      <c r="Y950" s="34" t="s">
        <v>3409</v>
      </c>
      <c r="Z950" s="34">
        <v>36</v>
      </c>
      <c r="AA950" s="34" t="s">
        <v>3419</v>
      </c>
      <c r="AB950" s="34" t="s">
        <v>3558</v>
      </c>
      <c r="AC950" s="34" t="s">
        <v>3419</v>
      </c>
      <c r="AD950" s="34" t="s">
        <v>4721</v>
      </c>
      <c r="AE950" s="34" t="s">
        <v>4027</v>
      </c>
      <c r="AF950" s="34" t="s">
        <v>3610</v>
      </c>
      <c r="AG950" s="34" t="s">
        <v>3574</v>
      </c>
      <c r="AH950" s="34" t="s">
        <v>5989</v>
      </c>
      <c r="AI950" s="34" t="s">
        <v>4093</v>
      </c>
      <c r="AJ950" s="34" t="s">
        <v>3856</v>
      </c>
      <c r="AK950" s="34" t="s">
        <v>3866</v>
      </c>
      <c r="AL950" s="34" t="s">
        <v>3429</v>
      </c>
      <c r="AM950" s="34" t="s">
        <v>7962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7" t="str">
        <f>IFERROR(INDEX(Структура_ассортимента[SuperCategory],MATCH(Товары[[#This Row],[SubGroup]],Структура_ассортимента[Subgroup],0)),"")</f>
        <v>W</v>
      </c>
      <c r="D9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7" t="str">
        <f>IFERROR(INDEX(Структура_ассортимента[Product group],MATCH(Товары[[#This Row],[SubGroup]],Структура_ассортимента[Subgroup],0)),"")</f>
        <v>WMA_C</v>
      </c>
      <c r="G95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2500</v>
      </c>
      <c r="O951" s="37" t="s">
        <v>5990</v>
      </c>
      <c r="P951" s="37" t="s">
        <v>5991</v>
      </c>
      <c r="Q951" s="39" t="s">
        <v>3416</v>
      </c>
      <c r="R951" s="34" t="s">
        <v>3407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3410</v>
      </c>
      <c r="X951" s="34" t="s">
        <v>3446</v>
      </c>
      <c r="Y951" s="34" t="s">
        <v>3409</v>
      </c>
      <c r="Z951" s="34">
        <v>6</v>
      </c>
      <c r="AA951" s="34" t="s">
        <v>3419</v>
      </c>
      <c r="AB951" s="34" t="s">
        <v>4443</v>
      </c>
      <c r="AC951" s="34" t="s">
        <v>3419</v>
      </c>
      <c r="AD951" s="34" t="s">
        <v>4256</v>
      </c>
      <c r="AE951" s="34" t="s">
        <v>5424</v>
      </c>
      <c r="AF951" s="34" t="s">
        <v>3835</v>
      </c>
      <c r="AG951" s="34" t="s">
        <v>4202</v>
      </c>
      <c r="AH951" s="34" t="s">
        <v>5992</v>
      </c>
      <c r="AI951" s="34" t="s">
        <v>5993</v>
      </c>
      <c r="AJ951" s="34" t="s">
        <v>3466</v>
      </c>
      <c r="AK951" s="34" t="s">
        <v>5547</v>
      </c>
      <c r="AL951" s="34" t="s">
        <v>3848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7" t="str">
        <f>IFERROR(INDEX(Структура_ассортимента[SuperCategory],MATCH(Товары[[#This Row],[SubGroup]],Структура_ассортимента[Subgroup],0)),"")</f>
        <v>W</v>
      </c>
      <c r="D9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7" t="str">
        <f>IFERROR(INDEX(Структура_ассортимента[Product group],MATCH(Товары[[#This Row],[SubGroup]],Структура_ассортимента[Subgroup],0)),"")</f>
        <v>WMA_C</v>
      </c>
      <c r="G95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2501</v>
      </c>
      <c r="Q952" s="39" t="s">
        <v>3416</v>
      </c>
      <c r="R952" s="34" t="s">
        <v>3407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3410</v>
      </c>
      <c r="X952" s="34" t="s">
        <v>3446</v>
      </c>
      <c r="Y952" s="34" t="s">
        <v>3409</v>
      </c>
      <c r="Z952" s="34">
        <v>6</v>
      </c>
      <c r="AA952" s="34" t="s">
        <v>3419</v>
      </c>
      <c r="AB952" s="34" t="s">
        <v>4443</v>
      </c>
      <c r="AC952" s="34" t="s">
        <v>3419</v>
      </c>
      <c r="AD952" s="34" t="s">
        <v>4668</v>
      </c>
      <c r="AE952" s="34" t="s">
        <v>4905</v>
      </c>
      <c r="AF952" s="34" t="s">
        <v>3835</v>
      </c>
      <c r="AG952" s="34" t="s">
        <v>4191</v>
      </c>
      <c r="AH952" s="34" t="s">
        <v>5994</v>
      </c>
      <c r="AI952" s="34" t="s">
        <v>5993</v>
      </c>
      <c r="AJ952" s="34" t="s">
        <v>3466</v>
      </c>
      <c r="AK952" s="34" t="s">
        <v>5547</v>
      </c>
      <c r="AL952" s="34" t="s">
        <v>3848</v>
      </c>
      <c r="AM952" s="34" t="s">
        <v>7962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7" t="str">
        <f>IFERROR(INDEX(Структура_ассортимента[SuperCategory],MATCH(Товары[[#This Row],[SubGroup]],Структура_ассортимента[Subgroup],0)),"")</f>
        <v>W</v>
      </c>
      <c r="D9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7" t="str">
        <f>IFERROR(INDEX(Структура_ассортимента[Product group],MATCH(Товары[[#This Row],[SubGroup]],Структура_ассортимента[Subgroup],0)),"")</f>
        <v>WMA_C</v>
      </c>
      <c r="G95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2502</v>
      </c>
      <c r="O953" s="37" t="s">
        <v>5995</v>
      </c>
      <c r="P953" s="37" t="s">
        <v>5996</v>
      </c>
      <c r="Q953" s="39" t="s">
        <v>3416</v>
      </c>
      <c r="R953" s="34" t="s">
        <v>3407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3410</v>
      </c>
      <c r="X953" s="34" t="s">
        <v>3446</v>
      </c>
      <c r="Y953" s="34" t="s">
        <v>3409</v>
      </c>
      <c r="Z953" s="34">
        <v>5</v>
      </c>
      <c r="AA953" s="34">
        <v>0</v>
      </c>
      <c r="AB953" s="34" t="s">
        <v>3873</v>
      </c>
      <c r="AC953" s="34">
        <v>0</v>
      </c>
      <c r="AD953" s="34" t="s">
        <v>5997</v>
      </c>
      <c r="AE953" s="34" t="s">
        <v>3693</v>
      </c>
      <c r="AF953" s="34" t="s">
        <v>3692</v>
      </c>
      <c r="AG953" s="34" t="s">
        <v>4218</v>
      </c>
      <c r="AH953" s="34" t="s">
        <v>5958</v>
      </c>
      <c r="AI953" s="34" t="s">
        <v>4261</v>
      </c>
      <c r="AJ953" s="34" t="s">
        <v>3550</v>
      </c>
      <c r="AK953" s="34" t="s">
        <v>4823</v>
      </c>
      <c r="AL953" s="34" t="s">
        <v>5838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7" t="str">
        <f>IFERROR(INDEX(Структура_ассортимента[SuperCategory],MATCH(Товары[[#This Row],[SubGroup]],Структура_ассортимента[Subgroup],0)),"")</f>
        <v>W</v>
      </c>
      <c r="D9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7" t="str">
        <f>IFERROR(INDEX(Структура_ассортимента[Product group],MATCH(Товары[[#This Row],[SubGroup]],Структура_ассортимента[Subgroup],0)),"")</f>
        <v>WMA_C</v>
      </c>
      <c r="G95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2503</v>
      </c>
      <c r="P954" s="37" t="s">
        <v>5998</v>
      </c>
      <c r="Q954" s="39" t="s">
        <v>3580</v>
      </c>
      <c r="R954" s="34" t="s">
        <v>3407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3410</v>
      </c>
      <c r="Y954" s="34" t="s">
        <v>3409</v>
      </c>
      <c r="Z954" s="34">
        <v>36</v>
      </c>
      <c r="AA954" s="34">
        <v>0</v>
      </c>
      <c r="AB954" s="34" t="s">
        <v>3558</v>
      </c>
      <c r="AC954" s="34">
        <v>0</v>
      </c>
      <c r="AD954" s="34" t="s">
        <v>4721</v>
      </c>
      <c r="AE954" s="34" t="s">
        <v>3693</v>
      </c>
      <c r="AF954" s="34" t="s">
        <v>3692</v>
      </c>
      <c r="AG954" s="34" t="s">
        <v>4218</v>
      </c>
      <c r="AH954" s="34" t="s">
        <v>5958</v>
      </c>
      <c r="AL954" s="34" t="s">
        <v>3429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7" t="str">
        <f>IFERROR(INDEX(Структура_ассортимента[SuperCategory],MATCH(Товары[[#This Row],[SubGroup]],Структура_ассортимента[Subgroup],0)),"")</f>
        <v>W</v>
      </c>
      <c r="D9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7" t="str">
        <f>IFERROR(INDEX(Структура_ассортимента[Product group],MATCH(Товары[[#This Row],[SubGroup]],Структура_ассортимента[Subgroup],0)),"")</f>
        <v>WMA_C</v>
      </c>
      <c r="G95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2504</v>
      </c>
      <c r="O955" s="37" t="s">
        <v>5999</v>
      </c>
      <c r="P955" s="37" t="s">
        <v>6000</v>
      </c>
      <c r="Q955" s="39" t="s">
        <v>3416</v>
      </c>
      <c r="R955" s="34" t="s">
        <v>3407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3410</v>
      </c>
      <c r="X955" s="34" t="s">
        <v>3446</v>
      </c>
      <c r="Y955" s="34" t="s">
        <v>3409</v>
      </c>
      <c r="Z955" s="34">
        <v>5</v>
      </c>
      <c r="AA955" s="34">
        <v>0</v>
      </c>
      <c r="AB955" s="34" t="s">
        <v>5933</v>
      </c>
      <c r="AC955" s="34">
        <v>0</v>
      </c>
      <c r="AD955" s="34" t="s">
        <v>6001</v>
      </c>
      <c r="AE955" s="34" t="s">
        <v>3693</v>
      </c>
      <c r="AF955" s="34" t="s">
        <v>3692</v>
      </c>
      <c r="AG955" s="34" t="s">
        <v>4218</v>
      </c>
      <c r="AH955" s="34" t="s">
        <v>5958</v>
      </c>
      <c r="AI955" s="34" t="s">
        <v>3806</v>
      </c>
      <c r="AJ955" s="34" t="s">
        <v>3550</v>
      </c>
      <c r="AK955" s="34" t="s">
        <v>4823</v>
      </c>
      <c r="AL955" s="34" t="s">
        <v>5838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7" t="str">
        <f>IFERROR(INDEX(Структура_ассортимента[SuperCategory],MATCH(Товары[[#This Row],[SubGroup]],Структура_ассортимента[Subgroup],0)),"")</f>
        <v>W</v>
      </c>
      <c r="D9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7" t="str">
        <f>IFERROR(INDEX(Структура_ассортимента[Product group],MATCH(Товары[[#This Row],[SubGroup]],Структура_ассортимента[Subgroup],0)),"")</f>
        <v>WMA_C</v>
      </c>
      <c r="G95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2505</v>
      </c>
      <c r="O956" s="37" t="s">
        <v>6002</v>
      </c>
      <c r="P956" s="37" t="s">
        <v>5985</v>
      </c>
      <c r="Q956" s="39" t="s">
        <v>3416</v>
      </c>
      <c r="R956" s="34" t="s">
        <v>3407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3410</v>
      </c>
      <c r="X956" s="34" t="s">
        <v>3446</v>
      </c>
      <c r="Y956" s="34" t="s">
        <v>3409</v>
      </c>
      <c r="Z956" s="34">
        <v>4</v>
      </c>
      <c r="AA956" s="34">
        <v>0</v>
      </c>
      <c r="AB956" s="34" t="s">
        <v>5898</v>
      </c>
      <c r="AC956" s="34">
        <v>0</v>
      </c>
      <c r="AD956" s="34" t="s">
        <v>4003</v>
      </c>
      <c r="AE956" s="34" t="s">
        <v>3620</v>
      </c>
      <c r="AF956" s="34" t="s">
        <v>3692</v>
      </c>
      <c r="AG956" s="34" t="s">
        <v>3424</v>
      </c>
      <c r="AH956" s="34" t="s">
        <v>4651</v>
      </c>
      <c r="AI956" s="34" t="s">
        <v>3822</v>
      </c>
      <c r="AJ956" s="34" t="s">
        <v>3805</v>
      </c>
      <c r="AK956" s="34" t="s">
        <v>4790</v>
      </c>
      <c r="AL956" s="34" t="s">
        <v>4135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7" t="str">
        <f>IFERROR(INDEX(Структура_ассортимента[SuperCategory],MATCH(Товары[[#This Row],[SubGroup]],Структура_ассортимента[Subgroup],0)),"")</f>
        <v>W</v>
      </c>
      <c r="D9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7" t="str">
        <f>IFERROR(INDEX(Структура_ассортимента[Product group],MATCH(Товары[[#This Row],[SubGroup]],Структура_ассортимента[Subgroup],0)),"")</f>
        <v>WMA_C</v>
      </c>
      <c r="G95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2506</v>
      </c>
      <c r="Q957" s="39" t="s">
        <v>3416</v>
      </c>
      <c r="R957" s="34" t="s">
        <v>3407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3410</v>
      </c>
      <c r="X957" s="34" t="s">
        <v>3446</v>
      </c>
      <c r="Y957" s="34" t="s">
        <v>3409</v>
      </c>
      <c r="Z957" s="34">
        <v>36</v>
      </c>
      <c r="AB957" s="34" t="s">
        <v>3558</v>
      </c>
      <c r="AD957" s="34" t="s">
        <v>4721</v>
      </c>
      <c r="AE957" s="34" t="s">
        <v>3620</v>
      </c>
      <c r="AF957" s="34" t="s">
        <v>3692</v>
      </c>
      <c r="AG957" s="34" t="s">
        <v>3424</v>
      </c>
      <c r="AH957" s="34" t="s">
        <v>4651</v>
      </c>
      <c r="AI957" s="34" t="s">
        <v>3822</v>
      </c>
      <c r="AJ957" s="34" t="s">
        <v>3805</v>
      </c>
      <c r="AK957" s="34" t="s">
        <v>4790</v>
      </c>
      <c r="AL957" s="34" t="s">
        <v>3429</v>
      </c>
      <c r="AM957" s="34" t="s">
        <v>7962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7" t="str">
        <f>IFERROR(INDEX(Структура_ассортимента[SuperCategory],MATCH(Товары[[#This Row],[SubGroup]],Структура_ассортимента[Subgroup],0)),"")</f>
        <v>W</v>
      </c>
      <c r="D9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7" t="str">
        <f>IFERROR(INDEX(Структура_ассортимента[Product group],MATCH(Товары[[#This Row],[SubGroup]],Структура_ассортимента[Subgroup],0)),"")</f>
        <v>WMA_C</v>
      </c>
      <c r="G95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2507</v>
      </c>
      <c r="O958" s="37" t="s">
        <v>6003</v>
      </c>
      <c r="P958" s="37" t="s">
        <v>6004</v>
      </c>
      <c r="Q958" s="39" t="s">
        <v>3416</v>
      </c>
      <c r="R958" s="34" t="s">
        <v>3407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3410</v>
      </c>
      <c r="X958" s="34" t="s">
        <v>3446</v>
      </c>
      <c r="Y958" s="34" t="s">
        <v>3409</v>
      </c>
      <c r="Z958" s="34">
        <v>36</v>
      </c>
      <c r="AA958" s="34">
        <v>0</v>
      </c>
      <c r="AB958" s="34" t="s">
        <v>3558</v>
      </c>
      <c r="AC958" s="34">
        <v>0</v>
      </c>
      <c r="AD958" s="34" t="s">
        <v>4721</v>
      </c>
      <c r="AE958" s="34" t="s">
        <v>3522</v>
      </c>
      <c r="AF958" s="34" t="s">
        <v>3835</v>
      </c>
      <c r="AG958" s="34" t="s">
        <v>4098</v>
      </c>
      <c r="AH958" s="34" t="s">
        <v>6005</v>
      </c>
      <c r="AI958" s="34" t="s">
        <v>3822</v>
      </c>
      <c r="AJ958" s="34" t="s">
        <v>3805</v>
      </c>
      <c r="AK958" s="34" t="s">
        <v>4790</v>
      </c>
      <c r="AL958" s="34" t="s">
        <v>3429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7" t="str">
        <f>IFERROR(INDEX(Структура_ассортимента[SuperCategory],MATCH(Товары[[#This Row],[SubGroup]],Структура_ассортимента[Subgroup],0)),"")</f>
        <v>W</v>
      </c>
      <c r="D9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7" t="str">
        <f>IFERROR(INDEX(Структура_ассортимента[Product group],MATCH(Товары[[#This Row],[SubGroup]],Структура_ассортимента[Subgroup],0)),"")</f>
        <v>WMA_C</v>
      </c>
      <c r="G95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2508</v>
      </c>
      <c r="O959" s="37" t="s">
        <v>6006</v>
      </c>
      <c r="P959" s="37" t="s">
        <v>6007</v>
      </c>
      <c r="Q959" s="39" t="s">
        <v>3416</v>
      </c>
      <c r="R959" s="34" t="s">
        <v>3407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3410</v>
      </c>
      <c r="X959" s="34" t="s">
        <v>3446</v>
      </c>
      <c r="Y959" s="34" t="s">
        <v>3409</v>
      </c>
      <c r="Z959" s="34">
        <v>4</v>
      </c>
      <c r="AA959" s="34">
        <v>0</v>
      </c>
      <c r="AB959" s="34" t="s">
        <v>3558</v>
      </c>
      <c r="AC959" s="34">
        <v>0</v>
      </c>
      <c r="AD959" s="34" t="s">
        <v>4721</v>
      </c>
      <c r="AE959" s="34" t="s">
        <v>3620</v>
      </c>
      <c r="AF959" s="34" t="s">
        <v>3692</v>
      </c>
      <c r="AG959" s="34" t="s">
        <v>3424</v>
      </c>
      <c r="AH959" s="34" t="s">
        <v>4651</v>
      </c>
      <c r="AI959" s="34" t="s">
        <v>3822</v>
      </c>
      <c r="AJ959" s="34" t="s">
        <v>3805</v>
      </c>
      <c r="AK959" s="34" t="s">
        <v>4790</v>
      </c>
      <c r="AL959" s="34" t="s">
        <v>4135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7" t="str">
        <f>IFERROR(INDEX(Структура_ассортимента[SuperCategory],MATCH(Товары[[#This Row],[SubGroup]],Структура_ассортимента[Subgroup],0)),"")</f>
        <v>W</v>
      </c>
      <c r="D9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7" t="str">
        <f>IFERROR(INDEX(Структура_ассортимента[Product group],MATCH(Товары[[#This Row],[SubGroup]],Структура_ассортимента[Subgroup],0)),"")</f>
        <v>WMA_C</v>
      </c>
      <c r="G96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2509</v>
      </c>
      <c r="O960" s="37" t="s">
        <v>6008</v>
      </c>
      <c r="P960" s="37" t="s">
        <v>6009</v>
      </c>
      <c r="Q960" s="39" t="s">
        <v>3416</v>
      </c>
      <c r="R960" s="34" t="s">
        <v>3407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3410</v>
      </c>
      <c r="X960" s="34" t="s">
        <v>3446</v>
      </c>
      <c r="Y960" s="34" t="s">
        <v>3409</v>
      </c>
      <c r="Z960" s="34">
        <v>6</v>
      </c>
      <c r="AA960" s="34">
        <v>0</v>
      </c>
      <c r="AB960" s="34" t="s">
        <v>4545</v>
      </c>
      <c r="AC960" s="34">
        <v>0</v>
      </c>
      <c r="AD960" s="34" t="s">
        <v>5821</v>
      </c>
      <c r="AE960" s="34" t="s">
        <v>5323</v>
      </c>
      <c r="AF960" s="34" t="s">
        <v>3835</v>
      </c>
      <c r="AG960" s="34" t="s">
        <v>4202</v>
      </c>
      <c r="AH960" s="34" t="s">
        <v>6010</v>
      </c>
      <c r="AI960" s="34" t="s">
        <v>6011</v>
      </c>
      <c r="AJ960" s="34" t="s">
        <v>5771</v>
      </c>
      <c r="AK960" s="34" t="s">
        <v>5547</v>
      </c>
      <c r="AL960" s="34" t="s">
        <v>3697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7" t="str">
        <f>IFERROR(INDEX(Структура_ассортимента[SuperCategory],MATCH(Товары[[#This Row],[SubGroup]],Структура_ассортимента[Subgroup],0)),"")</f>
        <v>W</v>
      </c>
      <c r="D9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7" t="str">
        <f>IFERROR(INDEX(Структура_ассортимента[Product group],MATCH(Товары[[#This Row],[SubGroup]],Структура_ассортимента[Subgroup],0)),"")</f>
        <v>WMA_C</v>
      </c>
      <c r="G96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2510</v>
      </c>
      <c r="O961" s="37" t="s">
        <v>6012</v>
      </c>
      <c r="P961" s="37" t="s">
        <v>5985</v>
      </c>
      <c r="Q961" s="39" t="s">
        <v>3416</v>
      </c>
      <c r="R961" s="34" t="s">
        <v>3407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3410</v>
      </c>
      <c r="X961" s="34" t="s">
        <v>3446</v>
      </c>
      <c r="Y961" s="34" t="s">
        <v>3409</v>
      </c>
      <c r="Z961" s="34">
        <v>5</v>
      </c>
      <c r="AA961" s="34">
        <v>0</v>
      </c>
      <c r="AB961" s="34" t="s">
        <v>4014</v>
      </c>
      <c r="AC961" s="34">
        <v>0</v>
      </c>
      <c r="AD961" s="34" t="s">
        <v>4686</v>
      </c>
      <c r="AE961" s="34" t="s">
        <v>3529</v>
      </c>
      <c r="AF961" s="34" t="s">
        <v>3692</v>
      </c>
      <c r="AG961" s="34" t="s">
        <v>4202</v>
      </c>
      <c r="AH961" s="34" t="s">
        <v>6013</v>
      </c>
      <c r="AI961" s="34" t="s">
        <v>5987</v>
      </c>
      <c r="AJ961" s="34" t="s">
        <v>3491</v>
      </c>
      <c r="AK961" s="34" t="s">
        <v>5547</v>
      </c>
      <c r="AL961" s="34" t="s">
        <v>3614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7" t="str">
        <f>IFERROR(INDEX(Структура_ассортимента[SuperCategory],MATCH(Товары[[#This Row],[SubGroup]],Структура_ассортимента[Subgroup],0)),"")</f>
        <v>W</v>
      </c>
      <c r="D9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7" t="str">
        <f>IFERROR(INDEX(Структура_ассортимента[Product group],MATCH(Товары[[#This Row],[SubGroup]],Структура_ассортимента[Subgroup],0)),"")</f>
        <v>WMA_C</v>
      </c>
      <c r="G96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2511</v>
      </c>
      <c r="O962" s="37" t="s">
        <v>6014</v>
      </c>
      <c r="P962" s="37" t="s">
        <v>6015</v>
      </c>
      <c r="Q962" s="39" t="s">
        <v>3416</v>
      </c>
      <c r="R962" s="34" t="s">
        <v>3407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3410</v>
      </c>
      <c r="X962" s="34" t="s">
        <v>3446</v>
      </c>
      <c r="Y962" s="34" t="s">
        <v>3409</v>
      </c>
      <c r="Z962" s="34">
        <v>6</v>
      </c>
      <c r="AA962" s="34">
        <v>385</v>
      </c>
      <c r="AB962" s="34" t="s">
        <v>4505</v>
      </c>
      <c r="AC962" s="34">
        <v>353</v>
      </c>
      <c r="AD962" s="34" t="s">
        <v>6016</v>
      </c>
      <c r="AE962" s="34" t="s">
        <v>5152</v>
      </c>
      <c r="AF962" s="34" t="s">
        <v>3835</v>
      </c>
      <c r="AG962" s="34" t="s">
        <v>4339</v>
      </c>
      <c r="AH962" s="34" t="s">
        <v>6017</v>
      </c>
      <c r="AL962" s="34" t="s">
        <v>4300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7" t="str">
        <f>IFERROR(INDEX(Структура_ассортимента[SuperCategory],MATCH(Товары[[#This Row],[SubGroup]],Структура_ассортимента[Subgroup],0)),"")</f>
        <v>W</v>
      </c>
      <c r="D9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7" t="str">
        <f>IFERROR(INDEX(Структура_ассортимента[Product group],MATCH(Товары[[#This Row],[SubGroup]],Структура_ассортимента[Subgroup],0)),"")</f>
        <v>WMA_C</v>
      </c>
      <c r="G96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2512</v>
      </c>
      <c r="Q963" s="39" t="s">
        <v>3416</v>
      </c>
      <c r="R963" s="34" t="s">
        <v>3407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3410</v>
      </c>
      <c r="X963" s="34" t="s">
        <v>3446</v>
      </c>
      <c r="Y963" s="34" t="s">
        <v>3409</v>
      </c>
      <c r="Z963" s="34">
        <v>24</v>
      </c>
      <c r="AA963" s="34">
        <v>390</v>
      </c>
      <c r="AB963" s="34" t="s">
        <v>4505</v>
      </c>
      <c r="AC963" s="34">
        <v>363</v>
      </c>
      <c r="AD963" s="34" t="s">
        <v>6016</v>
      </c>
      <c r="AE963" s="34" t="s">
        <v>5152</v>
      </c>
      <c r="AF963" s="34" t="s">
        <v>3835</v>
      </c>
      <c r="AG963" s="34" t="s">
        <v>4339</v>
      </c>
      <c r="AH963" s="34" t="s">
        <v>6017</v>
      </c>
      <c r="AL963" s="34" t="s">
        <v>3614</v>
      </c>
      <c r="AM963" s="34" t="s">
        <v>7962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7" t="str">
        <f>IFERROR(INDEX(Структура_ассортимента[SuperCategory],MATCH(Товары[[#This Row],[SubGroup]],Структура_ассортимента[Subgroup],0)),"")</f>
        <v>W</v>
      </c>
      <c r="D9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7" t="str">
        <f>IFERROR(INDEX(Структура_ассортимента[Product group],MATCH(Товары[[#This Row],[SubGroup]],Структура_ассортимента[Subgroup],0)),"")</f>
        <v>WMA_C</v>
      </c>
      <c r="G96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2513</v>
      </c>
      <c r="O964" s="37" t="s">
        <v>6018</v>
      </c>
      <c r="P964" s="37" t="s">
        <v>6019</v>
      </c>
      <c r="Q964" s="39" t="s">
        <v>3416</v>
      </c>
      <c r="R964" s="34" t="s">
        <v>3407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3410</v>
      </c>
      <c r="X964" s="34" t="s">
        <v>3446</v>
      </c>
      <c r="Y964" s="34" t="s">
        <v>3409</v>
      </c>
      <c r="Z964" s="34">
        <v>48</v>
      </c>
      <c r="AA964" s="34">
        <v>169</v>
      </c>
      <c r="AB964" s="34" t="s">
        <v>3597</v>
      </c>
      <c r="AC964" s="34">
        <v>119</v>
      </c>
      <c r="AD964" s="34" t="s">
        <v>3537</v>
      </c>
      <c r="AE964" s="34" t="s">
        <v>4512</v>
      </c>
      <c r="AF964" s="34" t="s">
        <v>3835</v>
      </c>
      <c r="AG964" s="34" t="s">
        <v>4088</v>
      </c>
      <c r="AH964" s="34" t="s">
        <v>5853</v>
      </c>
      <c r="AL964" s="34" t="s">
        <v>3735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7" t="str">
        <f>IFERROR(INDEX(Структура_ассортимента[SuperCategory],MATCH(Товары[[#This Row],[SubGroup]],Структура_ассортимента[Subgroup],0)),"")</f>
        <v>W</v>
      </c>
      <c r="D9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7" t="str">
        <f>IFERROR(INDEX(Структура_ассортимента[Product group],MATCH(Товары[[#This Row],[SubGroup]],Структура_ассортимента[Subgroup],0)),"")</f>
        <v>WMA_C</v>
      </c>
      <c r="G96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2514</v>
      </c>
      <c r="O965" s="37" t="s">
        <v>6020</v>
      </c>
      <c r="P965" s="37" t="s">
        <v>6021</v>
      </c>
      <c r="Q965" s="39" t="s">
        <v>3416</v>
      </c>
      <c r="R965" s="34" t="s">
        <v>3407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3410</v>
      </c>
      <c r="X965" s="34" t="s">
        <v>3446</v>
      </c>
      <c r="Y965" s="34" t="s">
        <v>3409</v>
      </c>
      <c r="Z965" s="34">
        <v>36</v>
      </c>
      <c r="AA965" s="34">
        <v>291</v>
      </c>
      <c r="AB965" s="34" t="s">
        <v>3673</v>
      </c>
      <c r="AC965" s="34">
        <v>241</v>
      </c>
      <c r="AD965" s="34" t="s">
        <v>3968</v>
      </c>
      <c r="AE965" s="34" t="s">
        <v>5773</v>
      </c>
      <c r="AF965" s="34" t="s">
        <v>3835</v>
      </c>
      <c r="AG965" s="34" t="s">
        <v>4269</v>
      </c>
      <c r="AH965" s="34" t="s">
        <v>5856</v>
      </c>
      <c r="AL965" s="34" t="s">
        <v>3429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7" t="str">
        <f>IFERROR(INDEX(Структура_ассортимента[SuperCategory],MATCH(Товары[[#This Row],[SubGroup]],Структура_ассортимента[Subgroup],0)),"")</f>
        <v>W</v>
      </c>
      <c r="D9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7" t="str">
        <f>IFERROR(INDEX(Структура_ассортимента[Product group],MATCH(Товары[[#This Row],[SubGroup]],Структура_ассортимента[Subgroup],0)),"")</f>
        <v>WMA_C</v>
      </c>
      <c r="G96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2515</v>
      </c>
      <c r="Q966" s="39" t="s">
        <v>3416</v>
      </c>
      <c r="R966" s="34" t="s">
        <v>3407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3410</v>
      </c>
      <c r="X966" s="34" t="s">
        <v>3446</v>
      </c>
      <c r="Y966" s="34" t="s">
        <v>3409</v>
      </c>
      <c r="Z966" s="34">
        <v>36</v>
      </c>
      <c r="AA966" s="34">
        <v>291</v>
      </c>
      <c r="AB966" s="34" t="s">
        <v>3673</v>
      </c>
      <c r="AC966" s="34">
        <v>241</v>
      </c>
      <c r="AD966" s="34" t="s">
        <v>3968</v>
      </c>
      <c r="AE966" s="34" t="s">
        <v>5773</v>
      </c>
      <c r="AF966" s="34" t="s">
        <v>3835</v>
      </c>
      <c r="AG966" s="34" t="s">
        <v>4269</v>
      </c>
      <c r="AH966" s="34" t="s">
        <v>5856</v>
      </c>
      <c r="AL966" s="34" t="s">
        <v>3429</v>
      </c>
      <c r="AM966" s="34" t="s">
        <v>7962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7" t="str">
        <f>IFERROR(INDEX(Структура_ассортимента[SuperCategory],MATCH(Товары[[#This Row],[SubGroup]],Структура_ассортимента[Subgroup],0)),"")</f>
        <v>W</v>
      </c>
      <c r="D9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7" t="str">
        <f>IFERROR(INDEX(Структура_ассортимента[Product group],MATCH(Товары[[#This Row],[SubGroup]],Структура_ассортимента[Subgroup],0)),"")</f>
        <v>WMA_C</v>
      </c>
      <c r="G96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2516</v>
      </c>
      <c r="O967" s="37" t="s">
        <v>6022</v>
      </c>
      <c r="P967" s="37" t="s">
        <v>6023</v>
      </c>
      <c r="Q967" s="39" t="s">
        <v>3416</v>
      </c>
      <c r="R967" s="34" t="s">
        <v>3407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3410</v>
      </c>
      <c r="X967" s="34" t="s">
        <v>3446</v>
      </c>
      <c r="Y967" s="34" t="s">
        <v>3409</v>
      </c>
      <c r="Z967" s="34">
        <v>36</v>
      </c>
      <c r="AA967" s="34">
        <v>240</v>
      </c>
      <c r="AB967" s="34" t="s">
        <v>4019</v>
      </c>
      <c r="AC967" s="34">
        <v>190</v>
      </c>
      <c r="AD967" s="34" t="s">
        <v>3601</v>
      </c>
      <c r="AE967" s="34" t="s">
        <v>5773</v>
      </c>
      <c r="AF967" s="34" t="s">
        <v>3835</v>
      </c>
      <c r="AG967" s="34" t="s">
        <v>4269</v>
      </c>
      <c r="AH967" s="34" t="s">
        <v>5856</v>
      </c>
      <c r="AL967" s="34" t="s">
        <v>3429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7" t="str">
        <f>IFERROR(INDEX(Структура_ассортимента[SuperCategory],MATCH(Товары[[#This Row],[SubGroup]],Структура_ассортимента[Subgroup],0)),"")</f>
        <v>W</v>
      </c>
      <c r="D9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7" t="str">
        <f>IFERROR(INDEX(Структура_ассортимента[Product group],MATCH(Товары[[#This Row],[SubGroup]],Структура_ассортимента[Subgroup],0)),"")</f>
        <v>WMA_C</v>
      </c>
      <c r="G96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2517</v>
      </c>
      <c r="O968" s="37" t="s">
        <v>6024</v>
      </c>
      <c r="P968" s="37" t="s">
        <v>6025</v>
      </c>
      <c r="Q968" s="39" t="s">
        <v>3416</v>
      </c>
      <c r="R968" s="34" t="s">
        <v>3407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3410</v>
      </c>
      <c r="X968" s="34" t="s">
        <v>3446</v>
      </c>
      <c r="Y968" s="34" t="s">
        <v>3409</v>
      </c>
      <c r="Z968" s="34">
        <v>5</v>
      </c>
      <c r="AA968" s="34" t="s">
        <v>3795</v>
      </c>
      <c r="AB968" s="34" t="s">
        <v>3795</v>
      </c>
      <c r="AC968" s="34" t="s">
        <v>3873</v>
      </c>
      <c r="AD968" s="34" t="s">
        <v>3869</v>
      </c>
      <c r="AE968" s="34" t="s">
        <v>3693</v>
      </c>
      <c r="AF968" s="34" t="s">
        <v>3692</v>
      </c>
      <c r="AG968" s="34" t="s">
        <v>4218</v>
      </c>
      <c r="AH968" s="34" t="s">
        <v>6026</v>
      </c>
      <c r="AI968" s="34" t="s">
        <v>3732</v>
      </c>
      <c r="AJ968" s="34" t="s">
        <v>3693</v>
      </c>
      <c r="AK968" s="34" t="s">
        <v>4106</v>
      </c>
      <c r="AL968" s="34" t="s">
        <v>4911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7" t="str">
        <f>IFERROR(INDEX(Структура_ассортимента[SuperCategory],MATCH(Товары[[#This Row],[SubGroup]],Структура_ассортимента[Subgroup],0)),"")</f>
        <v>W</v>
      </c>
      <c r="D9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7" t="str">
        <f>IFERROR(INDEX(Структура_ассортимента[Product group],MATCH(Товары[[#This Row],[SubGroup]],Структура_ассортимента[Subgroup],0)),"")</f>
        <v>WMA_C</v>
      </c>
      <c r="G96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2518</v>
      </c>
      <c r="O969" s="37" t="s">
        <v>6024</v>
      </c>
      <c r="P969" s="37" t="s">
        <v>6027</v>
      </c>
      <c r="Q969" s="39" t="s">
        <v>3416</v>
      </c>
      <c r="R969" s="34" t="s">
        <v>3407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3410</v>
      </c>
      <c r="X969" s="34" t="s">
        <v>3446</v>
      </c>
      <c r="Y969" s="34" t="s">
        <v>3409</v>
      </c>
      <c r="Z969" s="34">
        <v>36</v>
      </c>
      <c r="AA969" s="34" t="s">
        <v>6028</v>
      </c>
      <c r="AB969" s="34" t="s">
        <v>6029</v>
      </c>
      <c r="AC969" s="34" t="s">
        <v>3873</v>
      </c>
      <c r="AD969" s="34" t="s">
        <v>3873</v>
      </c>
      <c r="AE969" s="34" t="s">
        <v>3692</v>
      </c>
      <c r="AF969" s="34" t="s">
        <v>3693</v>
      </c>
      <c r="AG969" s="34" t="s">
        <v>4218</v>
      </c>
      <c r="AH969" s="34" t="s">
        <v>5958</v>
      </c>
      <c r="AI969" s="34" t="s">
        <v>3732</v>
      </c>
      <c r="AJ969" s="34" t="s">
        <v>3693</v>
      </c>
      <c r="AK969" s="34" t="s">
        <v>4106</v>
      </c>
      <c r="AL969" s="34" t="s">
        <v>3429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7" t="str">
        <f>IFERROR(INDEX(Структура_ассортимента[SuperCategory],MATCH(Товары[[#This Row],[SubGroup]],Структура_ассортимента[Subgroup],0)),"")</f>
        <v>W</v>
      </c>
      <c r="D9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7" t="str">
        <f>IFERROR(INDEX(Структура_ассортимента[Product group],MATCH(Товары[[#This Row],[SubGroup]],Структура_ассортимента[Subgroup],0)),"")</f>
        <v>WMA_C</v>
      </c>
      <c r="G97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2519</v>
      </c>
      <c r="O970" s="37" t="s">
        <v>6030</v>
      </c>
      <c r="P970" s="37" t="s">
        <v>6031</v>
      </c>
      <c r="Q970" s="39" t="s">
        <v>3416</v>
      </c>
      <c r="R970" s="34" t="s">
        <v>3407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3413</v>
      </c>
      <c r="X970" s="34" t="s">
        <v>3654</v>
      </c>
      <c r="Y970" s="34" t="s">
        <v>3409</v>
      </c>
      <c r="Z970" s="34">
        <v>5</v>
      </c>
      <c r="AA970" s="34" t="s">
        <v>6032</v>
      </c>
      <c r="AB970" s="34" t="s">
        <v>6033</v>
      </c>
      <c r="AC970" s="34" t="s">
        <v>3968</v>
      </c>
      <c r="AD970" s="34" t="s">
        <v>3863</v>
      </c>
      <c r="AE970" s="34" t="s">
        <v>4027</v>
      </c>
      <c r="AF970" s="34" t="s">
        <v>3575</v>
      </c>
      <c r="AG970" s="34" t="s">
        <v>4048</v>
      </c>
      <c r="AH970" s="34" t="s">
        <v>6034</v>
      </c>
      <c r="AI970" s="34" t="s">
        <v>3483</v>
      </c>
      <c r="AJ970" s="34" t="s">
        <v>4595</v>
      </c>
      <c r="AK970" s="34" t="s">
        <v>3658</v>
      </c>
      <c r="AL970" s="34" t="s">
        <v>5171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7" t="str">
        <f>IFERROR(INDEX(Структура_ассортимента[SuperCategory],MATCH(Товары[[#This Row],[SubGroup]],Структура_ассортимента[Subgroup],0)),"")</f>
        <v>W</v>
      </c>
      <c r="D9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7" t="str">
        <f>IFERROR(INDEX(Структура_ассортимента[Product group],MATCH(Товары[[#This Row],[SubGroup]],Структура_ассортимента[Subgroup],0)),"")</f>
        <v>WMH_C</v>
      </c>
      <c r="G97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2520</v>
      </c>
      <c r="O971" s="37" t="s">
        <v>6035</v>
      </c>
      <c r="P971" s="37" t="s">
        <v>6036</v>
      </c>
      <c r="Q971" s="39" t="s">
        <v>3416</v>
      </c>
      <c r="R971" s="34" t="s">
        <v>3407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3413</v>
      </c>
      <c r="X971" s="34" t="s">
        <v>4735</v>
      </c>
      <c r="Y971" s="34" t="s">
        <v>3409</v>
      </c>
      <c r="Z971" s="34">
        <v>1</v>
      </c>
      <c r="AA971" s="34" t="s">
        <v>5303</v>
      </c>
      <c r="AB971" s="34" t="s">
        <v>5303</v>
      </c>
      <c r="AC971" s="34" t="s">
        <v>6037</v>
      </c>
      <c r="AD971" s="34" t="s">
        <v>6037</v>
      </c>
      <c r="AE971" s="34" t="s">
        <v>4377</v>
      </c>
      <c r="AF971" s="34" t="s">
        <v>4377</v>
      </c>
      <c r="AG971" s="34" t="s">
        <v>3753</v>
      </c>
      <c r="AH971" s="34" t="s">
        <v>6038</v>
      </c>
      <c r="AL971" s="34" t="s">
        <v>4264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7" t="str">
        <f>IFERROR(INDEX(Структура_ассортимента[SuperCategory],MATCH(Товары[[#This Row],[SubGroup]],Структура_ассортимента[Subgroup],0)),"")</f>
        <v>W</v>
      </c>
      <c r="D9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7" t="str">
        <f>IFERROR(INDEX(Структура_ассортимента[Product group],MATCH(Товары[[#This Row],[SubGroup]],Структура_ассортимента[Subgroup],0)),"")</f>
        <v>WMH_C</v>
      </c>
      <c r="G97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2521</v>
      </c>
      <c r="O972" s="37" t="s">
        <v>6039</v>
      </c>
      <c r="P972" s="37" t="s">
        <v>6040</v>
      </c>
      <c r="Q972" s="39" t="s">
        <v>3416</v>
      </c>
      <c r="R972" s="34" t="s">
        <v>3407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3413</v>
      </c>
      <c r="X972" s="34" t="s">
        <v>4735</v>
      </c>
      <c r="Y972" s="34" t="s">
        <v>3409</v>
      </c>
      <c r="Z972" s="34">
        <v>1</v>
      </c>
      <c r="AA972" s="34" t="s">
        <v>6041</v>
      </c>
      <c r="AB972" s="34" t="s">
        <v>6041</v>
      </c>
      <c r="AC972" s="34" t="s">
        <v>6042</v>
      </c>
      <c r="AD972" s="34" t="s">
        <v>6042</v>
      </c>
      <c r="AE972" s="34" t="s">
        <v>4069</v>
      </c>
      <c r="AF972" s="34" t="s">
        <v>4069</v>
      </c>
      <c r="AG972" s="34" t="s">
        <v>3822</v>
      </c>
      <c r="AH972" s="34" t="s">
        <v>6043</v>
      </c>
      <c r="AL972" s="34" t="s">
        <v>4380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7" t="str">
        <f>IFERROR(INDEX(Структура_ассортимента[SuperCategory],MATCH(Товары[[#This Row],[SubGroup]],Структура_ассортимента[Subgroup],0)),"")</f>
        <v>W</v>
      </c>
      <c r="D9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7" t="str">
        <f>IFERROR(INDEX(Структура_ассортимента[Product group],MATCH(Товары[[#This Row],[SubGroup]],Структура_ассортимента[Subgroup],0)),"")</f>
        <v>WMH_C</v>
      </c>
      <c r="G97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2522</v>
      </c>
      <c r="O973" s="37" t="s">
        <v>6044</v>
      </c>
      <c r="P973" s="37" t="s">
        <v>6045</v>
      </c>
      <c r="Q973" s="39" t="s">
        <v>3416</v>
      </c>
      <c r="R973" s="34" t="s">
        <v>3407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3413</v>
      </c>
      <c r="X973" s="34" t="s">
        <v>4735</v>
      </c>
      <c r="Y973" s="34" t="s">
        <v>3409</v>
      </c>
      <c r="Z973" s="34">
        <v>1</v>
      </c>
      <c r="AA973" s="34" t="s">
        <v>6046</v>
      </c>
      <c r="AB973" s="34" t="s">
        <v>6046</v>
      </c>
      <c r="AC973" s="34" t="s">
        <v>6047</v>
      </c>
      <c r="AD973" s="34" t="s">
        <v>6047</v>
      </c>
      <c r="AE973" s="34" t="s">
        <v>4758</v>
      </c>
      <c r="AF973" s="34" t="s">
        <v>4758</v>
      </c>
      <c r="AG973" s="34" t="s">
        <v>4416</v>
      </c>
      <c r="AH973" s="34" t="s">
        <v>6048</v>
      </c>
      <c r="AL973" s="34" t="s">
        <v>6049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7" t="str">
        <f>IFERROR(INDEX(Структура_ассортимента[SuperCategory],MATCH(Товары[[#This Row],[SubGroup]],Структура_ассортимента[Subgroup],0)),"")</f>
        <v>W</v>
      </c>
      <c r="D9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7" t="str">
        <f>IFERROR(INDEX(Структура_ассортимента[Product group],MATCH(Товары[[#This Row],[SubGroup]],Структура_ассортимента[Subgroup],0)),"")</f>
        <v>WMH_C</v>
      </c>
      <c r="G97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2523</v>
      </c>
      <c r="Q974" s="39" t="s">
        <v>3416</v>
      </c>
      <c r="R974" s="34" t="s">
        <v>3407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3413</v>
      </c>
      <c r="X974" s="34" t="s">
        <v>4735</v>
      </c>
      <c r="Y974" s="34" t="s">
        <v>3409</v>
      </c>
      <c r="Z974" s="34">
        <v>1</v>
      </c>
      <c r="AA974" s="34">
        <v>0</v>
      </c>
      <c r="AB974" s="34" t="s">
        <v>6050</v>
      </c>
      <c r="AC974" s="34">
        <v>0</v>
      </c>
      <c r="AD974" s="34" t="s">
        <v>6051</v>
      </c>
      <c r="AE974" s="34" t="s">
        <v>4758</v>
      </c>
      <c r="AF974" s="34" t="s">
        <v>4758</v>
      </c>
      <c r="AG974" s="34" t="s">
        <v>3667</v>
      </c>
      <c r="AH974" s="34" t="s">
        <v>6052</v>
      </c>
      <c r="AL974" s="34" t="s">
        <v>4898</v>
      </c>
      <c r="AM974" s="34" t="s">
        <v>7962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7" t="str">
        <f>IFERROR(INDEX(Структура_ассортимента[SuperCategory],MATCH(Товары[[#This Row],[SubGroup]],Структура_ассортимента[Subgroup],0)),"")</f>
        <v>W</v>
      </c>
      <c r="D9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7" t="str">
        <f>IFERROR(INDEX(Структура_ассортимента[Product group],MATCH(Товары[[#This Row],[SubGroup]],Структура_ассортимента[Subgroup],0)),"")</f>
        <v>WMH_C</v>
      </c>
      <c r="G97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2524</v>
      </c>
      <c r="O975" s="37" t="s">
        <v>6053</v>
      </c>
      <c r="P975" s="37" t="s">
        <v>6054</v>
      </c>
      <c r="Q975" s="39" t="s">
        <v>3416</v>
      </c>
      <c r="R975" s="34" t="s">
        <v>3407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3413</v>
      </c>
      <c r="X975" s="34" t="s">
        <v>4735</v>
      </c>
      <c r="Y975" s="34" t="s">
        <v>3409</v>
      </c>
      <c r="Z975" s="34">
        <v>1</v>
      </c>
      <c r="AA975" s="34" t="s">
        <v>6055</v>
      </c>
      <c r="AC975" s="34" t="s">
        <v>5225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7" t="str">
        <f>IFERROR(INDEX(Структура_ассортимента[SuperCategory],MATCH(Товары[[#This Row],[SubGroup]],Структура_ассортимента[Subgroup],0)),"")</f>
        <v>W</v>
      </c>
      <c r="D9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7" t="str">
        <f>IFERROR(INDEX(Структура_ассортимента[Product group],MATCH(Товары[[#This Row],[SubGroup]],Структура_ассортимента[Subgroup],0)),"")</f>
        <v>WMH_C</v>
      </c>
      <c r="G97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2525</v>
      </c>
      <c r="Q976" s="39" t="s">
        <v>3416</v>
      </c>
      <c r="R976" s="34" t="s">
        <v>3407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3417</v>
      </c>
      <c r="X976" s="34" t="s">
        <v>4735</v>
      </c>
      <c r="Y976" s="34" t="s">
        <v>3409</v>
      </c>
      <c r="Z976" s="34">
        <v>1</v>
      </c>
      <c r="AA976" s="34" t="s">
        <v>6056</v>
      </c>
      <c r="AB976" s="34" t="s">
        <v>6056</v>
      </c>
      <c r="AC976" s="34" t="s">
        <v>6057</v>
      </c>
      <c r="AD976" s="34" t="s">
        <v>6057</v>
      </c>
      <c r="AE976" s="34" t="s">
        <v>4069</v>
      </c>
      <c r="AF976" s="34" t="s">
        <v>4069</v>
      </c>
      <c r="AG976" s="34" t="s">
        <v>3822</v>
      </c>
      <c r="AH976" s="34" t="s">
        <v>6043</v>
      </c>
      <c r="AL976" s="34" t="s">
        <v>3709</v>
      </c>
      <c r="AM976" s="34" t="s">
        <v>7962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7" t="str">
        <f>IFERROR(INDEX(Структура_ассортимента[SuperCategory],MATCH(Товары[[#This Row],[SubGroup]],Структура_ассортимента[Subgroup],0)),"")</f>
        <v>W</v>
      </c>
      <c r="D9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7" t="str">
        <f>IFERROR(INDEX(Структура_ассортимента[Product group],MATCH(Товары[[#This Row],[SubGroup]],Структура_ассортимента[Subgroup],0)),"")</f>
        <v>WMH_C</v>
      </c>
      <c r="G97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2526</v>
      </c>
      <c r="Q977" s="39" t="s">
        <v>3416</v>
      </c>
      <c r="R977" s="34" t="s">
        <v>3407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3413</v>
      </c>
      <c r="X977" s="34" t="s">
        <v>6058</v>
      </c>
      <c r="Y977" s="34" t="s">
        <v>6059</v>
      </c>
      <c r="Z977" s="34">
        <v>1</v>
      </c>
      <c r="AA977" s="34" t="s">
        <v>6060</v>
      </c>
      <c r="AB977" s="34" t="s">
        <v>5249</v>
      </c>
      <c r="AC977" s="34" t="s">
        <v>4186</v>
      </c>
      <c r="AD977" s="34" t="s">
        <v>6061</v>
      </c>
      <c r="AE977" s="34" t="s">
        <v>4915</v>
      </c>
      <c r="AF977" s="34" t="s">
        <v>4915</v>
      </c>
      <c r="AG977" s="34" t="s">
        <v>4526</v>
      </c>
      <c r="AH977" s="34" t="s">
        <v>6062</v>
      </c>
      <c r="AL977" s="34" t="s">
        <v>3697</v>
      </c>
      <c r="AM977" s="34" t="s">
        <v>7962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7" t="str">
        <f>IFERROR(INDEX(Структура_ассортимента[SuperCategory],MATCH(Товары[[#This Row],[SubGroup]],Структура_ассортимента[Subgroup],0)),"")</f>
        <v>W</v>
      </c>
      <c r="D9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7" t="str">
        <f>IFERROR(INDEX(Структура_ассортимента[Product group],MATCH(Товары[[#This Row],[SubGroup]],Структура_ассортимента[Subgroup],0)),"")</f>
        <v>WMH_C</v>
      </c>
      <c r="G97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2527</v>
      </c>
      <c r="O978" s="37" t="s">
        <v>6063</v>
      </c>
      <c r="P978" s="37" t="s">
        <v>6064</v>
      </c>
      <c r="Q978" s="39" t="s">
        <v>3416</v>
      </c>
      <c r="R978" s="34" t="s">
        <v>3407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3413</v>
      </c>
      <c r="X978" s="34" t="s">
        <v>6058</v>
      </c>
      <c r="Y978" s="34" t="s">
        <v>6059</v>
      </c>
      <c r="Z978" s="34">
        <v>1</v>
      </c>
      <c r="AA978" s="34" t="s">
        <v>6065</v>
      </c>
      <c r="AB978" s="34" t="s">
        <v>6065</v>
      </c>
      <c r="AC978" s="34" t="s">
        <v>5432</v>
      </c>
      <c r="AD978" s="34" t="s">
        <v>5432</v>
      </c>
      <c r="AE978" s="34" t="s">
        <v>4377</v>
      </c>
      <c r="AF978" s="34" t="s">
        <v>4377</v>
      </c>
      <c r="AG978" s="34" t="s">
        <v>4526</v>
      </c>
      <c r="AH978" s="34" t="s">
        <v>6066</v>
      </c>
      <c r="AL978" s="34" t="s">
        <v>3697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7" t="str">
        <f>IFERROR(INDEX(Структура_ассортимента[SuperCategory],MATCH(Товары[[#This Row],[SubGroup]],Структура_ассортимента[Subgroup],0)),"")</f>
        <v>W</v>
      </c>
      <c r="D9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7" t="str">
        <f>IFERROR(INDEX(Структура_ассортимента[Product group],MATCH(Товары[[#This Row],[SubGroup]],Структура_ассортимента[Subgroup],0)),"")</f>
        <v>WMH_C</v>
      </c>
      <c r="G97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2528</v>
      </c>
      <c r="O979" s="37" t="s">
        <v>6063</v>
      </c>
      <c r="P979" s="37" t="s">
        <v>6064</v>
      </c>
      <c r="Q979" s="39" t="s">
        <v>3416</v>
      </c>
      <c r="R979" s="34" t="s">
        <v>3407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3417</v>
      </c>
      <c r="X979" s="34" t="s">
        <v>6058</v>
      </c>
      <c r="Y979" s="34" t="s">
        <v>6059</v>
      </c>
      <c r="Z979" s="34">
        <v>14</v>
      </c>
      <c r="AA979" s="34" t="s">
        <v>6067</v>
      </c>
      <c r="AB979" s="34" t="s">
        <v>6067</v>
      </c>
      <c r="AC979" s="34" t="s">
        <v>5432</v>
      </c>
      <c r="AD979" s="34" t="s">
        <v>5432</v>
      </c>
      <c r="AE979" s="34" t="s">
        <v>3477</v>
      </c>
      <c r="AF979" s="34" t="s">
        <v>3477</v>
      </c>
      <c r="AG979" s="34" t="s">
        <v>4416</v>
      </c>
      <c r="AH979" s="34" t="s">
        <v>6068</v>
      </c>
      <c r="AL979" s="34" t="s">
        <v>6069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7" t="str">
        <f>IFERROR(INDEX(Структура_ассортимента[SuperCategory],MATCH(Товары[[#This Row],[SubGroup]],Структура_ассортимента[Subgroup],0)),"")</f>
        <v>W</v>
      </c>
      <c r="D9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7" t="str">
        <f>IFERROR(INDEX(Структура_ассортимента[Product group],MATCH(Товары[[#This Row],[SubGroup]],Структура_ассортимента[Subgroup],0)),"")</f>
        <v>WMH_C</v>
      </c>
      <c r="G98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2529</v>
      </c>
      <c r="O980" s="37" t="s">
        <v>6070</v>
      </c>
      <c r="P980" s="37" t="s">
        <v>6071</v>
      </c>
      <c r="Q980" s="39" t="s">
        <v>3416</v>
      </c>
      <c r="R980" s="34" t="s">
        <v>3407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3413</v>
      </c>
      <c r="X980" s="34" t="s">
        <v>4735</v>
      </c>
      <c r="Y980" s="34" t="s">
        <v>6059</v>
      </c>
      <c r="Z980" s="34">
        <v>1</v>
      </c>
      <c r="AA980" s="34" t="s">
        <v>6046</v>
      </c>
      <c r="AB980" s="34" t="s">
        <v>6046</v>
      </c>
      <c r="AC980" s="34" t="s">
        <v>6072</v>
      </c>
      <c r="AD980" s="34" t="s">
        <v>6072</v>
      </c>
      <c r="AE980" s="34" t="s">
        <v>4377</v>
      </c>
      <c r="AF980" s="34" t="s">
        <v>4377</v>
      </c>
      <c r="AG980" s="34" t="s">
        <v>4416</v>
      </c>
      <c r="AH980" s="34" t="s">
        <v>6073</v>
      </c>
      <c r="AL980" s="34" t="s">
        <v>6049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7" t="str">
        <f>IFERROR(INDEX(Структура_ассортимента[SuperCategory],MATCH(Товары[[#This Row],[SubGroup]],Структура_ассортимента[Subgroup],0)),"")</f>
        <v>W</v>
      </c>
      <c r="D9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7" t="str">
        <f>IFERROR(INDEX(Структура_ассортимента[Product group],MATCH(Товары[[#This Row],[SubGroup]],Структура_ассортимента[Subgroup],0)),"")</f>
        <v>WMH_C</v>
      </c>
      <c r="G98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2530</v>
      </c>
      <c r="O981" s="37" t="s">
        <v>6074</v>
      </c>
      <c r="P981" s="37" t="s">
        <v>6075</v>
      </c>
      <c r="Q981" s="39" t="s">
        <v>3416</v>
      </c>
      <c r="R981" s="34" t="s">
        <v>3407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3413</v>
      </c>
      <c r="X981" s="34" t="s">
        <v>4735</v>
      </c>
      <c r="Y981" s="34" t="s">
        <v>6059</v>
      </c>
      <c r="Z981" s="34">
        <v>1</v>
      </c>
      <c r="AA981" s="34" t="s">
        <v>6076</v>
      </c>
      <c r="AB981" s="34" t="s">
        <v>6076</v>
      </c>
      <c r="AC981" s="34" t="s">
        <v>4316</v>
      </c>
      <c r="AD981" s="34" t="s">
        <v>4316</v>
      </c>
      <c r="AE981" s="34" t="s">
        <v>4758</v>
      </c>
      <c r="AF981" s="34" t="s">
        <v>4758</v>
      </c>
      <c r="AG981" s="34" t="s">
        <v>4416</v>
      </c>
      <c r="AH981" s="34" t="s">
        <v>6048</v>
      </c>
      <c r="AL981" s="34" t="s">
        <v>4264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7" t="str">
        <f>IFERROR(INDEX(Структура_ассортимента[SuperCategory],MATCH(Товары[[#This Row],[SubGroup]],Структура_ассортимента[Subgroup],0)),"")</f>
        <v>W</v>
      </c>
      <c r="D9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7" t="str">
        <f>IFERROR(INDEX(Структура_ассортимента[Product group],MATCH(Товары[[#This Row],[SubGroup]],Структура_ассортимента[Subgroup],0)),"")</f>
        <v>WMH_C</v>
      </c>
      <c r="G98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2531</v>
      </c>
      <c r="Q982" s="39" t="s">
        <v>3416</v>
      </c>
      <c r="R982" s="34" t="s">
        <v>3407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3413</v>
      </c>
      <c r="X982" s="34" t="s">
        <v>4735</v>
      </c>
      <c r="Y982" s="34" t="s">
        <v>6059</v>
      </c>
      <c r="Z982" s="34">
        <v>1</v>
      </c>
      <c r="AA982" s="34" t="s">
        <v>6077</v>
      </c>
      <c r="AB982" s="34" t="s">
        <v>5303</v>
      </c>
      <c r="AC982" s="34" t="s">
        <v>6078</v>
      </c>
      <c r="AD982" s="34" t="s">
        <v>5375</v>
      </c>
      <c r="AE982" s="34" t="s">
        <v>4377</v>
      </c>
      <c r="AF982" s="34" t="s">
        <v>4377</v>
      </c>
      <c r="AG982" s="34" t="s">
        <v>3427</v>
      </c>
      <c r="AH982" s="34" t="s">
        <v>6079</v>
      </c>
      <c r="AL982" s="34" t="s">
        <v>6069</v>
      </c>
      <c r="AM982" s="34" t="s">
        <v>7962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7" t="str">
        <f>IFERROR(INDEX(Структура_ассортимента[SuperCategory],MATCH(Товары[[#This Row],[SubGroup]],Структура_ассортимента[Subgroup],0)),"")</f>
        <v>W</v>
      </c>
      <c r="D9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7" t="str">
        <f>IFERROR(INDEX(Структура_ассортимента[Product group],MATCH(Товары[[#This Row],[SubGroup]],Структура_ассортимента[Subgroup],0)),"")</f>
        <v>WMH_C</v>
      </c>
      <c r="G98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2532</v>
      </c>
      <c r="O983" s="37" t="s">
        <v>6080</v>
      </c>
      <c r="P983" s="37" t="s">
        <v>6081</v>
      </c>
      <c r="Q983" s="39" t="s">
        <v>3416</v>
      </c>
      <c r="R983" s="34" t="s">
        <v>3407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3413</v>
      </c>
      <c r="X983" s="34" t="s">
        <v>4735</v>
      </c>
      <c r="Y983" s="34" t="s">
        <v>6059</v>
      </c>
      <c r="Z983" s="34">
        <v>1</v>
      </c>
      <c r="AA983" s="34" t="s">
        <v>6082</v>
      </c>
      <c r="AB983" s="34" t="s">
        <v>6082</v>
      </c>
      <c r="AC983" s="34" t="s">
        <v>6083</v>
      </c>
      <c r="AD983" s="34" t="s">
        <v>6084</v>
      </c>
      <c r="AE983" s="34" t="s">
        <v>4758</v>
      </c>
      <c r="AF983" s="34" t="s">
        <v>4758</v>
      </c>
      <c r="AG983" s="34" t="s">
        <v>3787</v>
      </c>
      <c r="AH983" s="34" t="s">
        <v>6085</v>
      </c>
      <c r="AL983" s="34" t="s">
        <v>4380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7" t="str">
        <f>IFERROR(INDEX(Структура_ассортимента[SuperCategory],MATCH(Товары[[#This Row],[SubGroup]],Структура_ассортимента[Subgroup],0)),"")</f>
        <v>W</v>
      </c>
      <c r="D9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7" t="str">
        <f>IFERROR(INDEX(Структура_ассортимента[Product group],MATCH(Товары[[#This Row],[SubGroup]],Структура_ассортимента[Subgroup],0)),"")</f>
        <v>WMH_C</v>
      </c>
      <c r="G98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2533</v>
      </c>
      <c r="Q984" s="39" t="s">
        <v>3416</v>
      </c>
      <c r="R984" s="34" t="s">
        <v>3407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3417</v>
      </c>
      <c r="X984" s="34" t="s">
        <v>4735</v>
      </c>
      <c r="Y984" s="34" t="s">
        <v>6059</v>
      </c>
      <c r="Z984" s="34">
        <v>1</v>
      </c>
      <c r="AA984" s="34" t="s">
        <v>6086</v>
      </c>
      <c r="AB984" s="34" t="s">
        <v>6086</v>
      </c>
      <c r="AC984" s="34" t="s">
        <v>6087</v>
      </c>
      <c r="AD984" s="34" t="s">
        <v>6087</v>
      </c>
      <c r="AE984" s="34" t="s">
        <v>3490</v>
      </c>
      <c r="AF984" s="34" t="s">
        <v>3490</v>
      </c>
      <c r="AG984" s="34" t="s">
        <v>4258</v>
      </c>
      <c r="AH984" s="34" t="s">
        <v>6088</v>
      </c>
      <c r="AL984" s="34" t="s">
        <v>4081</v>
      </c>
      <c r="AM984" s="34" t="s">
        <v>7962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7" t="str">
        <f>IFERROR(INDEX(Структура_ассортимента[SuperCategory],MATCH(Товары[[#This Row],[SubGroup]],Структура_ассортимента[Subgroup],0)),"")</f>
        <v>W</v>
      </c>
      <c r="D9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7" t="str">
        <f>IFERROR(INDEX(Структура_ассортимента[Product group],MATCH(Товары[[#This Row],[SubGroup]],Структура_ассортимента[Subgroup],0)),"")</f>
        <v>WMH_C</v>
      </c>
      <c r="G98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2534</v>
      </c>
      <c r="Q985" s="39" t="s">
        <v>3416</v>
      </c>
      <c r="R985" s="34" t="s">
        <v>3407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3417</v>
      </c>
      <c r="X985" s="34" t="s">
        <v>4735</v>
      </c>
      <c r="Y985" s="34" t="s">
        <v>6059</v>
      </c>
      <c r="Z985" s="34">
        <v>1</v>
      </c>
      <c r="AA985" s="34" t="s">
        <v>6089</v>
      </c>
      <c r="AB985" s="34" t="s">
        <v>6089</v>
      </c>
      <c r="AC985" s="34" t="s">
        <v>6090</v>
      </c>
      <c r="AD985" s="34" t="s">
        <v>6090</v>
      </c>
      <c r="AE985" s="34" t="s">
        <v>4758</v>
      </c>
      <c r="AF985" s="34" t="s">
        <v>4758</v>
      </c>
      <c r="AG985" s="34" t="s">
        <v>3433</v>
      </c>
      <c r="AH985" s="34" t="s">
        <v>6091</v>
      </c>
      <c r="AL985" s="34" t="s">
        <v>4081</v>
      </c>
      <c r="AM985" s="34" t="s">
        <v>7962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7" t="str">
        <f>IFERROR(INDEX(Структура_ассортимента[SuperCategory],MATCH(Товары[[#This Row],[SubGroup]],Структура_ассортимента[Subgroup],0)),"")</f>
        <v>W</v>
      </c>
      <c r="D9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7" t="str">
        <f>IFERROR(INDEX(Структура_ассортимента[Product group],MATCH(Товары[[#This Row],[SubGroup]],Структура_ассортимента[Subgroup],0)),"")</f>
        <v>WMH_C</v>
      </c>
      <c r="G98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2535</v>
      </c>
      <c r="O986" s="37" t="s">
        <v>6092</v>
      </c>
      <c r="P986" s="37" t="s">
        <v>6093</v>
      </c>
      <c r="Q986" s="39" t="s">
        <v>3416</v>
      </c>
      <c r="R986" s="34" t="s">
        <v>3407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3417</v>
      </c>
      <c r="X986" s="34" t="s">
        <v>3446</v>
      </c>
      <c r="Y986" s="34" t="s">
        <v>6059</v>
      </c>
      <c r="Z986" s="34">
        <v>1</v>
      </c>
      <c r="AA986" s="34" t="s">
        <v>6094</v>
      </c>
      <c r="AB986" s="34" t="s">
        <v>6094</v>
      </c>
      <c r="AC986" s="34" t="s">
        <v>6077</v>
      </c>
      <c r="AD986" s="34" t="s">
        <v>6077</v>
      </c>
      <c r="AE986" s="34" t="s">
        <v>4069</v>
      </c>
      <c r="AF986" s="34" t="s">
        <v>4069</v>
      </c>
      <c r="AG986" s="34" t="s">
        <v>3560</v>
      </c>
      <c r="AH986" s="34" t="s">
        <v>6095</v>
      </c>
      <c r="AL986" s="34" t="s">
        <v>5309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7" t="str">
        <f>IFERROR(INDEX(Структура_ассортимента[SuperCategory],MATCH(Товары[[#This Row],[SubGroup]],Структура_ассортимента[Subgroup],0)),"")</f>
        <v>W</v>
      </c>
      <c r="D9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7" t="str">
        <f>IFERROR(INDEX(Структура_ассортимента[Product group],MATCH(Товары[[#This Row],[SubGroup]],Структура_ассортимента[Subgroup],0)),"")</f>
        <v>WMH_C</v>
      </c>
      <c r="G98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2536</v>
      </c>
      <c r="Q987" s="39" t="s">
        <v>3416</v>
      </c>
      <c r="R987" s="34" t="s">
        <v>3407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3417</v>
      </c>
      <c r="X987" s="34" t="s">
        <v>4735</v>
      </c>
      <c r="Y987" s="34" t="s">
        <v>5848</v>
      </c>
      <c r="Z987" s="34">
        <v>50</v>
      </c>
      <c r="AA987" s="34" t="s">
        <v>4748</v>
      </c>
      <c r="AB987" s="34" t="s">
        <v>4748</v>
      </c>
      <c r="AC987" s="34" t="s">
        <v>6096</v>
      </c>
      <c r="AD987" s="34" t="s">
        <v>6096</v>
      </c>
      <c r="AE987" s="34" t="s">
        <v>3623</v>
      </c>
      <c r="AF987" s="34" t="s">
        <v>4993</v>
      </c>
      <c r="AG987" s="34" t="s">
        <v>4993</v>
      </c>
      <c r="AH987" s="34" t="s">
        <v>6097</v>
      </c>
      <c r="AL987" s="34" t="s">
        <v>6098</v>
      </c>
      <c r="AM987" s="34" t="s">
        <v>7962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7" t="str">
        <f>IFERROR(INDEX(Структура_ассортимента[SuperCategory],MATCH(Товары[[#This Row],[SubGroup]],Структура_ассортимента[Subgroup],0)),"")</f>
        <v>W</v>
      </c>
      <c r="D9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7" t="str">
        <f>IFERROR(INDEX(Структура_ассортимента[Product group],MATCH(Товары[[#This Row],[SubGroup]],Структура_ассортимента[Subgroup],0)),"")</f>
        <v>WMH_C</v>
      </c>
      <c r="G98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2537</v>
      </c>
      <c r="O988" s="37" t="s">
        <v>6099</v>
      </c>
      <c r="P988" s="37" t="s">
        <v>6100</v>
      </c>
      <c r="Q988" s="39" t="s">
        <v>3416</v>
      </c>
      <c r="R988" s="34" t="s">
        <v>3407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3413</v>
      </c>
      <c r="X988" s="34" t="s">
        <v>4735</v>
      </c>
      <c r="Y988" s="34" t="s">
        <v>6059</v>
      </c>
      <c r="Z988" s="34">
        <v>1</v>
      </c>
      <c r="AA988" s="34" t="s">
        <v>6101</v>
      </c>
      <c r="AB988" s="34" t="s">
        <v>6101</v>
      </c>
      <c r="AC988" s="34" t="s">
        <v>6102</v>
      </c>
      <c r="AD988" s="34" t="s">
        <v>6102</v>
      </c>
      <c r="AE988" s="34" t="s">
        <v>4280</v>
      </c>
      <c r="AF988" s="34" t="s">
        <v>4280</v>
      </c>
      <c r="AG988" s="34" t="s">
        <v>3835</v>
      </c>
      <c r="AH988" s="34" t="s">
        <v>6103</v>
      </c>
      <c r="AL988" s="34" t="s">
        <v>4380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7" t="str">
        <f>IFERROR(INDEX(Структура_ассортимента[SuperCategory],MATCH(Товары[[#This Row],[SubGroup]],Структура_ассортимента[Subgroup],0)),"")</f>
        <v>W</v>
      </c>
      <c r="D9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7" t="str">
        <f>IFERROR(INDEX(Структура_ассортимента[Product group],MATCH(Товары[[#This Row],[SubGroup]],Структура_ассортимента[Subgroup],0)),"")</f>
        <v>WMH_C</v>
      </c>
      <c r="G98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2538</v>
      </c>
      <c r="O989" s="37" t="s">
        <v>6074</v>
      </c>
      <c r="P989" s="37" t="s">
        <v>6104</v>
      </c>
      <c r="Q989" s="39" t="s">
        <v>3416</v>
      </c>
      <c r="R989" s="34" t="s">
        <v>3407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3417</v>
      </c>
      <c r="X989" s="34" t="s">
        <v>6058</v>
      </c>
      <c r="Y989" s="34" t="s">
        <v>6059</v>
      </c>
      <c r="Z989" s="34">
        <v>14</v>
      </c>
      <c r="AA989" s="34" t="s">
        <v>5257</v>
      </c>
      <c r="AB989" s="34" t="s">
        <v>5257</v>
      </c>
      <c r="AC989" s="34" t="s">
        <v>6105</v>
      </c>
      <c r="AD989" s="34" t="s">
        <v>6105</v>
      </c>
      <c r="AE989" s="34" t="s">
        <v>3477</v>
      </c>
      <c r="AF989" s="34" t="s">
        <v>3477</v>
      </c>
      <c r="AG989" s="34" t="s">
        <v>4416</v>
      </c>
      <c r="AH989" s="34" t="s">
        <v>6068</v>
      </c>
      <c r="AL989" s="34" t="s">
        <v>6069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7" t="str">
        <f>IFERROR(INDEX(Структура_ассортимента[SuperCategory],MATCH(Товары[[#This Row],[SubGroup]],Структура_ассортимента[Subgroup],0)),"")</f>
        <v>W</v>
      </c>
      <c r="D9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7" t="str">
        <f>IFERROR(INDEX(Структура_ассортимента[Product group],MATCH(Товары[[#This Row],[SubGroup]],Структура_ассортимента[Subgroup],0)),"")</f>
        <v>WMH_C</v>
      </c>
      <c r="G99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2539</v>
      </c>
      <c r="O990" s="37" t="s">
        <v>6106</v>
      </c>
      <c r="P990" s="37" t="s">
        <v>6107</v>
      </c>
      <c r="Q990" s="39" t="s">
        <v>3416</v>
      </c>
      <c r="R990" s="34" t="s">
        <v>3407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3413</v>
      </c>
      <c r="X990" s="34" t="s">
        <v>6058</v>
      </c>
      <c r="Y990" s="34" t="s">
        <v>6059</v>
      </c>
      <c r="Z990" s="34">
        <v>1</v>
      </c>
      <c r="AA990" s="34" t="s">
        <v>6108</v>
      </c>
      <c r="AB990" s="34" t="s">
        <v>3503</v>
      </c>
      <c r="AC990" s="34" t="s">
        <v>3503</v>
      </c>
      <c r="AD990" s="34" t="s">
        <v>3503</v>
      </c>
      <c r="AE990" s="34" t="s">
        <v>4909</v>
      </c>
      <c r="AF990" s="34" t="s">
        <v>4909</v>
      </c>
      <c r="AG990" s="34" t="s">
        <v>4202</v>
      </c>
      <c r="AH990" s="34" t="s">
        <v>6109</v>
      </c>
      <c r="AL990" s="34" t="s">
        <v>3848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7" t="str">
        <f>IFERROR(INDEX(Структура_ассортимента[SuperCategory],MATCH(Товары[[#This Row],[SubGroup]],Структура_ассортимента[Subgroup],0)),"")</f>
        <v>W</v>
      </c>
      <c r="D9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7" t="str">
        <f>IFERROR(INDEX(Структура_ассортимента[Product group],MATCH(Товары[[#This Row],[SubGroup]],Структура_ассортимента[Subgroup],0)),"")</f>
        <v>WMH_C</v>
      </c>
      <c r="G99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2540</v>
      </c>
      <c r="Q991" s="39" t="s">
        <v>3416</v>
      </c>
      <c r="R991" s="34" t="s">
        <v>3407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3417</v>
      </c>
      <c r="X991" s="34" t="s">
        <v>6058</v>
      </c>
      <c r="Y991" s="34" t="s">
        <v>6059</v>
      </c>
      <c r="Z991" s="34">
        <v>1</v>
      </c>
      <c r="AA991" s="34" t="s">
        <v>6110</v>
      </c>
      <c r="AB991" s="34" t="s">
        <v>6111</v>
      </c>
      <c r="AC991" s="34" t="s">
        <v>4925</v>
      </c>
      <c r="AD991" s="34" t="s">
        <v>4925</v>
      </c>
      <c r="AE991" s="34" t="s">
        <v>4915</v>
      </c>
      <c r="AF991" s="34" t="s">
        <v>4915</v>
      </c>
      <c r="AG991" s="34" t="s">
        <v>3667</v>
      </c>
      <c r="AH991" s="34" t="s">
        <v>6112</v>
      </c>
      <c r="AL991" s="34" t="s">
        <v>6113</v>
      </c>
      <c r="AM991" s="34" t="s">
        <v>7962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7" t="str">
        <f>IFERROR(INDEX(Структура_ассортимента[SuperCategory],MATCH(Товары[[#This Row],[SubGroup]],Структура_ассортимента[Subgroup],0)),"")</f>
        <v>W</v>
      </c>
      <c r="D9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7" t="str">
        <f>IFERROR(INDEX(Структура_ассортимента[Product group],MATCH(Товары[[#This Row],[SubGroup]],Структура_ассортимента[Subgroup],0)),"")</f>
        <v>WMH_C</v>
      </c>
      <c r="G99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2541</v>
      </c>
      <c r="O992" s="37" t="s">
        <v>6114</v>
      </c>
      <c r="P992" s="37" t="s">
        <v>6115</v>
      </c>
      <c r="Q992" s="39" t="s">
        <v>3416</v>
      </c>
      <c r="R992" s="34" t="s">
        <v>3407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3413</v>
      </c>
      <c r="X992" s="34" t="s">
        <v>6058</v>
      </c>
      <c r="Y992" s="34" t="s">
        <v>6059</v>
      </c>
      <c r="Z992" s="34">
        <v>1</v>
      </c>
      <c r="AA992" s="34" t="s">
        <v>6116</v>
      </c>
      <c r="AB992" s="34" t="s">
        <v>6117</v>
      </c>
      <c r="AC992" s="34" t="s">
        <v>4744</v>
      </c>
      <c r="AD992" s="34" t="s">
        <v>5314</v>
      </c>
      <c r="AE992" s="34" t="s">
        <v>4758</v>
      </c>
      <c r="AF992" s="34" t="s">
        <v>4758</v>
      </c>
      <c r="AG992" s="34" t="s">
        <v>4416</v>
      </c>
      <c r="AH992" s="34" t="s">
        <v>6118</v>
      </c>
      <c r="AL992" s="34" t="s">
        <v>6049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7" t="str">
        <f>IFERROR(INDEX(Структура_ассортимента[SuperCategory],MATCH(Товары[[#This Row],[SubGroup]],Структура_ассортимента[Subgroup],0)),"")</f>
        <v>W</v>
      </c>
      <c r="D9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7" t="str">
        <f>IFERROR(INDEX(Структура_ассортимента[Product group],MATCH(Товары[[#This Row],[SubGroup]],Структура_ассортимента[Subgroup],0)),"")</f>
        <v>WMH_C</v>
      </c>
      <c r="G99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2542</v>
      </c>
      <c r="O993" s="37" t="s">
        <v>6119</v>
      </c>
      <c r="P993" s="37" t="s">
        <v>6120</v>
      </c>
      <c r="Q993" s="39" t="s">
        <v>3416</v>
      </c>
      <c r="R993" s="34" t="s">
        <v>3407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3413</v>
      </c>
      <c r="X993" s="34" t="s">
        <v>3774</v>
      </c>
      <c r="Y993" s="34" t="s">
        <v>6059</v>
      </c>
      <c r="Z993" s="34">
        <v>1</v>
      </c>
      <c r="AA993" s="34" t="s">
        <v>5451</v>
      </c>
      <c r="AB993" s="34" t="s">
        <v>5451</v>
      </c>
      <c r="AC993" s="34" t="s">
        <v>5257</v>
      </c>
      <c r="AD993" s="34" t="s">
        <v>5257</v>
      </c>
      <c r="AE993" s="34" t="s">
        <v>4758</v>
      </c>
      <c r="AF993" s="34" t="s">
        <v>4758</v>
      </c>
      <c r="AG993" s="34" t="s">
        <v>4416</v>
      </c>
      <c r="AH993" s="34" t="s">
        <v>6048</v>
      </c>
      <c r="AL993" s="34" t="s">
        <v>6049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7" t="str">
        <f>IFERROR(INDEX(Структура_ассортимента[SuperCategory],MATCH(Товары[[#This Row],[SubGroup]],Структура_ассортимента[Subgroup],0)),"")</f>
        <v>W</v>
      </c>
      <c r="D9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7" t="str">
        <f>IFERROR(INDEX(Структура_ассортимента[Product group],MATCH(Товары[[#This Row],[SubGroup]],Структура_ассортимента[Subgroup],0)),"")</f>
        <v>WMH_C</v>
      </c>
      <c r="G99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2543</v>
      </c>
      <c r="O994" s="37" t="s">
        <v>6121</v>
      </c>
      <c r="P994" s="37" t="s">
        <v>6122</v>
      </c>
      <c r="Q994" s="39" t="s">
        <v>3416</v>
      </c>
      <c r="R994" s="34" t="s">
        <v>3407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3417</v>
      </c>
      <c r="X994" s="34" t="s">
        <v>6058</v>
      </c>
      <c r="Y994" s="34" t="s">
        <v>6059</v>
      </c>
      <c r="Z994" s="34">
        <v>1</v>
      </c>
      <c r="AA994" s="34" t="s">
        <v>6123</v>
      </c>
      <c r="AB994" s="34" t="s">
        <v>6124</v>
      </c>
      <c r="AC994" s="34" t="s">
        <v>5202</v>
      </c>
      <c r="AD994" s="34" t="s">
        <v>6125</v>
      </c>
      <c r="AE994" s="34" t="s">
        <v>4758</v>
      </c>
      <c r="AF994" s="34" t="s">
        <v>4758</v>
      </c>
      <c r="AG994" s="34" t="s">
        <v>3433</v>
      </c>
      <c r="AH994" s="34" t="s">
        <v>6091</v>
      </c>
      <c r="AL994" s="34" t="s">
        <v>4081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7" t="str">
        <f>IFERROR(INDEX(Структура_ассортимента[SuperCategory],MATCH(Товары[[#This Row],[SubGroup]],Структура_ассортимента[Subgroup],0)),"")</f>
        <v>W</v>
      </c>
      <c r="D9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7" t="str">
        <f>IFERROR(INDEX(Структура_ассортимента[Product group],MATCH(Товары[[#This Row],[SubGroup]],Структура_ассортимента[Subgroup],0)),"")</f>
        <v>WMH_C</v>
      </c>
      <c r="G99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2544</v>
      </c>
      <c r="O995" s="37" t="s">
        <v>6126</v>
      </c>
      <c r="P995" s="37" t="s">
        <v>6127</v>
      </c>
      <c r="Q995" s="39" t="s">
        <v>3416</v>
      </c>
      <c r="R995" s="34" t="s">
        <v>3407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3417</v>
      </c>
      <c r="X995" s="34" t="s">
        <v>3446</v>
      </c>
      <c r="Y995" s="34" t="s">
        <v>6059</v>
      </c>
      <c r="Z995" s="34">
        <v>1</v>
      </c>
      <c r="AA995" s="34" t="s">
        <v>6128</v>
      </c>
      <c r="AB995" s="34" t="s">
        <v>6128</v>
      </c>
      <c r="AC995" s="34" t="s">
        <v>6129</v>
      </c>
      <c r="AD995" s="34" t="s">
        <v>6129</v>
      </c>
      <c r="AE995" s="34" t="s">
        <v>4294</v>
      </c>
      <c r="AF995" s="34" t="s">
        <v>4294</v>
      </c>
      <c r="AG995" s="34" t="s">
        <v>3787</v>
      </c>
      <c r="AH995" s="34" t="s">
        <v>6130</v>
      </c>
      <c r="AL995" s="34" t="s">
        <v>4380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7" t="str">
        <f>IFERROR(INDEX(Структура_ассортимента[SuperCategory],MATCH(Товары[[#This Row],[SubGroup]],Структура_ассортимента[Subgroup],0)),"")</f>
        <v>W</v>
      </c>
      <c r="D9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7" t="str">
        <f>IFERROR(INDEX(Структура_ассортимента[Product group],MATCH(Товары[[#This Row],[SubGroup]],Структура_ассортимента[Subgroup],0)),"")</f>
        <v>WMH_C</v>
      </c>
      <c r="G99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2545</v>
      </c>
      <c r="O996" s="37" t="s">
        <v>6126</v>
      </c>
      <c r="P996" s="37" t="s">
        <v>6131</v>
      </c>
      <c r="Q996" s="39" t="s">
        <v>3416</v>
      </c>
      <c r="R996" s="34" t="s">
        <v>3407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3417</v>
      </c>
      <c r="X996" s="34" t="s">
        <v>3446</v>
      </c>
      <c r="Y996" s="34" t="s">
        <v>5848</v>
      </c>
      <c r="Z996" s="34">
        <v>50</v>
      </c>
      <c r="AA996" s="34" t="s">
        <v>4589</v>
      </c>
      <c r="AB996" s="34" t="s">
        <v>6132</v>
      </c>
      <c r="AC996" s="34" t="s">
        <v>3863</v>
      </c>
      <c r="AD996" s="34" t="s">
        <v>3595</v>
      </c>
      <c r="AE996" s="34" t="s">
        <v>3791</v>
      </c>
      <c r="AF996" s="34" t="s">
        <v>3791</v>
      </c>
      <c r="AG996" s="34" t="s">
        <v>3623</v>
      </c>
      <c r="AH996" s="34" t="s">
        <v>5568</v>
      </c>
      <c r="AL996" s="34" t="s">
        <v>6098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7" t="str">
        <f>IFERROR(INDEX(Структура_ассортимента[SuperCategory],MATCH(Товары[[#This Row],[SubGroup]],Структура_ассортимента[Subgroup],0)),"")</f>
        <v>W</v>
      </c>
      <c r="D9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7" t="str">
        <f>IFERROR(INDEX(Структура_ассортимента[Product group],MATCH(Товары[[#This Row],[SubGroup]],Структура_ассортимента[Subgroup],0)),"")</f>
        <v>WMH_C</v>
      </c>
      <c r="G99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2546</v>
      </c>
      <c r="Q997" s="39" t="s">
        <v>3416</v>
      </c>
      <c r="R997" s="34" t="s">
        <v>3407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3417</v>
      </c>
      <c r="X997" s="34" t="s">
        <v>3774</v>
      </c>
      <c r="Y997" s="34" t="s">
        <v>6059</v>
      </c>
      <c r="Z997" s="34">
        <v>1</v>
      </c>
      <c r="AA997" s="34" t="s">
        <v>6105</v>
      </c>
      <c r="AB997" s="34" t="s">
        <v>6133</v>
      </c>
      <c r="AC997" s="34" t="s">
        <v>4316</v>
      </c>
      <c r="AD997" s="34" t="s">
        <v>6133</v>
      </c>
      <c r="AE997" s="34" t="s">
        <v>4377</v>
      </c>
      <c r="AF997" s="34" t="s">
        <v>4377</v>
      </c>
      <c r="AG997" s="34" t="s">
        <v>3459</v>
      </c>
      <c r="AH997" s="34" t="s">
        <v>6134</v>
      </c>
      <c r="AL997" s="34" t="s">
        <v>4264</v>
      </c>
      <c r="AM997" s="34" t="s">
        <v>7962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7" t="str">
        <f>IFERROR(INDEX(Структура_ассортимента[SuperCategory],MATCH(Товары[[#This Row],[SubGroup]],Структура_ассортимента[Subgroup],0)),"")</f>
        <v>W</v>
      </c>
      <c r="D9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7" t="str">
        <f>IFERROR(INDEX(Структура_ассортимента[Product group],MATCH(Товары[[#This Row],[SubGroup]],Структура_ассортимента[Subgroup],0)),"")</f>
        <v>WMH_C</v>
      </c>
      <c r="G99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2547</v>
      </c>
      <c r="Q998" s="39" t="s">
        <v>3416</v>
      </c>
      <c r="R998" s="34" t="s">
        <v>3407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3417</v>
      </c>
      <c r="X998" s="34" t="s">
        <v>3774</v>
      </c>
      <c r="Y998" s="34" t="s">
        <v>6059</v>
      </c>
      <c r="Z998" s="34">
        <v>1</v>
      </c>
      <c r="AA998" s="34" t="s">
        <v>6105</v>
      </c>
      <c r="AB998" s="34" t="s">
        <v>6105</v>
      </c>
      <c r="AC998" s="34" t="s">
        <v>4316</v>
      </c>
      <c r="AD998" s="34" t="s">
        <v>4316</v>
      </c>
      <c r="AE998" s="34" t="s">
        <v>4377</v>
      </c>
      <c r="AF998" s="34" t="s">
        <v>4377</v>
      </c>
      <c r="AG998" s="34" t="s">
        <v>3459</v>
      </c>
      <c r="AH998" s="34" t="s">
        <v>6134</v>
      </c>
      <c r="AL998" s="34" t="s">
        <v>4264</v>
      </c>
      <c r="AM998" s="34" t="s">
        <v>7962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7" t="str">
        <f>IFERROR(INDEX(Структура_ассортимента[SuperCategory],MATCH(Товары[[#This Row],[SubGroup]],Структура_ассортимента[Subgroup],0)),"")</f>
        <v>W</v>
      </c>
      <c r="D9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7" t="str">
        <f>IFERROR(INDEX(Структура_ассортимента[Product group],MATCH(Товары[[#This Row],[SubGroup]],Структура_ассортимента[Subgroup],0)),"")</f>
        <v>WMH_C</v>
      </c>
      <c r="G99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2548</v>
      </c>
      <c r="Q999" s="39" t="s">
        <v>3416</v>
      </c>
      <c r="R999" s="34" t="s">
        <v>3407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3417</v>
      </c>
      <c r="X999" s="34" t="s">
        <v>3774</v>
      </c>
      <c r="Y999" s="34" t="s">
        <v>6059</v>
      </c>
      <c r="Z999" s="34">
        <v>1</v>
      </c>
      <c r="AA999" s="34" t="s">
        <v>6135</v>
      </c>
      <c r="AB999" s="34" t="s">
        <v>6135</v>
      </c>
      <c r="AC999" s="34" t="s">
        <v>6136</v>
      </c>
      <c r="AD999" s="34" t="s">
        <v>6136</v>
      </c>
      <c r="AE999" s="34" t="s">
        <v>4758</v>
      </c>
      <c r="AF999" s="34" t="s">
        <v>4758</v>
      </c>
      <c r="AG999" s="34" t="s">
        <v>3433</v>
      </c>
      <c r="AH999" s="34" t="s">
        <v>6091</v>
      </c>
      <c r="AL999" s="34" t="s">
        <v>4081</v>
      </c>
      <c r="AM999" s="34" t="s">
        <v>7962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7" t="str">
        <f>IFERROR(INDEX(Структура_ассортимента[SuperCategory],MATCH(Товары[[#This Row],[SubGroup]],Структура_ассортимента[Subgroup],0)),"")</f>
        <v>W</v>
      </c>
      <c r="D10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7" t="str">
        <f>IFERROR(INDEX(Структура_ассортимента[Product group],MATCH(Товары[[#This Row],[SubGroup]],Структура_ассортимента[Subgroup],0)),"")</f>
        <v>WMH_C</v>
      </c>
      <c r="G100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2549</v>
      </c>
      <c r="Q1000" s="39" t="s">
        <v>3416</v>
      </c>
      <c r="R1000" s="34" t="s">
        <v>3407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3417</v>
      </c>
      <c r="X1000" s="34" t="s">
        <v>3774</v>
      </c>
      <c r="Y1000" s="34" t="s">
        <v>6059</v>
      </c>
      <c r="Z1000" s="34">
        <v>1</v>
      </c>
      <c r="AA1000" s="34" t="s">
        <v>6137</v>
      </c>
      <c r="AB1000" s="34" t="s">
        <v>6137</v>
      </c>
      <c r="AC1000" s="34" t="s">
        <v>5303</v>
      </c>
      <c r="AD1000" s="34" t="s">
        <v>5303</v>
      </c>
      <c r="AE1000" s="34" t="s">
        <v>4069</v>
      </c>
      <c r="AF1000" s="34" t="s">
        <v>4069</v>
      </c>
      <c r="AG1000" s="34" t="s">
        <v>3433</v>
      </c>
      <c r="AH1000" s="34" t="s">
        <v>4567</v>
      </c>
      <c r="AL1000" s="34" t="s">
        <v>4081</v>
      </c>
      <c r="AM1000" s="34" t="s">
        <v>7962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7" t="str">
        <f>IFERROR(INDEX(Структура_ассортимента[SuperCategory],MATCH(Товары[[#This Row],[SubGroup]],Структура_ассортимента[Subgroup],0)),"")</f>
        <v>W</v>
      </c>
      <c r="D10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7" t="str">
        <f>IFERROR(INDEX(Структура_ассортимента[Product group],MATCH(Товары[[#This Row],[SubGroup]],Структура_ассортимента[Subgroup],0)),"")</f>
        <v>WMH_C</v>
      </c>
      <c r="G100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2550</v>
      </c>
      <c r="O1001" s="37" t="s">
        <v>6138</v>
      </c>
      <c r="P1001" s="37" t="s">
        <v>6139</v>
      </c>
      <c r="Q1001" s="39" t="s">
        <v>3416</v>
      </c>
      <c r="R1001" s="34" t="s">
        <v>3407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3417</v>
      </c>
      <c r="X1001" s="34" t="s">
        <v>3774</v>
      </c>
      <c r="Y1001" s="34" t="s">
        <v>6059</v>
      </c>
      <c r="Z1001" s="34">
        <v>1</v>
      </c>
      <c r="AA1001" s="34" t="s">
        <v>6140</v>
      </c>
      <c r="AB1001" s="34" t="s">
        <v>6140</v>
      </c>
      <c r="AC1001" s="34" t="s">
        <v>5289</v>
      </c>
      <c r="AD1001" s="34" t="s">
        <v>5289</v>
      </c>
      <c r="AE1001" s="34" t="s">
        <v>4294</v>
      </c>
      <c r="AF1001" s="34" t="s">
        <v>4294</v>
      </c>
      <c r="AG1001" s="34" t="s">
        <v>4258</v>
      </c>
      <c r="AH1001" s="34" t="s">
        <v>6141</v>
      </c>
      <c r="AL1001" s="34" t="s">
        <v>4081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7" t="str">
        <f>IFERROR(INDEX(Структура_ассортимента[SuperCategory],MATCH(Товары[[#This Row],[SubGroup]],Структура_ассортимента[Subgroup],0)),"")</f>
        <v>W</v>
      </c>
      <c r="D10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7" t="str">
        <f>IFERROR(INDEX(Структура_ассортимента[Product group],MATCH(Товары[[#This Row],[SubGroup]],Структура_ассортимента[Subgroup],0)),"")</f>
        <v>WMH_C</v>
      </c>
      <c r="G100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2551</v>
      </c>
      <c r="Q1002" s="39" t="s">
        <v>3416</v>
      </c>
      <c r="R1002" s="34" t="s">
        <v>3407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3417</v>
      </c>
      <c r="X1002" s="34" t="s">
        <v>3774</v>
      </c>
      <c r="Y1002" s="34" t="s">
        <v>6059</v>
      </c>
      <c r="Z1002" s="34">
        <v>1</v>
      </c>
      <c r="AA1002" s="34" t="s">
        <v>6142</v>
      </c>
      <c r="AB1002" s="34" t="s">
        <v>6142</v>
      </c>
      <c r="AC1002" s="34" t="s">
        <v>5368</v>
      </c>
      <c r="AD1002" s="34" t="s">
        <v>5368</v>
      </c>
      <c r="AE1002" s="34" t="s">
        <v>4294</v>
      </c>
      <c r="AF1002" s="34" t="s">
        <v>4294</v>
      </c>
      <c r="AG1002" s="34" t="s">
        <v>4258</v>
      </c>
      <c r="AH1002" s="34" t="s">
        <v>6141</v>
      </c>
      <c r="AL1002" s="34" t="s">
        <v>4081</v>
      </c>
      <c r="AM1002" s="34" t="s">
        <v>7962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7" t="str">
        <f>IFERROR(INDEX(Структура_ассортимента[SuperCategory],MATCH(Товары[[#This Row],[SubGroup]],Структура_ассортимента[Subgroup],0)),"")</f>
        <v>W</v>
      </c>
      <c r="D10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7" t="str">
        <f>IFERROR(INDEX(Структура_ассортимента[Product group],MATCH(Товары[[#This Row],[SubGroup]],Структура_ассортимента[Subgroup],0)),"")</f>
        <v>WMH_C</v>
      </c>
      <c r="G100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2552</v>
      </c>
      <c r="Q1003" s="39" t="s">
        <v>3416</v>
      </c>
      <c r="R1003" s="34" t="s">
        <v>3407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3417</v>
      </c>
      <c r="X1003" s="34" t="s">
        <v>3774</v>
      </c>
      <c r="Y1003" s="34" t="s">
        <v>6059</v>
      </c>
      <c r="Z1003" s="34">
        <v>1</v>
      </c>
      <c r="AA1003" s="34" t="s">
        <v>6143</v>
      </c>
      <c r="AB1003" s="34" t="s">
        <v>6143</v>
      </c>
      <c r="AC1003" s="34" t="s">
        <v>3850</v>
      </c>
      <c r="AD1003" s="34" t="s">
        <v>3850</v>
      </c>
      <c r="AE1003" s="34" t="s">
        <v>4758</v>
      </c>
      <c r="AF1003" s="34" t="s">
        <v>4758</v>
      </c>
      <c r="AG1003" s="34" t="s">
        <v>4202</v>
      </c>
      <c r="AH1003" s="34" t="s">
        <v>6144</v>
      </c>
      <c r="AL1003" s="34" t="s">
        <v>3697</v>
      </c>
      <c r="AM1003" s="34" t="s">
        <v>7962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7" t="str">
        <f>IFERROR(INDEX(Структура_ассортимента[SuperCategory],MATCH(Товары[[#This Row],[SubGroup]],Структура_ассортимента[Subgroup],0)),"")</f>
        <v>W</v>
      </c>
      <c r="D10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7" t="str">
        <f>IFERROR(INDEX(Структура_ассортимента[Product group],MATCH(Товары[[#This Row],[SubGroup]],Структура_ассортимента[Subgroup],0)),"")</f>
        <v>WMH_C</v>
      </c>
      <c r="G100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2553</v>
      </c>
      <c r="Q1004" s="39" t="s">
        <v>3416</v>
      </c>
      <c r="R1004" s="34" t="s">
        <v>3407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3417</v>
      </c>
      <c r="X1004" s="34" t="s">
        <v>3774</v>
      </c>
      <c r="Y1004" s="34" t="s">
        <v>6059</v>
      </c>
      <c r="Z1004" s="34">
        <v>1</v>
      </c>
      <c r="AA1004" s="34" t="s">
        <v>6145</v>
      </c>
      <c r="AB1004" s="34" t="s">
        <v>6145</v>
      </c>
      <c r="AC1004" s="34" t="s">
        <v>6146</v>
      </c>
      <c r="AD1004" s="34" t="s">
        <v>6146</v>
      </c>
      <c r="AE1004" s="34" t="s">
        <v>4377</v>
      </c>
      <c r="AF1004" s="34" t="s">
        <v>4377</v>
      </c>
      <c r="AG1004" s="34" t="s">
        <v>4202</v>
      </c>
      <c r="AH1004" s="34" t="s">
        <v>4896</v>
      </c>
      <c r="AL1004" s="34" t="s">
        <v>3697</v>
      </c>
      <c r="AM1004" s="34" t="s">
        <v>7962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7" t="str">
        <f>IFERROR(INDEX(Структура_ассортимента[SuperCategory],MATCH(Товары[[#This Row],[SubGroup]],Структура_ассортимента[Subgroup],0)),"")</f>
        <v>W</v>
      </c>
      <c r="D10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7" t="str">
        <f>IFERROR(INDEX(Структура_ассортимента[Product group],MATCH(Товары[[#This Row],[SubGroup]],Структура_ассортимента[Subgroup],0)),"")</f>
        <v>WMH_C</v>
      </c>
      <c r="G100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2554</v>
      </c>
      <c r="O1005" s="37" t="s">
        <v>6147</v>
      </c>
      <c r="P1005" s="37" t="s">
        <v>6148</v>
      </c>
      <c r="Q1005" s="39" t="s">
        <v>3416</v>
      </c>
      <c r="R1005" s="34" t="s">
        <v>3407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3417</v>
      </c>
      <c r="X1005" s="34" t="s">
        <v>3774</v>
      </c>
      <c r="Y1005" s="34" t="s">
        <v>5848</v>
      </c>
      <c r="Z1005" s="34">
        <v>50</v>
      </c>
      <c r="AA1005" s="34" t="s">
        <v>3857</v>
      </c>
      <c r="AB1005" s="34" t="s">
        <v>3857</v>
      </c>
      <c r="AC1005" s="34" t="s">
        <v>3673</v>
      </c>
      <c r="AD1005" s="34" t="s">
        <v>3673</v>
      </c>
      <c r="AE1005" s="34" t="s">
        <v>3545</v>
      </c>
      <c r="AF1005" s="34" t="s">
        <v>3545</v>
      </c>
      <c r="AG1005" s="34" t="s">
        <v>3623</v>
      </c>
      <c r="AH1005" s="34" t="s">
        <v>6149</v>
      </c>
      <c r="AL1005" s="34" t="s">
        <v>6150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7" t="str">
        <f>IFERROR(INDEX(Структура_ассортимента[SuperCategory],MATCH(Товары[[#This Row],[SubGroup]],Структура_ассортимента[Subgroup],0)),"")</f>
        <v>W</v>
      </c>
      <c r="D10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7" t="str">
        <f>IFERROR(INDEX(Структура_ассортимента[Product group],MATCH(Товары[[#This Row],[SubGroup]],Структура_ассортимента[Subgroup],0)),"")</f>
        <v>WMH_C</v>
      </c>
      <c r="G100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2555</v>
      </c>
      <c r="O1006" s="37" t="s">
        <v>6147</v>
      </c>
      <c r="P1006" s="37" t="s">
        <v>6151</v>
      </c>
      <c r="Q1006" s="39" t="s">
        <v>3416</v>
      </c>
      <c r="R1006" s="34" t="s">
        <v>3407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3417</v>
      </c>
      <c r="X1006" s="34" t="s">
        <v>3774</v>
      </c>
      <c r="Y1006" s="34" t="s">
        <v>6059</v>
      </c>
      <c r="Z1006" s="34">
        <v>1</v>
      </c>
      <c r="AA1006" s="34" t="s">
        <v>6152</v>
      </c>
      <c r="AB1006" s="34" t="s">
        <v>6152</v>
      </c>
      <c r="AC1006" s="34" t="s">
        <v>6153</v>
      </c>
      <c r="AD1006" s="34" t="s">
        <v>6153</v>
      </c>
      <c r="AE1006" s="34" t="s">
        <v>3724</v>
      </c>
      <c r="AF1006" s="34" t="s">
        <v>3724</v>
      </c>
      <c r="AG1006" s="34" t="s">
        <v>3822</v>
      </c>
      <c r="AH1006" s="34" t="s">
        <v>6154</v>
      </c>
      <c r="AL1006" s="34" t="s">
        <v>3709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7" t="str">
        <f>IFERROR(INDEX(Структура_ассортимента[SuperCategory],MATCH(Товары[[#This Row],[SubGroup]],Структура_ассортимента[Subgroup],0)),"")</f>
        <v>W</v>
      </c>
      <c r="D10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7" t="str">
        <f>IFERROR(INDEX(Структура_ассортимента[Product group],MATCH(Товары[[#This Row],[SubGroup]],Структура_ассортимента[Subgroup],0)),"")</f>
        <v>WMH_C</v>
      </c>
      <c r="G100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2556</v>
      </c>
      <c r="O1007" s="37" t="s">
        <v>6155</v>
      </c>
      <c r="P1007" s="37" t="s">
        <v>6156</v>
      </c>
      <c r="Q1007" s="39" t="s">
        <v>3416</v>
      </c>
      <c r="R1007" s="34" t="s">
        <v>3407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3413</v>
      </c>
      <c r="X1007" s="34" t="s">
        <v>3774</v>
      </c>
      <c r="Y1007" s="34" t="s">
        <v>6059</v>
      </c>
      <c r="Z1007" s="34">
        <v>1</v>
      </c>
      <c r="AA1007" s="34" t="s">
        <v>6157</v>
      </c>
      <c r="AB1007" s="34" t="s">
        <v>6157</v>
      </c>
      <c r="AC1007" s="34" t="s">
        <v>6158</v>
      </c>
      <c r="AD1007" s="34" t="s">
        <v>6158</v>
      </c>
      <c r="AE1007" s="34" t="s">
        <v>3589</v>
      </c>
      <c r="AF1007" s="34" t="s">
        <v>3589</v>
      </c>
      <c r="AG1007" s="34" t="s">
        <v>3787</v>
      </c>
      <c r="AH1007" s="34" t="s">
        <v>6159</v>
      </c>
      <c r="AL1007" s="34" t="s">
        <v>4380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7" t="str">
        <f>IFERROR(INDEX(Структура_ассортимента[SuperCategory],MATCH(Товары[[#This Row],[SubGroup]],Структура_ассортимента[Subgroup],0)),"")</f>
        <v>W</v>
      </c>
      <c r="D10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7" t="str">
        <f>IFERROR(INDEX(Структура_ассортимента[Product group],MATCH(Товары[[#This Row],[SubGroup]],Структура_ассортимента[Subgroup],0)),"")</f>
        <v>WMH_C</v>
      </c>
      <c r="G100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2557</v>
      </c>
      <c r="O1008" s="37" t="s">
        <v>6160</v>
      </c>
      <c r="P1008" s="37" t="s">
        <v>6161</v>
      </c>
      <c r="Q1008" s="39" t="s">
        <v>3416</v>
      </c>
      <c r="R1008" s="34" t="s">
        <v>3407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3413</v>
      </c>
      <c r="X1008" s="34" t="s">
        <v>3774</v>
      </c>
      <c r="Y1008" s="34" t="s">
        <v>6059</v>
      </c>
      <c r="Z1008" s="34">
        <v>1</v>
      </c>
      <c r="AA1008" s="34" t="s">
        <v>6162</v>
      </c>
      <c r="AB1008" s="34" t="s">
        <v>6162</v>
      </c>
      <c r="AC1008" s="34" t="s">
        <v>6163</v>
      </c>
      <c r="AD1008" s="34" t="s">
        <v>6163</v>
      </c>
      <c r="AE1008" s="34" t="s">
        <v>4287</v>
      </c>
      <c r="AF1008" s="34" t="s">
        <v>4287</v>
      </c>
      <c r="AG1008" s="34" t="s">
        <v>3835</v>
      </c>
      <c r="AH1008" s="34" t="s">
        <v>6164</v>
      </c>
      <c r="AL1008" s="34" t="s">
        <v>4380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7" t="str">
        <f>IFERROR(INDEX(Структура_ассортимента[SuperCategory],MATCH(Товары[[#This Row],[SubGroup]],Структура_ассортимента[Subgroup],0)),"")</f>
        <v>W</v>
      </c>
      <c r="D10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7" t="str">
        <f>IFERROR(INDEX(Структура_ассортимента[Product group],MATCH(Товары[[#This Row],[SubGroup]],Структура_ассортимента[Subgroup],0)),"")</f>
        <v>WMH_C</v>
      </c>
      <c r="G100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2558</v>
      </c>
      <c r="O1009" s="37" t="s">
        <v>6160</v>
      </c>
      <c r="P1009" s="37" t="s">
        <v>6165</v>
      </c>
      <c r="Q1009" s="39" t="s">
        <v>3416</v>
      </c>
      <c r="R1009" s="34" t="s">
        <v>3407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3413</v>
      </c>
      <c r="X1009" s="34" t="s">
        <v>3774</v>
      </c>
      <c r="Y1009" s="34" t="s">
        <v>5848</v>
      </c>
      <c r="Z1009" s="34">
        <v>50</v>
      </c>
      <c r="AA1009" s="34" t="s">
        <v>6166</v>
      </c>
      <c r="AB1009" s="34" t="s">
        <v>6166</v>
      </c>
      <c r="AC1009" s="34" t="s">
        <v>4008</v>
      </c>
      <c r="AD1009" s="34" t="s">
        <v>4008</v>
      </c>
      <c r="AE1009" s="34" t="s">
        <v>4993</v>
      </c>
      <c r="AF1009" s="34" t="s">
        <v>4993</v>
      </c>
      <c r="AG1009" s="34" t="s">
        <v>3623</v>
      </c>
      <c r="AH1009" s="34" t="s">
        <v>6097</v>
      </c>
      <c r="AL1009" s="34" t="s">
        <v>6098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7" t="str">
        <f>IFERROR(INDEX(Структура_ассортимента[SuperCategory],MATCH(Товары[[#This Row],[SubGroup]],Структура_ассортимента[Subgroup],0)),"")</f>
        <v>W</v>
      </c>
      <c r="D10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7" t="str">
        <f>IFERROR(INDEX(Структура_ассортимента[Product group],MATCH(Товары[[#This Row],[SubGroup]],Структура_ассортимента[Subgroup],0)),"")</f>
        <v>WMH_C</v>
      </c>
      <c r="G101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2559</v>
      </c>
      <c r="O1010" s="37" t="s">
        <v>6167</v>
      </c>
      <c r="P1010" s="37" t="s">
        <v>6168</v>
      </c>
      <c r="Q1010" s="39" t="s">
        <v>3416</v>
      </c>
      <c r="R1010" s="34" t="s">
        <v>3407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3417</v>
      </c>
      <c r="X1010" s="34" t="s">
        <v>3774</v>
      </c>
      <c r="Y1010" s="34" t="s">
        <v>5848</v>
      </c>
      <c r="Z1010" s="34">
        <v>25</v>
      </c>
      <c r="AA1010" s="34" t="s">
        <v>4720</v>
      </c>
      <c r="AB1010" s="34" t="s">
        <v>4720</v>
      </c>
      <c r="AC1010" s="34" t="s">
        <v>4545</v>
      </c>
      <c r="AD1010" s="34" t="s">
        <v>4545</v>
      </c>
      <c r="AE1010" s="34" t="s">
        <v>3539</v>
      </c>
      <c r="AF1010" s="34" t="s">
        <v>3539</v>
      </c>
      <c r="AG1010" s="34" t="s">
        <v>3623</v>
      </c>
      <c r="AH1010" s="34" t="s">
        <v>5778</v>
      </c>
      <c r="AL1010" s="34" t="s">
        <v>4689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7" t="str">
        <f>IFERROR(INDEX(Структура_ассортимента[SuperCategory],MATCH(Товары[[#This Row],[SubGroup]],Структура_ассортимента[Subgroup],0)),"")</f>
        <v>W</v>
      </c>
      <c r="D10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7" t="str">
        <f>IFERROR(INDEX(Структура_ассортимента[Product group],MATCH(Товары[[#This Row],[SubGroup]],Структура_ассортимента[Subgroup],0)),"")</f>
        <v>WMH_C</v>
      </c>
      <c r="G101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2560</v>
      </c>
      <c r="O1011" s="37" t="s">
        <v>6169</v>
      </c>
      <c r="P1011" s="37" t="s">
        <v>6170</v>
      </c>
      <c r="Q1011" s="39" t="s">
        <v>3416</v>
      </c>
      <c r="R1011" s="34" t="s">
        <v>3407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3417</v>
      </c>
      <c r="X1011" s="34" t="s">
        <v>3774</v>
      </c>
      <c r="Y1011" s="34" t="s">
        <v>5848</v>
      </c>
      <c r="Z1011" s="34">
        <v>25</v>
      </c>
      <c r="AA1011" s="34" t="s">
        <v>6171</v>
      </c>
      <c r="AB1011" s="34" t="s">
        <v>6171</v>
      </c>
      <c r="AC1011" s="34" t="s">
        <v>6172</v>
      </c>
      <c r="AD1011" s="34" t="s">
        <v>6172</v>
      </c>
      <c r="AE1011" s="34" t="s">
        <v>3539</v>
      </c>
      <c r="AF1011" s="34" t="s">
        <v>3539</v>
      </c>
      <c r="AG1011" s="34" t="s">
        <v>3623</v>
      </c>
      <c r="AH1011" s="34" t="s">
        <v>5778</v>
      </c>
      <c r="AL1011" s="34" t="s">
        <v>6173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7" t="str">
        <f>IFERROR(INDEX(Структура_ассортимента[SuperCategory],MATCH(Товары[[#This Row],[SubGroup]],Структура_ассортимента[Subgroup],0)),"")</f>
        <v>W</v>
      </c>
      <c r="D10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7" t="str">
        <f>IFERROR(INDEX(Структура_ассортимента[Product group],MATCH(Товары[[#This Row],[SubGroup]],Структура_ассортимента[Subgroup],0)),"")</f>
        <v>WMH_C</v>
      </c>
      <c r="G101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2561</v>
      </c>
      <c r="Q1012" s="39" t="s">
        <v>3416</v>
      </c>
      <c r="R1012" s="34" t="s">
        <v>3407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3417</v>
      </c>
      <c r="X1012" s="34" t="s">
        <v>3774</v>
      </c>
      <c r="Y1012" s="34" t="s">
        <v>6059</v>
      </c>
      <c r="Z1012" s="34">
        <v>1</v>
      </c>
      <c r="AA1012" s="34" t="s">
        <v>6174</v>
      </c>
      <c r="AB1012" s="34" t="s">
        <v>6175</v>
      </c>
      <c r="AC1012" s="34" t="s">
        <v>4113</v>
      </c>
      <c r="AD1012" s="34" t="s">
        <v>3850</v>
      </c>
      <c r="AE1012" s="34" t="s">
        <v>4377</v>
      </c>
      <c r="AF1012" s="34" t="s">
        <v>4377</v>
      </c>
      <c r="AG1012" s="34" t="s">
        <v>4020</v>
      </c>
      <c r="AH1012" s="34" t="s">
        <v>4896</v>
      </c>
      <c r="AL1012" s="34" t="s">
        <v>3697</v>
      </c>
      <c r="AM1012" s="34" t="s">
        <v>7962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7" t="str">
        <f>IFERROR(INDEX(Структура_ассортимента[SuperCategory],MATCH(Товары[[#This Row],[SubGroup]],Структура_ассортимента[Subgroup],0)),"")</f>
        <v>W</v>
      </c>
      <c r="D10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7" t="str">
        <f>IFERROR(INDEX(Структура_ассортимента[Product group],MATCH(Товары[[#This Row],[SubGroup]],Структура_ассортимента[Subgroup],0)),"")</f>
        <v>WMH_C</v>
      </c>
      <c r="G101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2562</v>
      </c>
      <c r="O1013" s="37" t="s">
        <v>6176</v>
      </c>
      <c r="P1013" s="37" t="s">
        <v>6177</v>
      </c>
      <c r="Q1013" s="39" t="s">
        <v>3416</v>
      </c>
      <c r="R1013" s="34" t="s">
        <v>3407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3417</v>
      </c>
      <c r="X1013" s="34" t="s">
        <v>3446</v>
      </c>
      <c r="Y1013" s="34" t="s">
        <v>6059</v>
      </c>
      <c r="Z1013" s="34">
        <v>1</v>
      </c>
      <c r="AA1013" s="34" t="s">
        <v>6178</v>
      </c>
      <c r="AB1013" s="34" t="s">
        <v>6178</v>
      </c>
      <c r="AC1013" s="34" t="s">
        <v>5257</v>
      </c>
      <c r="AD1013" s="34" t="s">
        <v>5257</v>
      </c>
      <c r="AE1013" s="34" t="s">
        <v>4758</v>
      </c>
      <c r="AF1013" s="34" t="s">
        <v>4758</v>
      </c>
      <c r="AG1013" s="34" t="s">
        <v>3667</v>
      </c>
      <c r="AH1013" s="34" t="s">
        <v>6052</v>
      </c>
      <c r="AL1013" s="34" t="s">
        <v>6049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7" t="str">
        <f>IFERROR(INDEX(Структура_ассортимента[SuperCategory],MATCH(Товары[[#This Row],[SubGroup]],Структура_ассортимента[Subgroup],0)),"")</f>
        <v>W</v>
      </c>
      <c r="D10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7" t="str">
        <f>IFERROR(INDEX(Структура_ассортимента[Product group],MATCH(Товары[[#This Row],[SubGroup]],Структура_ассортимента[Subgroup],0)),"")</f>
        <v>WMH_C</v>
      </c>
      <c r="G101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2563</v>
      </c>
      <c r="Q1014" s="39" t="s">
        <v>3416</v>
      </c>
      <c r="R1014" s="34" t="s">
        <v>3407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3413</v>
      </c>
      <c r="X1014" s="34" t="s">
        <v>3774</v>
      </c>
      <c r="Y1014" s="34" t="s">
        <v>6059</v>
      </c>
      <c r="Z1014" s="34">
        <v>1</v>
      </c>
      <c r="AA1014" s="34" t="s">
        <v>6179</v>
      </c>
      <c r="AB1014" s="34" t="s">
        <v>6179</v>
      </c>
      <c r="AC1014" s="34" t="s">
        <v>5225</v>
      </c>
      <c r="AD1014" s="34" t="s">
        <v>5225</v>
      </c>
      <c r="AE1014" s="34" t="s">
        <v>4758</v>
      </c>
      <c r="AF1014" s="34" t="s">
        <v>4758</v>
      </c>
      <c r="AG1014" s="34" t="s">
        <v>4416</v>
      </c>
      <c r="AH1014" s="34" t="s">
        <v>6048</v>
      </c>
      <c r="AL1014" s="34" t="s">
        <v>6049</v>
      </c>
      <c r="AM1014" s="34" t="s">
        <v>7962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7" t="str">
        <f>IFERROR(INDEX(Структура_ассортимента[SuperCategory],MATCH(Товары[[#This Row],[SubGroup]],Структура_ассортимента[Subgroup],0)),"")</f>
        <v>W</v>
      </c>
      <c r="D10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7" t="str">
        <f>IFERROR(INDEX(Структура_ассортимента[Product group],MATCH(Товары[[#This Row],[SubGroup]],Структура_ассортимента[Subgroup],0)),"")</f>
        <v>WMH_C</v>
      </c>
      <c r="G101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2564</v>
      </c>
      <c r="O1015" s="37" t="s">
        <v>6180</v>
      </c>
      <c r="P1015" s="37" t="s">
        <v>6181</v>
      </c>
      <c r="Q1015" s="39" t="s">
        <v>3416</v>
      </c>
      <c r="R1015" s="34" t="s">
        <v>3407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3413</v>
      </c>
      <c r="X1015" s="34" t="s">
        <v>3774</v>
      </c>
      <c r="Y1015" s="34" t="s">
        <v>6059</v>
      </c>
      <c r="Z1015" s="34">
        <v>1</v>
      </c>
      <c r="AA1015" s="34" t="s">
        <v>6182</v>
      </c>
      <c r="AB1015" s="34" t="s">
        <v>6182</v>
      </c>
      <c r="AC1015" s="34" t="s">
        <v>6183</v>
      </c>
      <c r="AD1015" s="34" t="s">
        <v>6183</v>
      </c>
      <c r="AE1015" s="34" t="s">
        <v>4758</v>
      </c>
      <c r="AF1015" s="34" t="s">
        <v>4758</v>
      </c>
      <c r="AG1015" s="34" t="s">
        <v>3423</v>
      </c>
      <c r="AH1015" s="34" t="s">
        <v>6184</v>
      </c>
      <c r="AL1015" s="34" t="s">
        <v>6069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7" t="str">
        <f>IFERROR(INDEX(Структура_ассортимента[SuperCategory],MATCH(Товары[[#This Row],[SubGroup]],Структура_ассортимента[Subgroup],0)),"")</f>
        <v>W</v>
      </c>
      <c r="D10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7" t="str">
        <f>IFERROR(INDEX(Структура_ассортимента[Product group],MATCH(Товары[[#This Row],[SubGroup]],Структура_ассортимента[Subgroup],0)),"")</f>
        <v>WMH_C</v>
      </c>
      <c r="G101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2565</v>
      </c>
      <c r="O1016" s="37" t="s">
        <v>6185</v>
      </c>
      <c r="P1016" s="37" t="s">
        <v>6186</v>
      </c>
      <c r="Q1016" s="39" t="s">
        <v>3416</v>
      </c>
      <c r="R1016" s="34" t="s">
        <v>3407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3413</v>
      </c>
      <c r="X1016" s="34" t="s">
        <v>3774</v>
      </c>
      <c r="Y1016" s="34" t="s">
        <v>6059</v>
      </c>
      <c r="Z1016" s="34">
        <v>1</v>
      </c>
      <c r="AA1016" s="34" t="s">
        <v>6187</v>
      </c>
      <c r="AB1016" s="34" t="s">
        <v>6187</v>
      </c>
      <c r="AC1016" s="34" t="s">
        <v>6188</v>
      </c>
      <c r="AD1016" s="34" t="s">
        <v>6188</v>
      </c>
      <c r="AE1016" s="34" t="s">
        <v>4614</v>
      </c>
      <c r="AF1016" s="34" t="s">
        <v>4614</v>
      </c>
      <c r="AG1016" s="34" t="s">
        <v>3787</v>
      </c>
      <c r="AH1016" s="34" t="s">
        <v>6189</v>
      </c>
      <c r="AL1016" s="34" t="s">
        <v>4380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7" t="str">
        <f>IFERROR(INDEX(Структура_ассортимента[SuperCategory],MATCH(Товары[[#This Row],[SubGroup]],Структура_ассортимента[Subgroup],0)),"")</f>
        <v>W</v>
      </c>
      <c r="D10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7" t="str">
        <f>IFERROR(INDEX(Структура_ассортимента[Product group],MATCH(Товары[[#This Row],[SubGroup]],Структура_ассортимента[Subgroup],0)),"")</f>
        <v>WMH_C</v>
      </c>
      <c r="G101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2566</v>
      </c>
      <c r="O1017" s="37" t="s">
        <v>6190</v>
      </c>
      <c r="P1017" s="37" t="s">
        <v>6191</v>
      </c>
      <c r="Q1017" s="39" t="s">
        <v>3416</v>
      </c>
      <c r="R1017" s="34" t="s">
        <v>3407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3413</v>
      </c>
      <c r="X1017" s="34" t="s">
        <v>3774</v>
      </c>
      <c r="Y1017" s="34" t="s">
        <v>5848</v>
      </c>
      <c r="Z1017" s="34">
        <v>50</v>
      </c>
      <c r="AA1017" s="34" t="s">
        <v>3600</v>
      </c>
      <c r="AB1017" s="34" t="s">
        <v>3600</v>
      </c>
      <c r="AC1017" s="34" t="s">
        <v>3863</v>
      </c>
      <c r="AD1017" s="34" t="s">
        <v>3863</v>
      </c>
      <c r="AE1017" s="34" t="s">
        <v>3791</v>
      </c>
      <c r="AF1017" s="34" t="s">
        <v>3791</v>
      </c>
      <c r="AG1017" s="34" t="s">
        <v>3623</v>
      </c>
      <c r="AH1017" s="34" t="s">
        <v>5568</v>
      </c>
      <c r="AL1017" s="34" t="s">
        <v>6098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7" t="str">
        <f>IFERROR(INDEX(Структура_ассортимента[SuperCategory],MATCH(Товары[[#This Row],[SubGroup]],Структура_ассортимента[Subgroup],0)),"")</f>
        <v>W</v>
      </c>
      <c r="D10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7" t="str">
        <f>IFERROR(INDEX(Структура_ассортимента[Product group],MATCH(Товары[[#This Row],[SubGroup]],Структура_ассортимента[Subgroup],0)),"")</f>
        <v>WMH_C</v>
      </c>
      <c r="G101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2567</v>
      </c>
      <c r="Q1018" s="39" t="s">
        <v>3416</v>
      </c>
      <c r="R1018" s="34" t="s">
        <v>3407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3417</v>
      </c>
      <c r="X1018" s="34" t="s">
        <v>3774</v>
      </c>
      <c r="Y1018" s="34" t="s">
        <v>6059</v>
      </c>
      <c r="Z1018" s="34">
        <v>1</v>
      </c>
      <c r="AA1018" s="34" t="s">
        <v>6192</v>
      </c>
      <c r="AB1018" s="34" t="s">
        <v>6192</v>
      </c>
      <c r="AC1018" s="34" t="s">
        <v>5303</v>
      </c>
      <c r="AD1018" s="34" t="s">
        <v>5303</v>
      </c>
      <c r="AE1018" s="34" t="s">
        <v>4069</v>
      </c>
      <c r="AF1018" s="34" t="s">
        <v>4069</v>
      </c>
      <c r="AG1018" s="34" t="s">
        <v>3443</v>
      </c>
      <c r="AH1018" s="34" t="s">
        <v>6193</v>
      </c>
      <c r="AL1018" s="34" t="s">
        <v>4081</v>
      </c>
      <c r="AM1018" s="34" t="s">
        <v>7962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7" t="str">
        <f>IFERROR(INDEX(Структура_ассортимента[SuperCategory],MATCH(Товары[[#This Row],[SubGroup]],Структура_ассортимента[Subgroup],0)),"")</f>
        <v>W</v>
      </c>
      <c r="D10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7" t="str">
        <f>IFERROR(INDEX(Структура_ассортимента[Product group],MATCH(Товары[[#This Row],[SubGroup]],Структура_ассортимента[Subgroup],0)),"")</f>
        <v>WMH_C</v>
      </c>
      <c r="G101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2568</v>
      </c>
      <c r="Q1019" s="39" t="s">
        <v>3416</v>
      </c>
      <c r="R1019" s="34" t="s">
        <v>3407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3417</v>
      </c>
      <c r="X1019" s="34" t="s">
        <v>3774</v>
      </c>
      <c r="Y1019" s="34" t="s">
        <v>6059</v>
      </c>
      <c r="Z1019" s="34">
        <v>1</v>
      </c>
      <c r="AA1019" s="34" t="s">
        <v>5292</v>
      </c>
      <c r="AB1019" s="34" t="s">
        <v>5292</v>
      </c>
      <c r="AC1019" s="34" t="s">
        <v>5202</v>
      </c>
      <c r="AD1019" s="34" t="s">
        <v>5202</v>
      </c>
      <c r="AE1019" s="34" t="s">
        <v>4758</v>
      </c>
      <c r="AF1019" s="34" t="s">
        <v>4758</v>
      </c>
      <c r="AG1019" s="34" t="s">
        <v>3478</v>
      </c>
      <c r="AH1019" s="34" t="s">
        <v>6194</v>
      </c>
      <c r="AL1019" s="34" t="s">
        <v>5309</v>
      </c>
      <c r="AM1019" s="34" t="s">
        <v>7962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7" t="str">
        <f>IFERROR(INDEX(Структура_ассортимента[SuperCategory],MATCH(Товары[[#This Row],[SubGroup]],Структура_ассортимента[Subgroup],0)),"")</f>
        <v>W</v>
      </c>
      <c r="D10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7" t="str">
        <f>IFERROR(INDEX(Структура_ассортимента[Product group],MATCH(Товары[[#This Row],[SubGroup]],Структура_ассортимента[Subgroup],0)),"")</f>
        <v>WMH_C</v>
      </c>
      <c r="G102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2569</v>
      </c>
      <c r="Q1020" s="39" t="s">
        <v>3416</v>
      </c>
      <c r="R1020" s="34" t="s">
        <v>3407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3417</v>
      </c>
      <c r="X1020" s="34" t="s">
        <v>3774</v>
      </c>
      <c r="Y1020" s="34" t="s">
        <v>6059</v>
      </c>
      <c r="Z1020" s="34">
        <v>1</v>
      </c>
      <c r="AA1020" s="34" t="s">
        <v>6195</v>
      </c>
      <c r="AB1020" s="34" t="s">
        <v>6195</v>
      </c>
      <c r="AC1020" s="34" t="s">
        <v>3879</v>
      </c>
      <c r="AD1020" s="34" t="s">
        <v>3879</v>
      </c>
      <c r="AE1020" s="34" t="s">
        <v>4069</v>
      </c>
      <c r="AF1020" s="34" t="s">
        <v>4069</v>
      </c>
      <c r="AG1020" s="34" t="s">
        <v>3692</v>
      </c>
      <c r="AH1020" s="34" t="s">
        <v>6196</v>
      </c>
      <c r="AL1020" s="34" t="s">
        <v>3709</v>
      </c>
      <c r="AM1020" s="34" t="s">
        <v>7962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7" t="str">
        <f>IFERROR(INDEX(Структура_ассортимента[SuperCategory],MATCH(Товары[[#This Row],[SubGroup]],Структура_ассортимента[Subgroup],0)),"")</f>
        <v>W</v>
      </c>
      <c r="D10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7" t="str">
        <f>IFERROR(INDEX(Структура_ассортимента[Product group],MATCH(Товары[[#This Row],[SubGroup]],Структура_ассортимента[Subgroup],0)),"")</f>
        <v>WMH_C</v>
      </c>
      <c r="G102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2570</v>
      </c>
      <c r="O1021" s="37" t="s">
        <v>6197</v>
      </c>
      <c r="P1021" s="37" t="s">
        <v>6198</v>
      </c>
      <c r="Q1021" s="39" t="s">
        <v>3416</v>
      </c>
      <c r="R1021" s="34" t="s">
        <v>3407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3413</v>
      </c>
      <c r="X1021" s="34" t="s">
        <v>3774</v>
      </c>
      <c r="Y1021" s="34" t="s">
        <v>6059</v>
      </c>
      <c r="Z1021" s="34">
        <v>1</v>
      </c>
      <c r="AA1021" s="34" t="s">
        <v>6199</v>
      </c>
      <c r="AB1021" s="34" t="s">
        <v>6199</v>
      </c>
      <c r="AC1021" s="34" t="s">
        <v>6200</v>
      </c>
      <c r="AD1021" s="34" t="s">
        <v>6200</v>
      </c>
      <c r="AE1021" s="34" t="s">
        <v>4294</v>
      </c>
      <c r="AF1021" s="34" t="s">
        <v>4294</v>
      </c>
      <c r="AG1021" s="34" t="s">
        <v>3856</v>
      </c>
      <c r="AH1021" s="34" t="s">
        <v>6201</v>
      </c>
      <c r="AL1021" s="34" t="s">
        <v>4380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7" t="str">
        <f>IFERROR(INDEX(Структура_ассортимента[SuperCategory],MATCH(Товары[[#This Row],[SubGroup]],Структура_ассортимента[Subgroup],0)),"")</f>
        <v>W</v>
      </c>
      <c r="D10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7" t="str">
        <f>IFERROR(INDEX(Структура_ассортимента[Product group],MATCH(Товары[[#This Row],[SubGroup]],Структура_ассортимента[Subgroup],0)),"")</f>
        <v>WMH_C</v>
      </c>
      <c r="G102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2571</v>
      </c>
      <c r="O1022" s="37" t="s">
        <v>6202</v>
      </c>
      <c r="P1022" s="37" t="s">
        <v>6203</v>
      </c>
      <c r="Q1022" s="39" t="s">
        <v>3416</v>
      </c>
      <c r="R1022" s="34" t="s">
        <v>3407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3413</v>
      </c>
      <c r="X1022" s="34" t="s">
        <v>3774</v>
      </c>
      <c r="Y1022" s="34" t="s">
        <v>6059</v>
      </c>
      <c r="Z1022" s="34">
        <v>1</v>
      </c>
      <c r="AA1022" s="34" t="s">
        <v>6204</v>
      </c>
      <c r="AB1022" s="34" t="s">
        <v>6204</v>
      </c>
      <c r="AC1022" s="34" t="s">
        <v>6205</v>
      </c>
      <c r="AD1022" s="34" t="s">
        <v>6205</v>
      </c>
      <c r="AE1022" s="34" t="s">
        <v>4287</v>
      </c>
      <c r="AF1022" s="34" t="s">
        <v>4287</v>
      </c>
      <c r="AG1022" s="34" t="s">
        <v>3835</v>
      </c>
      <c r="AH1022" s="34" t="s">
        <v>6206</v>
      </c>
      <c r="AL1022" s="34" t="s">
        <v>4380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7" t="str">
        <f>IFERROR(INDEX(Структура_ассортимента[SuperCategory],MATCH(Товары[[#This Row],[SubGroup]],Структура_ассортимента[Subgroup],0)),"")</f>
        <v>W</v>
      </c>
      <c r="D10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7" t="str">
        <f>IFERROR(INDEX(Структура_ассортимента[Product group],MATCH(Товары[[#This Row],[SubGroup]],Структура_ассортимента[Subgroup],0)),"")</f>
        <v>WMH_C</v>
      </c>
      <c r="G102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2572</v>
      </c>
      <c r="O1023" s="37" t="s">
        <v>6207</v>
      </c>
      <c r="P1023" s="37" t="s">
        <v>6208</v>
      </c>
      <c r="Q1023" s="39" t="s">
        <v>3416</v>
      </c>
      <c r="R1023" s="34" t="s">
        <v>3407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3413</v>
      </c>
      <c r="X1023" s="34" t="s">
        <v>3774</v>
      </c>
      <c r="Y1023" s="34" t="s">
        <v>5848</v>
      </c>
      <c r="Z1023" s="34">
        <v>50</v>
      </c>
      <c r="AA1023" s="34" t="s">
        <v>6209</v>
      </c>
      <c r="AB1023" s="34" t="s">
        <v>6209</v>
      </c>
      <c r="AC1023" s="34" t="s">
        <v>6210</v>
      </c>
      <c r="AD1023" s="34" t="s">
        <v>6210</v>
      </c>
      <c r="AE1023" s="34" t="s">
        <v>4993</v>
      </c>
      <c r="AF1023" s="34" t="s">
        <v>4993</v>
      </c>
      <c r="AG1023" s="34" t="s">
        <v>3623</v>
      </c>
      <c r="AH1023" s="34" t="s">
        <v>6097</v>
      </c>
      <c r="AL1023" s="34" t="s">
        <v>6098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7" t="str">
        <f>IFERROR(INDEX(Структура_ассортимента[SuperCategory],MATCH(Товары[[#This Row],[SubGroup]],Структура_ассортимента[Subgroup],0)),"")</f>
        <v>W</v>
      </c>
      <c r="D10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7" t="str">
        <f>IFERROR(INDEX(Структура_ассортимента[Product group],MATCH(Товары[[#This Row],[SubGroup]],Структура_ассортимента[Subgroup],0)),"")</f>
        <v>WMH_C</v>
      </c>
      <c r="G102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2573</v>
      </c>
      <c r="O1024" s="37" t="s">
        <v>6211</v>
      </c>
      <c r="P1024" s="37" t="s">
        <v>6212</v>
      </c>
      <c r="Q1024" s="39" t="s">
        <v>3416</v>
      </c>
      <c r="R1024" s="34" t="s">
        <v>3407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3417</v>
      </c>
      <c r="X1024" s="34" t="s">
        <v>3446</v>
      </c>
      <c r="Y1024" s="34" t="s">
        <v>5848</v>
      </c>
      <c r="Z1024" s="34">
        <v>50</v>
      </c>
      <c r="AA1024" s="34" t="s">
        <v>6213</v>
      </c>
      <c r="AB1024" s="34" t="s">
        <v>3608</v>
      </c>
      <c r="AC1024" s="34" t="s">
        <v>3601</v>
      </c>
      <c r="AD1024" s="34" t="s">
        <v>3608</v>
      </c>
      <c r="AE1024" s="34" t="s">
        <v>3623</v>
      </c>
      <c r="AF1024" s="34" t="s">
        <v>3523</v>
      </c>
      <c r="AG1024" s="34" t="s">
        <v>3523</v>
      </c>
      <c r="AH1024" s="34" t="s">
        <v>6214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7" t="str">
        <f>IFERROR(INDEX(Структура_ассортимента[SuperCategory],MATCH(Товары[[#This Row],[SubGroup]],Структура_ассортимента[Subgroup],0)),"")</f>
        <v>W</v>
      </c>
      <c r="D10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7" t="str">
        <f>IFERROR(INDEX(Структура_ассортимента[Product group],MATCH(Товары[[#This Row],[SubGroup]],Структура_ассортимента[Subgroup],0)),"")</f>
        <v>WMH_C</v>
      </c>
      <c r="G102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2574</v>
      </c>
      <c r="O1025" s="37" t="s">
        <v>6215</v>
      </c>
      <c r="P1025" s="37" t="s">
        <v>6216</v>
      </c>
      <c r="Q1025" s="39" t="s">
        <v>3416</v>
      </c>
      <c r="R1025" s="34" t="s">
        <v>3407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3417</v>
      </c>
      <c r="X1025" s="34" t="s">
        <v>3446</v>
      </c>
      <c r="Y1025" s="34" t="s">
        <v>5848</v>
      </c>
      <c r="Z1025" s="34">
        <v>50</v>
      </c>
      <c r="AA1025" s="34" t="s">
        <v>4286</v>
      </c>
      <c r="AB1025" s="34" t="s">
        <v>4286</v>
      </c>
      <c r="AC1025" s="34" t="s">
        <v>4046</v>
      </c>
      <c r="AD1025" s="34" t="s">
        <v>4046</v>
      </c>
      <c r="AE1025" s="34" t="s">
        <v>3623</v>
      </c>
      <c r="AF1025" s="34" t="s">
        <v>3523</v>
      </c>
      <c r="AG1025" s="34" t="s">
        <v>3523</v>
      </c>
      <c r="AH1025" s="34" t="s">
        <v>6214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7" t="str">
        <f>IFERROR(INDEX(Структура_ассортимента[SuperCategory],MATCH(Товары[[#This Row],[SubGroup]],Структура_ассортимента[Subgroup],0)),"")</f>
        <v>W</v>
      </c>
      <c r="D10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7" t="str">
        <f>IFERROR(INDEX(Структура_ассортимента[Product group],MATCH(Товары[[#This Row],[SubGroup]],Структура_ассортимента[Subgroup],0)),"")</f>
        <v>WMH_C</v>
      </c>
      <c r="G102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2575</v>
      </c>
      <c r="O1026" s="37" t="s">
        <v>6217</v>
      </c>
      <c r="P1026" s="37" t="s">
        <v>6218</v>
      </c>
      <c r="Q1026" s="39" t="s">
        <v>3416</v>
      </c>
      <c r="R1026" s="34" t="s">
        <v>3407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3413</v>
      </c>
      <c r="X1026" s="34" t="s">
        <v>3774</v>
      </c>
      <c r="Y1026" s="34" t="s">
        <v>6059</v>
      </c>
      <c r="Z1026" s="34">
        <v>1</v>
      </c>
      <c r="AA1026" s="34" t="s">
        <v>6219</v>
      </c>
      <c r="AB1026" s="34" t="s">
        <v>6220</v>
      </c>
      <c r="AC1026" s="34" t="s">
        <v>6221</v>
      </c>
      <c r="AD1026" s="34" t="s">
        <v>6222</v>
      </c>
      <c r="AE1026" s="34" t="s">
        <v>4758</v>
      </c>
      <c r="AF1026" s="34" t="s">
        <v>4758</v>
      </c>
      <c r="AG1026" s="34" t="s">
        <v>4416</v>
      </c>
      <c r="AH1026" s="34" t="s">
        <v>6048</v>
      </c>
      <c r="AL1026" s="34" t="s">
        <v>6049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7" t="str">
        <f>IFERROR(INDEX(Структура_ассортимента[SuperCategory],MATCH(Товары[[#This Row],[SubGroup]],Структура_ассортимента[Subgroup],0)),"")</f>
        <v>W</v>
      </c>
      <c r="D10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7" t="str">
        <f>IFERROR(INDEX(Структура_ассортимента[Product group],MATCH(Товары[[#This Row],[SubGroup]],Структура_ассортимента[Subgroup],0)),"")</f>
        <v>WMH_C</v>
      </c>
      <c r="G102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2576</v>
      </c>
      <c r="Q1027" s="39" t="s">
        <v>3416</v>
      </c>
      <c r="R1027" s="34" t="s">
        <v>3407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3417</v>
      </c>
      <c r="X1027" s="34" t="s">
        <v>3774</v>
      </c>
      <c r="Y1027" s="34" t="s">
        <v>6059</v>
      </c>
      <c r="Z1027" s="34">
        <v>1</v>
      </c>
      <c r="AA1027" s="34" t="s">
        <v>6223</v>
      </c>
      <c r="AB1027" s="34" t="s">
        <v>6223</v>
      </c>
      <c r="AC1027" s="34" t="s">
        <v>6224</v>
      </c>
      <c r="AD1027" s="34" t="s">
        <v>6224</v>
      </c>
      <c r="AE1027" s="34" t="s">
        <v>4758</v>
      </c>
      <c r="AF1027" s="34" t="s">
        <v>4758</v>
      </c>
      <c r="AG1027" s="34" t="s">
        <v>4258</v>
      </c>
      <c r="AH1027" s="34" t="s">
        <v>6225</v>
      </c>
      <c r="AL1027" s="34" t="s">
        <v>4081</v>
      </c>
      <c r="AM1027" s="34" t="s">
        <v>7962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7" t="str">
        <f>IFERROR(INDEX(Структура_ассортимента[SuperCategory],MATCH(Товары[[#This Row],[SubGroup]],Структура_ассортимента[Subgroup],0)),"")</f>
        <v>W</v>
      </c>
      <c r="D10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7" t="str">
        <f>IFERROR(INDEX(Структура_ассортимента[Product group],MATCH(Товары[[#This Row],[SubGroup]],Структура_ассортимента[Subgroup],0)),"")</f>
        <v>WMH_C</v>
      </c>
      <c r="G102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2577</v>
      </c>
      <c r="O1028" s="37" t="s">
        <v>6226</v>
      </c>
      <c r="P1028" s="37" t="s">
        <v>6227</v>
      </c>
      <c r="Q1028" s="39" t="s">
        <v>3416</v>
      </c>
      <c r="R1028" s="34" t="s">
        <v>3407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3413</v>
      </c>
      <c r="X1028" s="34" t="s">
        <v>3774</v>
      </c>
      <c r="Y1028" s="34" t="s">
        <v>6059</v>
      </c>
      <c r="Z1028" s="34">
        <v>1</v>
      </c>
      <c r="AA1028" s="34" t="s">
        <v>6228</v>
      </c>
      <c r="AB1028" s="34" t="s">
        <v>6228</v>
      </c>
      <c r="AC1028" s="34" t="s">
        <v>6229</v>
      </c>
      <c r="AD1028" s="34" t="s">
        <v>6229</v>
      </c>
      <c r="AE1028" s="34" t="s">
        <v>4758</v>
      </c>
      <c r="AF1028" s="34" t="s">
        <v>4758</v>
      </c>
      <c r="AG1028" s="34" t="s">
        <v>3787</v>
      </c>
      <c r="AH1028" s="34" t="s">
        <v>6085</v>
      </c>
      <c r="AL1028" s="34" t="s">
        <v>4380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7" t="str">
        <f>IFERROR(INDEX(Структура_ассортимента[SuperCategory],MATCH(Товары[[#This Row],[SubGroup]],Структура_ассортимента[Subgroup],0)),"")</f>
        <v>W</v>
      </c>
      <c r="D10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7" t="str">
        <f>IFERROR(INDEX(Структура_ассортимента[Product group],MATCH(Товары[[#This Row],[SubGroup]],Структура_ассортимента[Subgroup],0)),"")</f>
        <v>WMH_C</v>
      </c>
      <c r="G102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2578</v>
      </c>
      <c r="Q1029" s="39" t="s">
        <v>3416</v>
      </c>
      <c r="R1029" s="34" t="s">
        <v>3407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3417</v>
      </c>
      <c r="X1029" s="34" t="s">
        <v>3774</v>
      </c>
      <c r="Y1029" s="34" t="s">
        <v>6059</v>
      </c>
      <c r="Z1029" s="34">
        <v>1</v>
      </c>
      <c r="AA1029" s="34" t="s">
        <v>6230</v>
      </c>
      <c r="AB1029" s="34" t="s">
        <v>6230</v>
      </c>
      <c r="AC1029" s="34" t="s">
        <v>6231</v>
      </c>
      <c r="AD1029" s="34" t="s">
        <v>6231</v>
      </c>
      <c r="AE1029" s="34" t="s">
        <v>4294</v>
      </c>
      <c r="AF1029" s="34" t="s">
        <v>4294</v>
      </c>
      <c r="AG1029" s="34" t="s">
        <v>4258</v>
      </c>
      <c r="AH1029" s="34" t="s">
        <v>6141</v>
      </c>
      <c r="AL1029" s="34" t="s">
        <v>4081</v>
      </c>
      <c r="AM1029" s="34" t="s">
        <v>7962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7" t="str">
        <f>IFERROR(INDEX(Структура_ассортимента[SuperCategory],MATCH(Товары[[#This Row],[SubGroup]],Структура_ассортимента[Subgroup],0)),"")</f>
        <v>W</v>
      </c>
      <c r="D10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7" t="str">
        <f>IFERROR(INDEX(Структура_ассортимента[Product group],MATCH(Товары[[#This Row],[SubGroup]],Структура_ассортимента[Subgroup],0)),"")</f>
        <v>WMH_C</v>
      </c>
      <c r="G103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2579</v>
      </c>
      <c r="O1030" s="37" t="s">
        <v>6232</v>
      </c>
      <c r="P1030" s="37" t="s">
        <v>6233</v>
      </c>
      <c r="Q1030" s="39" t="s">
        <v>3416</v>
      </c>
      <c r="R1030" s="34" t="s">
        <v>3407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3417</v>
      </c>
      <c r="X1030" s="34" t="s">
        <v>3774</v>
      </c>
      <c r="Y1030" s="34" t="s">
        <v>6059</v>
      </c>
      <c r="Z1030" s="34">
        <v>1</v>
      </c>
      <c r="AA1030" s="34" t="s">
        <v>6234</v>
      </c>
      <c r="AB1030" s="34" t="s">
        <v>6234</v>
      </c>
      <c r="AC1030" s="34" t="s">
        <v>6235</v>
      </c>
      <c r="AD1030" s="34" t="s">
        <v>6235</v>
      </c>
      <c r="AE1030" s="34" t="s">
        <v>3589</v>
      </c>
      <c r="AF1030" s="34" t="s">
        <v>3589</v>
      </c>
      <c r="AG1030" s="34" t="s">
        <v>3835</v>
      </c>
      <c r="AH1030" s="34" t="s">
        <v>6236</v>
      </c>
      <c r="AL1030" s="34" t="s">
        <v>4380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7" t="str">
        <f>IFERROR(INDEX(Структура_ассортимента[SuperCategory],MATCH(Товары[[#This Row],[SubGroup]],Структура_ассортимента[Subgroup],0)),"")</f>
        <v>W</v>
      </c>
      <c r="D10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7" t="str">
        <f>IFERROR(INDEX(Структура_ассортимента[Product group],MATCH(Товары[[#This Row],[SubGroup]],Структура_ассортимента[Subgroup],0)),"")</f>
        <v>WMH_C</v>
      </c>
      <c r="G103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2580</v>
      </c>
      <c r="Q1031" s="39" t="s">
        <v>3416</v>
      </c>
      <c r="R1031" s="34" t="s">
        <v>3407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3410</v>
      </c>
      <c r="X1031" s="34" t="s">
        <v>3446</v>
      </c>
      <c r="Y1031" s="34" t="s">
        <v>3409</v>
      </c>
      <c r="Z1031" s="34">
        <v>20</v>
      </c>
      <c r="AA1031" s="34" t="s">
        <v>4104</v>
      </c>
      <c r="AB1031" s="34" t="s">
        <v>4104</v>
      </c>
      <c r="AC1031" s="34" t="s">
        <v>3743</v>
      </c>
      <c r="AD1031" s="34" t="s">
        <v>3743</v>
      </c>
      <c r="AE1031" s="34" t="s">
        <v>4449</v>
      </c>
      <c r="AF1031" s="34" t="s">
        <v>3589</v>
      </c>
      <c r="AG1031" s="34" t="s">
        <v>4678</v>
      </c>
      <c r="AH1031" s="34" t="s">
        <v>6237</v>
      </c>
      <c r="AL1031" s="34">
        <v>40</v>
      </c>
      <c r="AM1031" s="34" t="s">
        <v>7962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7" t="str">
        <f>IFERROR(INDEX(Структура_ассортимента[SuperCategory],MATCH(Товары[[#This Row],[SubGroup]],Структура_ассортимента[Subgroup],0)),"")</f>
        <v>W</v>
      </c>
      <c r="D10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7" t="str">
        <f>IFERROR(INDEX(Структура_ассортимента[Product group],MATCH(Товары[[#This Row],[SubGroup]],Структура_ассортимента[Subgroup],0)),"")</f>
        <v>WMH_C</v>
      </c>
      <c r="G103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2581</v>
      </c>
      <c r="Q1032" s="39" t="s">
        <v>3416</v>
      </c>
      <c r="R1032" s="34" t="s">
        <v>3407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3410</v>
      </c>
      <c r="X1032" s="34" t="s">
        <v>3446</v>
      </c>
      <c r="Y1032" s="34" t="s">
        <v>3409</v>
      </c>
      <c r="Z1032" s="34">
        <v>4</v>
      </c>
      <c r="AA1032" s="34" t="s">
        <v>5021</v>
      </c>
      <c r="AB1032" s="34" t="s">
        <v>6238</v>
      </c>
      <c r="AC1032" s="34" t="s">
        <v>3743</v>
      </c>
      <c r="AD1032" s="34" t="s">
        <v>4238</v>
      </c>
      <c r="AE1032" s="34" t="s">
        <v>4027</v>
      </c>
      <c r="AF1032" s="34" t="s">
        <v>3433</v>
      </c>
      <c r="AG1032" s="34" t="s">
        <v>3422</v>
      </c>
      <c r="AH1032" s="34" t="s">
        <v>6239</v>
      </c>
      <c r="AL1032" s="34" t="s">
        <v>3697</v>
      </c>
      <c r="AM1032" s="34" t="s">
        <v>7962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7" t="str">
        <f>IFERROR(INDEX(Структура_ассортимента[SuperCategory],MATCH(Товары[[#This Row],[SubGroup]],Структура_ассортимента[Subgroup],0)),"")</f>
        <v>W</v>
      </c>
      <c r="D10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7" t="str">
        <f>IFERROR(INDEX(Структура_ассортимента[Product group],MATCH(Товары[[#This Row],[SubGroup]],Структура_ассортимента[Subgroup],0)),"")</f>
        <v>WMH_C</v>
      </c>
      <c r="G103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2582</v>
      </c>
      <c r="O1033" s="37" t="s">
        <v>6240</v>
      </c>
      <c r="P1033" s="37" t="s">
        <v>6241</v>
      </c>
      <c r="Q1033" s="39" t="s">
        <v>3416</v>
      </c>
      <c r="R1033" s="34" t="s">
        <v>3407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3410</v>
      </c>
      <c r="X1033" s="34" t="s">
        <v>3446</v>
      </c>
      <c r="Y1033" s="34" t="s">
        <v>3409</v>
      </c>
      <c r="Z1033" s="34">
        <v>4</v>
      </c>
      <c r="AA1033" s="34">
        <v>1330</v>
      </c>
      <c r="AB1033" s="34" t="s">
        <v>6238</v>
      </c>
      <c r="AC1033" s="34">
        <v>1150</v>
      </c>
      <c r="AD1033" s="34" t="s">
        <v>3421</v>
      </c>
      <c r="AE1033" s="34" t="s">
        <v>4027</v>
      </c>
      <c r="AF1033" s="34" t="s">
        <v>3433</v>
      </c>
      <c r="AG1033" s="34" t="s">
        <v>3422</v>
      </c>
      <c r="AH1033" s="34" t="s">
        <v>6239</v>
      </c>
      <c r="AL1033" s="34" t="s">
        <v>3697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7" t="str">
        <f>IFERROR(INDEX(Структура_ассортимента[SuperCategory],MATCH(Товары[[#This Row],[SubGroup]],Структура_ассортимента[Subgroup],0)),"")</f>
        <v>W</v>
      </c>
      <c r="D10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7" t="str">
        <f>IFERROR(INDEX(Структура_ассортимента[Product group],MATCH(Товары[[#This Row],[SubGroup]],Структура_ассортимента[Subgroup],0)),"")</f>
        <v>WMH_C</v>
      </c>
      <c r="G103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2583</v>
      </c>
      <c r="O1034" s="37" t="s">
        <v>6242</v>
      </c>
      <c r="P1034" s="37" t="s">
        <v>6243</v>
      </c>
      <c r="Q1034" s="39" t="s">
        <v>3416</v>
      </c>
      <c r="R1034" s="34" t="s">
        <v>3407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3413</v>
      </c>
      <c r="X1034" s="34" t="s">
        <v>6058</v>
      </c>
      <c r="Y1034" s="34" t="s">
        <v>3409</v>
      </c>
      <c r="Z1034" s="34">
        <v>6</v>
      </c>
      <c r="AA1034" s="34" t="s">
        <v>3850</v>
      </c>
      <c r="AB1034" s="34" t="s">
        <v>6244</v>
      </c>
      <c r="AC1034" s="34" t="s">
        <v>6245</v>
      </c>
      <c r="AD1034" s="34" t="s">
        <v>6246</v>
      </c>
      <c r="AE1034" s="34" t="s">
        <v>3806</v>
      </c>
      <c r="AF1034" s="34" t="s">
        <v>3806</v>
      </c>
      <c r="AG1034" s="34" t="s">
        <v>3610</v>
      </c>
      <c r="AH1034" s="34" t="s">
        <v>6247</v>
      </c>
      <c r="AI1034" s="34" t="s">
        <v>4318</v>
      </c>
      <c r="AK1034" s="34" t="s">
        <v>4098</v>
      </c>
      <c r="AL1034" s="34" t="s">
        <v>3697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7" t="str">
        <f>IFERROR(INDEX(Структура_ассортимента[SuperCategory],MATCH(Товары[[#This Row],[SubGroup]],Структура_ассортимента[Subgroup],0)),"")</f>
        <v>W</v>
      </c>
      <c r="D10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7" t="str">
        <f>IFERROR(INDEX(Структура_ассортимента[Product group],MATCH(Товары[[#This Row],[SubGroup]],Структура_ассортимента[Subgroup],0)),"")</f>
        <v>WMH_C</v>
      </c>
      <c r="G103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2584</v>
      </c>
      <c r="O1035" s="37" t="s">
        <v>6248</v>
      </c>
      <c r="P1035" s="37" t="s">
        <v>6249</v>
      </c>
      <c r="Q1035" s="39" t="s">
        <v>3416</v>
      </c>
      <c r="R1035" s="34" t="s">
        <v>3407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3413</v>
      </c>
      <c r="X1035" s="34" t="s">
        <v>6058</v>
      </c>
      <c r="Y1035" s="34" t="s">
        <v>3409</v>
      </c>
      <c r="Z1035" s="34">
        <v>16</v>
      </c>
      <c r="AA1035" s="34" t="s">
        <v>4186</v>
      </c>
      <c r="AB1035" s="34" t="s">
        <v>6250</v>
      </c>
      <c r="AC1035" s="34" t="s">
        <v>6251</v>
      </c>
      <c r="AD1035" s="34" t="s">
        <v>6246</v>
      </c>
      <c r="AE1035" s="34" t="s">
        <v>3835</v>
      </c>
      <c r="AF1035" s="34" t="s">
        <v>3835</v>
      </c>
      <c r="AG1035" s="34" t="s">
        <v>3610</v>
      </c>
      <c r="AH1035" s="34" t="s">
        <v>6252</v>
      </c>
      <c r="AL1035" s="34" t="s">
        <v>4081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7" t="str">
        <f>IFERROR(INDEX(Структура_ассортимента[SuperCategory],MATCH(Товары[[#This Row],[SubGroup]],Структура_ассортимента[Subgroup],0)),"")</f>
        <v>W</v>
      </c>
      <c r="D10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7" t="str">
        <f>IFERROR(INDEX(Структура_ассортимента[Product group],MATCH(Товары[[#This Row],[SubGroup]],Структура_ассортимента[Subgroup],0)),"")</f>
        <v>WMH_C</v>
      </c>
      <c r="G103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2585</v>
      </c>
      <c r="O1036" s="37" t="s">
        <v>6253</v>
      </c>
      <c r="P1036" s="37" t="s">
        <v>6254</v>
      </c>
      <c r="Q1036" s="39" t="s">
        <v>3416</v>
      </c>
      <c r="R1036" s="34" t="s">
        <v>3407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3413</v>
      </c>
      <c r="X1036" s="34" t="s">
        <v>6058</v>
      </c>
      <c r="Y1036" s="34" t="s">
        <v>3409</v>
      </c>
      <c r="Z1036" s="34">
        <v>6</v>
      </c>
      <c r="AA1036" s="34" t="s">
        <v>6255</v>
      </c>
      <c r="AB1036" s="34" t="s">
        <v>6256</v>
      </c>
      <c r="AC1036" s="34" t="s">
        <v>6257</v>
      </c>
      <c r="AD1036" s="34" t="s">
        <v>6258</v>
      </c>
      <c r="AE1036" s="34" t="s">
        <v>3835</v>
      </c>
      <c r="AF1036" s="34" t="s">
        <v>3835</v>
      </c>
      <c r="AG1036" s="34" t="s">
        <v>3610</v>
      </c>
      <c r="AH1036" s="34" t="s">
        <v>6252</v>
      </c>
      <c r="AI1036" s="34" t="s">
        <v>6259</v>
      </c>
      <c r="AK1036" s="34" t="s">
        <v>4098</v>
      </c>
      <c r="AL1036" s="34" t="s">
        <v>3697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7" t="str">
        <f>IFERROR(INDEX(Структура_ассортимента[SuperCategory],MATCH(Товары[[#This Row],[SubGroup]],Структура_ассортимента[Subgroup],0)),"")</f>
        <v>W</v>
      </c>
      <c r="D10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7" t="str">
        <f>IFERROR(INDEX(Структура_ассортимента[Product group],MATCH(Товары[[#This Row],[SubGroup]],Структура_ассортимента[Subgroup],0)),"")</f>
        <v>WMH_C</v>
      </c>
      <c r="G103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2586</v>
      </c>
      <c r="O1037" s="37" t="s">
        <v>6260</v>
      </c>
      <c r="P1037" s="37" t="s">
        <v>6261</v>
      </c>
      <c r="Q1037" s="39" t="s">
        <v>3416</v>
      </c>
      <c r="R1037" s="34" t="s">
        <v>3407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3413</v>
      </c>
      <c r="X1037" s="34" t="s">
        <v>6058</v>
      </c>
      <c r="Y1037" s="34" t="s">
        <v>3409</v>
      </c>
      <c r="Z1037" s="34">
        <v>16</v>
      </c>
      <c r="AA1037" s="34" t="s">
        <v>6262</v>
      </c>
      <c r="AB1037" s="34" t="s">
        <v>6255</v>
      </c>
      <c r="AC1037" s="34" t="s">
        <v>6263</v>
      </c>
      <c r="AD1037" s="34" t="s">
        <v>6258</v>
      </c>
      <c r="AE1037" s="34" t="s">
        <v>3835</v>
      </c>
      <c r="AF1037" s="34" t="s">
        <v>3835</v>
      </c>
      <c r="AG1037" s="34" t="s">
        <v>3610</v>
      </c>
      <c r="AH1037" s="34" t="s">
        <v>6252</v>
      </c>
      <c r="AL1037" s="34" t="s">
        <v>4081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7" t="str">
        <f>IFERROR(INDEX(Структура_ассортимента[SuperCategory],MATCH(Товары[[#This Row],[SubGroup]],Структура_ассортимента[Subgroup],0)),"")</f>
        <v>W</v>
      </c>
      <c r="D10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7" t="str">
        <f>IFERROR(INDEX(Структура_ассортимента[Product group],MATCH(Товары[[#This Row],[SubGroup]],Структура_ассортимента[Subgroup],0)),"")</f>
        <v>WMH_C</v>
      </c>
      <c r="G103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2587</v>
      </c>
      <c r="O1038" s="37" t="s">
        <v>6264</v>
      </c>
      <c r="P1038" s="37" t="s">
        <v>6265</v>
      </c>
      <c r="Q1038" s="39" t="s">
        <v>3416</v>
      </c>
      <c r="R1038" s="34" t="s">
        <v>3407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3413</v>
      </c>
      <c r="X1038" s="34" t="s">
        <v>6058</v>
      </c>
      <c r="Y1038" s="34" t="s">
        <v>3409</v>
      </c>
      <c r="Z1038" s="34">
        <v>3</v>
      </c>
      <c r="AA1038" s="34" t="s">
        <v>6266</v>
      </c>
      <c r="AB1038" s="34" t="s">
        <v>6267</v>
      </c>
      <c r="AC1038" s="34" t="s">
        <v>6268</v>
      </c>
      <c r="AD1038" s="34" t="s">
        <v>6136</v>
      </c>
      <c r="AE1038" s="34" t="s">
        <v>3809</v>
      </c>
      <c r="AF1038" s="34" t="s">
        <v>3809</v>
      </c>
      <c r="AG1038" s="34" t="s">
        <v>3610</v>
      </c>
      <c r="AH1038" s="34" t="s">
        <v>6269</v>
      </c>
      <c r="AI1038" s="34" t="s">
        <v>4073</v>
      </c>
      <c r="AK1038" s="34" t="s">
        <v>4098</v>
      </c>
      <c r="AL1038" s="34" t="s">
        <v>5309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7" t="str">
        <f>IFERROR(INDEX(Структура_ассортимента[SuperCategory],MATCH(Товары[[#This Row],[SubGroup]],Структура_ассортимента[Subgroup],0)),"")</f>
        <v>W</v>
      </c>
      <c r="D10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7" t="str">
        <f>IFERROR(INDEX(Структура_ассортимента[Product group],MATCH(Товары[[#This Row],[SubGroup]],Структура_ассортимента[Subgroup],0)),"")</f>
        <v>WMH_C</v>
      </c>
      <c r="G103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2588</v>
      </c>
      <c r="P1039" s="37" t="s">
        <v>6270</v>
      </c>
      <c r="Q1039" s="39" t="s">
        <v>3580</v>
      </c>
      <c r="R1039" s="34" t="s">
        <v>3407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3410</v>
      </c>
      <c r="Y1039" s="34" t="s">
        <v>3409</v>
      </c>
      <c r="Z1039" s="34">
        <v>8</v>
      </c>
      <c r="AA1039" s="34" t="s">
        <v>3829</v>
      </c>
      <c r="AB1039" s="34" t="s">
        <v>6271</v>
      </c>
      <c r="AC1039" s="34" t="s">
        <v>6272</v>
      </c>
      <c r="AD1039" s="34" t="s">
        <v>3508</v>
      </c>
      <c r="AE1039" s="34" t="s">
        <v>4176</v>
      </c>
      <c r="AF1039" s="34" t="s">
        <v>4176</v>
      </c>
      <c r="AG1039" s="34" t="s">
        <v>4124</v>
      </c>
      <c r="AH1039" s="34" t="s">
        <v>4633</v>
      </c>
      <c r="AL1039" s="34" t="s">
        <v>4188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7" t="str">
        <f>IFERROR(INDEX(Структура_ассортимента[SuperCategory],MATCH(Товары[[#This Row],[SubGroup]],Структура_ассортимента[Subgroup],0)),"")</f>
        <v>W</v>
      </c>
      <c r="D10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7" t="str">
        <f>IFERROR(INDEX(Структура_ассортимента[Product group],MATCH(Товары[[#This Row],[SubGroup]],Структура_ассортимента[Subgroup],0)),"")</f>
        <v>WMH_C</v>
      </c>
      <c r="G104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2589</v>
      </c>
      <c r="O1040" s="37" t="s">
        <v>6273</v>
      </c>
      <c r="P1040" s="37" t="s">
        <v>6274</v>
      </c>
      <c r="Q1040" s="39" t="s">
        <v>3416</v>
      </c>
      <c r="R1040" s="34" t="s">
        <v>3407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3413</v>
      </c>
      <c r="X1040" s="34" t="s">
        <v>6058</v>
      </c>
      <c r="Y1040" s="34" t="s">
        <v>3409</v>
      </c>
      <c r="Z1040" s="34">
        <v>6</v>
      </c>
      <c r="AA1040" s="34" t="s">
        <v>6275</v>
      </c>
      <c r="AB1040" s="34" t="s">
        <v>6275</v>
      </c>
      <c r="AC1040" s="34" t="s">
        <v>4104</v>
      </c>
      <c r="AD1040" s="34" t="s">
        <v>4104</v>
      </c>
      <c r="AE1040" s="34" t="s">
        <v>3806</v>
      </c>
      <c r="AF1040" s="34" t="s">
        <v>3806</v>
      </c>
      <c r="AG1040" s="34" t="s">
        <v>3610</v>
      </c>
      <c r="AH1040" s="34" t="s">
        <v>6247</v>
      </c>
      <c r="AL1040" s="34" t="s">
        <v>3697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7" t="str">
        <f>IFERROR(INDEX(Структура_ассортимента[SuperCategory],MATCH(Товары[[#This Row],[SubGroup]],Структура_ассортимента[Subgroup],0)),"")</f>
        <v>W</v>
      </c>
      <c r="D10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7" t="str">
        <f>IFERROR(INDEX(Структура_ассортимента[Product group],MATCH(Товары[[#This Row],[SubGroup]],Структура_ассортимента[Subgroup],0)),"")</f>
        <v>WMH_C</v>
      </c>
      <c r="G104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2590</v>
      </c>
      <c r="Q1041" s="39" t="s">
        <v>3416</v>
      </c>
      <c r="R1041" s="34" t="s">
        <v>3407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3417</v>
      </c>
      <c r="X1041" s="34" t="s">
        <v>3446</v>
      </c>
      <c r="Y1041" s="34" t="s">
        <v>3409</v>
      </c>
      <c r="Z1041" s="34">
        <v>1</v>
      </c>
      <c r="AA1041" s="34" t="s">
        <v>6276</v>
      </c>
      <c r="AB1041" s="34" t="s">
        <v>6276</v>
      </c>
      <c r="AC1041" s="34" t="s">
        <v>6238</v>
      </c>
      <c r="AD1041" s="34" t="s">
        <v>6238</v>
      </c>
      <c r="AE1041" s="34" t="s">
        <v>3724</v>
      </c>
      <c r="AF1041" s="34" t="s">
        <v>3724</v>
      </c>
      <c r="AG1041" s="34" t="s">
        <v>4048</v>
      </c>
      <c r="AH1041" s="34" t="s">
        <v>6277</v>
      </c>
      <c r="AL1041" s="34">
        <v>108</v>
      </c>
      <c r="AM1041" s="34" t="s">
        <v>7962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7" t="str">
        <f>IFERROR(INDEX(Структура_ассортимента[SuperCategory],MATCH(Товары[[#This Row],[SubGroup]],Структура_ассортимента[Subgroup],0)),"")</f>
        <v>W</v>
      </c>
      <c r="D10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7" t="str">
        <f>IFERROR(INDEX(Структура_ассортимента[Product group],MATCH(Товары[[#This Row],[SubGroup]],Структура_ассортимента[Subgroup],0)),"")</f>
        <v>WMH_C</v>
      </c>
      <c r="G104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2591</v>
      </c>
      <c r="Q1042" s="39" t="s">
        <v>3416</v>
      </c>
      <c r="R1042" s="34" t="s">
        <v>3407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3417</v>
      </c>
      <c r="X1042" s="34" t="s">
        <v>3446</v>
      </c>
      <c r="Y1042" s="34" t="s">
        <v>3409</v>
      </c>
      <c r="Z1042" s="34">
        <v>1</v>
      </c>
      <c r="AA1042" s="34" t="s">
        <v>6278</v>
      </c>
      <c r="AB1042" s="34" t="s">
        <v>6278</v>
      </c>
      <c r="AC1042" s="34" t="s">
        <v>4068</v>
      </c>
      <c r="AD1042" s="34" t="s">
        <v>4068</v>
      </c>
      <c r="AE1042" s="34" t="s">
        <v>3724</v>
      </c>
      <c r="AF1042" s="34" t="s">
        <v>3724</v>
      </c>
      <c r="AG1042" s="34" t="s">
        <v>3658</v>
      </c>
      <c r="AH1042" s="34" t="s">
        <v>6279</v>
      </c>
      <c r="AL1042" s="34">
        <v>108</v>
      </c>
      <c r="AM1042" s="34" t="s">
        <v>7962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7" t="str">
        <f>IFERROR(INDEX(Структура_ассортимента[SuperCategory],MATCH(Товары[[#This Row],[SubGroup]],Структура_ассортимента[Subgroup],0)),"")</f>
        <v>W</v>
      </c>
      <c r="D10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7" t="str">
        <f>IFERROR(INDEX(Структура_ассортимента[Product group],MATCH(Товары[[#This Row],[SubGroup]],Структура_ассортимента[Subgroup],0)),"")</f>
        <v>WMH_C</v>
      </c>
      <c r="G104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2592</v>
      </c>
      <c r="O1043" s="37" t="s">
        <v>6280</v>
      </c>
      <c r="P1043" s="37" t="s">
        <v>6281</v>
      </c>
      <c r="Q1043" s="39" t="s">
        <v>3416</v>
      </c>
      <c r="R1043" s="34" t="s">
        <v>3407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3413</v>
      </c>
      <c r="X1043" s="34" t="s">
        <v>6058</v>
      </c>
      <c r="Y1043" s="34" t="s">
        <v>6059</v>
      </c>
      <c r="Z1043" s="34">
        <v>10</v>
      </c>
      <c r="AA1043" s="34" t="s">
        <v>4744</v>
      </c>
      <c r="AB1043" s="34" t="s">
        <v>4744</v>
      </c>
      <c r="AC1043" s="34" t="s">
        <v>5257</v>
      </c>
      <c r="AD1043" s="34" t="s">
        <v>5257</v>
      </c>
      <c r="AE1043" s="34" t="s">
        <v>3609</v>
      </c>
      <c r="AF1043" s="34" t="s">
        <v>4377</v>
      </c>
      <c r="AG1043" s="34" t="s">
        <v>3560</v>
      </c>
      <c r="AH1043" s="34" t="s">
        <v>6282</v>
      </c>
      <c r="AL1043" s="34" t="s">
        <v>4380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7" t="str">
        <f>IFERROR(INDEX(Структура_ассортимента[SuperCategory],MATCH(Товары[[#This Row],[SubGroup]],Структура_ассортимента[Subgroup],0)),"")</f>
        <v>W</v>
      </c>
      <c r="D10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7" t="str">
        <f>IFERROR(INDEX(Структура_ассортимента[Product group],MATCH(Товары[[#This Row],[SubGroup]],Структура_ассортимента[Subgroup],0)),"")</f>
        <v>WMH_C</v>
      </c>
      <c r="G104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2593</v>
      </c>
      <c r="O1044" s="37" t="s">
        <v>6283</v>
      </c>
      <c r="P1044" s="37" t="s">
        <v>6284</v>
      </c>
      <c r="Q1044" s="39" t="s">
        <v>3416</v>
      </c>
      <c r="R1044" s="34" t="s">
        <v>3407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3410</v>
      </c>
      <c r="X1044" s="34" t="s">
        <v>3446</v>
      </c>
      <c r="Y1044" s="34" t="s">
        <v>3409</v>
      </c>
      <c r="Z1044" s="34">
        <v>5</v>
      </c>
      <c r="AA1044" s="34" t="s">
        <v>3874</v>
      </c>
      <c r="AB1044" s="34" t="s">
        <v>5821</v>
      </c>
      <c r="AC1044" s="34" t="s">
        <v>4047</v>
      </c>
      <c r="AD1044" s="34" t="s">
        <v>3618</v>
      </c>
      <c r="AE1044" s="34" t="s">
        <v>5702</v>
      </c>
      <c r="AF1044" s="34" t="s">
        <v>4325</v>
      </c>
      <c r="AG1044" s="34" t="s">
        <v>4098</v>
      </c>
      <c r="AH1044" s="34" t="s">
        <v>6285</v>
      </c>
      <c r="AL1044" s="34" t="s">
        <v>4911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7" t="str">
        <f>IFERROR(INDEX(Структура_ассортимента[SuperCategory],MATCH(Товары[[#This Row],[SubGroup]],Структура_ассортимента[Subgroup],0)),"")</f>
        <v>W</v>
      </c>
      <c r="D10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7" t="str">
        <f>IFERROR(INDEX(Структура_ассортимента[Product group],MATCH(Товары[[#This Row],[SubGroup]],Структура_ассортимента[Subgroup],0)),"")</f>
        <v>WMH_C</v>
      </c>
      <c r="G104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2594</v>
      </c>
      <c r="O1045" s="37" t="s">
        <v>6286</v>
      </c>
      <c r="P1045" s="37" t="s">
        <v>6287</v>
      </c>
      <c r="Q1045" s="39" t="s">
        <v>3416</v>
      </c>
      <c r="R1045" s="34" t="s">
        <v>3407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3410</v>
      </c>
      <c r="X1045" s="34" t="s">
        <v>3446</v>
      </c>
      <c r="Y1045" s="34" t="s">
        <v>3409</v>
      </c>
      <c r="Z1045" s="34">
        <v>5</v>
      </c>
      <c r="AA1045" s="34">
        <v>290</v>
      </c>
      <c r="AB1045" s="34" t="s">
        <v>4351</v>
      </c>
      <c r="AC1045" s="34">
        <v>270</v>
      </c>
      <c r="AD1045" s="34" t="s">
        <v>4047</v>
      </c>
      <c r="AE1045" s="34" t="s">
        <v>5702</v>
      </c>
      <c r="AF1045" s="34" t="s">
        <v>4325</v>
      </c>
      <c r="AG1045" s="34" t="s">
        <v>4098</v>
      </c>
      <c r="AH1045" s="34" t="s">
        <v>6285</v>
      </c>
      <c r="AL1045" s="34" t="s">
        <v>4911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7" t="str">
        <f>IFERROR(INDEX(Структура_ассортимента[SuperCategory],MATCH(Товары[[#This Row],[SubGroup]],Структура_ассортимента[Subgroup],0)),"")</f>
        <v>W</v>
      </c>
      <c r="D10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7" t="str">
        <f>IFERROR(INDEX(Структура_ассортимента[Product group],MATCH(Товары[[#This Row],[SubGroup]],Структура_ассортимента[Subgroup],0)),"")</f>
        <v>WMH_C</v>
      </c>
      <c r="G1046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2595</v>
      </c>
      <c r="Q1046" s="39" t="s">
        <v>3416</v>
      </c>
      <c r="R1046" s="34" t="s">
        <v>3407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3410</v>
      </c>
      <c r="X1046" s="34" t="s">
        <v>3446</v>
      </c>
      <c r="Y1046" s="34" t="s">
        <v>3409</v>
      </c>
      <c r="Z1046" s="34">
        <v>20</v>
      </c>
      <c r="AM1046" s="34" t="s">
        <v>7962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7" t="str">
        <f>IFERROR(INDEX(Структура_ассортимента[SuperCategory],MATCH(Товары[[#This Row],[SubGroup]],Структура_ассортимента[Subgroup],0)),"")</f>
        <v>W</v>
      </c>
      <c r="D10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7" t="str">
        <f>IFERROR(INDEX(Структура_ассортимента[Product group],MATCH(Товары[[#This Row],[SubGroup]],Структура_ассортимента[Subgroup],0)),"")</f>
        <v>WMH_C</v>
      </c>
      <c r="G1047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2596</v>
      </c>
      <c r="Q1047" s="39" t="s">
        <v>3416</v>
      </c>
      <c r="R1047" s="34" t="s">
        <v>3407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3413</v>
      </c>
      <c r="X1047" s="34" t="s">
        <v>6058</v>
      </c>
      <c r="Y1047" s="34" t="s">
        <v>3409</v>
      </c>
      <c r="Z1047" s="34">
        <v>5</v>
      </c>
      <c r="AA1047" s="34">
        <v>3200</v>
      </c>
      <c r="AB1047" s="34" t="s">
        <v>5381</v>
      </c>
      <c r="AC1047" s="34">
        <v>2900</v>
      </c>
      <c r="AD1047" s="34" t="s">
        <v>6288</v>
      </c>
      <c r="AE1047" s="34" t="s">
        <v>3609</v>
      </c>
      <c r="AF1047" s="34" t="s">
        <v>4377</v>
      </c>
      <c r="AG1047" s="34" t="s">
        <v>3560</v>
      </c>
      <c r="AH1047" s="34" t="s">
        <v>6282</v>
      </c>
      <c r="AL1047" s="34" t="s">
        <v>4381</v>
      </c>
      <c r="AM1047" s="34" t="s">
        <v>7962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7" t="str">
        <f>IFERROR(INDEX(Структура_ассортимента[SuperCategory],MATCH(Товары[[#This Row],[SubGroup]],Структура_ассортимента[Subgroup],0)),"")</f>
        <v>W</v>
      </c>
      <c r="D10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7" t="str">
        <f>IFERROR(INDEX(Структура_ассортимента[Product group],MATCH(Товары[[#This Row],[SubGroup]],Структура_ассортимента[Subgroup],0)),"")</f>
        <v>WMH_C</v>
      </c>
      <c r="G1048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2597</v>
      </c>
      <c r="Q1048" s="39" t="s">
        <v>3416</v>
      </c>
      <c r="R1048" s="34" t="s">
        <v>3407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3413</v>
      </c>
      <c r="X1048" s="34" t="s">
        <v>6058</v>
      </c>
      <c r="Y1048" s="34" t="s">
        <v>3409</v>
      </c>
      <c r="Z1048" s="34">
        <v>14</v>
      </c>
      <c r="AB1048" s="34" t="s">
        <v>5257</v>
      </c>
      <c r="AD1048" s="34" t="s">
        <v>6105</v>
      </c>
      <c r="AE1048" s="34" t="s">
        <v>3477</v>
      </c>
      <c r="AF1048" s="34" t="s">
        <v>3477</v>
      </c>
      <c r="AG1048" s="34" t="s">
        <v>4416</v>
      </c>
      <c r="AH1048" s="34" t="s">
        <v>6289</v>
      </c>
      <c r="AL1048" s="34" t="s">
        <v>6069</v>
      </c>
      <c r="AM1048" s="34" t="s">
        <v>7962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7" t="str">
        <f>IFERROR(INDEX(Структура_ассортимента[SuperCategory],MATCH(Товары[[#This Row],[SubGroup]],Структура_ассортимента[Subgroup],0)),"")</f>
        <v>W</v>
      </c>
      <c r="D10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7" t="str">
        <f>IFERROR(INDEX(Структура_ассортимента[Product group],MATCH(Товары[[#This Row],[SubGroup]],Структура_ассортимента[Subgroup],0)),"")</f>
        <v>WMH_C</v>
      </c>
      <c r="G1049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2598</v>
      </c>
      <c r="O1049" s="37" t="s">
        <v>6290</v>
      </c>
      <c r="P1049" s="37" t="s">
        <v>6291</v>
      </c>
      <c r="Q1049" s="39" t="s">
        <v>3416</v>
      </c>
      <c r="R1049" s="34" t="s">
        <v>3407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3413</v>
      </c>
      <c r="X1049" s="34" t="s">
        <v>4735</v>
      </c>
      <c r="Y1049" s="34" t="s">
        <v>3409</v>
      </c>
      <c r="Z1049" s="34">
        <v>1</v>
      </c>
      <c r="AB1049" s="34" t="s">
        <v>6292</v>
      </c>
      <c r="AD1049" s="34" t="s">
        <v>6293</v>
      </c>
      <c r="AE1049" s="34" t="s">
        <v>3589</v>
      </c>
      <c r="AF1049" s="34" t="s">
        <v>3589</v>
      </c>
      <c r="AG1049" s="34" t="s">
        <v>3856</v>
      </c>
      <c r="AH1049" s="34" t="s">
        <v>6294</v>
      </c>
      <c r="AL1049" s="34" t="s">
        <v>4380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7" t="str">
        <f>IFERROR(INDEX(Структура_ассортимента[SuperCategory],MATCH(Товары[[#This Row],[SubGroup]],Структура_ассортимента[Subgroup],0)),"")</f>
        <v>W</v>
      </c>
      <c r="D10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7" t="str">
        <f>IFERROR(INDEX(Структура_ассортимента[Product group],MATCH(Товары[[#This Row],[SubGroup]],Структура_ассортимента[Subgroup],0)),"")</f>
        <v>WMH_C</v>
      </c>
      <c r="G1050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2599</v>
      </c>
      <c r="O1050" s="37" t="s">
        <v>6295</v>
      </c>
      <c r="P1050" s="37" t="s">
        <v>6296</v>
      </c>
      <c r="Q1050" s="39" t="s">
        <v>3416</v>
      </c>
      <c r="R1050" s="34" t="s">
        <v>3407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3413</v>
      </c>
      <c r="X1050" s="34" t="s">
        <v>4735</v>
      </c>
      <c r="Y1050" s="34" t="s">
        <v>3409</v>
      </c>
      <c r="Z1050" s="34">
        <v>1</v>
      </c>
      <c r="AB1050" s="34" t="s">
        <v>6297</v>
      </c>
      <c r="AD1050" s="34" t="s">
        <v>5576</v>
      </c>
      <c r="AE1050" s="34" t="s">
        <v>4280</v>
      </c>
      <c r="AF1050" s="34" t="s">
        <v>4280</v>
      </c>
      <c r="AG1050" s="34" t="s">
        <v>3835</v>
      </c>
      <c r="AH1050" s="34" t="s">
        <v>6103</v>
      </c>
      <c r="AL1050" s="34" t="s">
        <v>4380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7" t="str">
        <f>IFERROR(INDEX(Структура_ассортимента[SuperCategory],MATCH(Товары[[#This Row],[SubGroup]],Структура_ассортимента[Subgroup],0)),"")</f>
        <v>W</v>
      </c>
      <c r="D10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7" t="str">
        <f>IFERROR(INDEX(Структура_ассортимента[Product group],MATCH(Товары[[#This Row],[SubGroup]],Структура_ассортимента[Subgroup],0)),"")</f>
        <v>WMH_C</v>
      </c>
      <c r="G1051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2600</v>
      </c>
      <c r="O1051" s="37" t="s">
        <v>6298</v>
      </c>
      <c r="P1051" s="37" t="s">
        <v>6299</v>
      </c>
      <c r="Q1051" s="39" t="s">
        <v>3416</v>
      </c>
      <c r="R1051" s="34" t="s">
        <v>3407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3413</v>
      </c>
      <c r="X1051" s="34" t="s">
        <v>4735</v>
      </c>
      <c r="Y1051" s="34" t="s">
        <v>3409</v>
      </c>
      <c r="Z1051" s="34">
        <v>1</v>
      </c>
      <c r="AB1051" s="34" t="s">
        <v>6300</v>
      </c>
      <c r="AD1051" s="34" t="s">
        <v>5420</v>
      </c>
      <c r="AE1051" s="34" t="s">
        <v>3589</v>
      </c>
      <c r="AF1051" s="34" t="s">
        <v>3589</v>
      </c>
      <c r="AG1051" s="34" t="s">
        <v>3685</v>
      </c>
      <c r="AH1051" s="34" t="s">
        <v>6301</v>
      </c>
      <c r="AL1051" s="34" t="s">
        <v>5309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7" t="str">
        <f>IFERROR(INDEX(Структура_ассортимента[SuperCategory],MATCH(Товары[[#This Row],[SubGroup]],Структура_ассортимента[Subgroup],0)),"")</f>
        <v>W</v>
      </c>
      <c r="D10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7" t="str">
        <f>IFERROR(INDEX(Структура_ассортимента[Product group],MATCH(Товары[[#This Row],[SubGroup]],Структура_ассортимента[Subgroup],0)),"")</f>
        <v>WMH_C</v>
      </c>
      <c r="G1052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2601</v>
      </c>
      <c r="Q1052" s="39" t="s">
        <v>3416</v>
      </c>
      <c r="R1052" s="34" t="s">
        <v>3407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3413</v>
      </c>
      <c r="X1052" s="34" t="s">
        <v>6058</v>
      </c>
      <c r="Y1052" s="34" t="s">
        <v>3409</v>
      </c>
      <c r="Z1052" s="34">
        <v>1</v>
      </c>
      <c r="AA1052" s="34" t="s">
        <v>6302</v>
      </c>
      <c r="AB1052" s="34" t="s">
        <v>3440</v>
      </c>
      <c r="AC1052" s="34" t="s">
        <v>6303</v>
      </c>
      <c r="AD1052" s="34" t="s">
        <v>4104</v>
      </c>
      <c r="AE1052" s="34" t="s">
        <v>3856</v>
      </c>
      <c r="AF1052" s="34" t="s">
        <v>3856</v>
      </c>
      <c r="AG1052" s="34" t="s">
        <v>3854</v>
      </c>
      <c r="AH1052" s="34" t="s">
        <v>6304</v>
      </c>
      <c r="AL1052" s="34" t="s">
        <v>3848</v>
      </c>
      <c r="AM1052" s="34" t="s">
        <v>7962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7" t="str">
        <f>IFERROR(INDEX(Структура_ассортимента[SuperCategory],MATCH(Товары[[#This Row],[SubGroup]],Структура_ассортимента[Subgroup],0)),"")</f>
        <v>W</v>
      </c>
      <c r="D10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7" t="str">
        <f>IFERROR(INDEX(Структура_ассортимента[Product group],MATCH(Товары[[#This Row],[SubGroup]],Структура_ассортимента[Subgroup],0)),"")</f>
        <v>WMH_C</v>
      </c>
      <c r="G1053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2602</v>
      </c>
      <c r="Q1053" s="39" t="s">
        <v>3416</v>
      </c>
      <c r="R1053" s="34" t="s">
        <v>3407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3413</v>
      </c>
      <c r="Y1053" s="34" t="s">
        <v>3409</v>
      </c>
      <c r="Z1053" s="34">
        <v>1</v>
      </c>
      <c r="AM1053" s="34" t="s">
        <v>7962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7" t="str">
        <f>IFERROR(INDEX(Структура_ассортимента[SuperCategory],MATCH(Товары[[#This Row],[SubGroup]],Структура_ассортимента[Subgroup],0)),"")</f>
        <v>W</v>
      </c>
      <c r="D10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7" t="str">
        <f>IFERROR(INDEX(Структура_ассортимента[Product group],MATCH(Товары[[#This Row],[SubGroup]],Структура_ассортимента[Subgroup],0)),"")</f>
        <v>WMH_C</v>
      </c>
      <c r="G1054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2603</v>
      </c>
      <c r="Q1054" s="39" t="s">
        <v>3416</v>
      </c>
      <c r="R1054" s="34" t="s">
        <v>3407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3413</v>
      </c>
      <c r="X1054" s="34" t="s">
        <v>6058</v>
      </c>
      <c r="Y1054" s="34" t="s">
        <v>3409</v>
      </c>
      <c r="Z1054" s="34">
        <v>16</v>
      </c>
      <c r="AA1054" s="34" t="s">
        <v>6302</v>
      </c>
      <c r="AC1054" s="34" t="s">
        <v>6303</v>
      </c>
      <c r="AM1054" s="34" t="s">
        <v>7962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7" t="str">
        <f>IFERROR(INDEX(Структура_ассортимента[SuperCategory],MATCH(Товары[[#This Row],[SubGroup]],Структура_ассортимента[Subgroup],0)),"")</f>
        <v>W</v>
      </c>
      <c r="D10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7" t="str">
        <f>IFERROR(INDEX(Структура_ассортимента[Product group],MATCH(Товары[[#This Row],[SubGroup]],Структура_ассортимента[Subgroup],0)),"")</f>
        <v>WMH_C</v>
      </c>
      <c r="G1055" s="67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7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2604</v>
      </c>
      <c r="Q1055" s="39" t="s">
        <v>3416</v>
      </c>
      <c r="R1055" s="34" t="s">
        <v>3407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3413</v>
      </c>
      <c r="Y1055" s="34" t="s">
        <v>3409</v>
      </c>
      <c r="Z1055" s="34">
        <v>16</v>
      </c>
      <c r="AM1055" s="34" t="s">
        <v>7962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7" t="str">
        <f>IFERROR(INDEX(Структура_ассортимента[SuperCategory],MATCH(Товары[[#This Row],[SubGroup]],Структура_ассортимента[Subgroup],0)),"")</f>
        <v>W</v>
      </c>
      <c r="D10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7" t="str">
        <f>IFERROR(INDEX(Структура_ассортимента[Product group],MATCH(Товары[[#This Row],[SubGroup]],Структура_ассортимента[Subgroup],0)),"")</f>
        <v>WMO_C</v>
      </c>
      <c r="G10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6305</v>
      </c>
      <c r="P1056" s="37" t="s">
        <v>226</v>
      </c>
      <c r="Q1056" s="39" t="s">
        <v>3416</v>
      </c>
      <c r="R1056" s="34" t="s">
        <v>3407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3410</v>
      </c>
      <c r="X1056" s="34" t="s">
        <v>3446</v>
      </c>
      <c r="Y1056" s="34" t="s">
        <v>3409</v>
      </c>
      <c r="Z1056" s="34">
        <v>12</v>
      </c>
      <c r="AA1056" s="34" t="s">
        <v>6306</v>
      </c>
      <c r="AB1056" s="34" t="s">
        <v>6306</v>
      </c>
      <c r="AC1056" s="34" t="s">
        <v>3661</v>
      </c>
      <c r="AD1056" s="34" t="s">
        <v>3661</v>
      </c>
      <c r="AE1056" s="34" t="s">
        <v>3560</v>
      </c>
      <c r="AF1056" s="34" t="s">
        <v>3667</v>
      </c>
      <c r="AG1056" s="34" t="s">
        <v>3539</v>
      </c>
      <c r="AH1056" s="34" t="s">
        <v>6307</v>
      </c>
      <c r="AL1056" s="34" t="s">
        <v>6308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7" t="str">
        <f>IFERROR(INDEX(Структура_ассортимента[SuperCategory],MATCH(Товары[[#This Row],[SubGroup]],Структура_ассортимента[Subgroup],0)),"")</f>
        <v>W</v>
      </c>
      <c r="D10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7" t="str">
        <f>IFERROR(INDEX(Структура_ассортимента[Product group],MATCH(Товары[[#This Row],[SubGroup]],Структура_ассортимента[Subgroup],0)),"")</f>
        <v>WMO_C</v>
      </c>
      <c r="G10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6309</v>
      </c>
      <c r="P1057" s="37" t="s">
        <v>226</v>
      </c>
      <c r="Q1057" s="39" t="s">
        <v>3416</v>
      </c>
      <c r="R1057" s="34" t="s">
        <v>3407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3410</v>
      </c>
      <c r="X1057" s="34" t="s">
        <v>3446</v>
      </c>
      <c r="Y1057" s="34" t="s">
        <v>3409</v>
      </c>
      <c r="Z1057" s="34">
        <v>12</v>
      </c>
      <c r="AA1057" s="34" t="s">
        <v>3651</v>
      </c>
      <c r="AB1057" s="34" t="s">
        <v>3651</v>
      </c>
      <c r="AC1057" s="34" t="s">
        <v>3662</v>
      </c>
      <c r="AD1057" s="34" t="s">
        <v>3662</v>
      </c>
      <c r="AE1057" s="34" t="s">
        <v>3560</v>
      </c>
      <c r="AF1057" s="34" t="s">
        <v>3667</v>
      </c>
      <c r="AG1057" s="34" t="s">
        <v>4098</v>
      </c>
      <c r="AH1057" s="34" t="s">
        <v>6310</v>
      </c>
      <c r="AI1057" s="34" t="s">
        <v>4642</v>
      </c>
      <c r="AJ1057" s="34" t="s">
        <v>4273</v>
      </c>
      <c r="AK1057" s="34" t="s">
        <v>4273</v>
      </c>
      <c r="AL1057" s="34" t="s">
        <v>6308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7" t="str">
        <f>IFERROR(INDEX(Структура_ассортимента[SuperCategory],MATCH(Товары[[#This Row],[SubGroup]],Структура_ассортимента[Subgroup],0)),"")</f>
        <v>W</v>
      </c>
      <c r="D10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7" t="str">
        <f>IFERROR(INDEX(Структура_ассортимента[Product group],MATCH(Товары[[#This Row],[SubGroup]],Структура_ассортимента[Subgroup],0)),"")</f>
        <v>WMO_C</v>
      </c>
      <c r="G10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6311</v>
      </c>
      <c r="P1058" s="37" t="s">
        <v>227</v>
      </c>
      <c r="Q1058" s="39" t="s">
        <v>3416</v>
      </c>
      <c r="R1058" s="34" t="s">
        <v>3407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3410</v>
      </c>
      <c r="X1058" s="34" t="s">
        <v>3446</v>
      </c>
      <c r="Y1058" s="34" t="s">
        <v>3409</v>
      </c>
      <c r="Z1058" s="34">
        <v>6</v>
      </c>
      <c r="AA1058" s="34">
        <v>17</v>
      </c>
      <c r="AB1058" s="34" t="s">
        <v>6312</v>
      </c>
      <c r="AC1058" s="34">
        <v>15</v>
      </c>
      <c r="AD1058" s="34" t="s">
        <v>6313</v>
      </c>
      <c r="AE1058" s="34" t="s">
        <v>3667</v>
      </c>
      <c r="AF1058" s="34" t="s">
        <v>3667</v>
      </c>
      <c r="AG1058" s="34" t="s">
        <v>4098</v>
      </c>
      <c r="AH1058" s="34" t="s">
        <v>6314</v>
      </c>
      <c r="AI1058" s="34" t="s">
        <v>4642</v>
      </c>
      <c r="AJ1058" s="34" t="s">
        <v>3539</v>
      </c>
      <c r="AK1058" s="34" t="s">
        <v>3539</v>
      </c>
      <c r="AL1058" s="34" t="s">
        <v>6315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7" t="str">
        <f>IFERROR(INDEX(Структура_ассортимента[SuperCategory],MATCH(Товары[[#This Row],[SubGroup]],Структура_ассортимента[Subgroup],0)),"")</f>
        <v>W</v>
      </c>
      <c r="D10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7" t="str">
        <f>IFERROR(INDEX(Структура_ассортимента[Product group],MATCH(Товары[[#This Row],[SubGroup]],Структура_ассортимента[Subgroup],0)),"")</f>
        <v>WMO_C</v>
      </c>
      <c r="G10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6316</v>
      </c>
      <c r="P1059" s="37" t="s">
        <v>228</v>
      </c>
      <c r="Q1059" s="39" t="s">
        <v>3416</v>
      </c>
      <c r="R1059" s="34" t="s">
        <v>3407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3410</v>
      </c>
      <c r="X1059" s="34" t="s">
        <v>3446</v>
      </c>
      <c r="Y1059" s="34" t="s">
        <v>3409</v>
      </c>
      <c r="Z1059" s="34">
        <v>24</v>
      </c>
      <c r="AA1059" s="34" t="s">
        <v>3670</v>
      </c>
      <c r="AB1059" s="34" t="s">
        <v>3670</v>
      </c>
      <c r="AC1059" s="34" t="s">
        <v>3650</v>
      </c>
      <c r="AD1059" s="34" t="s">
        <v>3650</v>
      </c>
      <c r="AE1059" s="34" t="s">
        <v>3560</v>
      </c>
      <c r="AF1059" s="34" t="s">
        <v>3667</v>
      </c>
      <c r="AG1059" s="34" t="s">
        <v>4098</v>
      </c>
      <c r="AH1059" s="34" t="s">
        <v>6310</v>
      </c>
      <c r="AL1059" s="34" t="s">
        <v>6308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7" t="str">
        <f>IFERROR(INDEX(Структура_ассортимента[SuperCategory],MATCH(Товары[[#This Row],[SubGroup]],Структура_ассортимента[Subgroup],0)),"")</f>
        <v>W</v>
      </c>
      <c r="D10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7" t="str">
        <f>IFERROR(INDEX(Структура_ассортимента[Product group],MATCH(Товары[[#This Row],[SubGroup]],Структура_ассортимента[Subgroup],0)),"")</f>
        <v>WMO_C</v>
      </c>
      <c r="G10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6317</v>
      </c>
      <c r="P1060" s="37" t="s">
        <v>228</v>
      </c>
      <c r="Q1060" s="39" t="s">
        <v>3416</v>
      </c>
      <c r="R1060" s="34" t="s">
        <v>3407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3410</v>
      </c>
      <c r="X1060" s="34" t="s">
        <v>3446</v>
      </c>
      <c r="Y1060" s="34" t="s">
        <v>3409</v>
      </c>
      <c r="Z1060" s="34">
        <v>24</v>
      </c>
      <c r="AA1060" s="34" t="s">
        <v>3650</v>
      </c>
      <c r="AB1060" s="34" t="s">
        <v>3650</v>
      </c>
      <c r="AC1060" s="34" t="s">
        <v>3666</v>
      </c>
      <c r="AD1060" s="34" t="s">
        <v>3666</v>
      </c>
      <c r="AE1060" s="34" t="s">
        <v>3560</v>
      </c>
      <c r="AF1060" s="34" t="s">
        <v>3667</v>
      </c>
      <c r="AG1060" s="34" t="s">
        <v>4098</v>
      </c>
      <c r="AH1060" s="34" t="s">
        <v>6310</v>
      </c>
      <c r="AI1060" s="34" t="s">
        <v>4642</v>
      </c>
      <c r="AJ1060" s="34" t="s">
        <v>3566</v>
      </c>
      <c r="AK1060" s="34" t="s">
        <v>3566</v>
      </c>
      <c r="AL1060" s="34" t="s">
        <v>6308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7" t="str">
        <f>IFERROR(INDEX(Структура_ассортимента[SuperCategory],MATCH(Товары[[#This Row],[SubGroup]],Структура_ассортимента[Subgroup],0)),"")</f>
        <v>W</v>
      </c>
      <c r="D10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7" t="str">
        <f>IFERROR(INDEX(Структура_ассортимента[Product group],MATCH(Товары[[#This Row],[SubGroup]],Структура_ассортимента[Subgroup],0)),"")</f>
        <v>WMO_C</v>
      </c>
      <c r="G10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6318</v>
      </c>
      <c r="P1061" s="37" t="s">
        <v>229</v>
      </c>
      <c r="Q1061" s="39" t="s">
        <v>3416</v>
      </c>
      <c r="R1061" s="34" t="s">
        <v>3407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3410</v>
      </c>
      <c r="X1061" s="34" t="s">
        <v>3446</v>
      </c>
      <c r="Y1061" s="34" t="s">
        <v>3409</v>
      </c>
      <c r="Z1061" s="34">
        <v>12</v>
      </c>
      <c r="AA1061" s="34">
        <v>17</v>
      </c>
      <c r="AB1061" s="34" t="s">
        <v>6319</v>
      </c>
      <c r="AC1061" s="34">
        <v>14</v>
      </c>
      <c r="AD1061" s="34" t="s">
        <v>3520</v>
      </c>
      <c r="AE1061" s="34" t="s">
        <v>3798</v>
      </c>
      <c r="AF1061" s="34" t="s">
        <v>3798</v>
      </c>
      <c r="AG1061" s="34" t="s">
        <v>4218</v>
      </c>
      <c r="AH1061" s="34" t="s">
        <v>6320</v>
      </c>
      <c r="AI1061" s="34" t="s">
        <v>4642</v>
      </c>
      <c r="AJ1061" s="34" t="s">
        <v>3566</v>
      </c>
      <c r="AK1061" s="34" t="s">
        <v>3566</v>
      </c>
      <c r="AL1061" s="34" t="s">
        <v>6308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7" t="str">
        <f>IFERROR(INDEX(Структура_ассортимента[SuperCategory],MATCH(Товары[[#This Row],[SubGroup]],Структура_ассортимента[Subgroup],0)),"")</f>
        <v>W</v>
      </c>
      <c r="D10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7" t="str">
        <f>IFERROR(INDEX(Структура_ассортимента[Product group],MATCH(Товары[[#This Row],[SubGroup]],Структура_ассортимента[Subgroup],0)),"")</f>
        <v>WMO_C</v>
      </c>
      <c r="G10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6321</v>
      </c>
      <c r="P1062" s="37" t="s">
        <v>230</v>
      </c>
      <c r="Q1062" s="39" t="s">
        <v>3416</v>
      </c>
      <c r="R1062" s="34" t="s">
        <v>3407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3410</v>
      </c>
      <c r="X1062" s="34" t="s">
        <v>3446</v>
      </c>
      <c r="Y1062" s="34" t="s">
        <v>3409</v>
      </c>
      <c r="Z1062" s="34">
        <v>12</v>
      </c>
      <c r="AA1062" s="34" t="s">
        <v>6322</v>
      </c>
      <c r="AB1062" s="34" t="s">
        <v>6322</v>
      </c>
      <c r="AC1062" s="34" t="s">
        <v>3670</v>
      </c>
      <c r="AD1062" s="34" t="s">
        <v>3670</v>
      </c>
      <c r="AE1062" s="34" t="s">
        <v>3560</v>
      </c>
      <c r="AF1062" s="34" t="s">
        <v>3667</v>
      </c>
      <c r="AG1062" s="34" t="s">
        <v>3798</v>
      </c>
      <c r="AH1062" s="34" t="s">
        <v>6323</v>
      </c>
      <c r="AL1062" s="34" t="s">
        <v>6308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7" t="str">
        <f>IFERROR(INDEX(Структура_ассортимента[SuperCategory],MATCH(Товары[[#This Row],[SubGroup]],Структура_ассортимента[Subgroup],0)),"")</f>
        <v>W</v>
      </c>
      <c r="D10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7" t="str">
        <f>IFERROR(INDEX(Структура_ассортимента[Product group],MATCH(Товары[[#This Row],[SubGroup]],Структура_ассортимента[Subgroup],0)),"")</f>
        <v>WMO_C</v>
      </c>
      <c r="G10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6324</v>
      </c>
      <c r="P1063" s="37" t="s">
        <v>230</v>
      </c>
      <c r="Q1063" s="39" t="s">
        <v>3416</v>
      </c>
      <c r="R1063" s="34" t="s">
        <v>3407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3410</v>
      </c>
      <c r="X1063" s="34" t="s">
        <v>3446</v>
      </c>
      <c r="Y1063" s="34" t="s">
        <v>3409</v>
      </c>
      <c r="Z1063" s="34">
        <v>12</v>
      </c>
      <c r="AA1063" s="34" t="s">
        <v>3664</v>
      </c>
      <c r="AB1063" s="34" t="s">
        <v>3664</v>
      </c>
      <c r="AC1063" s="34" t="s">
        <v>3674</v>
      </c>
      <c r="AD1063" s="34" t="s">
        <v>3674</v>
      </c>
      <c r="AE1063" s="34" t="s">
        <v>3560</v>
      </c>
      <c r="AF1063" s="34" t="s">
        <v>3667</v>
      </c>
      <c r="AG1063" s="34" t="s">
        <v>3798</v>
      </c>
      <c r="AH1063" s="34" t="s">
        <v>6323</v>
      </c>
      <c r="AI1063" s="34" t="s">
        <v>4642</v>
      </c>
      <c r="AJ1063" s="34" t="s">
        <v>3798</v>
      </c>
      <c r="AK1063" s="34" t="s">
        <v>3798</v>
      </c>
      <c r="AL1063" s="34" t="s">
        <v>6308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7" t="str">
        <f>IFERROR(INDEX(Структура_ассортимента[SuperCategory],MATCH(Товары[[#This Row],[SubGroup]],Структура_ассортимента[Subgroup],0)),"")</f>
        <v>W</v>
      </c>
      <c r="D10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7" t="str">
        <f>IFERROR(INDEX(Структура_ассортимента[Product group],MATCH(Товары[[#This Row],[SubGroup]],Структура_ассортимента[Subgroup],0)),"")</f>
        <v>WMT_C</v>
      </c>
      <c r="G10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2605</v>
      </c>
      <c r="Q1064" s="39" t="s">
        <v>3406</v>
      </c>
      <c r="R1064" s="34" t="s">
        <v>3407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3410</v>
      </c>
      <c r="Y1064" s="34" t="s">
        <v>3409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7961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7" t="str">
        <f>IFERROR(INDEX(Структура_ассортимента[SuperCategory],MATCH(Товары[[#This Row],[SubGroup]],Структура_ассортимента[Subgroup],0)),"")</f>
        <v>W</v>
      </c>
      <c r="D10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7" t="str">
        <f>IFERROR(INDEX(Структура_ассортимента[Product group],MATCH(Товары[[#This Row],[SubGroup]],Структура_ассортимента[Subgroup],0)),"")</f>
        <v>WMO_C</v>
      </c>
      <c r="G10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2606</v>
      </c>
      <c r="Q1065" s="39" t="s">
        <v>3416</v>
      </c>
      <c r="R1065" s="34" t="s">
        <v>3407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3410</v>
      </c>
      <c r="X1065" s="34" t="s">
        <v>3446</v>
      </c>
      <c r="Y1065" s="34" t="s">
        <v>3409</v>
      </c>
      <c r="Z1065" s="34">
        <v>6</v>
      </c>
      <c r="AA1065" s="34" t="s">
        <v>6319</v>
      </c>
      <c r="AB1065" s="34" t="s">
        <v>6319</v>
      </c>
      <c r="AC1065" s="34" t="s">
        <v>6325</v>
      </c>
      <c r="AD1065" s="34" t="s">
        <v>6325</v>
      </c>
      <c r="AE1065" s="34" t="s">
        <v>3560</v>
      </c>
      <c r="AF1065" s="34" t="s">
        <v>3667</v>
      </c>
      <c r="AG1065" s="34" t="s">
        <v>4098</v>
      </c>
      <c r="AH1065" s="34" t="s">
        <v>6310</v>
      </c>
      <c r="AL1065" s="34">
        <v>1296</v>
      </c>
      <c r="AM1065" s="34" t="s">
        <v>7962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7" t="str">
        <f>IFERROR(INDEX(Структура_ассортимента[SuperCategory],MATCH(Товары[[#This Row],[SubGroup]],Структура_ассортимента[Subgroup],0)),"")</f>
        <v>W</v>
      </c>
      <c r="D10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7" t="str">
        <f>IFERROR(INDEX(Структура_ассортимента[Product group],MATCH(Товары[[#This Row],[SubGroup]],Структура_ассортимента[Subgroup],0)),"")</f>
        <v>WMO_C</v>
      </c>
      <c r="G10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2607</v>
      </c>
      <c r="O1066" s="37" t="s">
        <v>6326</v>
      </c>
      <c r="P1066" s="37" t="s">
        <v>6327</v>
      </c>
      <c r="Q1066" s="39" t="s">
        <v>3416</v>
      </c>
      <c r="R1066" s="34" t="s">
        <v>3407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3414</v>
      </c>
      <c r="X1066" s="34" t="s">
        <v>3571</v>
      </c>
      <c r="Y1066" s="34" t="s">
        <v>3409</v>
      </c>
      <c r="Z1066" s="34">
        <v>6</v>
      </c>
      <c r="AA1066" s="34" t="s">
        <v>3957</v>
      </c>
      <c r="AB1066" s="34" t="s">
        <v>3957</v>
      </c>
      <c r="AC1066" s="34" t="s">
        <v>3594</v>
      </c>
      <c r="AD1066" s="34" t="s">
        <v>3594</v>
      </c>
      <c r="AE1066" s="34" t="s">
        <v>3692</v>
      </c>
      <c r="AF1066" s="34" t="s">
        <v>5393</v>
      </c>
      <c r="AG1066" s="34" t="s">
        <v>4335</v>
      </c>
      <c r="AH1066" s="34" t="s">
        <v>6328</v>
      </c>
      <c r="AI1066" s="34" t="s">
        <v>4509</v>
      </c>
      <c r="AJ1066" s="34" t="s">
        <v>3428</v>
      </c>
      <c r="AK1066" s="34" t="s">
        <v>5015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7" t="str">
        <f>IFERROR(INDEX(Структура_ассортимента[SuperCategory],MATCH(Товары[[#This Row],[SubGroup]],Структура_ассортимента[Subgroup],0)),"")</f>
        <v>W</v>
      </c>
      <c r="D10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7" t="str">
        <f>IFERROR(INDEX(Структура_ассортимента[Product group],MATCH(Товары[[#This Row],[SubGroup]],Структура_ассортимента[Subgroup],0)),"")</f>
        <v>WMO_C</v>
      </c>
      <c r="G10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2608</v>
      </c>
      <c r="Q1067" s="39" t="s">
        <v>3416</v>
      </c>
      <c r="R1067" s="34" t="s">
        <v>3407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3410</v>
      </c>
      <c r="X1067" s="34" t="s">
        <v>3446</v>
      </c>
      <c r="Y1067" s="34" t="s">
        <v>3409</v>
      </c>
      <c r="Z1067" s="34">
        <v>4</v>
      </c>
      <c r="AA1067" s="34" t="s">
        <v>6329</v>
      </c>
      <c r="AB1067" s="34" t="s">
        <v>6329</v>
      </c>
      <c r="AC1067" s="34" t="s">
        <v>6330</v>
      </c>
      <c r="AD1067" s="34" t="s">
        <v>6330</v>
      </c>
      <c r="AE1067" s="34" t="s">
        <v>3809</v>
      </c>
      <c r="AF1067" s="34" t="s">
        <v>3835</v>
      </c>
      <c r="AG1067" s="34" t="s">
        <v>5547</v>
      </c>
      <c r="AH1067" s="34" t="s">
        <v>6331</v>
      </c>
      <c r="AI1067" s="34" t="s">
        <v>3760</v>
      </c>
      <c r="AJ1067" s="34" t="s">
        <v>3560</v>
      </c>
      <c r="AK1067" s="34" t="s">
        <v>4115</v>
      </c>
      <c r="AL1067" s="34">
        <v>240</v>
      </c>
      <c r="AM1067" s="34" t="s">
        <v>7962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7" t="str">
        <f>IFERROR(INDEX(Структура_ассортимента[SuperCategory],MATCH(Товары[[#This Row],[SubGroup]],Структура_ассортимента[Subgroup],0)),"")</f>
        <v>W</v>
      </c>
      <c r="D10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7" t="str">
        <f>IFERROR(INDEX(Структура_ассортимента[Product group],MATCH(Товары[[#This Row],[SubGroup]],Структура_ассортимента[Subgroup],0)),"")</f>
        <v>WMO_C</v>
      </c>
      <c r="G10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2609</v>
      </c>
      <c r="O1068" s="37" t="s">
        <v>6326</v>
      </c>
      <c r="P1068" s="37" t="s">
        <v>6332</v>
      </c>
      <c r="Q1068" s="39" t="s">
        <v>3416</v>
      </c>
      <c r="R1068" s="34" t="s">
        <v>3407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3410</v>
      </c>
      <c r="X1068" s="34" t="s">
        <v>3446</v>
      </c>
      <c r="Y1068" s="34" t="s">
        <v>3409</v>
      </c>
      <c r="Z1068" s="34">
        <v>4</v>
      </c>
      <c r="AA1068" s="34" t="s">
        <v>4364</v>
      </c>
      <c r="AB1068" s="34" t="s">
        <v>4364</v>
      </c>
      <c r="AC1068" s="34" t="s">
        <v>3617</v>
      </c>
      <c r="AD1068" s="34" t="s">
        <v>3617</v>
      </c>
      <c r="AE1068" s="34" t="s">
        <v>3809</v>
      </c>
      <c r="AF1068" s="34" t="s">
        <v>3835</v>
      </c>
      <c r="AG1068" s="34" t="s">
        <v>5547</v>
      </c>
      <c r="AH1068" s="34" t="s">
        <v>6331</v>
      </c>
      <c r="AI1068" s="34" t="s">
        <v>3760</v>
      </c>
      <c r="AJ1068" s="34" t="s">
        <v>3560</v>
      </c>
      <c r="AK1068" s="34" t="s">
        <v>4115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7" t="str">
        <f>IFERROR(INDEX(Структура_ассортимента[SuperCategory],MATCH(Товары[[#This Row],[SubGroup]],Структура_ассортимента[Subgroup],0)),"")</f>
        <v>W</v>
      </c>
      <c r="D10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7" t="str">
        <f>IFERROR(INDEX(Структура_ассортимента[Product group],MATCH(Товары[[#This Row],[SubGroup]],Структура_ассортимента[Subgroup],0)),"")</f>
        <v>WMO_C</v>
      </c>
      <c r="G10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2610</v>
      </c>
      <c r="Q1069" s="39" t="s">
        <v>3416</v>
      </c>
      <c r="R1069" s="34" t="s">
        <v>3407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3410</v>
      </c>
      <c r="X1069" s="34" t="s">
        <v>3446</v>
      </c>
      <c r="Y1069" s="34" t="s">
        <v>3409</v>
      </c>
      <c r="Z1069" s="34">
        <v>2</v>
      </c>
      <c r="AA1069" s="34" t="s">
        <v>6333</v>
      </c>
      <c r="AB1069" s="34" t="s">
        <v>6333</v>
      </c>
      <c r="AC1069" s="34" t="s">
        <v>4492</v>
      </c>
      <c r="AD1069" s="34" t="s">
        <v>4492</v>
      </c>
      <c r="AE1069" s="34" t="s">
        <v>4449</v>
      </c>
      <c r="AF1069" s="34" t="s">
        <v>3685</v>
      </c>
      <c r="AG1069" s="34" t="s">
        <v>5547</v>
      </c>
      <c r="AH1069" s="34" t="s">
        <v>5910</v>
      </c>
      <c r="AI1069" s="34" t="s">
        <v>5873</v>
      </c>
      <c r="AJ1069" s="34" t="s">
        <v>4366</v>
      </c>
      <c r="AK1069" s="34" t="s">
        <v>4115</v>
      </c>
      <c r="AL1069" s="34">
        <v>104</v>
      </c>
      <c r="AM1069" s="34" t="s">
        <v>7962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7" t="str">
        <f>IFERROR(INDEX(Структура_ассортимента[SuperCategory],MATCH(Товары[[#This Row],[SubGroup]],Структура_ассортимента[Subgroup],0)),"")</f>
        <v>W</v>
      </c>
      <c r="D10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7" t="str">
        <f>IFERROR(INDEX(Структура_ассортимента[Product group],MATCH(Товары[[#This Row],[SubGroup]],Структура_ассортимента[Subgroup],0)),"")</f>
        <v>WMO_C</v>
      </c>
      <c r="G10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2611</v>
      </c>
      <c r="O1070" s="37" t="s">
        <v>6334</v>
      </c>
      <c r="P1070" s="37" t="s">
        <v>6335</v>
      </c>
      <c r="Q1070" s="39" t="s">
        <v>3416</v>
      </c>
      <c r="R1070" s="34" t="s">
        <v>3407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3410</v>
      </c>
      <c r="X1070" s="34" t="s">
        <v>3446</v>
      </c>
      <c r="Y1070" s="34" t="s">
        <v>3409</v>
      </c>
      <c r="Z1070" s="34">
        <v>2</v>
      </c>
      <c r="AA1070" s="34" t="s">
        <v>6336</v>
      </c>
      <c r="AB1070" s="34" t="s">
        <v>6336</v>
      </c>
      <c r="AC1070" s="34" t="s">
        <v>5028</v>
      </c>
      <c r="AD1070" s="34" t="s">
        <v>5028</v>
      </c>
      <c r="AE1070" s="34" t="s">
        <v>4449</v>
      </c>
      <c r="AF1070" s="34" t="s">
        <v>3685</v>
      </c>
      <c r="AG1070" s="34" t="s">
        <v>5547</v>
      </c>
      <c r="AH1070" s="34" t="s">
        <v>5910</v>
      </c>
      <c r="AI1070" s="34" t="s">
        <v>5873</v>
      </c>
      <c r="AJ1070" s="34" t="s">
        <v>4366</v>
      </c>
      <c r="AK1070" s="34" t="s">
        <v>4115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7" t="str">
        <f>IFERROR(INDEX(Структура_ассортимента[SuperCategory],MATCH(Товары[[#This Row],[SubGroup]],Структура_ассортимента[Subgroup],0)),"")</f>
        <v>W</v>
      </c>
      <c r="D10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7" t="str">
        <f>IFERROR(INDEX(Структура_ассортимента[Product group],MATCH(Товары[[#This Row],[SubGroup]],Структура_ассортимента[Subgroup],0)),"")</f>
        <v>WMO_C</v>
      </c>
      <c r="G10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2612</v>
      </c>
      <c r="Q1071" s="39" t="s">
        <v>3416</v>
      </c>
      <c r="R1071" s="34" t="s">
        <v>3407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3410</v>
      </c>
      <c r="X1071" s="34" t="s">
        <v>3446</v>
      </c>
      <c r="Y1071" s="34" t="s">
        <v>3409</v>
      </c>
      <c r="Z1071" s="34">
        <v>12</v>
      </c>
      <c r="AA1071" s="34" t="s">
        <v>6337</v>
      </c>
      <c r="AB1071" s="34" t="s">
        <v>6337</v>
      </c>
      <c r="AC1071" s="34" t="s">
        <v>5514</v>
      </c>
      <c r="AD1071" s="34" t="s">
        <v>5514</v>
      </c>
      <c r="AE1071" s="34" t="s">
        <v>3560</v>
      </c>
      <c r="AF1071" s="34" t="s">
        <v>3667</v>
      </c>
      <c r="AG1071" s="34" t="s">
        <v>4098</v>
      </c>
      <c r="AH1071" s="34" t="s">
        <v>6310</v>
      </c>
      <c r="AL1071" s="34">
        <v>1584</v>
      </c>
      <c r="AM1071" s="34" t="s">
        <v>7962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7" t="str">
        <f>IFERROR(INDEX(Структура_ассортимента[SuperCategory],MATCH(Товары[[#This Row],[SubGroup]],Структура_ассортимента[Subgroup],0)),"")</f>
        <v>W</v>
      </c>
      <c r="D10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7" t="str">
        <f>IFERROR(INDEX(Структура_ассортимента[Product group],MATCH(Товары[[#This Row],[SubGroup]],Структура_ассортимента[Subgroup],0)),"")</f>
        <v>WMO_C</v>
      </c>
      <c r="G10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2613</v>
      </c>
      <c r="Q1072" s="39" t="s">
        <v>3416</v>
      </c>
      <c r="R1072" s="34" t="s">
        <v>3407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3410</v>
      </c>
      <c r="X1072" s="34" t="s">
        <v>3446</v>
      </c>
      <c r="Y1072" s="34" t="s">
        <v>3409</v>
      </c>
      <c r="Z1072" s="34">
        <v>6</v>
      </c>
      <c r="AA1072" s="34" t="s">
        <v>5513</v>
      </c>
      <c r="AB1072" s="34" t="s">
        <v>5513</v>
      </c>
      <c r="AC1072" s="34" t="s">
        <v>6338</v>
      </c>
      <c r="AD1072" s="34" t="s">
        <v>6338</v>
      </c>
      <c r="AE1072" s="34" t="s">
        <v>3560</v>
      </c>
      <c r="AF1072" s="34" t="s">
        <v>3667</v>
      </c>
      <c r="AG1072" s="34" t="s">
        <v>3539</v>
      </c>
      <c r="AH1072" s="34" t="s">
        <v>6307</v>
      </c>
      <c r="AI1072" s="34" t="s">
        <v>4088</v>
      </c>
      <c r="AJ1072" s="34" t="s">
        <v>4993</v>
      </c>
      <c r="AK1072" s="34" t="s">
        <v>4993</v>
      </c>
      <c r="AL1072" s="34">
        <v>1728</v>
      </c>
      <c r="AM1072" s="34" t="s">
        <v>7962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7" t="str">
        <f>IFERROR(INDEX(Структура_ассортимента[SuperCategory],MATCH(Товары[[#This Row],[SubGroup]],Структура_ассортимента[Subgroup],0)),"")</f>
        <v>W</v>
      </c>
      <c r="D10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7" t="str">
        <f>IFERROR(INDEX(Структура_ассортимента[Product group],MATCH(Товары[[#This Row],[SubGroup]],Структура_ассортимента[Subgroup],0)),"")</f>
        <v>WMO_C</v>
      </c>
      <c r="G10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2614</v>
      </c>
      <c r="Q1073" s="39" t="s">
        <v>3416</v>
      </c>
      <c r="R1073" s="34" t="s">
        <v>3407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3410</v>
      </c>
      <c r="X1073" s="34" t="s">
        <v>3446</v>
      </c>
      <c r="Y1073" s="34" t="s">
        <v>3409</v>
      </c>
      <c r="Z1073" s="34">
        <v>6</v>
      </c>
      <c r="AA1073" s="34" t="s">
        <v>5514</v>
      </c>
      <c r="AB1073" s="34" t="s">
        <v>5514</v>
      </c>
      <c r="AC1073" s="34" t="s">
        <v>6322</v>
      </c>
      <c r="AD1073" s="34" t="s">
        <v>6322</v>
      </c>
      <c r="AE1073" s="34" t="s">
        <v>3560</v>
      </c>
      <c r="AF1073" s="34" t="s">
        <v>3667</v>
      </c>
      <c r="AG1073" s="34" t="s">
        <v>4098</v>
      </c>
      <c r="AH1073" s="34" t="s">
        <v>6310</v>
      </c>
      <c r="AL1073" s="34">
        <v>1728</v>
      </c>
      <c r="AM1073" s="34" t="s">
        <v>7962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7" t="str">
        <f>IFERROR(INDEX(Структура_ассортимента[SuperCategory],MATCH(Товары[[#This Row],[SubGroup]],Структура_ассортимента[Subgroup],0)),"")</f>
        <v>W</v>
      </c>
      <c r="D10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7" t="str">
        <f>IFERROR(INDEX(Структура_ассортимента[Product group],MATCH(Товары[[#This Row],[SubGroup]],Структура_ассортимента[Subgroup],0)),"")</f>
        <v>WMO_C</v>
      </c>
      <c r="G10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2615</v>
      </c>
      <c r="Q1074" s="39" t="s">
        <v>3416</v>
      </c>
      <c r="R1074" s="34" t="s">
        <v>3407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3417</v>
      </c>
      <c r="X1074" s="34" t="s">
        <v>6339</v>
      </c>
      <c r="Y1074" s="34" t="s">
        <v>3409</v>
      </c>
      <c r="Z1074" s="34">
        <v>10</v>
      </c>
      <c r="AA1074" s="34" t="s">
        <v>3582</v>
      </c>
      <c r="AB1074" s="34" t="s">
        <v>3582</v>
      </c>
      <c r="AC1074" s="34" t="s">
        <v>5500</v>
      </c>
      <c r="AD1074" s="34" t="s">
        <v>5500</v>
      </c>
      <c r="AE1074" s="34" t="s">
        <v>3424</v>
      </c>
      <c r="AF1074" s="34" t="s">
        <v>3798</v>
      </c>
      <c r="AG1074" s="34" t="s">
        <v>3798</v>
      </c>
      <c r="AH1074" s="34" t="s">
        <v>6340</v>
      </c>
      <c r="AI1074" s="34" t="s">
        <v>4500</v>
      </c>
      <c r="AJ1074" s="34" t="s">
        <v>3798</v>
      </c>
      <c r="AK1074" s="34" t="s">
        <v>3798</v>
      </c>
      <c r="AL1074" s="34">
        <v>3130</v>
      </c>
      <c r="AM1074" s="34" t="s">
        <v>7962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7" t="str">
        <f>IFERROR(INDEX(Структура_ассортимента[SuperCategory],MATCH(Товары[[#This Row],[SubGroup]],Структура_ассортимента[Subgroup],0)),"")</f>
        <v>W</v>
      </c>
      <c r="D10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7" t="str">
        <f>IFERROR(INDEX(Структура_ассортимента[Product group],MATCH(Товары[[#This Row],[SubGroup]],Структура_ассортимента[Subgroup],0)),"")</f>
        <v>WMO_C</v>
      </c>
      <c r="G10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2616</v>
      </c>
      <c r="O1075" s="37" t="s">
        <v>6341</v>
      </c>
      <c r="P1075" s="37" t="s">
        <v>6342</v>
      </c>
      <c r="Q1075" s="39" t="s">
        <v>3416</v>
      </c>
      <c r="R1075" s="34" t="s">
        <v>3407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3410</v>
      </c>
      <c r="X1075" s="34" t="s">
        <v>6339</v>
      </c>
      <c r="Y1075" s="34" t="s">
        <v>3409</v>
      </c>
      <c r="Z1075" s="34">
        <v>10</v>
      </c>
      <c r="AA1075" s="34" t="s">
        <v>6343</v>
      </c>
      <c r="AB1075" s="34" t="s">
        <v>6343</v>
      </c>
      <c r="AC1075" s="34" t="s">
        <v>5500</v>
      </c>
      <c r="AD1075" s="34" t="s">
        <v>5500</v>
      </c>
      <c r="AE1075" s="34" t="s">
        <v>3692</v>
      </c>
      <c r="AF1075" s="34" t="s">
        <v>3443</v>
      </c>
      <c r="AG1075" s="34" t="s">
        <v>3798</v>
      </c>
      <c r="AH1075" s="34" t="s">
        <v>3540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7" t="str">
        <f>IFERROR(INDEX(Структура_ассортимента[SuperCategory],MATCH(Товары[[#This Row],[SubGroup]],Структура_ассортимента[Subgroup],0)),"")</f>
        <v>W</v>
      </c>
      <c r="D10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7" t="str">
        <f>IFERROR(INDEX(Структура_ассортимента[Product group],MATCH(Товары[[#This Row],[SubGroup]],Структура_ассортимента[Subgroup],0)),"")</f>
        <v>WMO_C</v>
      </c>
      <c r="G10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2617</v>
      </c>
      <c r="O1076" s="37" t="s">
        <v>6344</v>
      </c>
      <c r="P1076" s="37" t="s">
        <v>6345</v>
      </c>
      <c r="Q1076" s="39" t="s">
        <v>3416</v>
      </c>
      <c r="R1076" s="34" t="s">
        <v>3407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3410</v>
      </c>
      <c r="X1076" s="34" t="s">
        <v>3446</v>
      </c>
      <c r="Y1076" s="34" t="s">
        <v>3409</v>
      </c>
      <c r="Z1076" s="34">
        <v>12</v>
      </c>
      <c r="AA1076" s="34" t="s">
        <v>3602</v>
      </c>
      <c r="AB1076" s="34" t="s">
        <v>3602</v>
      </c>
      <c r="AC1076" s="34" t="s">
        <v>6346</v>
      </c>
      <c r="AD1076" s="34" t="s">
        <v>6346</v>
      </c>
      <c r="AE1076" s="34" t="s">
        <v>4063</v>
      </c>
      <c r="AF1076" s="34" t="s">
        <v>5480</v>
      </c>
      <c r="AG1076" s="34" t="s">
        <v>3621</v>
      </c>
      <c r="AH1076" s="34" t="s">
        <v>6347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7" t="str">
        <f>IFERROR(INDEX(Структура_ассортимента[SuperCategory],MATCH(Товары[[#This Row],[SubGroup]],Структура_ассортимента[Subgroup],0)),"")</f>
        <v>W</v>
      </c>
      <c r="D10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7" t="str">
        <f>IFERROR(INDEX(Структура_ассортимента[Product group],MATCH(Товары[[#This Row],[SubGroup]],Структура_ассортимента[Subgroup],0)),"")</f>
        <v>WMO_C</v>
      </c>
      <c r="G10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2618</v>
      </c>
      <c r="O1077" s="37" t="s">
        <v>6326</v>
      </c>
      <c r="P1077" s="37" t="s">
        <v>6348</v>
      </c>
      <c r="Q1077" s="39" t="s">
        <v>3416</v>
      </c>
      <c r="R1077" s="34" t="s">
        <v>3407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3414</v>
      </c>
      <c r="X1077" s="34" t="s">
        <v>3571</v>
      </c>
      <c r="Y1077" s="34" t="s">
        <v>3409</v>
      </c>
      <c r="Z1077" s="34">
        <v>6</v>
      </c>
      <c r="AA1077" s="34" t="s">
        <v>3958</v>
      </c>
      <c r="AB1077" s="34" t="s">
        <v>3958</v>
      </c>
      <c r="AC1077" s="34" t="s">
        <v>3594</v>
      </c>
      <c r="AD1077" s="34" t="s">
        <v>3594</v>
      </c>
      <c r="AE1077" s="34" t="s">
        <v>3692</v>
      </c>
      <c r="AF1077" s="34" t="s">
        <v>3575</v>
      </c>
      <c r="AG1077" s="34" t="s">
        <v>4218</v>
      </c>
      <c r="AH1077" s="34" t="s">
        <v>6349</v>
      </c>
      <c r="AI1077" s="34" t="s">
        <v>4509</v>
      </c>
      <c r="AJ1077" s="34" t="s">
        <v>4213</v>
      </c>
      <c r="AK1077" s="34" t="s">
        <v>4992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7" t="str">
        <f>IFERROR(INDEX(Структура_ассортимента[SuperCategory],MATCH(Товары[[#This Row],[SubGroup]],Структура_ассортимента[Subgroup],0)),"")</f>
        <v>W</v>
      </c>
      <c r="D10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7" t="str">
        <f>IFERROR(INDEX(Структура_ассортимента[Product group],MATCH(Товары[[#This Row],[SubGroup]],Структура_ассортимента[Subgroup],0)),"")</f>
        <v>WMO_C</v>
      </c>
      <c r="G10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2619</v>
      </c>
      <c r="Q1078" s="39" t="s">
        <v>3580</v>
      </c>
      <c r="R1078" s="34" t="s">
        <v>3407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3410</v>
      </c>
      <c r="Y1078" s="34" t="s">
        <v>3409</v>
      </c>
      <c r="Z1078" s="34">
        <v>6</v>
      </c>
      <c r="AA1078" s="34" t="s">
        <v>3582</v>
      </c>
      <c r="AB1078" s="34" t="s">
        <v>3582</v>
      </c>
      <c r="AC1078" s="34" t="s">
        <v>5470</v>
      </c>
      <c r="AD1078" s="34" t="s">
        <v>5470</v>
      </c>
      <c r="AE1078" s="34" t="s">
        <v>3560</v>
      </c>
      <c r="AF1078" s="34" t="s">
        <v>3667</v>
      </c>
      <c r="AG1078" s="34" t="s">
        <v>4993</v>
      </c>
      <c r="AH1078" s="34" t="s">
        <v>6350</v>
      </c>
      <c r="AL1078" s="34">
        <v>1728</v>
      </c>
      <c r="AM1078" s="34" t="s">
        <v>7961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7" t="str">
        <f>IFERROR(INDEX(Структура_ассортимента[SuperCategory],MATCH(Товары[[#This Row],[SubGroup]],Структура_ассортимента[Subgroup],0)),"")</f>
        <v>W</v>
      </c>
      <c r="D10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7" t="str">
        <f>IFERROR(INDEX(Структура_ассортимента[Product group],MATCH(Товары[[#This Row],[SubGroup]],Структура_ассортимента[Subgroup],0)),"")</f>
        <v>WMO_C</v>
      </c>
      <c r="G10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2620</v>
      </c>
      <c r="O1079" s="37" t="s">
        <v>6351</v>
      </c>
      <c r="P1079" s="37" t="s">
        <v>6352</v>
      </c>
      <c r="Q1079" s="39" t="s">
        <v>3416</v>
      </c>
      <c r="R1079" s="34" t="s">
        <v>3407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3410</v>
      </c>
      <c r="X1079" s="34" t="s">
        <v>3446</v>
      </c>
      <c r="Y1079" s="34" t="s">
        <v>3409</v>
      </c>
      <c r="Z1079" s="34">
        <v>24</v>
      </c>
      <c r="AA1079" s="34" t="s">
        <v>5513</v>
      </c>
      <c r="AB1079" s="34" t="s">
        <v>5513</v>
      </c>
      <c r="AC1079" s="34" t="s">
        <v>6338</v>
      </c>
      <c r="AD1079" s="34" t="s">
        <v>6338</v>
      </c>
      <c r="AE1079" s="34" t="s">
        <v>3560</v>
      </c>
      <c r="AF1079" s="34" t="s">
        <v>3667</v>
      </c>
      <c r="AG1079" s="34" t="s">
        <v>4647</v>
      </c>
      <c r="AH1079" s="34" t="s">
        <v>6353</v>
      </c>
      <c r="AL1079" s="34" t="s">
        <v>6315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7" t="str">
        <f>IFERROR(INDEX(Структура_ассортимента[SuperCategory],MATCH(Товары[[#This Row],[SubGroup]],Структура_ассортимента[Subgroup],0)),"")</f>
        <v>W</v>
      </c>
      <c r="D10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7" t="str">
        <f>IFERROR(INDEX(Структура_ассортимента[Product group],MATCH(Товары[[#This Row],[SubGroup]],Структура_ассортимента[Subgroup],0)),"")</f>
        <v>WMO_C</v>
      </c>
      <c r="G10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2621</v>
      </c>
      <c r="O1080" s="37" t="s">
        <v>6354</v>
      </c>
      <c r="P1080" s="37" t="s">
        <v>6355</v>
      </c>
      <c r="Q1080" s="39" t="s">
        <v>3416</v>
      </c>
      <c r="R1080" s="34" t="s">
        <v>3407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3410</v>
      </c>
      <c r="X1080" s="34" t="s">
        <v>3446</v>
      </c>
      <c r="Y1080" s="34" t="s">
        <v>3409</v>
      </c>
      <c r="Z1080" s="34">
        <v>12</v>
      </c>
      <c r="AA1080" s="34" t="s">
        <v>5470</v>
      </c>
      <c r="AB1080" s="34" t="s">
        <v>5470</v>
      </c>
      <c r="AC1080" s="34" t="s">
        <v>3643</v>
      </c>
      <c r="AD1080" s="34" t="s">
        <v>3643</v>
      </c>
      <c r="AE1080" s="34" t="s">
        <v>3560</v>
      </c>
      <c r="AF1080" s="34" t="s">
        <v>3667</v>
      </c>
      <c r="AG1080" s="34" t="s">
        <v>4335</v>
      </c>
      <c r="AH1080" s="34" t="s">
        <v>5748</v>
      </c>
      <c r="AL1080" s="34" t="s">
        <v>6356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7" t="str">
        <f>IFERROR(INDEX(Структура_ассортимента[SuperCategory],MATCH(Товары[[#This Row],[SubGroup]],Структура_ассортимента[Subgroup],0)),"")</f>
        <v>W</v>
      </c>
      <c r="D10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7" t="str">
        <f>IFERROR(INDEX(Структура_ассортимента[Product group],MATCH(Товары[[#This Row],[SubGroup]],Структура_ассортимента[Subgroup],0)),"")</f>
        <v>WMO_C</v>
      </c>
      <c r="G10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2622</v>
      </c>
      <c r="Q1081" s="39" t="s">
        <v>3416</v>
      </c>
      <c r="R1081" s="34" t="s">
        <v>3407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3410</v>
      </c>
      <c r="X1081" s="34" t="s">
        <v>3446</v>
      </c>
      <c r="Y1081" s="34" t="s">
        <v>3409</v>
      </c>
      <c r="Z1081" s="34">
        <v>10</v>
      </c>
      <c r="AA1081" s="34" t="s">
        <v>6357</v>
      </c>
      <c r="AB1081" s="34" t="s">
        <v>6357</v>
      </c>
      <c r="AC1081" s="34" t="s">
        <v>3661</v>
      </c>
      <c r="AD1081" s="34" t="s">
        <v>3661</v>
      </c>
      <c r="AE1081" s="34" t="s">
        <v>4339</v>
      </c>
      <c r="AF1081" s="34" t="s">
        <v>4088</v>
      </c>
      <c r="AG1081" s="34" t="s">
        <v>4088</v>
      </c>
      <c r="AH1081" s="34" t="s">
        <v>6358</v>
      </c>
      <c r="AL1081" s="34">
        <v>4800</v>
      </c>
      <c r="AM1081" s="34" t="s">
        <v>7962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7" t="str">
        <f>IFERROR(INDEX(Структура_ассортимента[SuperCategory],MATCH(Товары[[#This Row],[SubGroup]],Структура_ассортимента[Subgroup],0)),"")</f>
        <v>W</v>
      </c>
      <c r="D10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7" t="str">
        <f>IFERROR(INDEX(Структура_ассортимента[Product group],MATCH(Товары[[#This Row],[SubGroup]],Структура_ассортимента[Subgroup],0)),"")</f>
        <v>WMO_C</v>
      </c>
      <c r="G10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2623</v>
      </c>
      <c r="O1082" s="37" t="s">
        <v>6359</v>
      </c>
      <c r="P1082" s="37" t="s">
        <v>6360</v>
      </c>
      <c r="Q1082" s="39" t="s">
        <v>3416</v>
      </c>
      <c r="R1082" s="34" t="s">
        <v>3407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3410</v>
      </c>
      <c r="X1082" s="34" t="s">
        <v>6339</v>
      </c>
      <c r="Y1082" s="34" t="s">
        <v>3409</v>
      </c>
      <c r="Z1082" s="34">
        <v>10</v>
      </c>
      <c r="AA1082" s="34" t="s">
        <v>3594</v>
      </c>
      <c r="AB1082" s="34" t="s">
        <v>3594</v>
      </c>
      <c r="AC1082" s="34" t="s">
        <v>3584</v>
      </c>
      <c r="AD1082" s="34" t="s">
        <v>3584</v>
      </c>
      <c r="AE1082" s="34" t="s">
        <v>3692</v>
      </c>
      <c r="AF1082" s="34" t="s">
        <v>3443</v>
      </c>
      <c r="AG1082" s="34" t="s">
        <v>3798</v>
      </c>
      <c r="AH1082" s="34" t="s">
        <v>3540</v>
      </c>
      <c r="AI1082" s="34" t="s">
        <v>5508</v>
      </c>
      <c r="AJ1082" s="34" t="s">
        <v>3798</v>
      </c>
      <c r="AK1082" s="34" t="s">
        <v>3798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7" t="str">
        <f>IFERROR(INDEX(Структура_ассортимента[SuperCategory],MATCH(Товары[[#This Row],[SubGroup]],Структура_ассортимента[Subgroup],0)),"")</f>
        <v>W</v>
      </c>
      <c r="D10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7" t="str">
        <f>IFERROR(INDEX(Структура_ассортимента[Product group],MATCH(Товары[[#This Row],[SubGroup]],Структура_ассортимента[Subgroup],0)),"")</f>
        <v>WMO_C</v>
      </c>
      <c r="G10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2624</v>
      </c>
      <c r="P1083" s="37" t="s">
        <v>6361</v>
      </c>
      <c r="Q1083" s="39" t="s">
        <v>3580</v>
      </c>
      <c r="R1083" s="34" t="s">
        <v>3407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3410</v>
      </c>
      <c r="Y1083" s="34" t="s">
        <v>3409</v>
      </c>
      <c r="Z1083" s="34">
        <v>10</v>
      </c>
      <c r="AA1083" s="34" t="s">
        <v>6362</v>
      </c>
      <c r="AB1083" s="34" t="s">
        <v>6362</v>
      </c>
      <c r="AC1083" s="34" t="s">
        <v>3596</v>
      </c>
      <c r="AD1083" s="34" t="s">
        <v>3596</v>
      </c>
      <c r="AE1083" s="34" t="s">
        <v>3692</v>
      </c>
      <c r="AF1083" s="34" t="s">
        <v>3443</v>
      </c>
      <c r="AG1083" s="34" t="s">
        <v>3621</v>
      </c>
      <c r="AH1083" s="34" t="s">
        <v>6363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7" t="str">
        <f>IFERROR(INDEX(Структура_ассортимента[SuperCategory],MATCH(Товары[[#This Row],[SubGroup]],Структура_ассортимента[Subgroup],0)),"")</f>
        <v>W</v>
      </c>
      <c r="D10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7" t="str">
        <f>IFERROR(INDEX(Структура_ассортимента[Product group],MATCH(Товары[[#This Row],[SubGroup]],Структура_ассортимента[Subgroup],0)),"")</f>
        <v>WMO_C</v>
      </c>
      <c r="G10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2625</v>
      </c>
      <c r="O1084" s="37" t="s">
        <v>6364</v>
      </c>
      <c r="P1084" s="37" t="s">
        <v>6365</v>
      </c>
      <c r="Q1084" s="39" t="s">
        <v>3416</v>
      </c>
      <c r="R1084" s="34" t="s">
        <v>3407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3410</v>
      </c>
      <c r="X1084" s="34" t="s">
        <v>3571</v>
      </c>
      <c r="Y1084" s="34" t="s">
        <v>3409</v>
      </c>
      <c r="Z1084" s="34">
        <v>4</v>
      </c>
      <c r="AA1084" s="34" t="s">
        <v>3796</v>
      </c>
      <c r="AB1084" s="34" t="s">
        <v>4854</v>
      </c>
      <c r="AC1084" s="34" t="s">
        <v>3999</v>
      </c>
      <c r="AD1084" s="34" t="s">
        <v>3873</v>
      </c>
      <c r="AE1084" s="34" t="s">
        <v>3809</v>
      </c>
      <c r="AF1084" s="34" t="s">
        <v>3835</v>
      </c>
      <c r="AG1084" s="34" t="s">
        <v>4413</v>
      </c>
      <c r="AH1084" s="34" t="s">
        <v>6366</v>
      </c>
      <c r="AI1084" s="34" t="s">
        <v>4106</v>
      </c>
      <c r="AJ1084" s="34" t="s">
        <v>6367</v>
      </c>
      <c r="AK1084" s="34" t="s">
        <v>6368</v>
      </c>
      <c r="AL1084" s="34" t="s">
        <v>4300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7" t="str">
        <f>IFERROR(INDEX(Структура_ассортимента[SuperCategory],MATCH(Товары[[#This Row],[SubGroup]],Структура_ассортимента[Subgroup],0)),"")</f>
        <v>W</v>
      </c>
      <c r="D10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7" t="str">
        <f>IFERROR(INDEX(Структура_ассортимента[Product group],MATCH(Товары[[#This Row],[SubGroup]],Структура_ассортимента[Subgroup],0)),"")</f>
        <v>WMO_C</v>
      </c>
      <c r="G10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2626</v>
      </c>
      <c r="Q1085" s="39" t="s">
        <v>3416</v>
      </c>
      <c r="R1085" s="34" t="s">
        <v>3407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3410</v>
      </c>
      <c r="X1085" s="34" t="s">
        <v>3446</v>
      </c>
      <c r="Y1085" s="34" t="s">
        <v>3409</v>
      </c>
      <c r="Z1085" s="34">
        <v>50</v>
      </c>
      <c r="AA1085" s="34" t="s">
        <v>3674</v>
      </c>
      <c r="AB1085" s="34" t="s">
        <v>3674</v>
      </c>
      <c r="AC1085" s="34" t="s">
        <v>6369</v>
      </c>
      <c r="AD1085" s="34" t="s">
        <v>6369</v>
      </c>
      <c r="AE1085" s="34" t="s">
        <v>6368</v>
      </c>
      <c r="AF1085" s="34" t="s">
        <v>3798</v>
      </c>
      <c r="AG1085" s="34" t="s">
        <v>4823</v>
      </c>
      <c r="AH1085" s="34" t="s">
        <v>6370</v>
      </c>
      <c r="AI1085" s="34" t="s">
        <v>4642</v>
      </c>
      <c r="AJ1085" s="34" t="s">
        <v>4273</v>
      </c>
      <c r="AK1085" s="34" t="s">
        <v>4273</v>
      </c>
      <c r="AL1085" s="34" t="s">
        <v>6371</v>
      </c>
      <c r="AM1085" s="34" t="s">
        <v>7962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7" t="str">
        <f>IFERROR(INDEX(Структура_ассортимента[SuperCategory],MATCH(Товары[[#This Row],[SubGroup]],Структура_ассортимента[Subgroup],0)),"")</f>
        <v>W</v>
      </c>
      <c r="D10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7" t="str">
        <f>IFERROR(INDEX(Структура_ассортимента[Product group],MATCH(Товары[[#This Row],[SubGroup]],Структура_ассортимента[Subgroup],0)),"")</f>
        <v>WMO_C</v>
      </c>
      <c r="G10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2627</v>
      </c>
      <c r="Q1086" s="39" t="s">
        <v>3416</v>
      </c>
      <c r="R1086" s="34" t="s">
        <v>3407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3410</v>
      </c>
      <c r="X1086" s="34" t="s">
        <v>3446</v>
      </c>
      <c r="Y1086" s="34" t="s">
        <v>3409</v>
      </c>
      <c r="Z1086" s="34">
        <v>20</v>
      </c>
      <c r="AA1086" s="34" t="s">
        <v>6372</v>
      </c>
      <c r="AB1086" s="34" t="s">
        <v>6372</v>
      </c>
      <c r="AC1086" s="34" t="s">
        <v>3678</v>
      </c>
      <c r="AD1086" s="34" t="s">
        <v>3678</v>
      </c>
      <c r="AE1086" s="34" t="s">
        <v>4273</v>
      </c>
      <c r="AF1086" s="34" t="s">
        <v>4273</v>
      </c>
      <c r="AG1086" s="34" t="s">
        <v>4642</v>
      </c>
      <c r="AH1086" s="34" t="s">
        <v>6373</v>
      </c>
      <c r="AI1086" s="34" t="s">
        <v>4642</v>
      </c>
      <c r="AJ1086" s="34" t="s">
        <v>4273</v>
      </c>
      <c r="AK1086" s="34" t="s">
        <v>4273</v>
      </c>
      <c r="AL1086" s="34" t="s">
        <v>6374</v>
      </c>
      <c r="AM1086" s="34" t="s">
        <v>7962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7" t="str">
        <f>IFERROR(INDEX(Структура_ассортимента[SuperCategory],MATCH(Товары[[#This Row],[SubGroup]],Структура_ассортимента[Subgroup],0)),"")</f>
        <v>W</v>
      </c>
      <c r="D10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7" t="str">
        <f>IFERROR(INDEX(Структура_ассортимента[Product group],MATCH(Товары[[#This Row],[SubGroup]],Структура_ассортимента[Subgroup],0)),"")</f>
        <v>WMO_C</v>
      </c>
      <c r="G10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2628</v>
      </c>
      <c r="Q1087" s="39" t="s">
        <v>3416</v>
      </c>
      <c r="R1087" s="34" t="s">
        <v>3407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3410</v>
      </c>
      <c r="X1087" s="34" t="s">
        <v>3446</v>
      </c>
      <c r="Y1087" s="34" t="s">
        <v>3409</v>
      </c>
      <c r="Z1087" s="34">
        <v>50</v>
      </c>
      <c r="AA1087" s="34" t="s">
        <v>3666</v>
      </c>
      <c r="AB1087" s="34" t="s">
        <v>3666</v>
      </c>
      <c r="AC1087" s="34" t="s">
        <v>6372</v>
      </c>
      <c r="AD1087" s="34" t="s">
        <v>6372</v>
      </c>
      <c r="AE1087" s="34" t="s">
        <v>4088</v>
      </c>
      <c r="AF1087" s="34" t="s">
        <v>4088</v>
      </c>
      <c r="AG1087" s="34" t="s">
        <v>4642</v>
      </c>
      <c r="AH1087" s="34" t="s">
        <v>6375</v>
      </c>
      <c r="AI1087" s="34" t="s">
        <v>4642</v>
      </c>
      <c r="AJ1087" s="34" t="s">
        <v>3566</v>
      </c>
      <c r="AK1087" s="34" t="s">
        <v>3566</v>
      </c>
      <c r="AL1087" s="34" t="s">
        <v>6371</v>
      </c>
      <c r="AM1087" s="34" t="s">
        <v>7962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7" t="str">
        <f>IFERROR(INDEX(Структура_ассортимента[SuperCategory],MATCH(Товары[[#This Row],[SubGroup]],Структура_ассортимента[Subgroup],0)),"")</f>
        <v>W</v>
      </c>
      <c r="D10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7" t="str">
        <f>IFERROR(INDEX(Структура_ассортимента[Product group],MATCH(Товары[[#This Row],[SubGroup]],Структура_ассортимента[Subgroup],0)),"")</f>
        <v>WMO_C</v>
      </c>
      <c r="G10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2629</v>
      </c>
      <c r="Q1088" s="39" t="s">
        <v>3416</v>
      </c>
      <c r="R1088" s="34" t="s">
        <v>3407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3410</v>
      </c>
      <c r="X1088" s="34" t="s">
        <v>3446</v>
      </c>
      <c r="Y1088" s="34" t="s">
        <v>3409</v>
      </c>
      <c r="Z1088" s="34">
        <v>50</v>
      </c>
      <c r="AA1088" s="34" t="s">
        <v>6372</v>
      </c>
      <c r="AB1088" s="34" t="s">
        <v>6372</v>
      </c>
      <c r="AC1088" s="34" t="s">
        <v>3678</v>
      </c>
      <c r="AD1088" s="34" t="s">
        <v>6372</v>
      </c>
      <c r="AE1088" s="34" t="s">
        <v>4088</v>
      </c>
      <c r="AF1088" s="34" t="s">
        <v>4088</v>
      </c>
      <c r="AG1088" s="34" t="s">
        <v>4642</v>
      </c>
      <c r="AH1088" s="34" t="s">
        <v>6375</v>
      </c>
      <c r="AI1088" s="34" t="s">
        <v>4642</v>
      </c>
      <c r="AJ1088" s="34" t="s">
        <v>3566</v>
      </c>
      <c r="AK1088" s="34" t="s">
        <v>3566</v>
      </c>
      <c r="AL1088" s="34" t="s">
        <v>6376</v>
      </c>
      <c r="AM1088" s="34" t="s">
        <v>7962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7" t="str">
        <f>IFERROR(INDEX(Структура_ассортимента[SuperCategory],MATCH(Товары[[#This Row],[SubGroup]],Структура_ассортимента[Subgroup],0)),"")</f>
        <v>W</v>
      </c>
      <c r="D10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7" t="str">
        <f>IFERROR(INDEX(Структура_ассортимента[Product group],MATCH(Товары[[#This Row],[SubGroup]],Структура_ассортимента[Subgroup],0)),"")</f>
        <v>WMO_C</v>
      </c>
      <c r="G108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2630</v>
      </c>
      <c r="Q1089" s="39" t="s">
        <v>3416</v>
      </c>
      <c r="R1089" s="34" t="s">
        <v>3407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3410</v>
      </c>
      <c r="X1089" s="34" t="s">
        <v>3446</v>
      </c>
      <c r="Y1089" s="34" t="s">
        <v>3409</v>
      </c>
      <c r="Z1089" s="34">
        <v>50</v>
      </c>
      <c r="AA1089" s="34" t="s">
        <v>3674</v>
      </c>
      <c r="AB1089" s="34" t="s">
        <v>3674</v>
      </c>
      <c r="AC1089" s="34" t="s">
        <v>6372</v>
      </c>
      <c r="AD1089" s="34" t="s">
        <v>6372</v>
      </c>
      <c r="AE1089" s="34" t="s">
        <v>4823</v>
      </c>
      <c r="AF1089" s="34" t="s">
        <v>4823</v>
      </c>
      <c r="AG1089" s="34" t="s">
        <v>4642</v>
      </c>
      <c r="AH1089" s="34" t="s">
        <v>6377</v>
      </c>
      <c r="AI1089" s="34" t="s">
        <v>4642</v>
      </c>
      <c r="AJ1089" s="34" t="s">
        <v>3798</v>
      </c>
      <c r="AK1089" s="34" t="s">
        <v>3798</v>
      </c>
      <c r="AL1089" s="34" t="s">
        <v>6371</v>
      </c>
      <c r="AM1089" s="34" t="s">
        <v>7962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7" t="str">
        <f>IFERROR(INDEX(Структура_ассортимента[SuperCategory],MATCH(Товары[[#This Row],[SubGroup]],Структура_ассортимента[Subgroup],0)),"")</f>
        <v>W</v>
      </c>
      <c r="D10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7" t="str">
        <f>IFERROR(INDEX(Структура_ассортимента[Product group],MATCH(Товары[[#This Row],[SubGroup]],Структура_ассортимента[Subgroup],0)),"")</f>
        <v>WMO_C</v>
      </c>
      <c r="G109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2631</v>
      </c>
      <c r="Q1090" s="39" t="s">
        <v>3416</v>
      </c>
      <c r="R1090" s="34" t="s">
        <v>3407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3410</v>
      </c>
      <c r="X1090" s="34" t="s">
        <v>3446</v>
      </c>
      <c r="Y1090" s="34" t="s">
        <v>3409</v>
      </c>
      <c r="Z1090" s="34">
        <v>50</v>
      </c>
      <c r="AA1090" s="34" t="s">
        <v>3662</v>
      </c>
      <c r="AB1090" s="34" t="s">
        <v>3662</v>
      </c>
      <c r="AC1090" s="34" t="s">
        <v>3674</v>
      </c>
      <c r="AD1090" s="34" t="s">
        <v>3674</v>
      </c>
      <c r="AE1090" s="34" t="s">
        <v>4823</v>
      </c>
      <c r="AF1090" s="34" t="s">
        <v>4823</v>
      </c>
      <c r="AG1090" s="34" t="s">
        <v>4642</v>
      </c>
      <c r="AH1090" s="34" t="s">
        <v>6377</v>
      </c>
      <c r="AI1090" s="34" t="s">
        <v>4642</v>
      </c>
      <c r="AJ1090" s="34" t="s">
        <v>3798</v>
      </c>
      <c r="AK1090" s="34" t="s">
        <v>3798</v>
      </c>
      <c r="AL1090" s="34" t="s">
        <v>6378</v>
      </c>
      <c r="AM1090" s="34" t="s">
        <v>7962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7" t="str">
        <f>IFERROR(INDEX(Структура_ассортимента[SuperCategory],MATCH(Товары[[#This Row],[SubGroup]],Структура_ассортимента[Subgroup],0)),"")</f>
        <v>W</v>
      </c>
      <c r="D10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7" t="str">
        <f>IFERROR(INDEX(Структура_ассортимента[Product group],MATCH(Товары[[#This Row],[SubGroup]],Структура_ассортимента[Subgroup],0)),"")</f>
        <v>WMO_C</v>
      </c>
      <c r="G109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2632</v>
      </c>
      <c r="Q1091" s="39" t="s">
        <v>3416</v>
      </c>
      <c r="R1091" s="34" t="s">
        <v>3407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3410</v>
      </c>
      <c r="X1091" s="34" t="s">
        <v>3446</v>
      </c>
      <c r="Y1091" s="34" t="s">
        <v>3409</v>
      </c>
      <c r="Z1091" s="34">
        <v>50</v>
      </c>
      <c r="AA1091" s="34" t="s">
        <v>5514</v>
      </c>
      <c r="AB1091" s="34" t="s">
        <v>5514</v>
      </c>
      <c r="AC1091" s="34" t="s">
        <v>6379</v>
      </c>
      <c r="AD1091" s="34" t="s">
        <v>6379</v>
      </c>
      <c r="AE1091" s="34" t="s">
        <v>4098</v>
      </c>
      <c r="AF1091" s="34" t="s">
        <v>4098</v>
      </c>
      <c r="AG1091" s="34" t="s">
        <v>3964</v>
      </c>
      <c r="AH1091" s="34" t="s">
        <v>6380</v>
      </c>
      <c r="AI1091" s="34" t="s">
        <v>4051</v>
      </c>
      <c r="AJ1091" s="34" t="s">
        <v>4098</v>
      </c>
      <c r="AK1091" s="34" t="s">
        <v>4098</v>
      </c>
      <c r="AL1091" s="34" t="s">
        <v>6371</v>
      </c>
      <c r="AM1091" s="34" t="s">
        <v>7962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7" t="str">
        <f>IFERROR(INDEX(Структура_ассортимента[SuperCategory],MATCH(Товары[[#This Row],[SubGroup]],Структура_ассортимента[Subgroup],0)),"")</f>
        <v>W</v>
      </c>
      <c r="D10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7" t="str">
        <f>IFERROR(INDEX(Структура_ассортимента[Product group],MATCH(Товары[[#This Row],[SubGroup]],Структура_ассортимента[Subgroup],0)),"")</f>
        <v>WMO_C</v>
      </c>
      <c r="G109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2633</v>
      </c>
      <c r="O1092" s="37" t="s">
        <v>6381</v>
      </c>
      <c r="P1092" s="37" t="s">
        <v>6352</v>
      </c>
      <c r="Q1092" s="39" t="s">
        <v>3416</v>
      </c>
      <c r="R1092" s="34" t="s">
        <v>3407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3410</v>
      </c>
      <c r="X1092" s="34" t="s">
        <v>3446</v>
      </c>
      <c r="Y1092" s="34" t="s">
        <v>3409</v>
      </c>
      <c r="Z1092" s="34">
        <v>24</v>
      </c>
      <c r="AA1092" s="34" t="s">
        <v>5496</v>
      </c>
      <c r="AB1092" s="34" t="s">
        <v>5496</v>
      </c>
      <c r="AC1092" s="34" t="s">
        <v>6382</v>
      </c>
      <c r="AD1092" s="34" t="s">
        <v>6382</v>
      </c>
      <c r="AE1092" s="34" t="s">
        <v>3560</v>
      </c>
      <c r="AF1092" s="34" t="s">
        <v>3667</v>
      </c>
      <c r="AG1092" s="34" t="s">
        <v>4098</v>
      </c>
      <c r="AH1092" s="34" t="s">
        <v>6310</v>
      </c>
      <c r="AI1092" s="34" t="s">
        <v>4051</v>
      </c>
      <c r="AJ1092" s="34" t="s">
        <v>4098</v>
      </c>
      <c r="AK1092" s="34" t="s">
        <v>4098</v>
      </c>
      <c r="AL1092" s="34" t="s">
        <v>6315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7" t="str">
        <f>IFERROR(INDEX(Структура_ассортимента[SuperCategory],MATCH(Товары[[#This Row],[SubGroup]],Структура_ассортимента[Subgroup],0)),"")</f>
        <v>W</v>
      </c>
      <c r="D10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7" t="str">
        <f>IFERROR(INDEX(Структура_ассортимента[Product group],MATCH(Товары[[#This Row],[SubGroup]],Структура_ассортимента[Subgroup],0)),"")</f>
        <v>WMO_C</v>
      </c>
      <c r="G109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2634</v>
      </c>
      <c r="Q1093" s="39" t="s">
        <v>3416</v>
      </c>
      <c r="R1093" s="34" t="s">
        <v>3407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3410</v>
      </c>
      <c r="X1093" s="34" t="s">
        <v>3446</v>
      </c>
      <c r="Y1093" s="34" t="s">
        <v>3409</v>
      </c>
      <c r="Z1093" s="34">
        <v>50</v>
      </c>
      <c r="AA1093" s="34" t="s">
        <v>6382</v>
      </c>
      <c r="AB1093" s="34" t="s">
        <v>6383</v>
      </c>
      <c r="AC1093" s="34" t="s">
        <v>6379</v>
      </c>
      <c r="AD1093" s="34" t="s">
        <v>6382</v>
      </c>
      <c r="AE1093" s="34" t="s">
        <v>4098</v>
      </c>
      <c r="AF1093" s="34" t="s">
        <v>4098</v>
      </c>
      <c r="AG1093" s="34" t="s">
        <v>3964</v>
      </c>
      <c r="AH1093" s="34" t="s">
        <v>6380</v>
      </c>
      <c r="AI1093" s="34" t="s">
        <v>4051</v>
      </c>
      <c r="AJ1093" s="34" t="s">
        <v>4098</v>
      </c>
      <c r="AK1093" s="34" t="s">
        <v>4098</v>
      </c>
      <c r="AL1093" s="34" t="s">
        <v>6384</v>
      </c>
      <c r="AM1093" s="34" t="s">
        <v>7962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7" t="str">
        <f>IFERROR(INDEX(Структура_ассортимента[SuperCategory],MATCH(Товары[[#This Row],[SubGroup]],Структура_ассортимента[Subgroup],0)),"")</f>
        <v>W</v>
      </c>
      <c r="D10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7" t="str">
        <f>IFERROR(INDEX(Структура_ассортимента[Product group],MATCH(Товары[[#This Row],[SubGroup]],Структура_ассортимента[Subgroup],0)),"")</f>
        <v>WMO_C</v>
      </c>
      <c r="G109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2635</v>
      </c>
      <c r="Q1094" s="39" t="s">
        <v>3416</v>
      </c>
      <c r="R1094" s="34" t="s">
        <v>3407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3410</v>
      </c>
      <c r="X1094" s="34" t="s">
        <v>3446</v>
      </c>
      <c r="Y1094" s="34" t="s">
        <v>3409</v>
      </c>
      <c r="Z1094" s="34">
        <v>40</v>
      </c>
      <c r="AA1094" s="34" t="s">
        <v>6385</v>
      </c>
      <c r="AB1094" s="34" t="s">
        <v>6385</v>
      </c>
      <c r="AC1094" s="34" t="s">
        <v>6386</v>
      </c>
      <c r="AD1094" s="34" t="s">
        <v>6386</v>
      </c>
      <c r="AE1094" s="34" t="s">
        <v>4992</v>
      </c>
      <c r="AF1094" s="34" t="s">
        <v>4992</v>
      </c>
      <c r="AG1094" s="34" t="s">
        <v>4051</v>
      </c>
      <c r="AH1094" s="34" t="s">
        <v>6387</v>
      </c>
      <c r="AI1094" s="34" t="s">
        <v>4000</v>
      </c>
      <c r="AJ1094" s="34" t="s">
        <v>4098</v>
      </c>
      <c r="AK1094" s="34" t="s">
        <v>4098</v>
      </c>
      <c r="AL1094" s="34" t="s">
        <v>6388</v>
      </c>
      <c r="AM1094" s="34" t="s">
        <v>7962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7" t="str">
        <f>IFERROR(INDEX(Структура_ассортимента[SuperCategory],MATCH(Товары[[#This Row],[SubGroup]],Структура_ассортимента[Subgroup],0)),"")</f>
        <v>W</v>
      </c>
      <c r="D10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7" t="str">
        <f>IFERROR(INDEX(Структура_ассортимента[Product group],MATCH(Товары[[#This Row],[SubGroup]],Структура_ассортимента[Subgroup],0)),"")</f>
        <v>WMO_C</v>
      </c>
      <c r="G109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2636</v>
      </c>
      <c r="O1095" s="37" t="s">
        <v>6389</v>
      </c>
      <c r="P1095" s="37" t="s">
        <v>6355</v>
      </c>
      <c r="Q1095" s="39" t="s">
        <v>3416</v>
      </c>
      <c r="R1095" s="34" t="s">
        <v>3407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3410</v>
      </c>
      <c r="X1095" s="34" t="s">
        <v>3446</v>
      </c>
      <c r="Y1095" s="34" t="s">
        <v>3409</v>
      </c>
      <c r="Z1095" s="34">
        <v>12</v>
      </c>
      <c r="AA1095" s="34" t="s">
        <v>3643</v>
      </c>
      <c r="AB1095" s="34" t="s">
        <v>3643</v>
      </c>
      <c r="AC1095" s="34" t="s">
        <v>6337</v>
      </c>
      <c r="AD1095" s="34" t="s">
        <v>6337</v>
      </c>
      <c r="AE1095" s="34" t="s">
        <v>3560</v>
      </c>
      <c r="AF1095" s="34" t="s">
        <v>3667</v>
      </c>
      <c r="AG1095" s="34" t="s">
        <v>4992</v>
      </c>
      <c r="AH1095" s="34" t="s">
        <v>6390</v>
      </c>
      <c r="AI1095" s="34" t="s">
        <v>4000</v>
      </c>
      <c r="AJ1095" s="34" t="s">
        <v>4098</v>
      </c>
      <c r="AK1095" s="34" t="s">
        <v>4098</v>
      </c>
      <c r="AL1095" s="34" t="s">
        <v>6356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7" t="str">
        <f>IFERROR(INDEX(Структура_ассортимента[SuperCategory],MATCH(Товары[[#This Row],[SubGroup]],Структура_ассортимента[Subgroup],0)),"")</f>
        <v>W</v>
      </c>
      <c r="D10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7" t="str">
        <f>IFERROR(INDEX(Структура_ассортимента[Product group],MATCH(Товары[[#This Row],[SubGroup]],Структура_ассортимента[Subgroup],0)),"")</f>
        <v>WMO_C</v>
      </c>
      <c r="G109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2637</v>
      </c>
      <c r="Q1096" s="39" t="s">
        <v>3416</v>
      </c>
      <c r="R1096" s="34" t="s">
        <v>3407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3410</v>
      </c>
      <c r="X1096" s="34" t="s">
        <v>3446</v>
      </c>
      <c r="Y1096" s="34" t="s">
        <v>3409</v>
      </c>
      <c r="Z1096" s="34">
        <v>10</v>
      </c>
      <c r="AA1096" s="34" t="s">
        <v>5755</v>
      </c>
      <c r="AB1096" s="34" t="s">
        <v>5755</v>
      </c>
      <c r="AC1096" s="34" t="s">
        <v>6386</v>
      </c>
      <c r="AD1096" s="34" t="s">
        <v>6386</v>
      </c>
      <c r="AE1096" s="34" t="s">
        <v>4992</v>
      </c>
      <c r="AF1096" s="34" t="s">
        <v>4992</v>
      </c>
      <c r="AG1096" s="34" t="s">
        <v>4051</v>
      </c>
      <c r="AH1096" s="34" t="s">
        <v>6387</v>
      </c>
      <c r="AI1096" s="34" t="s">
        <v>4000</v>
      </c>
      <c r="AJ1096" s="34" t="s">
        <v>4098</v>
      </c>
      <c r="AK1096" s="34" t="s">
        <v>4098</v>
      </c>
      <c r="AL1096" s="34" t="s">
        <v>6391</v>
      </c>
      <c r="AM1096" s="34" t="s">
        <v>7962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7" t="str">
        <f>IFERROR(INDEX(Структура_ассортимента[SuperCategory],MATCH(Товары[[#This Row],[SubGroup]],Структура_ассортимента[Subgroup],0)),"")</f>
        <v>W</v>
      </c>
      <c r="D10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7" t="str">
        <f>IFERROR(INDEX(Структура_ассортимента[Product group],MATCH(Товары[[#This Row],[SubGroup]],Структура_ассортимента[Subgroup],0)),"")</f>
        <v>WMO_C</v>
      </c>
      <c r="G109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2638</v>
      </c>
      <c r="Q1097" s="39" t="s">
        <v>3416</v>
      </c>
      <c r="R1097" s="34" t="s">
        <v>3407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3410</v>
      </c>
      <c r="X1097" s="34" t="s">
        <v>3446</v>
      </c>
      <c r="Y1097" s="34" t="s">
        <v>3409</v>
      </c>
      <c r="Z1097" s="34">
        <v>12</v>
      </c>
      <c r="AA1097" s="34" t="s">
        <v>6392</v>
      </c>
      <c r="AB1097" s="34" t="s">
        <v>3670</v>
      </c>
      <c r="AC1097" s="34" t="s">
        <v>3678</v>
      </c>
      <c r="AD1097" s="34" t="s">
        <v>3651</v>
      </c>
      <c r="AE1097" s="34" t="s">
        <v>3560</v>
      </c>
      <c r="AF1097" s="34" t="s">
        <v>3667</v>
      </c>
      <c r="AG1097" s="34" t="s">
        <v>4098</v>
      </c>
      <c r="AH1097" s="34" t="s">
        <v>6310</v>
      </c>
      <c r="AJ1097" s="34" t="s">
        <v>4642</v>
      </c>
      <c r="AK1097" s="34" t="s">
        <v>3566</v>
      </c>
      <c r="AL1097" s="34" t="s">
        <v>6308</v>
      </c>
      <c r="AM1097" s="34" t="s">
        <v>7962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7" t="str">
        <f>IFERROR(INDEX(Структура_ассортимента[SuperCategory],MATCH(Товары[[#This Row],[SubGroup]],Структура_ассортимента[Subgroup],0)),"")</f>
        <v>W</v>
      </c>
      <c r="D10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7" t="str">
        <f>IFERROR(INDEX(Структура_ассортимента[Product group],MATCH(Товары[[#This Row],[SubGroup]],Структура_ассортимента[Subgroup],0)),"")</f>
        <v>WMO_C</v>
      </c>
      <c r="G109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2639</v>
      </c>
      <c r="Q1098" s="39" t="s">
        <v>3416</v>
      </c>
      <c r="R1098" s="34" t="s">
        <v>3407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3410</v>
      </c>
      <c r="X1098" s="34" t="s">
        <v>3446</v>
      </c>
      <c r="Y1098" s="34" t="s">
        <v>3409</v>
      </c>
      <c r="Z1098" s="34">
        <v>10</v>
      </c>
      <c r="AA1098" s="34">
        <v>17</v>
      </c>
      <c r="AB1098" s="34" t="s">
        <v>3661</v>
      </c>
      <c r="AC1098" s="34">
        <v>14</v>
      </c>
      <c r="AD1098" s="34" t="s">
        <v>3666</v>
      </c>
      <c r="AE1098" s="34" t="s">
        <v>3798</v>
      </c>
      <c r="AF1098" s="34" t="s">
        <v>3798</v>
      </c>
      <c r="AG1098" s="34" t="s">
        <v>4218</v>
      </c>
      <c r="AH1098" s="34" t="s">
        <v>6320</v>
      </c>
      <c r="AI1098" s="34" t="s">
        <v>4642</v>
      </c>
      <c r="AJ1098" s="34" t="s">
        <v>3539</v>
      </c>
      <c r="AK1098" s="34" t="s">
        <v>3539</v>
      </c>
      <c r="AL1098" s="34" t="s">
        <v>3525</v>
      </c>
      <c r="AM1098" s="34" t="s">
        <v>7962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7" t="str">
        <f>IFERROR(INDEX(Структура_ассортимента[SuperCategory],MATCH(Товары[[#This Row],[SubGroup]],Структура_ассортимента[Subgroup],0)),"")</f>
        <v>W</v>
      </c>
      <c r="D10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7" t="str">
        <f>IFERROR(INDEX(Структура_ассортимента[Product group],MATCH(Товары[[#This Row],[SubGroup]],Структура_ассортимента[Subgroup],0)),"")</f>
        <v>WMO_C</v>
      </c>
      <c r="G10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2640</v>
      </c>
      <c r="Q1099" s="39" t="s">
        <v>3416</v>
      </c>
      <c r="R1099" s="34" t="s">
        <v>3407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3410</v>
      </c>
      <c r="X1099" s="34" t="s">
        <v>3446</v>
      </c>
      <c r="Y1099" s="34" t="s">
        <v>3409</v>
      </c>
      <c r="Z1099" s="34">
        <v>20</v>
      </c>
      <c r="AA1099" s="34">
        <v>17</v>
      </c>
      <c r="AB1099" s="34" t="s">
        <v>6393</v>
      </c>
      <c r="AC1099" s="34">
        <v>14</v>
      </c>
      <c r="AD1099" s="34" t="s">
        <v>3646</v>
      </c>
      <c r="AE1099" s="34" t="s">
        <v>3798</v>
      </c>
      <c r="AF1099" s="34" t="s">
        <v>3798</v>
      </c>
      <c r="AG1099" s="34" t="s">
        <v>4218</v>
      </c>
      <c r="AH1099" s="34" t="s">
        <v>6320</v>
      </c>
      <c r="AI1099" s="34" t="s">
        <v>4642</v>
      </c>
      <c r="AJ1099" s="34" t="s">
        <v>3566</v>
      </c>
      <c r="AK1099" s="34" t="s">
        <v>3566</v>
      </c>
      <c r="AL1099" s="34" t="s">
        <v>6394</v>
      </c>
      <c r="AM1099" s="34" t="s">
        <v>7962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7" t="str">
        <f>IFERROR(INDEX(Структура_ассортимента[SuperCategory],MATCH(Товары[[#This Row],[SubGroup]],Структура_ассортимента[Subgroup],0)),"")</f>
        <v>W</v>
      </c>
      <c r="D11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7" t="str">
        <f>IFERROR(INDEX(Структура_ассортимента[Product group],MATCH(Товары[[#This Row],[SubGroup]],Структура_ассортимента[Subgroup],0)),"")</f>
        <v>WMO_C</v>
      </c>
      <c r="G11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2641</v>
      </c>
      <c r="O1100" s="37" t="s">
        <v>6395</v>
      </c>
      <c r="P1100" s="37" t="s">
        <v>6396</v>
      </c>
      <c r="Q1100" s="39" t="s">
        <v>3416</v>
      </c>
      <c r="R1100" s="34" t="s">
        <v>3407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3410</v>
      </c>
      <c r="X1100" s="34" t="s">
        <v>3446</v>
      </c>
      <c r="Y1100" s="34" t="s">
        <v>3409</v>
      </c>
      <c r="Z1100" s="34">
        <v>6</v>
      </c>
      <c r="AA1100" s="34">
        <v>17</v>
      </c>
      <c r="AB1100" s="34" t="s">
        <v>3661</v>
      </c>
      <c r="AC1100" s="34">
        <v>15</v>
      </c>
      <c r="AD1100" s="34" t="s">
        <v>3651</v>
      </c>
      <c r="AE1100" s="34" t="s">
        <v>3560</v>
      </c>
      <c r="AF1100" s="34" t="s">
        <v>3667</v>
      </c>
      <c r="AG1100" s="34" t="s">
        <v>3798</v>
      </c>
      <c r="AH1100" s="34" t="s">
        <v>6323</v>
      </c>
      <c r="AI1100" s="34" t="s">
        <v>4642</v>
      </c>
      <c r="AJ1100" s="34" t="s">
        <v>3798</v>
      </c>
      <c r="AK1100" s="34" t="s">
        <v>3798</v>
      </c>
      <c r="AL1100" s="34" t="s">
        <v>3525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7" t="str">
        <f>IFERROR(INDEX(Структура_ассортимента[SuperCategory],MATCH(Товары[[#This Row],[SubGroup]],Структура_ассортимента[Subgroup],0)),"")</f>
        <v>W</v>
      </c>
      <c r="D11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7" t="str">
        <f>IFERROR(INDEX(Структура_ассортимента[Product group],MATCH(Товары[[#This Row],[SubGroup]],Структура_ассортимента[Subgroup],0)),"")</f>
        <v>WMO_C</v>
      </c>
      <c r="G11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2642</v>
      </c>
      <c r="Q1101" s="39" t="s">
        <v>3416</v>
      </c>
      <c r="R1101" s="34" t="s">
        <v>3407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3410</v>
      </c>
      <c r="X1101" s="34" t="s">
        <v>3446</v>
      </c>
      <c r="Y1101" s="34" t="s">
        <v>3409</v>
      </c>
      <c r="Z1101" s="34">
        <v>20</v>
      </c>
      <c r="AA1101" s="34">
        <v>17</v>
      </c>
      <c r="AB1101" s="34" t="s">
        <v>6397</v>
      </c>
      <c r="AC1101" s="34">
        <v>15</v>
      </c>
      <c r="AD1101" s="34" t="s">
        <v>5470</v>
      </c>
      <c r="AE1101" s="34" t="s">
        <v>3560</v>
      </c>
      <c r="AF1101" s="34" t="s">
        <v>3667</v>
      </c>
      <c r="AG1101" s="34" t="s">
        <v>3798</v>
      </c>
      <c r="AH1101" s="34" t="s">
        <v>6323</v>
      </c>
      <c r="AI1101" s="34" t="s">
        <v>4642</v>
      </c>
      <c r="AJ1101" s="34" t="s">
        <v>3798</v>
      </c>
      <c r="AK1101" s="34" t="s">
        <v>3798</v>
      </c>
      <c r="AL1101" s="34" t="s">
        <v>6398</v>
      </c>
      <c r="AM1101" s="34" t="s">
        <v>7962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7" t="str">
        <f>IFERROR(INDEX(Структура_ассортимента[SuperCategory],MATCH(Товары[[#This Row],[SubGroup]],Структура_ассортимента[Subgroup],0)),"")</f>
        <v>W</v>
      </c>
      <c r="D11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7" t="str">
        <f>IFERROR(INDEX(Структура_ассортимента[Product group],MATCH(Товары[[#This Row],[SubGroup]],Структура_ассортимента[Subgroup],0)),"")</f>
        <v>WMO_C</v>
      </c>
      <c r="G11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2643</v>
      </c>
      <c r="O1102" s="37" t="s">
        <v>6399</v>
      </c>
      <c r="P1102" s="37" t="s">
        <v>6400</v>
      </c>
      <c r="Q1102" s="39" t="s">
        <v>3416</v>
      </c>
      <c r="R1102" s="34" t="s">
        <v>3407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3410</v>
      </c>
      <c r="X1102" s="34" t="s">
        <v>3446</v>
      </c>
      <c r="Y1102" s="34" t="s">
        <v>3409</v>
      </c>
      <c r="Z1102" s="34">
        <v>12</v>
      </c>
      <c r="AA1102" s="34">
        <v>82</v>
      </c>
      <c r="AB1102" s="34" t="s">
        <v>5516</v>
      </c>
      <c r="AC1102" s="34">
        <v>72</v>
      </c>
      <c r="AD1102" s="34" t="s">
        <v>5915</v>
      </c>
      <c r="AE1102" s="34" t="s">
        <v>3745</v>
      </c>
      <c r="AF1102" s="34" t="s">
        <v>3667</v>
      </c>
      <c r="AG1102" s="34" t="s">
        <v>4098</v>
      </c>
      <c r="AH1102" s="34" t="s">
        <v>6401</v>
      </c>
      <c r="AI1102" s="34" t="s">
        <v>3753</v>
      </c>
      <c r="AJ1102" s="34" t="s">
        <v>4098</v>
      </c>
      <c r="AK1102" s="34" t="s">
        <v>4098</v>
      </c>
      <c r="AL1102" s="34" t="s">
        <v>6402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7" t="str">
        <f>IFERROR(INDEX(Структура_ассортимента[SuperCategory],MATCH(Товары[[#This Row],[SubGroup]],Структура_ассортимента[Subgroup],0)),"")</f>
        <v>W</v>
      </c>
      <c r="D11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7" t="str">
        <f>IFERROR(INDEX(Структура_ассортимента[Product group],MATCH(Товары[[#This Row],[SubGroup]],Структура_ассортимента[Subgroup],0)),"")</f>
        <v>WMO_C</v>
      </c>
      <c r="G11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2644</v>
      </c>
      <c r="Q1103" s="39" t="s">
        <v>3416</v>
      </c>
      <c r="R1103" s="34" t="s">
        <v>3407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3410</v>
      </c>
      <c r="X1103" s="34" t="s">
        <v>3446</v>
      </c>
      <c r="Y1103" s="34" t="s">
        <v>3409</v>
      </c>
      <c r="Z1103" s="34">
        <v>10</v>
      </c>
      <c r="AA1103" s="34">
        <v>69</v>
      </c>
      <c r="AB1103" s="34" t="s">
        <v>3586</v>
      </c>
      <c r="AC1103" s="34">
        <v>63</v>
      </c>
      <c r="AD1103" s="34" t="s">
        <v>3586</v>
      </c>
      <c r="AE1103" s="34" t="s">
        <v>3560</v>
      </c>
      <c r="AF1103" s="34" t="s">
        <v>3667</v>
      </c>
      <c r="AG1103" s="34" t="s">
        <v>4339</v>
      </c>
      <c r="AH1103" s="34" t="s">
        <v>6403</v>
      </c>
      <c r="AI1103" s="34" t="s">
        <v>3753</v>
      </c>
      <c r="AJ1103" s="34" t="s">
        <v>4098</v>
      </c>
      <c r="AK1103" s="34" t="s">
        <v>4098</v>
      </c>
      <c r="AL1103" s="34" t="s">
        <v>6388</v>
      </c>
      <c r="AM1103" s="34" t="s">
        <v>7962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7" t="str">
        <f>IFERROR(INDEX(Структура_ассортимента[SuperCategory],MATCH(Товары[[#This Row],[SubGroup]],Структура_ассортимента[Subgroup],0)),"")</f>
        <v>W</v>
      </c>
      <c r="D11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7" t="str">
        <f>IFERROR(INDEX(Структура_ассортимента[Product group],MATCH(Товары[[#This Row],[SubGroup]],Структура_ассортимента[Subgroup],0)),"")</f>
        <v>WMO_C</v>
      </c>
      <c r="G11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2645</v>
      </c>
      <c r="O1104" s="37" t="s">
        <v>6404</v>
      </c>
      <c r="P1104" s="37" t="s">
        <v>6405</v>
      </c>
      <c r="Q1104" s="39" t="s">
        <v>3416</v>
      </c>
      <c r="R1104" s="34" t="s">
        <v>3407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3410</v>
      </c>
      <c r="X1104" s="34" t="s">
        <v>3446</v>
      </c>
      <c r="Y1104" s="34" t="s">
        <v>3409</v>
      </c>
      <c r="Z1104" s="34">
        <v>12</v>
      </c>
      <c r="AA1104" s="34">
        <v>125</v>
      </c>
      <c r="AB1104" s="34" t="s">
        <v>6406</v>
      </c>
      <c r="AC1104" s="34">
        <v>115</v>
      </c>
      <c r="AD1104" s="34" t="s">
        <v>5777</v>
      </c>
      <c r="AE1104" s="34" t="s">
        <v>3745</v>
      </c>
      <c r="AF1104" s="34" t="s">
        <v>3667</v>
      </c>
      <c r="AG1104" s="34" t="s">
        <v>4218</v>
      </c>
      <c r="AH1104" s="34" t="s">
        <v>6407</v>
      </c>
      <c r="AI1104" s="34" t="s">
        <v>4513</v>
      </c>
      <c r="AJ1104" s="34" t="s">
        <v>4299</v>
      </c>
      <c r="AK1104" s="34" t="s">
        <v>4299</v>
      </c>
      <c r="AL1104" s="34" t="s">
        <v>6402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7" t="str">
        <f>IFERROR(INDEX(Структура_ассортимента[SuperCategory],MATCH(Товары[[#This Row],[SubGroup]],Структура_ассортимента[Subgroup],0)),"")</f>
        <v>W</v>
      </c>
      <c r="D11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7" t="str">
        <f>IFERROR(INDEX(Структура_ассортимента[Product group],MATCH(Товары[[#This Row],[SubGroup]],Структура_ассортимента[Subgroup],0)),"")</f>
        <v>WMO_C</v>
      </c>
      <c r="G11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2646</v>
      </c>
      <c r="Q1105" s="39" t="s">
        <v>3416</v>
      </c>
      <c r="R1105" s="34" t="s">
        <v>3407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3410</v>
      </c>
      <c r="X1105" s="34" t="s">
        <v>3446</v>
      </c>
      <c r="Y1105" s="34" t="s">
        <v>3409</v>
      </c>
      <c r="Z1105" s="34">
        <v>10</v>
      </c>
      <c r="AA1105" s="34">
        <v>86</v>
      </c>
      <c r="AB1105" s="34" t="s">
        <v>6408</v>
      </c>
      <c r="AC1105" s="34">
        <v>80</v>
      </c>
      <c r="AD1105" s="34" t="s">
        <v>5507</v>
      </c>
      <c r="AE1105" s="34" t="s">
        <v>3560</v>
      </c>
      <c r="AF1105" s="34" t="s">
        <v>3667</v>
      </c>
      <c r="AG1105" s="34" t="s">
        <v>4339</v>
      </c>
      <c r="AH1105" s="34" t="s">
        <v>6403</v>
      </c>
      <c r="AI1105" s="34" t="s">
        <v>4513</v>
      </c>
      <c r="AJ1105" s="34" t="s">
        <v>4299</v>
      </c>
      <c r="AK1105" s="34" t="s">
        <v>4299</v>
      </c>
      <c r="AL1105" s="34" t="s">
        <v>6409</v>
      </c>
      <c r="AM1105" s="34" t="s">
        <v>7962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7" t="str">
        <f>IFERROR(INDEX(Структура_ассортимента[SuperCategory],MATCH(Товары[[#This Row],[SubGroup]],Структура_ассортимента[Subgroup],0)),"")</f>
        <v>W</v>
      </c>
      <c r="D11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7" t="str">
        <f>IFERROR(INDEX(Структура_ассортимента[Product group],MATCH(Товары[[#This Row],[SubGroup]],Структура_ассортимента[Subgroup],0)),"")</f>
        <v>WMO_C</v>
      </c>
      <c r="G11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2647</v>
      </c>
      <c r="Q1106" s="39" t="s">
        <v>3416</v>
      </c>
      <c r="R1106" s="34" t="s">
        <v>3407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3410</v>
      </c>
      <c r="X1106" s="34" t="s">
        <v>3446</v>
      </c>
      <c r="Y1106" s="34" t="s">
        <v>3409</v>
      </c>
      <c r="Z1106" s="34">
        <v>40</v>
      </c>
      <c r="AA1106" s="34" t="s">
        <v>6322</v>
      </c>
      <c r="AB1106" s="34" t="s">
        <v>6322</v>
      </c>
      <c r="AC1106" s="34" t="s">
        <v>6357</v>
      </c>
      <c r="AD1106" s="34" t="s">
        <v>6357</v>
      </c>
      <c r="AE1106" s="34" t="s">
        <v>4098</v>
      </c>
      <c r="AF1106" s="34" t="s">
        <v>4098</v>
      </c>
      <c r="AG1106" s="34" t="s">
        <v>4048</v>
      </c>
      <c r="AH1106" s="34" t="s">
        <v>6410</v>
      </c>
      <c r="AI1106" s="34" t="s">
        <v>4074</v>
      </c>
      <c r="AJ1106" s="34" t="s">
        <v>4098</v>
      </c>
      <c r="AK1106" s="34" t="s">
        <v>4098</v>
      </c>
      <c r="AL1106" s="34" t="s">
        <v>6388</v>
      </c>
      <c r="AM1106" s="34" t="s">
        <v>7962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7" t="str">
        <f>IFERROR(INDEX(Структура_ассортимента[SuperCategory],MATCH(Товары[[#This Row],[SubGroup]],Структура_ассортимента[Subgroup],0)),"")</f>
        <v>W</v>
      </c>
      <c r="D11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7" t="str">
        <f>IFERROR(INDEX(Структура_ассортимента[Product group],MATCH(Товары[[#This Row],[SubGroup]],Структура_ассортимента[Subgroup],0)),"")</f>
        <v>WMO_C</v>
      </c>
      <c r="G11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2648</v>
      </c>
      <c r="O1107" s="37" t="s">
        <v>6411</v>
      </c>
      <c r="P1107" s="37" t="s">
        <v>6412</v>
      </c>
      <c r="Q1107" s="39" t="s">
        <v>3416</v>
      </c>
      <c r="R1107" s="34" t="s">
        <v>3407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3410</v>
      </c>
      <c r="X1107" s="34" t="s">
        <v>3446</v>
      </c>
      <c r="Y1107" s="34" t="s">
        <v>3409</v>
      </c>
      <c r="Z1107" s="34">
        <v>24</v>
      </c>
      <c r="AA1107" s="34" t="s">
        <v>3647</v>
      </c>
      <c r="AB1107" s="34" t="s">
        <v>3647</v>
      </c>
      <c r="AC1107" s="34" t="s">
        <v>3670</v>
      </c>
      <c r="AD1107" s="34" t="s">
        <v>3670</v>
      </c>
      <c r="AE1107" s="34" t="s">
        <v>3560</v>
      </c>
      <c r="AF1107" s="34" t="s">
        <v>3667</v>
      </c>
      <c r="AG1107" s="34" t="s">
        <v>4098</v>
      </c>
      <c r="AH1107" s="34" t="s">
        <v>6310</v>
      </c>
      <c r="AI1107" s="34" t="s">
        <v>4074</v>
      </c>
      <c r="AJ1107" s="34" t="s">
        <v>4098</v>
      </c>
      <c r="AK1107" s="34" t="s">
        <v>4098</v>
      </c>
      <c r="AL1107" s="34" t="s">
        <v>6315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7" t="str">
        <f>IFERROR(INDEX(Структура_ассортимента[SuperCategory],MATCH(Товары[[#This Row],[SubGroup]],Структура_ассортимента[Subgroup],0)),"")</f>
        <v>W</v>
      </c>
      <c r="D11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7" t="str">
        <f>IFERROR(INDEX(Структура_ассортимента[Product group],MATCH(Товары[[#This Row],[SubGroup]],Структура_ассортимента[Subgroup],0)),"")</f>
        <v>WMO_C</v>
      </c>
      <c r="G11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2649</v>
      </c>
      <c r="Q1108" s="39" t="s">
        <v>3416</v>
      </c>
      <c r="R1108" s="34" t="s">
        <v>3407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3410</v>
      </c>
      <c r="X1108" s="34" t="s">
        <v>3446</v>
      </c>
      <c r="Y1108" s="34" t="s">
        <v>3409</v>
      </c>
      <c r="Z1108" s="34">
        <v>30</v>
      </c>
      <c r="AA1108" s="34" t="s">
        <v>3670</v>
      </c>
      <c r="AB1108" s="34" t="s">
        <v>3670</v>
      </c>
      <c r="AC1108" s="34" t="s">
        <v>6357</v>
      </c>
      <c r="AD1108" s="34" t="s">
        <v>6357</v>
      </c>
      <c r="AE1108" s="34" t="s">
        <v>4098</v>
      </c>
      <c r="AF1108" s="34" t="s">
        <v>4098</v>
      </c>
      <c r="AG1108" s="34" t="s">
        <v>4048</v>
      </c>
      <c r="AH1108" s="34" t="s">
        <v>6410</v>
      </c>
      <c r="AI1108" s="34" t="s">
        <v>4074</v>
      </c>
      <c r="AJ1108" s="34" t="s">
        <v>4098</v>
      </c>
      <c r="AK1108" s="34" t="s">
        <v>4098</v>
      </c>
      <c r="AL1108" s="34" t="s">
        <v>6413</v>
      </c>
      <c r="AM1108" s="34" t="s">
        <v>7962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7" t="str">
        <f>IFERROR(INDEX(Структура_ассортимента[SuperCategory],MATCH(Товары[[#This Row],[SubGroup]],Структура_ассортимента[Subgroup],0)),"")</f>
        <v>W</v>
      </c>
      <c r="D11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7" t="str">
        <f>IFERROR(INDEX(Структура_ассортимента[Product group],MATCH(Товары[[#This Row],[SubGroup]],Структура_ассортимента[Subgroup],0)),"")</f>
        <v>WMO_C</v>
      </c>
      <c r="G11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2650</v>
      </c>
      <c r="Q1109" s="39" t="s">
        <v>3416</v>
      </c>
      <c r="R1109" s="34" t="s">
        <v>3407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3410</v>
      </c>
      <c r="X1109" s="34" t="s">
        <v>3446</v>
      </c>
      <c r="Y1109" s="34" t="s">
        <v>3409</v>
      </c>
      <c r="Z1109" s="34">
        <v>30</v>
      </c>
      <c r="AA1109" s="34" t="s">
        <v>6385</v>
      </c>
      <c r="AB1109" s="34" t="s">
        <v>6337</v>
      </c>
      <c r="AC1109" s="34" t="s">
        <v>6386</v>
      </c>
      <c r="AD1109" s="34" t="s">
        <v>6382</v>
      </c>
      <c r="AE1109" s="34" t="s">
        <v>4992</v>
      </c>
      <c r="AF1109" s="34" t="s">
        <v>4992</v>
      </c>
      <c r="AG1109" s="34" t="s">
        <v>4809</v>
      </c>
      <c r="AH1109" s="34" t="s">
        <v>6414</v>
      </c>
      <c r="AI1109" s="34" t="s">
        <v>4809</v>
      </c>
      <c r="AJ1109" s="34" t="s">
        <v>4992</v>
      </c>
      <c r="AK1109" s="34" t="s">
        <v>4992</v>
      </c>
      <c r="AL1109" s="34" t="s">
        <v>5925</v>
      </c>
      <c r="AM1109" s="34" t="s">
        <v>7962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7" t="str">
        <f>IFERROR(INDEX(Структура_ассортимента[SuperCategory],MATCH(Товары[[#This Row],[SubGroup]],Структура_ассортимента[Subgroup],0)),"")</f>
        <v>W</v>
      </c>
      <c r="D11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7" t="str">
        <f>IFERROR(INDEX(Структура_ассортимента[Product group],MATCH(Товары[[#This Row],[SubGroup]],Структура_ассортимента[Subgroup],0)),"")</f>
        <v>WMO_C</v>
      </c>
      <c r="G11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2651</v>
      </c>
      <c r="O1110" s="37" t="s">
        <v>6415</v>
      </c>
      <c r="P1110" s="37" t="s">
        <v>6416</v>
      </c>
      <c r="Q1110" s="39" t="s">
        <v>3416</v>
      </c>
      <c r="R1110" s="34" t="s">
        <v>3407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3410</v>
      </c>
      <c r="X1110" s="34" t="s">
        <v>3446</v>
      </c>
      <c r="Y1110" s="34" t="s">
        <v>3409</v>
      </c>
      <c r="Z1110" s="34">
        <v>12</v>
      </c>
      <c r="AA1110" s="34" t="s">
        <v>3643</v>
      </c>
      <c r="AB1110" s="34" t="s">
        <v>3643</v>
      </c>
      <c r="AC1110" s="34" t="s">
        <v>5496</v>
      </c>
      <c r="AD1110" s="34" t="s">
        <v>5496</v>
      </c>
      <c r="AE1110" s="34" t="s">
        <v>3560</v>
      </c>
      <c r="AF1110" s="34" t="s">
        <v>3667</v>
      </c>
      <c r="AG1110" s="34" t="s">
        <v>4218</v>
      </c>
      <c r="AH1110" s="34" t="s">
        <v>6417</v>
      </c>
      <c r="AI1110" s="34" t="s">
        <v>4809</v>
      </c>
      <c r="AJ1110" s="34" t="s">
        <v>4992</v>
      </c>
      <c r="AK1110" s="34" t="s">
        <v>4992</v>
      </c>
      <c r="AL1110" s="34" t="s">
        <v>6356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7" t="str">
        <f>IFERROR(INDEX(Структура_ассортимента[SuperCategory],MATCH(Товары[[#This Row],[SubGroup]],Структура_ассортимента[Subgroup],0)),"")</f>
        <v>W</v>
      </c>
      <c r="D11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7" t="str">
        <f>IFERROR(INDEX(Структура_ассортимента[Product group],MATCH(Товары[[#This Row],[SubGroup]],Структура_ассортимента[Subgroup],0)),"")</f>
        <v>WMO_C</v>
      </c>
      <c r="G11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2652</v>
      </c>
      <c r="Q1111" s="39" t="s">
        <v>3416</v>
      </c>
      <c r="R1111" s="34" t="s">
        <v>3407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3410</v>
      </c>
      <c r="X1111" s="34" t="s">
        <v>3446</v>
      </c>
      <c r="Y1111" s="34" t="s">
        <v>3409</v>
      </c>
      <c r="Z1111" s="34">
        <v>10</v>
      </c>
      <c r="AA1111" s="34" t="s">
        <v>5755</v>
      </c>
      <c r="AB1111" s="34" t="s">
        <v>5755</v>
      </c>
      <c r="AC1111" s="34" t="s">
        <v>6386</v>
      </c>
      <c r="AD1111" s="34" t="s">
        <v>6386</v>
      </c>
      <c r="AE1111" s="34" t="s">
        <v>4992</v>
      </c>
      <c r="AF1111" s="34" t="s">
        <v>4992</v>
      </c>
      <c r="AG1111" s="34" t="s">
        <v>4809</v>
      </c>
      <c r="AH1111" s="34" t="s">
        <v>6414</v>
      </c>
      <c r="AI1111" s="34" t="s">
        <v>4809</v>
      </c>
      <c r="AJ1111" s="34" t="s">
        <v>4992</v>
      </c>
      <c r="AK1111" s="34" t="s">
        <v>4992</v>
      </c>
      <c r="AL1111" s="34" t="s">
        <v>4060</v>
      </c>
      <c r="AM1111" s="34" t="s">
        <v>7962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7" t="str">
        <f>IFERROR(INDEX(Структура_ассортимента[SuperCategory],MATCH(Товары[[#This Row],[SubGroup]],Структура_ассортимента[Subgroup],0)),"")</f>
        <v>W</v>
      </c>
      <c r="D11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7" t="str">
        <f>IFERROR(INDEX(Структура_ассортимента[Product group],MATCH(Товары[[#This Row],[SubGroup]],Структура_ассортимента[Subgroup],0)),"")</f>
        <v>WMO_C</v>
      </c>
      <c r="G11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2653</v>
      </c>
      <c r="Q1112" s="39" t="s">
        <v>3416</v>
      </c>
      <c r="R1112" s="34" t="s">
        <v>3407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3410</v>
      </c>
      <c r="X1112" s="34" t="s">
        <v>3446</v>
      </c>
      <c r="Y1112" s="34" t="s">
        <v>3409</v>
      </c>
      <c r="Z1112" s="34">
        <v>2200</v>
      </c>
      <c r="AA1112" s="34" t="s">
        <v>3678</v>
      </c>
      <c r="AB1112" s="34" t="s">
        <v>3678</v>
      </c>
      <c r="AC1112" s="34" t="s">
        <v>3678</v>
      </c>
      <c r="AD1112" s="34" t="s">
        <v>3678</v>
      </c>
      <c r="AE1112" s="34" t="s">
        <v>4098</v>
      </c>
      <c r="AF1112" s="34" t="s">
        <v>4098</v>
      </c>
      <c r="AG1112" s="34" t="s">
        <v>6418</v>
      </c>
      <c r="AH1112" s="34" t="s">
        <v>6419</v>
      </c>
      <c r="AI1112" s="34" t="s">
        <v>4074</v>
      </c>
      <c r="AJ1112" s="34" t="s">
        <v>3539</v>
      </c>
      <c r="AK1112" s="34" t="s">
        <v>3539</v>
      </c>
      <c r="AL1112" s="34">
        <v>26400</v>
      </c>
      <c r="AM1112" s="34" t="s">
        <v>7962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7" t="str">
        <f>IFERROR(INDEX(Структура_ассортимента[SuperCategory],MATCH(Товары[[#This Row],[SubGroup]],Структура_ассортимента[Subgroup],0)),"")</f>
        <v>W</v>
      </c>
      <c r="D11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7" t="str">
        <f>IFERROR(INDEX(Структура_ассортимента[Product group],MATCH(Товары[[#This Row],[SubGroup]],Структура_ассортимента[Subgroup],0)),"")</f>
        <v>WMO_C</v>
      </c>
      <c r="G11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2654</v>
      </c>
      <c r="Q1113" s="39" t="s">
        <v>3416</v>
      </c>
      <c r="R1113" s="34" t="s">
        <v>3407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3410</v>
      </c>
      <c r="X1113" s="34" t="s">
        <v>3446</v>
      </c>
      <c r="Y1113" s="34" t="s">
        <v>3409</v>
      </c>
      <c r="Z1113" s="34">
        <v>50</v>
      </c>
      <c r="AA1113" s="34" t="s">
        <v>3678</v>
      </c>
      <c r="AB1113" s="34" t="s">
        <v>3678</v>
      </c>
      <c r="AC1113" s="34" t="s">
        <v>6420</v>
      </c>
      <c r="AD1113" s="34" t="s">
        <v>6420</v>
      </c>
      <c r="AE1113" s="34" t="s">
        <v>4048</v>
      </c>
      <c r="AF1113" s="34" t="s">
        <v>3539</v>
      </c>
      <c r="AG1113" s="34" t="s">
        <v>3539</v>
      </c>
      <c r="AH1113" s="34" t="s">
        <v>6358</v>
      </c>
      <c r="AI1113" s="34" t="s">
        <v>4074</v>
      </c>
      <c r="AJ1113" s="34" t="s">
        <v>3539</v>
      </c>
      <c r="AK1113" s="34" t="s">
        <v>3539</v>
      </c>
      <c r="AL1113" s="34">
        <v>10500</v>
      </c>
      <c r="AM1113" s="34" t="s">
        <v>7962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7" t="str">
        <f>IFERROR(INDEX(Структура_ассортимента[SuperCategory],MATCH(Товары[[#This Row],[SubGroup]],Структура_ассортимента[Subgroup],0)),"")</f>
        <v>W</v>
      </c>
      <c r="D11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7" t="str">
        <f>IFERROR(INDEX(Структура_ассортимента[Product group],MATCH(Товары[[#This Row],[SubGroup]],Структура_ассортимента[Subgroup],0)),"")</f>
        <v>WMO_C</v>
      </c>
      <c r="G11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2655</v>
      </c>
      <c r="O1114" s="37" t="s">
        <v>6421</v>
      </c>
      <c r="P1114" s="37" t="s">
        <v>6422</v>
      </c>
      <c r="Q1114" s="39" t="s">
        <v>3416</v>
      </c>
      <c r="R1114" s="34" t="s">
        <v>3407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3410</v>
      </c>
      <c r="X1114" s="34" t="s">
        <v>3446</v>
      </c>
      <c r="Y1114" s="34" t="s">
        <v>3409</v>
      </c>
      <c r="Z1114" s="34">
        <v>12</v>
      </c>
      <c r="AA1114" s="34" t="s">
        <v>6423</v>
      </c>
      <c r="AB1114" s="34" t="s">
        <v>6423</v>
      </c>
      <c r="AC1114" s="34" t="s">
        <v>3670</v>
      </c>
      <c r="AD1114" s="34" t="s">
        <v>3670</v>
      </c>
      <c r="AE1114" s="34" t="s">
        <v>3560</v>
      </c>
      <c r="AF1114" s="34" t="s">
        <v>3667</v>
      </c>
      <c r="AG1114" s="34" t="s">
        <v>3791</v>
      </c>
      <c r="AH1114" s="34" t="s">
        <v>3653</v>
      </c>
      <c r="AI1114" s="34" t="s">
        <v>4269</v>
      </c>
      <c r="AJ1114" s="34" t="s">
        <v>3545</v>
      </c>
      <c r="AK1114" s="34" t="s">
        <v>4115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7" t="str">
        <f>IFERROR(INDEX(Структура_ассортимента[SuperCategory],MATCH(Товары[[#This Row],[SubGroup]],Структура_ассортимента[Subgroup],0)),"")</f>
        <v>W</v>
      </c>
      <c r="D11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7" t="str">
        <f>IFERROR(INDEX(Структура_ассортимента[Product group],MATCH(Товары[[#This Row],[SubGroup]],Структура_ассортимента[Subgroup],0)),"")</f>
        <v>WMO_C</v>
      </c>
      <c r="G11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2656</v>
      </c>
      <c r="O1115" s="37" t="s">
        <v>6424</v>
      </c>
      <c r="P1115" s="37" t="s">
        <v>6425</v>
      </c>
      <c r="Q1115" s="39" t="s">
        <v>3416</v>
      </c>
      <c r="R1115" s="34" t="s">
        <v>3407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3410</v>
      </c>
      <c r="X1115" s="34" t="s">
        <v>3446</v>
      </c>
      <c r="Y1115" s="34" t="s">
        <v>3409</v>
      </c>
      <c r="Z1115" s="34">
        <v>6</v>
      </c>
      <c r="AA1115" s="34" t="s">
        <v>5942</v>
      </c>
      <c r="AB1115" s="34" t="s">
        <v>5942</v>
      </c>
      <c r="AC1115" s="34" t="s">
        <v>5512</v>
      </c>
      <c r="AD1115" s="34" t="s">
        <v>5512</v>
      </c>
      <c r="AE1115" s="34" t="s">
        <v>3692</v>
      </c>
      <c r="AF1115" s="34" t="s">
        <v>3443</v>
      </c>
      <c r="AG1115" s="34" t="s">
        <v>3658</v>
      </c>
      <c r="AH1115" s="34" t="s">
        <v>6426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7" t="str">
        <f>IFERROR(INDEX(Структура_ассортимента[SuperCategory],MATCH(Товары[[#This Row],[SubGroup]],Структура_ассортимента[Subgroup],0)),"")</f>
        <v>W</v>
      </c>
      <c r="D11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7" t="str">
        <f>IFERROR(INDEX(Структура_ассортимента[Product group],MATCH(Товары[[#This Row],[SubGroup]],Структура_ассортимента[Subgroup],0)),"")</f>
        <v>WMO_C</v>
      </c>
      <c r="G11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2657</v>
      </c>
      <c r="O1116" s="37" t="s">
        <v>6427</v>
      </c>
      <c r="P1116" s="37" t="s">
        <v>6428</v>
      </c>
      <c r="Q1116" s="39" t="s">
        <v>3416</v>
      </c>
      <c r="R1116" s="34" t="s">
        <v>3407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3410</v>
      </c>
      <c r="X1116" s="34" t="s">
        <v>5489</v>
      </c>
      <c r="Y1116" s="34" t="s">
        <v>3409</v>
      </c>
      <c r="Z1116" s="34">
        <v>6</v>
      </c>
      <c r="AA1116" s="34" t="s">
        <v>3655</v>
      </c>
      <c r="AB1116" s="34" t="s">
        <v>3655</v>
      </c>
      <c r="AC1116" s="34" t="s">
        <v>3586</v>
      </c>
      <c r="AD1116" s="34" t="s">
        <v>3586</v>
      </c>
      <c r="AE1116" s="34" t="s">
        <v>3692</v>
      </c>
      <c r="AF1116" s="34" t="s">
        <v>3443</v>
      </c>
      <c r="AG1116" s="34" t="s">
        <v>5791</v>
      </c>
      <c r="AH1116" s="34" t="s">
        <v>6429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7" t="str">
        <f>IFERROR(INDEX(Структура_ассортимента[SuperCategory],MATCH(Товары[[#This Row],[SubGroup]],Структура_ассортимента[Subgroup],0)),"")</f>
        <v>W</v>
      </c>
      <c r="D11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7" t="str">
        <f>IFERROR(INDEX(Структура_ассортимента[Product group],MATCH(Товары[[#This Row],[SubGroup]],Структура_ассортимента[Subgroup],0)),"")</f>
        <v>WMO_C</v>
      </c>
      <c r="G111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2658</v>
      </c>
      <c r="Q1117" s="39" t="s">
        <v>3416</v>
      </c>
      <c r="R1117" s="34" t="s">
        <v>3407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3410</v>
      </c>
      <c r="X1117" s="34" t="s">
        <v>3446</v>
      </c>
      <c r="Y1117" s="34" t="s">
        <v>3409</v>
      </c>
      <c r="Z1117" s="34">
        <v>24</v>
      </c>
      <c r="AA1117" s="34" t="s">
        <v>3664</v>
      </c>
      <c r="AB1117" s="34" t="s">
        <v>3664</v>
      </c>
      <c r="AC1117" s="34" t="s">
        <v>3651</v>
      </c>
      <c r="AD1117" s="34" t="s">
        <v>3651</v>
      </c>
      <c r="AE1117" s="34" t="s">
        <v>3560</v>
      </c>
      <c r="AF1117" s="34" t="s">
        <v>3667</v>
      </c>
      <c r="AG1117" s="34" t="s">
        <v>4127</v>
      </c>
      <c r="AH1117" s="34" t="s">
        <v>6430</v>
      </c>
      <c r="AI1117" s="34" t="s">
        <v>4074</v>
      </c>
      <c r="AJ1117" s="34" t="s">
        <v>3539</v>
      </c>
      <c r="AK1117" s="34" t="s">
        <v>3539</v>
      </c>
      <c r="AL1117" s="34" t="s">
        <v>6308</v>
      </c>
      <c r="AM1117" s="34" t="s">
        <v>7962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7" t="str">
        <f>IFERROR(INDEX(Структура_ассортимента[SuperCategory],MATCH(Товары[[#This Row],[SubGroup]],Структура_ассортимента[Subgroup],0)),"")</f>
        <v>W</v>
      </c>
      <c r="D11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7" t="str">
        <f>IFERROR(INDEX(Структура_ассортимента[Product group],MATCH(Товары[[#This Row],[SubGroup]],Структура_ассортимента[Subgroup],0)),"")</f>
        <v>WMO_C</v>
      </c>
      <c r="G111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2659</v>
      </c>
      <c r="O1118" s="37" t="s">
        <v>6431</v>
      </c>
      <c r="P1118" s="37" t="s">
        <v>6432</v>
      </c>
      <c r="Q1118" s="39" t="s">
        <v>3416</v>
      </c>
      <c r="R1118" s="34" t="s">
        <v>3407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3410</v>
      </c>
      <c r="X1118" s="34" t="s">
        <v>3446</v>
      </c>
      <c r="Y1118" s="34" t="s">
        <v>3409</v>
      </c>
      <c r="Z1118" s="34">
        <v>24</v>
      </c>
      <c r="AA1118" s="34" t="s">
        <v>3650</v>
      </c>
      <c r="AB1118" s="34" t="s">
        <v>3650</v>
      </c>
      <c r="AC1118" s="34" t="s">
        <v>3651</v>
      </c>
      <c r="AD1118" s="34" t="s">
        <v>3651</v>
      </c>
      <c r="AE1118" s="34" t="s">
        <v>3560</v>
      </c>
      <c r="AF1118" s="34" t="s">
        <v>3667</v>
      </c>
      <c r="AG1118" s="34" t="s">
        <v>3539</v>
      </c>
      <c r="AH1118" s="34" t="s">
        <v>6307</v>
      </c>
      <c r="AI1118" s="34" t="s">
        <v>4074</v>
      </c>
      <c r="AJ1118" s="34" t="s">
        <v>3539</v>
      </c>
      <c r="AK1118" s="34" t="s">
        <v>3539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7" t="str">
        <f>IFERROR(INDEX(Структура_ассортимента[SuperCategory],MATCH(Товары[[#This Row],[SubGroup]],Структура_ассортимента[Subgroup],0)),"")</f>
        <v>W</v>
      </c>
      <c r="D11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7" t="str">
        <f>IFERROR(INDEX(Структура_ассортимента[Product group],MATCH(Товары[[#This Row],[SubGroup]],Структура_ассортимента[Subgroup],0)),"")</f>
        <v>WMO_C</v>
      </c>
      <c r="G111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2660</v>
      </c>
      <c r="O1119" s="37" t="s">
        <v>6433</v>
      </c>
      <c r="P1119" s="37" t="s">
        <v>6412</v>
      </c>
      <c r="Q1119" s="39" t="s">
        <v>3416</v>
      </c>
      <c r="R1119" s="34" t="s">
        <v>3407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3410</v>
      </c>
      <c r="X1119" s="34" t="s">
        <v>3446</v>
      </c>
      <c r="Y1119" s="34" t="s">
        <v>3409</v>
      </c>
      <c r="Z1119" s="34">
        <v>24</v>
      </c>
      <c r="AA1119" s="34" t="s">
        <v>3647</v>
      </c>
      <c r="AB1119" s="34" t="s">
        <v>3647</v>
      </c>
      <c r="AC1119" s="34" t="s">
        <v>6423</v>
      </c>
      <c r="AD1119" s="34" t="s">
        <v>6423</v>
      </c>
      <c r="AE1119" s="34" t="s">
        <v>3560</v>
      </c>
      <c r="AF1119" s="34" t="s">
        <v>3667</v>
      </c>
      <c r="AG1119" s="34" t="s">
        <v>3566</v>
      </c>
      <c r="AH1119" s="34" t="s">
        <v>6434</v>
      </c>
      <c r="AL1119" s="34" t="s">
        <v>6315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7" t="str">
        <f>IFERROR(INDEX(Структура_ассортимента[SuperCategory],MATCH(Товары[[#This Row],[SubGroup]],Структура_ассортимента[Subgroup],0)),"")</f>
        <v>W</v>
      </c>
      <c r="D11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7" t="str">
        <f>IFERROR(INDEX(Структура_ассортимента[Product group],MATCH(Товары[[#This Row],[SubGroup]],Структура_ассортимента[Subgroup],0)),"")</f>
        <v>WMO_C</v>
      </c>
      <c r="G112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2661</v>
      </c>
      <c r="O1120" s="37" t="s">
        <v>6435</v>
      </c>
      <c r="P1120" s="37" t="s">
        <v>6416</v>
      </c>
      <c r="Q1120" s="39" t="s">
        <v>3416</v>
      </c>
      <c r="R1120" s="34" t="s">
        <v>3407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3410</v>
      </c>
      <c r="X1120" s="34" t="s">
        <v>3446</v>
      </c>
      <c r="Y1120" s="34" t="s">
        <v>3409</v>
      </c>
      <c r="Z1120" s="34">
        <v>12</v>
      </c>
      <c r="AA1120" s="34" t="s">
        <v>6436</v>
      </c>
      <c r="AB1120" s="34" t="s">
        <v>6436</v>
      </c>
      <c r="AC1120" s="34" t="s">
        <v>3643</v>
      </c>
      <c r="AD1120" s="34" t="s">
        <v>3643</v>
      </c>
      <c r="AE1120" s="34" t="s">
        <v>3560</v>
      </c>
      <c r="AF1120" s="34" t="s">
        <v>3667</v>
      </c>
      <c r="AG1120" s="34" t="s">
        <v>4299</v>
      </c>
      <c r="AH1120" s="34" t="s">
        <v>6437</v>
      </c>
      <c r="AL1120" s="34" t="s">
        <v>6356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7" t="str">
        <f>IFERROR(INDEX(Структура_ассортимента[SuperCategory],MATCH(Товары[[#This Row],[SubGroup]],Структура_ассортимента[Subgroup],0)),"")</f>
        <v>W</v>
      </c>
      <c r="D11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7" t="str">
        <f>IFERROR(INDEX(Структура_ассортимента[Product group],MATCH(Товары[[#This Row],[SubGroup]],Структура_ассортимента[Subgroup],0)),"")</f>
        <v>WMO_C</v>
      </c>
      <c r="G112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2662</v>
      </c>
      <c r="Q1121" s="39" t="s">
        <v>3416</v>
      </c>
      <c r="R1121" s="34" t="s">
        <v>3407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3408</v>
      </c>
      <c r="X1121" s="34" t="s">
        <v>3571</v>
      </c>
      <c r="Y1121" s="34" t="s">
        <v>3409</v>
      </c>
      <c r="Z1121" s="34">
        <v>650</v>
      </c>
      <c r="AA1121" s="34" t="s">
        <v>6357</v>
      </c>
      <c r="AB1121" s="34" t="s">
        <v>6357</v>
      </c>
      <c r="AC1121" s="34" t="s">
        <v>3661</v>
      </c>
      <c r="AD1121" s="34" t="s">
        <v>3661</v>
      </c>
      <c r="AE1121" s="34" t="s">
        <v>3578</v>
      </c>
      <c r="AF1121" s="34" t="s">
        <v>3578</v>
      </c>
      <c r="AG1121" s="34" t="s">
        <v>3545</v>
      </c>
      <c r="AH1121" s="34" t="s">
        <v>6320</v>
      </c>
      <c r="AI1121" s="34" t="s">
        <v>4269</v>
      </c>
      <c r="AJ1121" s="34" t="s">
        <v>3545</v>
      </c>
      <c r="AK1121" s="34" t="s">
        <v>4115</v>
      </c>
      <c r="AL1121" s="34">
        <v>15600</v>
      </c>
      <c r="AM1121" s="34" t="s">
        <v>7962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7" t="str">
        <f>IFERROR(INDEX(Структура_ассортимента[SuperCategory],MATCH(Товары[[#This Row],[SubGroup]],Структура_ассортимента[Subgroup],0)),"")</f>
        <v>W</v>
      </c>
      <c r="D11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7" t="str">
        <f>IFERROR(INDEX(Структура_ассортимента[Product group],MATCH(Товары[[#This Row],[SubGroup]],Структура_ассортимента[Subgroup],0)),"")</f>
        <v>WMO_C</v>
      </c>
      <c r="G112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2663</v>
      </c>
      <c r="Q1122" s="39" t="s">
        <v>3416</v>
      </c>
      <c r="R1122" s="34" t="s">
        <v>3407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3410</v>
      </c>
      <c r="X1122" s="34" t="s">
        <v>3446</v>
      </c>
      <c r="Y1122" s="34" t="s">
        <v>3409</v>
      </c>
      <c r="Z1122" s="34">
        <v>12</v>
      </c>
      <c r="AA1122" s="34" t="s">
        <v>6438</v>
      </c>
      <c r="AB1122" s="34" t="s">
        <v>6438</v>
      </c>
      <c r="AC1122" s="34" t="s">
        <v>3670</v>
      </c>
      <c r="AD1122" s="34" t="s">
        <v>3670</v>
      </c>
      <c r="AE1122" s="34" t="s">
        <v>4413</v>
      </c>
      <c r="AF1122" s="34" t="s">
        <v>4413</v>
      </c>
      <c r="AG1122" s="34" t="s">
        <v>6439</v>
      </c>
      <c r="AH1122" s="34" t="s">
        <v>6370</v>
      </c>
      <c r="AI1122" s="34" t="s">
        <v>4269</v>
      </c>
      <c r="AJ1122" s="34" t="s">
        <v>3545</v>
      </c>
      <c r="AK1122" s="34" t="s">
        <v>4115</v>
      </c>
      <c r="AL1122" s="34">
        <v>4032</v>
      </c>
      <c r="AM1122" s="34" t="s">
        <v>7962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7" t="str">
        <f>IFERROR(INDEX(Структура_ассортимента[SuperCategory],MATCH(Товары[[#This Row],[SubGroup]],Структура_ассортимента[Subgroup],0)),"")</f>
        <v>W</v>
      </c>
      <c r="D11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7" t="str">
        <f>IFERROR(INDEX(Структура_ассортимента[Product group],MATCH(Товары[[#This Row],[SubGroup]],Структура_ассортимента[Subgroup],0)),"")</f>
        <v>WMO_C</v>
      </c>
      <c r="G112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2664</v>
      </c>
      <c r="Q1123" s="39" t="s">
        <v>3416</v>
      </c>
      <c r="R1123" s="34" t="s">
        <v>3407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3410</v>
      </c>
      <c r="X1123" s="34" t="s">
        <v>3446</v>
      </c>
      <c r="Y1123" s="34" t="s">
        <v>3409</v>
      </c>
      <c r="Z1123" s="34">
        <v>10</v>
      </c>
      <c r="AA1123" s="34" t="s">
        <v>5918</v>
      </c>
      <c r="AB1123" s="34" t="s">
        <v>5918</v>
      </c>
      <c r="AC1123" s="34" t="s">
        <v>5470</v>
      </c>
      <c r="AD1123" s="34" t="s">
        <v>5470</v>
      </c>
      <c r="AE1123" s="34" t="s">
        <v>3492</v>
      </c>
      <c r="AF1123" s="34" t="s">
        <v>4809</v>
      </c>
      <c r="AG1123" s="34" t="s">
        <v>4098</v>
      </c>
      <c r="AH1123" s="34" t="s">
        <v>6440</v>
      </c>
      <c r="AL1123" s="34">
        <v>3100</v>
      </c>
      <c r="AM1123" s="34" t="s">
        <v>7962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7" t="str">
        <f>IFERROR(INDEX(Структура_ассортимента[SuperCategory],MATCH(Товары[[#This Row],[SubGroup]],Структура_ассортимента[Subgroup],0)),"")</f>
        <v>W</v>
      </c>
      <c r="D11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7" t="str">
        <f>IFERROR(INDEX(Структура_ассортимента[Product group],MATCH(Товары[[#This Row],[SubGroup]],Структура_ассортимента[Subgroup],0)),"")</f>
        <v>WMO_C</v>
      </c>
      <c r="G112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2665</v>
      </c>
      <c r="Q1124" s="39" t="s">
        <v>3416</v>
      </c>
      <c r="R1124" s="34" t="s">
        <v>3407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3410</v>
      </c>
      <c r="X1124" s="34" t="s">
        <v>3446</v>
      </c>
      <c r="Y1124" s="34" t="s">
        <v>3409</v>
      </c>
      <c r="Z1124" s="34">
        <v>10</v>
      </c>
      <c r="AA1124" s="34" t="s">
        <v>3534</v>
      </c>
      <c r="AB1124" s="34" t="s">
        <v>3534</v>
      </c>
      <c r="AC1124" s="34" t="s">
        <v>5918</v>
      </c>
      <c r="AD1124" s="34" t="s">
        <v>5918</v>
      </c>
      <c r="AE1124" s="34" t="s">
        <v>4596</v>
      </c>
      <c r="AF1124" s="34" t="s">
        <v>3578</v>
      </c>
      <c r="AG1124" s="34" t="s">
        <v>4098</v>
      </c>
      <c r="AH1124" s="34" t="s">
        <v>6441</v>
      </c>
      <c r="AI1124" s="34" t="s">
        <v>4596</v>
      </c>
      <c r="AJ1124" s="34" t="s">
        <v>4269</v>
      </c>
      <c r="AK1124" s="34" t="s">
        <v>3566</v>
      </c>
      <c r="AL1124" s="34">
        <v>2640</v>
      </c>
      <c r="AM1124" s="34" t="s">
        <v>7962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7" t="str">
        <f>IFERROR(INDEX(Структура_ассортимента[SuperCategory],MATCH(Товары[[#This Row],[SubGroup]],Структура_ассортимента[Subgroup],0)),"")</f>
        <v>W</v>
      </c>
      <c r="D11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7" t="str">
        <f>IFERROR(INDEX(Структура_ассортимента[Product group],MATCH(Товары[[#This Row],[SubGroup]],Структура_ассортимента[Subgroup],0)),"")</f>
        <v>WMO_C</v>
      </c>
      <c r="G112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2666</v>
      </c>
      <c r="Q1125" s="39" t="s">
        <v>3416</v>
      </c>
      <c r="R1125" s="34" t="s">
        <v>3407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3410</v>
      </c>
      <c r="X1125" s="34" t="s">
        <v>3446</v>
      </c>
      <c r="Y1125" s="34" t="s">
        <v>3409</v>
      </c>
      <c r="Z1125" s="34">
        <v>10</v>
      </c>
      <c r="AA1125" s="34" t="s">
        <v>3521</v>
      </c>
      <c r="AB1125" s="34" t="s">
        <v>3528</v>
      </c>
      <c r="AC1125" s="34" t="s">
        <v>3528</v>
      </c>
      <c r="AD1125" s="34" t="s">
        <v>6312</v>
      </c>
      <c r="AE1125" s="34" t="s">
        <v>4596</v>
      </c>
      <c r="AF1125" s="34" t="s">
        <v>3578</v>
      </c>
      <c r="AG1125" s="34" t="s">
        <v>4098</v>
      </c>
      <c r="AH1125" s="34" t="s">
        <v>6441</v>
      </c>
      <c r="AI1125" s="34" t="s">
        <v>4596</v>
      </c>
      <c r="AJ1125" s="34" t="s">
        <v>4269</v>
      </c>
      <c r="AK1125" s="34" t="s">
        <v>3566</v>
      </c>
      <c r="AL1125" s="34">
        <v>2640</v>
      </c>
      <c r="AM1125" s="34" t="s">
        <v>7962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7" t="str">
        <f>IFERROR(INDEX(Структура_ассортимента[SuperCategory],MATCH(Товары[[#This Row],[SubGroup]],Структура_ассортимента[Subgroup],0)),"")</f>
        <v>W</v>
      </c>
      <c r="D11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7" t="str">
        <f>IFERROR(INDEX(Структура_ассортимента[Product group],MATCH(Товары[[#This Row],[SubGroup]],Структура_ассортимента[Subgroup],0)),"")</f>
        <v>WMO_C</v>
      </c>
      <c r="G112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2667</v>
      </c>
      <c r="O1126" s="37" t="s">
        <v>6442</v>
      </c>
      <c r="P1126" s="37" t="s">
        <v>6443</v>
      </c>
      <c r="Q1126" s="39" t="s">
        <v>3416</v>
      </c>
      <c r="R1126" s="34" t="s">
        <v>3407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3410</v>
      </c>
      <c r="X1126" s="34" t="s">
        <v>3446</v>
      </c>
      <c r="Y1126" s="34" t="s">
        <v>3409</v>
      </c>
      <c r="Z1126" s="34">
        <v>6</v>
      </c>
      <c r="AA1126" s="34" t="s">
        <v>3596</v>
      </c>
      <c r="AB1126" s="34" t="s">
        <v>3655</v>
      </c>
      <c r="AC1126" s="34" t="s">
        <v>3520</v>
      </c>
      <c r="AD1126" s="34" t="s">
        <v>3520</v>
      </c>
      <c r="AE1126" s="34" t="s">
        <v>3692</v>
      </c>
      <c r="AF1126" s="34" t="s">
        <v>3443</v>
      </c>
      <c r="AG1126" s="34" t="s">
        <v>3798</v>
      </c>
      <c r="AH1126" s="34" t="s">
        <v>3540</v>
      </c>
      <c r="AL1126" s="34" t="s">
        <v>3591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7" t="str">
        <f>IFERROR(INDEX(Структура_ассортимента[SuperCategory],MATCH(Товары[[#This Row],[SubGroup]],Структура_ассортимента[Subgroup],0)),"")</f>
        <v>W</v>
      </c>
      <c r="D11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7" t="str">
        <f>IFERROR(INDEX(Структура_ассортимента[Product group],MATCH(Товары[[#This Row],[SubGroup]],Структура_ассортимента[Subgroup],0)),"")</f>
        <v>WMO_C</v>
      </c>
      <c r="G112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2668</v>
      </c>
      <c r="O1127" s="37" t="s">
        <v>6444</v>
      </c>
      <c r="P1127" s="37" t="s">
        <v>6445</v>
      </c>
      <c r="Q1127" s="39" t="s">
        <v>3416</v>
      </c>
      <c r="R1127" s="34" t="s">
        <v>3407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3410</v>
      </c>
      <c r="X1127" s="34" t="s">
        <v>3446</v>
      </c>
      <c r="Y1127" s="34" t="s">
        <v>3409</v>
      </c>
      <c r="Z1127" s="34">
        <v>6</v>
      </c>
      <c r="AA1127" s="34" t="s">
        <v>3670</v>
      </c>
      <c r="AB1127" s="34" t="s">
        <v>3670</v>
      </c>
      <c r="AC1127" s="34" t="s">
        <v>3664</v>
      </c>
      <c r="AD1127" s="34" t="s">
        <v>3664</v>
      </c>
      <c r="AE1127" s="34" t="s">
        <v>3560</v>
      </c>
      <c r="AF1127" s="34" t="s">
        <v>3667</v>
      </c>
      <c r="AG1127" s="34" t="s">
        <v>3668</v>
      </c>
      <c r="AH1127" s="34" t="s">
        <v>3669</v>
      </c>
      <c r="AI1127" s="34" t="s">
        <v>4085</v>
      </c>
      <c r="AJ1127" s="34" t="s">
        <v>4993</v>
      </c>
      <c r="AK1127" s="34" t="s">
        <v>4993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7" t="str">
        <f>IFERROR(INDEX(Структура_ассортимента[SuperCategory],MATCH(Товары[[#This Row],[SubGroup]],Структура_ассортимента[Subgroup],0)),"")</f>
        <v>W</v>
      </c>
      <c r="D11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7" t="str">
        <f>IFERROR(INDEX(Структура_ассортимента[Product group],MATCH(Товары[[#This Row],[SubGroup]],Структура_ассортимента[Subgroup],0)),"")</f>
        <v>WMO_C</v>
      </c>
      <c r="G112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2669</v>
      </c>
      <c r="Q1128" s="39" t="s">
        <v>3416</v>
      </c>
      <c r="R1128" s="34" t="s">
        <v>3407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3410</v>
      </c>
      <c r="X1128" s="34" t="s">
        <v>3446</v>
      </c>
      <c r="Y1128" s="34" t="s">
        <v>3409</v>
      </c>
      <c r="Z1128" s="34">
        <v>6</v>
      </c>
      <c r="AA1128" s="34" t="s">
        <v>3664</v>
      </c>
      <c r="AB1128" s="34" t="s">
        <v>3664</v>
      </c>
      <c r="AC1128" s="34" t="s">
        <v>3651</v>
      </c>
      <c r="AD1128" s="34" t="s">
        <v>3651</v>
      </c>
      <c r="AE1128" s="34" t="s">
        <v>3560</v>
      </c>
      <c r="AF1128" s="34" t="s">
        <v>3667</v>
      </c>
      <c r="AG1128" s="34" t="s">
        <v>3545</v>
      </c>
      <c r="AH1128" s="34" t="s">
        <v>6446</v>
      </c>
      <c r="AL1128" s="34">
        <v>1728</v>
      </c>
      <c r="AM1128" s="34" t="s">
        <v>7962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7" t="str">
        <f>IFERROR(INDEX(Структура_ассортимента[SuperCategory],MATCH(Товары[[#This Row],[SubGroup]],Структура_ассортимента[Subgroup],0)),"")</f>
        <v>W</v>
      </c>
      <c r="D11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7" t="str">
        <f>IFERROR(INDEX(Структура_ассортимента[Product group],MATCH(Товары[[#This Row],[SubGroup]],Структура_ассортимента[Subgroup],0)),"")</f>
        <v>WMO_C</v>
      </c>
      <c r="G112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2670</v>
      </c>
      <c r="O1129" s="37" t="s">
        <v>6447</v>
      </c>
      <c r="P1129" s="37" t="s">
        <v>6448</v>
      </c>
      <c r="Q1129" s="39" t="s">
        <v>3416</v>
      </c>
      <c r="R1129" s="34" t="s">
        <v>3407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3410</v>
      </c>
      <c r="X1129" s="34" t="s">
        <v>3446</v>
      </c>
      <c r="Y1129" s="34" t="s">
        <v>3409</v>
      </c>
      <c r="Z1129" s="34">
        <v>24</v>
      </c>
      <c r="AA1129" s="34" t="s">
        <v>5496</v>
      </c>
      <c r="AB1129" s="34" t="s">
        <v>5496</v>
      </c>
      <c r="AC1129" s="34" t="s">
        <v>6338</v>
      </c>
      <c r="AD1129" s="34" t="s">
        <v>6338</v>
      </c>
      <c r="AE1129" s="34" t="s">
        <v>3560</v>
      </c>
      <c r="AF1129" s="34" t="s">
        <v>3667</v>
      </c>
      <c r="AG1129" s="34" t="s">
        <v>4127</v>
      </c>
      <c r="AH1129" s="34" t="s">
        <v>6430</v>
      </c>
      <c r="AL1129" s="34" t="s">
        <v>6315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7" t="str">
        <f>IFERROR(INDEX(Структура_ассортимента[SuperCategory],MATCH(Товары[[#This Row],[SubGroup]],Структура_ассортимента[Subgroup],0)),"")</f>
        <v>W</v>
      </c>
      <c r="D11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7" t="str">
        <f>IFERROR(INDEX(Структура_ассортимента[Product group],MATCH(Товары[[#This Row],[SubGroup]],Структура_ассортимента[Subgroup],0)),"")</f>
        <v>WMO_C</v>
      </c>
      <c r="G113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2671</v>
      </c>
      <c r="O1130" s="37" t="s">
        <v>6449</v>
      </c>
      <c r="P1130" s="37" t="s">
        <v>6450</v>
      </c>
      <c r="Q1130" s="39" t="s">
        <v>3416</v>
      </c>
      <c r="R1130" s="34" t="s">
        <v>3407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3410</v>
      </c>
      <c r="X1130" s="34" t="s">
        <v>3446</v>
      </c>
      <c r="Y1130" s="34" t="s">
        <v>3409</v>
      </c>
      <c r="Z1130" s="34">
        <v>12</v>
      </c>
      <c r="AA1130" s="34" t="s">
        <v>5470</v>
      </c>
      <c r="AB1130" s="34" t="s">
        <v>5470</v>
      </c>
      <c r="AC1130" s="34" t="s">
        <v>3643</v>
      </c>
      <c r="AD1130" s="34" t="s">
        <v>3643</v>
      </c>
      <c r="AE1130" s="34" t="s">
        <v>3560</v>
      </c>
      <c r="AF1130" s="34" t="s">
        <v>3667</v>
      </c>
      <c r="AG1130" s="34" t="s">
        <v>4335</v>
      </c>
      <c r="AH1130" s="34" t="s">
        <v>5748</v>
      </c>
      <c r="AL1130" s="34" t="s">
        <v>6356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7" t="str">
        <f>IFERROR(INDEX(Структура_ассортимента[SuperCategory],MATCH(Товары[[#This Row],[SubGroup]],Структура_ассортимента[Subgroup],0)),"")</f>
        <v>W</v>
      </c>
      <c r="D11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7" t="str">
        <f>IFERROR(INDEX(Структура_ассортимента[Product group],MATCH(Товары[[#This Row],[SubGroup]],Структура_ассортимента[Subgroup],0)),"")</f>
        <v>WMO_C</v>
      </c>
      <c r="G113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2672</v>
      </c>
      <c r="Q1131" s="39" t="s">
        <v>3416</v>
      </c>
      <c r="R1131" s="34" t="s">
        <v>3407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3410</v>
      </c>
      <c r="X1131" s="34" t="s">
        <v>3446</v>
      </c>
      <c r="Y1131" s="34" t="s">
        <v>3409</v>
      </c>
      <c r="Z1131" s="34">
        <v>10</v>
      </c>
      <c r="AA1131" s="34" t="s">
        <v>6451</v>
      </c>
      <c r="AB1131" s="34" t="s">
        <v>6451</v>
      </c>
      <c r="AC1131" s="34" t="s">
        <v>5500</v>
      </c>
      <c r="AD1131" s="34" t="s">
        <v>5500</v>
      </c>
      <c r="AE1131" s="34" t="s">
        <v>4436</v>
      </c>
      <c r="AF1131" s="34" t="s">
        <v>4339</v>
      </c>
      <c r="AG1131" s="34" t="s">
        <v>4330</v>
      </c>
      <c r="AH1131" s="34" t="s">
        <v>6452</v>
      </c>
      <c r="AI1131" s="34" t="s">
        <v>4436</v>
      </c>
      <c r="AJ1131" s="34" t="s">
        <v>4218</v>
      </c>
      <c r="AK1131" s="34" t="s">
        <v>4992</v>
      </c>
      <c r="AL1131" s="34">
        <v>2640</v>
      </c>
      <c r="AM1131" s="34" t="s">
        <v>7962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7" t="str">
        <f>IFERROR(INDEX(Структура_ассортимента[SuperCategory],MATCH(Товары[[#This Row],[SubGroup]],Структура_ассортимента[Subgroup],0)),"")</f>
        <v>W</v>
      </c>
      <c r="D11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7" t="str">
        <f>IFERROR(INDEX(Структура_ассортимента[Product group],MATCH(Товары[[#This Row],[SubGroup]],Структура_ассортимента[Subgroup],0)),"")</f>
        <v>WMO_C</v>
      </c>
      <c r="G113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2673</v>
      </c>
      <c r="O1132" s="37" t="s">
        <v>6453</v>
      </c>
      <c r="P1132" s="37" t="s">
        <v>6454</v>
      </c>
      <c r="Q1132" s="39" t="s">
        <v>3416</v>
      </c>
      <c r="R1132" s="34" t="s">
        <v>3407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3410</v>
      </c>
      <c r="X1132" s="34" t="s">
        <v>3446</v>
      </c>
      <c r="Y1132" s="34" t="s">
        <v>3409</v>
      </c>
      <c r="Z1132" s="34">
        <v>6</v>
      </c>
      <c r="AA1132" s="34" t="s">
        <v>5942</v>
      </c>
      <c r="AB1132" s="34" t="s">
        <v>5942</v>
      </c>
      <c r="AC1132" s="34" t="s">
        <v>6319</v>
      </c>
      <c r="AD1132" s="34" t="s">
        <v>6319</v>
      </c>
      <c r="AE1132" s="34" t="s">
        <v>3692</v>
      </c>
      <c r="AF1132" s="34" t="s">
        <v>3443</v>
      </c>
      <c r="AG1132" s="34" t="s">
        <v>4218</v>
      </c>
      <c r="AH1132" s="34" t="s">
        <v>6455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7" t="str">
        <f>IFERROR(INDEX(Структура_ассортимента[SuperCategory],MATCH(Товары[[#This Row],[SubGroup]],Структура_ассортимента[Subgroup],0)),"")</f>
        <v>W</v>
      </c>
      <c r="D11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7" t="str">
        <f>IFERROR(INDEX(Структура_ассортимента[Product group],MATCH(Товары[[#This Row],[SubGroup]],Структура_ассортимента[Subgroup],0)),"")</f>
        <v>WMO_C</v>
      </c>
      <c r="G113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2674</v>
      </c>
      <c r="Q1133" s="39" t="s">
        <v>3416</v>
      </c>
      <c r="R1133" s="34" t="s">
        <v>3407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3410</v>
      </c>
      <c r="X1133" s="34" t="s">
        <v>3446</v>
      </c>
      <c r="Y1133" s="34" t="s">
        <v>3409</v>
      </c>
      <c r="Z1133" s="34">
        <v>10</v>
      </c>
      <c r="AA1133" s="34" t="s">
        <v>3674</v>
      </c>
      <c r="AB1133" s="34" t="s">
        <v>3674</v>
      </c>
      <c r="AC1133" s="34" t="s">
        <v>3678</v>
      </c>
      <c r="AD1133" s="34" t="s">
        <v>3678</v>
      </c>
      <c r="AE1133" s="34" t="s">
        <v>4647</v>
      </c>
      <c r="AF1133" s="34" t="s">
        <v>3799</v>
      </c>
      <c r="AG1133" s="34" t="s">
        <v>3799</v>
      </c>
      <c r="AH1133" s="34" t="s">
        <v>6456</v>
      </c>
      <c r="AI1133" s="34" t="s">
        <v>4085</v>
      </c>
      <c r="AJ1133" s="34" t="s">
        <v>4993</v>
      </c>
      <c r="AK1133" s="34" t="s">
        <v>4993</v>
      </c>
      <c r="AL1133" s="34">
        <v>3960</v>
      </c>
      <c r="AM1133" s="34" t="s">
        <v>7962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7" t="str">
        <f>IFERROR(INDEX(Структура_ассортимента[SuperCategory],MATCH(Товары[[#This Row],[SubGroup]],Структура_ассортимента[Subgroup],0)),"")</f>
        <v>W</v>
      </c>
      <c r="D11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7" t="str">
        <f>IFERROR(INDEX(Структура_ассортимента[Product group],MATCH(Товары[[#This Row],[SubGroup]],Структура_ассортимента[Subgroup],0)),"")</f>
        <v>WMO_C</v>
      </c>
      <c r="G113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2675</v>
      </c>
      <c r="Q1134" s="39" t="s">
        <v>3416</v>
      </c>
      <c r="R1134" s="34" t="s">
        <v>3407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3410</v>
      </c>
      <c r="X1134" s="34" t="s">
        <v>3446</v>
      </c>
      <c r="Y1134" s="34" t="s">
        <v>3409</v>
      </c>
      <c r="Z1134" s="34">
        <v>6</v>
      </c>
      <c r="AA1134" s="34" t="s">
        <v>6438</v>
      </c>
      <c r="AB1134" s="34" t="s">
        <v>6438</v>
      </c>
      <c r="AC1134" s="34" t="s">
        <v>6357</v>
      </c>
      <c r="AD1134" s="34" t="s">
        <v>6357</v>
      </c>
      <c r="AE1134" s="34" t="s">
        <v>3560</v>
      </c>
      <c r="AF1134" s="34" t="s">
        <v>3667</v>
      </c>
      <c r="AG1134" s="34" t="s">
        <v>3539</v>
      </c>
      <c r="AH1134" s="34" t="s">
        <v>6307</v>
      </c>
      <c r="AL1134" s="34">
        <v>1728</v>
      </c>
      <c r="AM1134" s="34" t="s">
        <v>7962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7" t="str">
        <f>IFERROR(INDEX(Структура_ассортимента[SuperCategory],MATCH(Товары[[#This Row],[SubGroup]],Структура_ассортимента[Subgroup],0)),"")</f>
        <v>W</v>
      </c>
      <c r="D11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7" t="str">
        <f>IFERROR(INDEX(Структура_ассортимента[Product group],MATCH(Товары[[#This Row],[SubGroup]],Структура_ассортимента[Subgroup],0)),"")</f>
        <v>WMO_C</v>
      </c>
      <c r="G113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2676</v>
      </c>
      <c r="Q1135" s="39" t="s">
        <v>3416</v>
      </c>
      <c r="R1135" s="34" t="s">
        <v>3407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3410</v>
      </c>
      <c r="X1135" s="34" t="s">
        <v>3446</v>
      </c>
      <c r="Y1135" s="34" t="s">
        <v>3409</v>
      </c>
      <c r="Z1135" s="34">
        <v>10</v>
      </c>
      <c r="AA1135" s="34" t="s">
        <v>6393</v>
      </c>
      <c r="AB1135" s="34" t="s">
        <v>6393</v>
      </c>
      <c r="AC1135" s="34" t="s">
        <v>3642</v>
      </c>
      <c r="AD1135" s="34" t="s">
        <v>3642</v>
      </c>
      <c r="AE1135" s="34" t="s">
        <v>4513</v>
      </c>
      <c r="AF1135" s="34" t="s">
        <v>4330</v>
      </c>
      <c r="AG1135" s="34" t="s">
        <v>4330</v>
      </c>
      <c r="AH1135" s="34" t="s">
        <v>6457</v>
      </c>
      <c r="AI1135" s="34" t="s">
        <v>3492</v>
      </c>
      <c r="AJ1135" s="34" t="s">
        <v>4339</v>
      </c>
      <c r="AK1135" s="34" t="s">
        <v>4098</v>
      </c>
      <c r="AL1135" s="34">
        <v>3200</v>
      </c>
      <c r="AM1135" s="34" t="s">
        <v>7962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7" t="str">
        <f>IFERROR(INDEX(Структура_ассортимента[SuperCategory],MATCH(Товары[[#This Row],[SubGroup]],Структура_ассортимента[Subgroup],0)),"")</f>
        <v>W</v>
      </c>
      <c r="D11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7" t="str">
        <f>IFERROR(INDEX(Структура_ассортимента[Product group],MATCH(Товары[[#This Row],[SubGroup]],Структура_ассортимента[Subgroup],0)),"")</f>
        <v>WMO_C</v>
      </c>
      <c r="G113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2677</v>
      </c>
      <c r="Q1136" s="39" t="s">
        <v>3416</v>
      </c>
      <c r="R1136" s="34" t="s">
        <v>3407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3410</v>
      </c>
      <c r="X1136" s="34" t="s">
        <v>3446</v>
      </c>
      <c r="Y1136" s="34" t="s">
        <v>3409</v>
      </c>
      <c r="Z1136" s="34">
        <v>50</v>
      </c>
      <c r="AA1136" s="34" t="s">
        <v>6383</v>
      </c>
      <c r="AB1136" s="34" t="s">
        <v>6383</v>
      </c>
      <c r="AC1136" s="34" t="s">
        <v>6382</v>
      </c>
      <c r="AD1136" s="34" t="s">
        <v>6382</v>
      </c>
      <c r="AE1136" s="34" t="s">
        <v>4098</v>
      </c>
      <c r="AF1136" s="34" t="s">
        <v>4098</v>
      </c>
      <c r="AG1136" s="34" t="s">
        <v>3964</v>
      </c>
      <c r="AH1136" s="34" t="s">
        <v>6380</v>
      </c>
      <c r="AL1136" s="34" t="s">
        <v>6371</v>
      </c>
      <c r="AM1136" s="34" t="s">
        <v>7962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7" t="str">
        <f>IFERROR(INDEX(Структура_ассортимента[SuperCategory],MATCH(Товары[[#This Row],[SubGroup]],Структура_ассортимента[Subgroup],0)),"")</f>
        <v>W</v>
      </c>
      <c r="D11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7" t="str">
        <f>IFERROR(INDEX(Структура_ассортимента[Product group],MATCH(Товары[[#This Row],[SubGroup]],Структура_ассортимента[Subgroup],0)),"")</f>
        <v>WMO_C</v>
      </c>
      <c r="G113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2678</v>
      </c>
      <c r="O1137" s="37" t="s">
        <v>6458</v>
      </c>
      <c r="P1137" s="37" t="s">
        <v>6448</v>
      </c>
      <c r="Q1137" s="39" t="s">
        <v>3416</v>
      </c>
      <c r="R1137" s="34" t="s">
        <v>3407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3410</v>
      </c>
      <c r="X1137" s="34" t="s">
        <v>3446</v>
      </c>
      <c r="Y1137" s="34" t="s">
        <v>3409</v>
      </c>
      <c r="Z1137" s="34">
        <v>24</v>
      </c>
      <c r="AA1137" s="34" t="s">
        <v>5496</v>
      </c>
      <c r="AB1137" s="34" t="s">
        <v>5496</v>
      </c>
      <c r="AC1137" s="34" t="s">
        <v>6382</v>
      </c>
      <c r="AD1137" s="34" t="s">
        <v>6382</v>
      </c>
      <c r="AE1137" s="34" t="s">
        <v>3560</v>
      </c>
      <c r="AF1137" s="34" t="s">
        <v>3667</v>
      </c>
      <c r="AG1137" s="34" t="s">
        <v>4098</v>
      </c>
      <c r="AH1137" s="34" t="s">
        <v>6310</v>
      </c>
      <c r="AL1137" s="34" t="s">
        <v>6315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7" t="str">
        <f>IFERROR(INDEX(Структура_ассортимента[SuperCategory],MATCH(Товары[[#This Row],[SubGroup]],Структура_ассортимента[Subgroup],0)),"")</f>
        <v>W</v>
      </c>
      <c r="D11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7" t="str">
        <f>IFERROR(INDEX(Структура_ассортимента[Product group],MATCH(Товары[[#This Row],[SubGroup]],Структура_ассортимента[Subgroup],0)),"")</f>
        <v>WMO_C</v>
      </c>
      <c r="G113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2679</v>
      </c>
      <c r="Q1138" s="39" t="s">
        <v>3416</v>
      </c>
      <c r="R1138" s="34" t="s">
        <v>3407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3410</v>
      </c>
      <c r="X1138" s="34" t="s">
        <v>3446</v>
      </c>
      <c r="Y1138" s="34" t="s">
        <v>3409</v>
      </c>
      <c r="Z1138" s="34">
        <v>50</v>
      </c>
      <c r="AA1138" s="34" t="s">
        <v>6383</v>
      </c>
      <c r="AB1138" s="34" t="s">
        <v>6383</v>
      </c>
      <c r="AC1138" s="34" t="s">
        <v>6382</v>
      </c>
      <c r="AD1138" s="34" t="s">
        <v>6382</v>
      </c>
      <c r="AE1138" s="34" t="s">
        <v>4098</v>
      </c>
      <c r="AF1138" s="34" t="s">
        <v>4098</v>
      </c>
      <c r="AG1138" s="34" t="s">
        <v>3964</v>
      </c>
      <c r="AH1138" s="34" t="s">
        <v>6380</v>
      </c>
      <c r="AL1138" s="34" t="s">
        <v>6384</v>
      </c>
      <c r="AM1138" s="34" t="s">
        <v>7962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7" t="str">
        <f>IFERROR(INDEX(Структура_ассортимента[SuperCategory],MATCH(Товары[[#This Row],[SubGroup]],Структура_ассортимента[Subgroup],0)),"")</f>
        <v>W</v>
      </c>
      <c r="D11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7" t="str">
        <f>IFERROR(INDEX(Структура_ассортимента[Product group],MATCH(Товары[[#This Row],[SubGroup]],Структура_ассортимента[Subgroup],0)),"")</f>
        <v>WMO_C</v>
      </c>
      <c r="G113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2680</v>
      </c>
      <c r="Q1139" s="39" t="s">
        <v>3416</v>
      </c>
      <c r="R1139" s="34" t="s">
        <v>3407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3410</v>
      </c>
      <c r="X1139" s="34" t="s">
        <v>3446</v>
      </c>
      <c r="Y1139" s="34" t="s">
        <v>3409</v>
      </c>
      <c r="Z1139" s="34">
        <v>40</v>
      </c>
      <c r="AA1139" s="34" t="s">
        <v>6385</v>
      </c>
      <c r="AB1139" s="34" t="s">
        <v>6385</v>
      </c>
      <c r="AC1139" s="34" t="s">
        <v>6386</v>
      </c>
      <c r="AD1139" s="34" t="s">
        <v>6386</v>
      </c>
      <c r="AE1139" s="34" t="s">
        <v>4992</v>
      </c>
      <c r="AF1139" s="34" t="s">
        <v>4992</v>
      </c>
      <c r="AG1139" s="34" t="s">
        <v>4028</v>
      </c>
      <c r="AH1139" s="34" t="s">
        <v>6459</v>
      </c>
      <c r="AL1139" s="34" t="s">
        <v>6388</v>
      </c>
      <c r="AM1139" s="34" t="s">
        <v>7962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7" t="str">
        <f>IFERROR(INDEX(Структура_ассортимента[SuperCategory],MATCH(Товары[[#This Row],[SubGroup]],Структура_ассортимента[Subgroup],0)),"")</f>
        <v>W</v>
      </c>
      <c r="D11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7" t="str">
        <f>IFERROR(INDEX(Структура_ассортимента[Product group],MATCH(Товары[[#This Row],[SubGroup]],Структура_ассортимента[Subgroup],0)),"")</f>
        <v>WMO_C</v>
      </c>
      <c r="G114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2681</v>
      </c>
      <c r="O1140" s="37" t="s">
        <v>6460</v>
      </c>
      <c r="P1140" s="37" t="s">
        <v>6450</v>
      </c>
      <c r="Q1140" s="39" t="s">
        <v>3416</v>
      </c>
      <c r="R1140" s="34" t="s">
        <v>3407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3410</v>
      </c>
      <c r="X1140" s="34" t="s">
        <v>3446</v>
      </c>
      <c r="Y1140" s="34" t="s">
        <v>3409</v>
      </c>
      <c r="Z1140" s="34">
        <v>12</v>
      </c>
      <c r="AA1140" s="34" t="s">
        <v>6461</v>
      </c>
      <c r="AB1140" s="34" t="s">
        <v>6461</v>
      </c>
      <c r="AC1140" s="34" t="s">
        <v>6337</v>
      </c>
      <c r="AD1140" s="34" t="s">
        <v>6337</v>
      </c>
      <c r="AE1140" s="34" t="s">
        <v>3560</v>
      </c>
      <c r="AF1140" s="34" t="s">
        <v>3667</v>
      </c>
      <c r="AG1140" s="34" t="s">
        <v>4992</v>
      </c>
      <c r="AH1140" s="34" t="s">
        <v>6390</v>
      </c>
      <c r="AL1140" s="34" t="s">
        <v>6356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7" t="str">
        <f>IFERROR(INDEX(Структура_ассортимента[SuperCategory],MATCH(Товары[[#This Row],[SubGroup]],Структура_ассортимента[Subgroup],0)),"")</f>
        <v>W</v>
      </c>
      <c r="D11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7" t="str">
        <f>IFERROR(INDEX(Структура_ассортимента[Product group],MATCH(Товары[[#This Row],[SubGroup]],Структура_ассортимента[Subgroup],0)),"")</f>
        <v>WMO_C</v>
      </c>
      <c r="G114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2682</v>
      </c>
      <c r="O1141" s="37" t="s">
        <v>6460</v>
      </c>
      <c r="P1141" s="37" t="s">
        <v>6462</v>
      </c>
      <c r="Q1141" s="39" t="s">
        <v>3416</v>
      </c>
      <c r="R1141" s="34" t="s">
        <v>3407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3410</v>
      </c>
      <c r="X1141" s="34" t="s">
        <v>3446</v>
      </c>
      <c r="Y1141" s="34" t="s">
        <v>3409</v>
      </c>
      <c r="Z1141" s="34">
        <v>10</v>
      </c>
      <c r="AA1141" s="34" t="s">
        <v>5755</v>
      </c>
      <c r="AB1141" s="34" t="s">
        <v>5755</v>
      </c>
      <c r="AC1141" s="34" t="s">
        <v>6386</v>
      </c>
      <c r="AD1141" s="34" t="s">
        <v>6386</v>
      </c>
      <c r="AE1141" s="34" t="s">
        <v>4992</v>
      </c>
      <c r="AF1141" s="34" t="s">
        <v>4992</v>
      </c>
      <c r="AG1141" s="34" t="s">
        <v>4051</v>
      </c>
      <c r="AH1141" s="34" t="s">
        <v>6387</v>
      </c>
      <c r="AL1141" s="34" t="s">
        <v>6391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7" t="str">
        <f>IFERROR(INDEX(Структура_ассортимента[SuperCategory],MATCH(Товары[[#This Row],[SubGroup]],Структура_ассортимента[Subgroup],0)),"")</f>
        <v>W</v>
      </c>
      <c r="D11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7" t="str">
        <f>IFERROR(INDEX(Структура_ассортимента[Product group],MATCH(Товары[[#This Row],[SubGroup]],Структура_ассортимента[Subgroup],0)),"")</f>
        <v>WMO_C</v>
      </c>
      <c r="G114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2683</v>
      </c>
      <c r="O1142" s="37" t="s">
        <v>6463</v>
      </c>
      <c r="P1142" s="37" t="s">
        <v>6464</v>
      </c>
      <c r="Q1142" s="39" t="s">
        <v>3416</v>
      </c>
      <c r="R1142" s="34" t="s">
        <v>3407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3410</v>
      </c>
      <c r="X1142" s="34" t="s">
        <v>3446</v>
      </c>
      <c r="Y1142" s="34" t="s">
        <v>3409</v>
      </c>
      <c r="Z1142" s="34">
        <v>12</v>
      </c>
      <c r="AA1142" s="34">
        <v>83</v>
      </c>
      <c r="AB1142" s="34" t="s">
        <v>6465</v>
      </c>
      <c r="AC1142" s="34">
        <v>73</v>
      </c>
      <c r="AD1142" s="34" t="s">
        <v>6466</v>
      </c>
      <c r="AE1142" s="34" t="s">
        <v>3745</v>
      </c>
      <c r="AF1142" s="34" t="s">
        <v>3667</v>
      </c>
      <c r="AG1142" s="34" t="s">
        <v>4098</v>
      </c>
      <c r="AH1142" s="34" t="s">
        <v>6401</v>
      </c>
      <c r="AI1142" s="34" t="s">
        <v>3753</v>
      </c>
      <c r="AJ1142" s="34" t="s">
        <v>4098</v>
      </c>
      <c r="AK1142" s="34" t="s">
        <v>4098</v>
      </c>
      <c r="AL1142" s="34" t="s">
        <v>6402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7" t="str">
        <f>IFERROR(INDEX(Структура_ассортимента[SuperCategory],MATCH(Товары[[#This Row],[SubGroup]],Структура_ассортимента[Subgroup],0)),"")</f>
        <v>W</v>
      </c>
      <c r="D11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7" t="str">
        <f>IFERROR(INDEX(Структура_ассортимента[Product group],MATCH(Товары[[#This Row],[SubGroup]],Структура_ассортимента[Subgroup],0)),"")</f>
        <v>WMO_C</v>
      </c>
      <c r="G114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2684</v>
      </c>
      <c r="Q1143" s="39" t="s">
        <v>3416</v>
      </c>
      <c r="R1143" s="34" t="s">
        <v>3407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3410</v>
      </c>
      <c r="X1143" s="34" t="s">
        <v>3446</v>
      </c>
      <c r="Y1143" s="34" t="s">
        <v>3409</v>
      </c>
      <c r="Z1143" s="34">
        <v>10</v>
      </c>
      <c r="AA1143" s="34">
        <v>70</v>
      </c>
      <c r="AB1143" s="34" t="s">
        <v>3586</v>
      </c>
      <c r="AC1143" s="34">
        <v>64</v>
      </c>
      <c r="AD1143" s="34" t="s">
        <v>5511</v>
      </c>
      <c r="AE1143" s="34" t="s">
        <v>3745</v>
      </c>
      <c r="AF1143" s="34" t="s">
        <v>3667</v>
      </c>
      <c r="AG1143" s="34" t="s">
        <v>4098</v>
      </c>
      <c r="AH1143" s="34" t="s">
        <v>6401</v>
      </c>
      <c r="AI1143" s="34" t="s">
        <v>3753</v>
      </c>
      <c r="AJ1143" s="34" t="s">
        <v>4098</v>
      </c>
      <c r="AK1143" s="34" t="s">
        <v>4098</v>
      </c>
      <c r="AL1143" s="34" t="s">
        <v>6388</v>
      </c>
      <c r="AM1143" s="34" t="s">
        <v>7962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7" t="str">
        <f>IFERROR(INDEX(Структура_ассортимента[SuperCategory],MATCH(Товары[[#This Row],[SubGroup]],Структура_ассортимента[Subgroup],0)),"")</f>
        <v>W</v>
      </c>
      <c r="D11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7" t="str">
        <f>IFERROR(INDEX(Структура_ассортимента[Product group],MATCH(Товары[[#This Row],[SubGroup]],Структура_ассортимента[Subgroup],0)),"")</f>
        <v>WMO_C</v>
      </c>
      <c r="G114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2685</v>
      </c>
      <c r="O1144" s="37" t="s">
        <v>6467</v>
      </c>
      <c r="P1144" s="37" t="s">
        <v>6468</v>
      </c>
      <c r="Q1144" s="39" t="s">
        <v>3416</v>
      </c>
      <c r="R1144" s="34" t="s">
        <v>3407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3410</v>
      </c>
      <c r="X1144" s="34" t="s">
        <v>3446</v>
      </c>
      <c r="Y1144" s="34" t="s">
        <v>3409</v>
      </c>
      <c r="Z1144" s="34">
        <v>12</v>
      </c>
      <c r="AA1144" s="34">
        <v>126</v>
      </c>
      <c r="AB1144" s="34" t="s">
        <v>6469</v>
      </c>
      <c r="AC1144" s="34">
        <v>116</v>
      </c>
      <c r="AD1144" s="34" t="s">
        <v>6346</v>
      </c>
      <c r="AE1144" s="34" t="s">
        <v>3745</v>
      </c>
      <c r="AF1144" s="34" t="s">
        <v>3667</v>
      </c>
      <c r="AG1144" s="34" t="s">
        <v>4218</v>
      </c>
      <c r="AH1144" s="34" t="s">
        <v>6407</v>
      </c>
      <c r="AI1144" s="34" t="s">
        <v>4513</v>
      </c>
      <c r="AJ1144" s="34" t="s">
        <v>4299</v>
      </c>
      <c r="AK1144" s="34" t="s">
        <v>4299</v>
      </c>
      <c r="AL1144" s="34" t="s">
        <v>6402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7" t="str">
        <f>IFERROR(INDEX(Структура_ассортимента[SuperCategory],MATCH(Товары[[#This Row],[SubGroup]],Структура_ассортимента[Subgroup],0)),"")</f>
        <v>W</v>
      </c>
      <c r="D11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7" t="str">
        <f>IFERROR(INDEX(Структура_ассортимента[Product group],MATCH(Товары[[#This Row],[SubGroup]],Структура_ассортимента[Subgroup],0)),"")</f>
        <v>WMO_C</v>
      </c>
      <c r="G114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2686</v>
      </c>
      <c r="Q1145" s="39" t="s">
        <v>3416</v>
      </c>
      <c r="R1145" s="34" t="s">
        <v>3407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3410</v>
      </c>
      <c r="X1145" s="34" t="s">
        <v>3446</v>
      </c>
      <c r="Y1145" s="34" t="s">
        <v>3409</v>
      </c>
      <c r="Z1145" s="34">
        <v>10</v>
      </c>
      <c r="AA1145" s="34">
        <v>97</v>
      </c>
      <c r="AB1145" s="34" t="s">
        <v>5777</v>
      </c>
      <c r="AC1145" s="34">
        <v>85</v>
      </c>
      <c r="AD1145" s="34" t="s">
        <v>5507</v>
      </c>
      <c r="AE1145" s="34" t="s">
        <v>3560</v>
      </c>
      <c r="AF1145" s="34" t="s">
        <v>3667</v>
      </c>
      <c r="AG1145" s="34" t="s">
        <v>4339</v>
      </c>
      <c r="AH1145" s="34" t="s">
        <v>6403</v>
      </c>
      <c r="AI1145" s="34" t="s">
        <v>4513</v>
      </c>
      <c r="AJ1145" s="34" t="s">
        <v>4299</v>
      </c>
      <c r="AK1145" s="34" t="s">
        <v>4299</v>
      </c>
      <c r="AL1145" s="34" t="s">
        <v>6409</v>
      </c>
      <c r="AM1145" s="34" t="s">
        <v>7962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7" t="str">
        <f>IFERROR(INDEX(Структура_ассортимента[SuperCategory],MATCH(Товары[[#This Row],[SubGroup]],Структура_ассортимента[Subgroup],0)),"")</f>
        <v>W</v>
      </c>
      <c r="D11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7" t="str">
        <f>IFERROR(INDEX(Структура_ассортимента[Product group],MATCH(Товары[[#This Row],[SubGroup]],Структура_ассортимента[Subgroup],0)),"")</f>
        <v>WMO_C</v>
      </c>
      <c r="G114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2687</v>
      </c>
      <c r="Q1146" s="39" t="s">
        <v>3416</v>
      </c>
      <c r="R1146" s="34" t="s">
        <v>3407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3413</v>
      </c>
      <c r="X1146" s="34" t="s">
        <v>3774</v>
      </c>
      <c r="Y1146" s="34" t="s">
        <v>3409</v>
      </c>
      <c r="Z1146" s="34">
        <v>20000</v>
      </c>
      <c r="AE1146" s="34" t="s">
        <v>3652</v>
      </c>
      <c r="AF1146" s="34" t="s">
        <v>3652</v>
      </c>
      <c r="AG1146" s="34" t="s">
        <v>3644</v>
      </c>
      <c r="AH1146" s="34" t="s">
        <v>6470</v>
      </c>
      <c r="AL1146" s="34" t="s">
        <v>6471</v>
      </c>
      <c r="AM1146" s="34" t="s">
        <v>7962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7" t="str">
        <f>IFERROR(INDEX(Структура_ассортимента[SuperCategory],MATCH(Товары[[#This Row],[SubGroup]],Структура_ассортимента[Subgroup],0)),"")</f>
        <v>W</v>
      </c>
      <c r="D11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7" t="str">
        <f>IFERROR(INDEX(Структура_ассортимента[Product group],MATCH(Товары[[#This Row],[SubGroup]],Структура_ассортимента[Subgroup],0)),"")</f>
        <v>WMO_C</v>
      </c>
      <c r="G114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2688</v>
      </c>
      <c r="Q1147" s="39" t="s">
        <v>3416</v>
      </c>
      <c r="R1147" s="34" t="s">
        <v>3407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3410</v>
      </c>
      <c r="X1147" s="34" t="s">
        <v>3446</v>
      </c>
      <c r="Y1147" s="34" t="s">
        <v>3409</v>
      </c>
      <c r="Z1147" s="34">
        <v>6</v>
      </c>
      <c r="AA1147" s="34" t="s">
        <v>5500</v>
      </c>
      <c r="AB1147" s="34" t="s">
        <v>5500</v>
      </c>
      <c r="AC1147" s="34" t="s">
        <v>6385</v>
      </c>
      <c r="AD1147" s="34" t="s">
        <v>6385</v>
      </c>
      <c r="AE1147" s="34" t="s">
        <v>3560</v>
      </c>
      <c r="AF1147" s="34" t="s">
        <v>3443</v>
      </c>
      <c r="AG1147" s="34" t="s">
        <v>3798</v>
      </c>
      <c r="AH1147" s="34" t="s">
        <v>6472</v>
      </c>
      <c r="AL1147" s="34" t="s">
        <v>6473</v>
      </c>
      <c r="AM1147" s="34" t="s">
        <v>7962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7" t="str">
        <f>IFERROR(INDEX(Структура_ассортимента[SuperCategory],MATCH(Товары[[#This Row],[SubGroup]],Структура_ассортимента[Subgroup],0)),"")</f>
        <v>W</v>
      </c>
      <c r="D11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7" t="str">
        <f>IFERROR(INDEX(Структура_ассортимента[Product group],MATCH(Товары[[#This Row],[SubGroup]],Структура_ассортимента[Subgroup],0)),"")</f>
        <v>WMO_C</v>
      </c>
      <c r="G114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2689</v>
      </c>
      <c r="Q1148" s="39" t="s">
        <v>3416</v>
      </c>
      <c r="R1148" s="34" t="s">
        <v>3407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3410</v>
      </c>
      <c r="X1148" s="34" t="s">
        <v>3446</v>
      </c>
      <c r="Y1148" s="34" t="s">
        <v>3409</v>
      </c>
      <c r="Z1148" s="34">
        <v>6</v>
      </c>
      <c r="AA1148" s="34" t="s">
        <v>6312</v>
      </c>
      <c r="AB1148" s="34" t="s">
        <v>6312</v>
      </c>
      <c r="AC1148" s="34" t="s">
        <v>3584</v>
      </c>
      <c r="AD1148" s="34" t="s">
        <v>3584</v>
      </c>
      <c r="AE1148" s="34" t="s">
        <v>3560</v>
      </c>
      <c r="AF1148" s="34" t="s">
        <v>3443</v>
      </c>
      <c r="AG1148" s="34" t="s">
        <v>3798</v>
      </c>
      <c r="AH1148" s="34" t="s">
        <v>6472</v>
      </c>
      <c r="AL1148" s="34" t="s">
        <v>6473</v>
      </c>
      <c r="AM1148" s="34" t="s">
        <v>7962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7" t="str">
        <f>IFERROR(INDEX(Структура_ассортимента[SuperCategory],MATCH(Товары[[#This Row],[SubGroup]],Структура_ассортимента[Subgroup],0)),"")</f>
        <v>W</v>
      </c>
      <c r="D11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7" t="str">
        <f>IFERROR(INDEX(Структура_ассортимента[Product group],MATCH(Товары[[#This Row],[SubGroup]],Структура_ассортимента[Subgroup],0)),"")</f>
        <v>WMO_C</v>
      </c>
      <c r="G114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2690</v>
      </c>
      <c r="Q1149" s="39" t="s">
        <v>3416</v>
      </c>
      <c r="R1149" s="34" t="s">
        <v>3407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3410</v>
      </c>
      <c r="X1149" s="34" t="s">
        <v>3446</v>
      </c>
      <c r="Y1149" s="34" t="s">
        <v>3409</v>
      </c>
      <c r="Z1149" s="34">
        <v>12</v>
      </c>
      <c r="AA1149" s="34" t="s">
        <v>3596</v>
      </c>
      <c r="AB1149" s="34" t="s">
        <v>3596</v>
      </c>
      <c r="AC1149" s="34" t="s">
        <v>3534</v>
      </c>
      <c r="AD1149" s="34" t="s">
        <v>3534</v>
      </c>
      <c r="AE1149" s="34" t="s">
        <v>3560</v>
      </c>
      <c r="AF1149" s="34" t="s">
        <v>3443</v>
      </c>
      <c r="AG1149" s="34" t="s">
        <v>3658</v>
      </c>
      <c r="AH1149" s="34" t="s">
        <v>5510</v>
      </c>
      <c r="AL1149" s="34" t="s">
        <v>6474</v>
      </c>
      <c r="AM1149" s="34" t="s">
        <v>7962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7" t="str">
        <f>IFERROR(INDEX(Структура_ассортимента[SuperCategory],MATCH(Товары[[#This Row],[SubGroup]],Структура_ассортимента[Subgroup],0)),"")</f>
        <v>W</v>
      </c>
      <c r="D11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7" t="str">
        <f>IFERROR(INDEX(Структура_ассортимента[Product group],MATCH(Товары[[#This Row],[SubGroup]],Структура_ассортимента[Subgroup],0)),"")</f>
        <v>WMO_C</v>
      </c>
      <c r="G115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2691</v>
      </c>
      <c r="O1150" s="37" t="s">
        <v>6475</v>
      </c>
      <c r="P1150" s="37" t="s">
        <v>6476</v>
      </c>
      <c r="Q1150" s="39" t="s">
        <v>3416</v>
      </c>
      <c r="R1150" s="34" t="s">
        <v>3407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3410</v>
      </c>
      <c r="X1150" s="34" t="s">
        <v>3446</v>
      </c>
      <c r="Y1150" s="34" t="s">
        <v>3409</v>
      </c>
      <c r="Z1150" s="34">
        <v>10</v>
      </c>
      <c r="AA1150" s="34" t="s">
        <v>5942</v>
      </c>
      <c r="AB1150" s="34" t="s">
        <v>5942</v>
      </c>
      <c r="AC1150" s="34" t="s">
        <v>3586</v>
      </c>
      <c r="AD1150" s="34" t="s">
        <v>3586</v>
      </c>
      <c r="AE1150" s="34" t="s">
        <v>6477</v>
      </c>
      <c r="AF1150" s="34" t="s">
        <v>3443</v>
      </c>
      <c r="AG1150" s="34" t="s">
        <v>4085</v>
      </c>
      <c r="AH1150" s="34" t="s">
        <v>6478</v>
      </c>
      <c r="AL1150" s="34" t="s">
        <v>6479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7" t="str">
        <f>IFERROR(INDEX(Структура_ассортимента[SuperCategory],MATCH(Товары[[#This Row],[SubGroup]],Структура_ассортимента[Subgroup],0)),"")</f>
        <v>W</v>
      </c>
      <c r="D11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7" t="str">
        <f>IFERROR(INDEX(Структура_ассортимента[Product group],MATCH(Товары[[#This Row],[SubGroup]],Структура_ассортимента[Subgroup],0)),"")</f>
        <v>WMO_C</v>
      </c>
      <c r="G115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2692</v>
      </c>
      <c r="Q1151" s="39" t="s">
        <v>3416</v>
      </c>
      <c r="R1151" s="34" t="s">
        <v>3407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3410</v>
      </c>
      <c r="X1151" s="34" t="s">
        <v>3446</v>
      </c>
      <c r="Y1151" s="34" t="s">
        <v>3409</v>
      </c>
      <c r="Z1151" s="34">
        <v>10</v>
      </c>
      <c r="AA1151" s="34" t="s">
        <v>6480</v>
      </c>
      <c r="AB1151" s="34" t="s">
        <v>6480</v>
      </c>
      <c r="AC1151" s="34" t="s">
        <v>5516</v>
      </c>
      <c r="AD1151" s="34" t="s">
        <v>5516</v>
      </c>
      <c r="AE1151" s="34" t="s">
        <v>6477</v>
      </c>
      <c r="AF1151" s="34" t="s">
        <v>3443</v>
      </c>
      <c r="AG1151" s="34" t="s">
        <v>4218</v>
      </c>
      <c r="AH1151" s="34" t="s">
        <v>6481</v>
      </c>
      <c r="AL1151" s="34" t="s">
        <v>6479</v>
      </c>
      <c r="AM1151" s="34" t="s">
        <v>7962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7" t="str">
        <f>IFERROR(INDEX(Структура_ассортимента[SuperCategory],MATCH(Товары[[#This Row],[SubGroup]],Структура_ассортимента[Subgroup],0)),"")</f>
        <v>W</v>
      </c>
      <c r="D11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7" t="str">
        <f>IFERROR(INDEX(Структура_ассортимента[Product group],MATCH(Товары[[#This Row],[SubGroup]],Структура_ассортимента[Subgroup],0)),"")</f>
        <v>WMO_C</v>
      </c>
      <c r="G115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2693</v>
      </c>
      <c r="Q1152" s="39" t="s">
        <v>3416</v>
      </c>
      <c r="R1152" s="34" t="s">
        <v>3407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3410</v>
      </c>
      <c r="X1152" s="34" t="s">
        <v>3446</v>
      </c>
      <c r="Y1152" s="34" t="s">
        <v>3409</v>
      </c>
      <c r="Z1152" s="34">
        <v>6</v>
      </c>
      <c r="AA1152" s="34" t="s">
        <v>6362</v>
      </c>
      <c r="AB1152" s="34" t="s">
        <v>6362</v>
      </c>
      <c r="AC1152" s="34" t="s">
        <v>3586</v>
      </c>
      <c r="AD1152" s="34" t="s">
        <v>3586</v>
      </c>
      <c r="AE1152" s="34" t="s">
        <v>6477</v>
      </c>
      <c r="AF1152" s="34" t="s">
        <v>3443</v>
      </c>
      <c r="AG1152" s="34" t="s">
        <v>4098</v>
      </c>
      <c r="AH1152" s="34" t="s">
        <v>5535</v>
      </c>
      <c r="AL1152" s="34" t="s">
        <v>5100</v>
      </c>
      <c r="AM1152" s="34" t="s">
        <v>7962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7" t="str">
        <f>IFERROR(INDEX(Структура_ассортимента[SuperCategory],MATCH(Товары[[#This Row],[SubGroup]],Структура_ассортимента[Subgroup],0)),"")</f>
        <v>W</v>
      </c>
      <c r="D11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7" t="str">
        <f>IFERROR(INDEX(Структура_ассортимента[Product group],MATCH(Товары[[#This Row],[SubGroup]],Структура_ассортимента[Subgroup],0)),"")</f>
        <v>WMO_C</v>
      </c>
      <c r="G115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2694</v>
      </c>
      <c r="Q1153" s="39" t="s">
        <v>3416</v>
      </c>
      <c r="R1153" s="34" t="s">
        <v>3407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3410</v>
      </c>
      <c r="X1153" s="34" t="s">
        <v>3446</v>
      </c>
      <c r="Y1153" s="34" t="s">
        <v>3409</v>
      </c>
      <c r="Z1153" s="34">
        <v>10</v>
      </c>
      <c r="AA1153" s="34" t="s">
        <v>3528</v>
      </c>
      <c r="AB1153" s="34" t="s">
        <v>3528</v>
      </c>
      <c r="AC1153" s="34" t="s">
        <v>3520</v>
      </c>
      <c r="AD1153" s="34" t="s">
        <v>3520</v>
      </c>
      <c r="AE1153" s="34" t="s">
        <v>6477</v>
      </c>
      <c r="AF1153" s="34" t="s">
        <v>3443</v>
      </c>
      <c r="AG1153" s="34" t="s">
        <v>4085</v>
      </c>
      <c r="AH1153" s="34" t="s">
        <v>6478</v>
      </c>
      <c r="AL1153" s="34" t="s">
        <v>6482</v>
      </c>
      <c r="AM1153" s="34" t="s">
        <v>7962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7" t="str">
        <f>IFERROR(INDEX(Структура_ассортимента[SuperCategory],MATCH(Товары[[#This Row],[SubGroup]],Структура_ассортимента[Subgroup],0)),"")</f>
        <v>W</v>
      </c>
      <c r="D11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7" t="str">
        <f>IFERROR(INDEX(Структура_ассортимента[Product group],MATCH(Товары[[#This Row],[SubGroup]],Структура_ассортимента[Subgroup],0)),"")</f>
        <v>WMO_C</v>
      </c>
      <c r="G115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2695</v>
      </c>
      <c r="Q1154" s="39" t="s">
        <v>3416</v>
      </c>
      <c r="R1154" s="34" t="s">
        <v>3407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3410</v>
      </c>
      <c r="X1154" s="34" t="s">
        <v>3446</v>
      </c>
      <c r="Y1154" s="34" t="s">
        <v>3409</v>
      </c>
      <c r="Z1154" s="34">
        <v>10</v>
      </c>
      <c r="AA1154" s="34" t="s">
        <v>3962</v>
      </c>
      <c r="AB1154" s="34" t="s">
        <v>3962</v>
      </c>
      <c r="AC1154" s="34" t="s">
        <v>3863</v>
      </c>
      <c r="AD1154" s="34" t="s">
        <v>3863</v>
      </c>
      <c r="AE1154" s="34" t="s">
        <v>4512</v>
      </c>
      <c r="AF1154" s="34" t="s">
        <v>3835</v>
      </c>
      <c r="AG1154" s="34" t="s">
        <v>4085</v>
      </c>
      <c r="AH1154" s="34" t="s">
        <v>6483</v>
      </c>
      <c r="AL1154" s="34" t="s">
        <v>5171</v>
      </c>
      <c r="AM1154" s="34" t="s">
        <v>7962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7" t="str">
        <f>IFERROR(INDEX(Структура_ассортимента[SuperCategory],MATCH(Товары[[#This Row],[SubGroup]],Структура_ассортимента[Subgroup],0)),"")</f>
        <v>W</v>
      </c>
      <c r="D11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7" t="str">
        <f>IFERROR(INDEX(Структура_ассортимента[Product group],MATCH(Товары[[#This Row],[SubGroup]],Структура_ассортимента[Subgroup],0)),"")</f>
        <v>WMO_C</v>
      </c>
      <c r="G115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2696</v>
      </c>
      <c r="Q1155" s="39" t="s">
        <v>3416</v>
      </c>
      <c r="R1155" s="34" t="s">
        <v>3407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3410</v>
      </c>
      <c r="X1155" s="34" t="s">
        <v>3446</v>
      </c>
      <c r="Y1155" s="34" t="s">
        <v>3409</v>
      </c>
      <c r="Z1155" s="34">
        <v>10</v>
      </c>
      <c r="AA1155" s="34" t="s">
        <v>3538</v>
      </c>
      <c r="AB1155" s="34" t="s">
        <v>3538</v>
      </c>
      <c r="AC1155" s="34" t="s">
        <v>3537</v>
      </c>
      <c r="AD1155" s="34" t="s">
        <v>3537</v>
      </c>
      <c r="AE1155" s="34" t="s">
        <v>4063</v>
      </c>
      <c r="AF1155" s="34" t="s">
        <v>3443</v>
      </c>
      <c r="AG1155" s="34" t="s">
        <v>4098</v>
      </c>
      <c r="AH1155" s="34" t="s">
        <v>6484</v>
      </c>
      <c r="AL1155" s="34" t="s">
        <v>6485</v>
      </c>
      <c r="AM1155" s="34" t="s">
        <v>7962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7" t="str">
        <f>IFERROR(INDEX(Структура_ассортимента[SuperCategory],MATCH(Товары[[#This Row],[SubGroup]],Структура_ассортимента[Subgroup],0)),"")</f>
        <v>W</v>
      </c>
      <c r="D11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7" t="str">
        <f>IFERROR(INDEX(Структура_ассортимента[Product group],MATCH(Товары[[#This Row],[SubGroup]],Структура_ассортимента[Subgroup],0)),"")</f>
        <v>WMO_C</v>
      </c>
      <c r="G115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2697</v>
      </c>
      <c r="Q1156" s="39" t="s">
        <v>3416</v>
      </c>
      <c r="R1156" s="34" t="s">
        <v>3407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3410</v>
      </c>
      <c r="X1156" s="34" t="s">
        <v>3446</v>
      </c>
      <c r="Y1156" s="34" t="s">
        <v>3409</v>
      </c>
      <c r="Z1156" s="34">
        <v>10</v>
      </c>
      <c r="AA1156" s="34" t="s">
        <v>3587</v>
      </c>
      <c r="AB1156" s="34" t="s">
        <v>3587</v>
      </c>
      <c r="AC1156" s="34" t="s">
        <v>3543</v>
      </c>
      <c r="AD1156" s="34" t="s">
        <v>3543</v>
      </c>
      <c r="AE1156" s="34" t="s">
        <v>6477</v>
      </c>
      <c r="AF1156" s="34" t="s">
        <v>5480</v>
      </c>
      <c r="AG1156" s="34" t="s">
        <v>4218</v>
      </c>
      <c r="AH1156" s="34" t="s">
        <v>6486</v>
      </c>
      <c r="AL1156" s="34" t="s">
        <v>6482</v>
      </c>
      <c r="AM1156" s="34" t="s">
        <v>7962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7" t="str">
        <f>IFERROR(INDEX(Структура_ассортимента[SuperCategory],MATCH(Товары[[#This Row],[SubGroup]],Структура_ассортимента[Subgroup],0)),"")</f>
        <v>W</v>
      </c>
      <c r="D11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7" t="str">
        <f>IFERROR(INDEX(Структура_ассортимента[Product group],MATCH(Товары[[#This Row],[SubGroup]],Структура_ассортимента[Subgroup],0)),"")</f>
        <v>WMO_C</v>
      </c>
      <c r="G115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2698</v>
      </c>
      <c r="O1157" s="37" t="s">
        <v>6487</v>
      </c>
      <c r="P1157" s="37" t="s">
        <v>6488</v>
      </c>
      <c r="Q1157" s="39" t="s">
        <v>3416</v>
      </c>
      <c r="R1157" s="34" t="s">
        <v>3407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3410</v>
      </c>
      <c r="X1157" s="34" t="s">
        <v>3446</v>
      </c>
      <c r="Y1157" s="34" t="s">
        <v>3409</v>
      </c>
      <c r="Z1157" s="34">
        <v>10</v>
      </c>
      <c r="AA1157" s="34" t="s">
        <v>3601</v>
      </c>
      <c r="AB1157" s="34" t="s">
        <v>3601</v>
      </c>
      <c r="AC1157" s="34" t="s">
        <v>3967</v>
      </c>
      <c r="AD1157" s="34" t="s">
        <v>6489</v>
      </c>
      <c r="AE1157" s="34" t="s">
        <v>4983</v>
      </c>
      <c r="AF1157" s="34" t="s">
        <v>3835</v>
      </c>
      <c r="AG1157" s="34" t="s">
        <v>4339</v>
      </c>
      <c r="AH1157" s="34" t="s">
        <v>6490</v>
      </c>
      <c r="AL1157" s="34" t="s">
        <v>4871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7" t="str">
        <f>IFERROR(INDEX(Структура_ассортимента[SuperCategory],MATCH(Товары[[#This Row],[SubGroup]],Структура_ассортимента[Subgroup],0)),"")</f>
        <v>W</v>
      </c>
      <c r="D11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7" t="str">
        <f>IFERROR(INDEX(Структура_ассортимента[Product group],MATCH(Товары[[#This Row],[SubGroup]],Структура_ассортимента[Subgroup],0)),"")</f>
        <v>WMO_C</v>
      </c>
      <c r="G115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2699</v>
      </c>
      <c r="Q1158" s="39" t="s">
        <v>3416</v>
      </c>
      <c r="R1158" s="34" t="s">
        <v>3407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3410</v>
      </c>
      <c r="X1158" s="34" t="s">
        <v>3446</v>
      </c>
      <c r="Y1158" s="34" t="s">
        <v>3409</v>
      </c>
      <c r="Z1158" s="34">
        <v>10</v>
      </c>
      <c r="AB1158" s="34" t="s">
        <v>3601</v>
      </c>
      <c r="AD1158" s="34" t="s">
        <v>3967</v>
      </c>
      <c r="AE1158" s="34" t="s">
        <v>4983</v>
      </c>
      <c r="AF1158" s="34" t="s">
        <v>3835</v>
      </c>
      <c r="AG1158" s="34" t="s">
        <v>4339</v>
      </c>
      <c r="AH1158" s="34" t="s">
        <v>6490</v>
      </c>
      <c r="AL1158" s="34" t="s">
        <v>4871</v>
      </c>
      <c r="AM1158" s="34" t="s">
        <v>7962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7" t="str">
        <f>IFERROR(INDEX(Структура_ассортимента[SuperCategory],MATCH(Товары[[#This Row],[SubGroup]],Структура_ассортимента[Subgroup],0)),"")</f>
        <v>W</v>
      </c>
      <c r="D11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7" t="str">
        <f>IFERROR(INDEX(Структура_ассортимента[Product group],MATCH(Товары[[#This Row],[SubGroup]],Структура_ассортимента[Subgroup],0)),"")</f>
        <v>WMO_C</v>
      </c>
      <c r="G115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2700</v>
      </c>
      <c r="Q1159" s="39" t="s">
        <v>3416</v>
      </c>
      <c r="R1159" s="34" t="s">
        <v>3407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3410</v>
      </c>
      <c r="X1159" s="34" t="s">
        <v>3446</v>
      </c>
      <c r="Y1159" s="34" t="s">
        <v>3409</v>
      </c>
      <c r="Z1159" s="34">
        <v>6</v>
      </c>
      <c r="AA1159" s="34" t="s">
        <v>3869</v>
      </c>
      <c r="AB1159" s="34" t="s">
        <v>3869</v>
      </c>
      <c r="AC1159" s="34" t="s">
        <v>3595</v>
      </c>
      <c r="AD1159" s="34" t="s">
        <v>3595</v>
      </c>
      <c r="AE1159" s="34" t="s">
        <v>4512</v>
      </c>
      <c r="AF1159" s="34" t="s">
        <v>3835</v>
      </c>
      <c r="AG1159" s="34" t="s">
        <v>3798</v>
      </c>
      <c r="AH1159" s="34" t="s">
        <v>6491</v>
      </c>
      <c r="AL1159" s="34" t="s">
        <v>4502</v>
      </c>
      <c r="AM1159" s="34" t="s">
        <v>7962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7" t="str">
        <f>IFERROR(INDEX(Структура_ассортимента[SuperCategory],MATCH(Товары[[#This Row],[SubGroup]],Структура_ассортимента[Subgroup],0)),"")</f>
        <v>W</v>
      </c>
      <c r="D11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7" t="str">
        <f>IFERROR(INDEX(Структура_ассортимента[Product group],MATCH(Товары[[#This Row],[SubGroup]],Структура_ассортимента[Subgroup],0)),"")</f>
        <v>WMO_C</v>
      </c>
      <c r="G116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2701</v>
      </c>
      <c r="Q1160" s="39" t="s">
        <v>3416</v>
      </c>
      <c r="R1160" s="34" t="s">
        <v>3407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3410</v>
      </c>
      <c r="X1160" s="34" t="s">
        <v>3446</v>
      </c>
      <c r="Y1160" s="34" t="s">
        <v>3409</v>
      </c>
      <c r="Z1160" s="34">
        <v>50</v>
      </c>
      <c r="AA1160" s="34" t="s">
        <v>3601</v>
      </c>
      <c r="AB1160" s="34" t="s">
        <v>3601</v>
      </c>
      <c r="AC1160" s="34" t="s">
        <v>6492</v>
      </c>
      <c r="AD1160" s="34" t="s">
        <v>6492</v>
      </c>
      <c r="AE1160" s="34" t="s">
        <v>4512</v>
      </c>
      <c r="AF1160" s="34" t="s">
        <v>3835</v>
      </c>
      <c r="AG1160" s="34" t="s">
        <v>4339</v>
      </c>
      <c r="AH1160" s="34" t="s">
        <v>6493</v>
      </c>
      <c r="AL1160" s="34" t="s">
        <v>4689</v>
      </c>
      <c r="AM1160" s="34" t="s">
        <v>7962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7" t="str">
        <f>IFERROR(INDEX(Структура_ассортимента[SuperCategory],MATCH(Товары[[#This Row],[SubGroup]],Структура_ассортимента[Subgroup],0)),"")</f>
        <v>W</v>
      </c>
      <c r="D11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7" t="str">
        <f>IFERROR(INDEX(Структура_ассортимента[Product group],MATCH(Товары[[#This Row],[SubGroup]],Структура_ассортимента[Subgroup],0)),"")</f>
        <v>WMO_C</v>
      </c>
      <c r="G116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2702</v>
      </c>
      <c r="O1161" s="37" t="s">
        <v>6494</v>
      </c>
      <c r="P1161" s="37" t="s">
        <v>6495</v>
      </c>
      <c r="Q1161" s="39" t="s">
        <v>3416</v>
      </c>
      <c r="R1161" s="34" t="s">
        <v>3407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3410</v>
      </c>
      <c r="X1161" s="34" t="s">
        <v>3446</v>
      </c>
      <c r="Y1161" s="34" t="s">
        <v>3409</v>
      </c>
      <c r="Z1161" s="34">
        <v>36</v>
      </c>
      <c r="AA1161" s="34">
        <v>0</v>
      </c>
      <c r="AB1161" s="34" t="s">
        <v>3558</v>
      </c>
      <c r="AC1161" s="34">
        <v>0</v>
      </c>
      <c r="AD1161" s="34" t="s">
        <v>4721</v>
      </c>
      <c r="AE1161" s="34" t="s">
        <v>4027</v>
      </c>
      <c r="AF1161" s="34" t="s">
        <v>3610</v>
      </c>
      <c r="AG1161" s="34" t="s">
        <v>3574</v>
      </c>
      <c r="AH1161" s="34" t="s">
        <v>5989</v>
      </c>
      <c r="AL1161" s="34" t="s">
        <v>3429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7" t="str">
        <f>IFERROR(INDEX(Структура_ассортимента[SuperCategory],MATCH(Товары[[#This Row],[SubGroup]],Структура_ассортимента[Subgroup],0)),"")</f>
        <v>W</v>
      </c>
      <c r="D11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7" t="str">
        <f>IFERROR(INDEX(Структура_ассортимента[Product group],MATCH(Товары[[#This Row],[SubGroup]],Структура_ассортимента[Subgroup],0)),"")</f>
        <v>WMO_C</v>
      </c>
      <c r="G116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2703</v>
      </c>
      <c r="O1162" s="37" t="s">
        <v>6496</v>
      </c>
      <c r="P1162" s="37" t="s">
        <v>6497</v>
      </c>
      <c r="Q1162" s="39" t="s">
        <v>3416</v>
      </c>
      <c r="R1162" s="34" t="s">
        <v>3407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3410</v>
      </c>
      <c r="X1162" s="34" t="s">
        <v>3446</v>
      </c>
      <c r="Y1162" s="34" t="s">
        <v>3409</v>
      </c>
      <c r="Z1162" s="34">
        <v>6</v>
      </c>
      <c r="AA1162" s="34">
        <v>520</v>
      </c>
      <c r="AB1162" s="34" t="s">
        <v>4631</v>
      </c>
      <c r="AC1162" s="34">
        <v>487</v>
      </c>
      <c r="AD1162" s="34" t="s">
        <v>6498</v>
      </c>
      <c r="AE1162" s="34" t="s">
        <v>5152</v>
      </c>
      <c r="AF1162" s="34" t="s">
        <v>3835</v>
      </c>
      <c r="AG1162" s="34" t="s">
        <v>3798</v>
      </c>
      <c r="AH1162" s="34" t="s">
        <v>6499</v>
      </c>
      <c r="AL1162" s="34" t="s">
        <v>4300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7" t="str">
        <f>IFERROR(INDEX(Структура_ассортимента[SuperCategory],MATCH(Товары[[#This Row],[SubGroup]],Структура_ассортимента[Subgroup],0)),"")</f>
        <v>W</v>
      </c>
      <c r="D11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7" t="str">
        <f>IFERROR(INDEX(Структура_ассортимента[Product group],MATCH(Товары[[#This Row],[SubGroup]],Структура_ассортимента[Subgroup],0)),"")</f>
        <v>WMO_C</v>
      </c>
      <c r="G116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2704</v>
      </c>
      <c r="Q1163" s="39" t="s">
        <v>3416</v>
      </c>
      <c r="R1163" s="34" t="s">
        <v>3407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3410</v>
      </c>
      <c r="X1163" s="34" t="s">
        <v>3446</v>
      </c>
      <c r="Y1163" s="34" t="s">
        <v>3409</v>
      </c>
      <c r="Z1163" s="34">
        <v>1400</v>
      </c>
      <c r="AA1163" s="34" t="s">
        <v>3651</v>
      </c>
      <c r="AB1163" s="34" t="s">
        <v>3651</v>
      </c>
      <c r="AC1163" s="34" t="s">
        <v>3666</v>
      </c>
      <c r="AD1163" s="34" t="s">
        <v>3666</v>
      </c>
      <c r="AE1163" s="34" t="s">
        <v>4218</v>
      </c>
      <c r="AF1163" s="34" t="s">
        <v>4088</v>
      </c>
      <c r="AG1163" s="34" t="s">
        <v>4088</v>
      </c>
      <c r="AH1163" s="34" t="s">
        <v>6500</v>
      </c>
      <c r="AI1163" s="34" t="s">
        <v>4299</v>
      </c>
      <c r="AJ1163" s="34" t="s">
        <v>4088</v>
      </c>
      <c r="AK1163" s="34" t="s">
        <v>4088</v>
      </c>
      <c r="AL1163" s="34">
        <v>16800</v>
      </c>
      <c r="AM1163" s="34" t="s">
        <v>7962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7" t="str">
        <f>IFERROR(INDEX(Структура_ассортимента[SuperCategory],MATCH(Товары[[#This Row],[SubGroup]],Структура_ассортимента[Subgroup],0)),"")</f>
        <v>W</v>
      </c>
      <c r="D11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7" t="str">
        <f>IFERROR(INDEX(Структура_ассортимента[Product group],MATCH(Товары[[#This Row],[SubGroup]],Структура_ассортимента[Subgroup],0)),"")</f>
        <v>WMO_C</v>
      </c>
      <c r="G116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2705</v>
      </c>
      <c r="O1164" s="37" t="s">
        <v>6501</v>
      </c>
      <c r="P1164" s="37" t="s">
        <v>6502</v>
      </c>
      <c r="Q1164" s="39" t="s">
        <v>3416</v>
      </c>
      <c r="R1164" s="34" t="s">
        <v>3407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3410</v>
      </c>
      <c r="X1164" s="34" t="s">
        <v>3446</v>
      </c>
      <c r="Y1164" s="34" t="s">
        <v>3409</v>
      </c>
      <c r="Z1164" s="34">
        <v>10</v>
      </c>
      <c r="AA1164" s="34" t="s">
        <v>6382</v>
      </c>
      <c r="AB1164" s="34" t="s">
        <v>6382</v>
      </c>
      <c r="AC1164" s="34" t="s">
        <v>6423</v>
      </c>
      <c r="AD1164" s="34" t="s">
        <v>6423</v>
      </c>
      <c r="AE1164" s="34" t="s">
        <v>3560</v>
      </c>
      <c r="AF1164" s="34" t="s">
        <v>3443</v>
      </c>
      <c r="AG1164" s="34" t="s">
        <v>4127</v>
      </c>
      <c r="AH1164" s="34" t="s">
        <v>5748</v>
      </c>
      <c r="AI1164" s="34" t="s">
        <v>4299</v>
      </c>
      <c r="AJ1164" s="34" t="s">
        <v>4088</v>
      </c>
      <c r="AK1164" s="34" t="s">
        <v>4088</v>
      </c>
      <c r="AL1164" s="34" t="s">
        <v>6503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7" t="str">
        <f>IFERROR(INDEX(Структура_ассортимента[SuperCategory],MATCH(Товары[[#This Row],[SubGroup]],Структура_ассортимента[Subgroup],0)),"")</f>
        <v>W</v>
      </c>
      <c r="D11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7" t="str">
        <f>IFERROR(INDEX(Структура_ассортимента[Product group],MATCH(Товары[[#This Row],[SubGroup]],Структура_ассортимента[Subgroup],0)),"")</f>
        <v>WMO_C</v>
      </c>
      <c r="G116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2706</v>
      </c>
      <c r="Q1165" s="39" t="s">
        <v>3416</v>
      </c>
      <c r="R1165" s="34" t="s">
        <v>3407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3408</v>
      </c>
      <c r="X1165" s="34" t="s">
        <v>3571</v>
      </c>
      <c r="Y1165" s="34" t="s">
        <v>3409</v>
      </c>
      <c r="Z1165" s="34">
        <v>250</v>
      </c>
      <c r="AA1165" s="34" t="s">
        <v>6397</v>
      </c>
      <c r="AB1165" s="34" t="s">
        <v>6397</v>
      </c>
      <c r="AC1165" s="34" t="s">
        <v>5518</v>
      </c>
      <c r="AD1165" s="34" t="s">
        <v>5518</v>
      </c>
      <c r="AE1165" s="34" t="s">
        <v>3433</v>
      </c>
      <c r="AF1165" s="34" t="s">
        <v>4335</v>
      </c>
      <c r="AG1165" s="34" t="s">
        <v>4335</v>
      </c>
      <c r="AH1165" s="34" t="s">
        <v>6504</v>
      </c>
      <c r="AL1165" s="34">
        <v>3000</v>
      </c>
      <c r="AM1165" s="34" t="s">
        <v>7962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7" t="str">
        <f>IFERROR(INDEX(Структура_ассортимента[SuperCategory],MATCH(Товары[[#This Row],[SubGroup]],Структура_ассортимента[Subgroup],0)),"")</f>
        <v>W</v>
      </c>
      <c r="D11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7" t="str">
        <f>IFERROR(INDEX(Структура_ассортимента[Product group],MATCH(Товары[[#This Row],[SubGroup]],Структура_ассортимента[Subgroup],0)),"")</f>
        <v>WMO_C</v>
      </c>
      <c r="G116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2707</v>
      </c>
      <c r="O1166" s="37" t="s">
        <v>6505</v>
      </c>
      <c r="P1166" s="37" t="s">
        <v>6506</v>
      </c>
      <c r="Q1166" s="39" t="s">
        <v>3416</v>
      </c>
      <c r="R1166" s="34" t="s">
        <v>3407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3410</v>
      </c>
      <c r="X1166" s="34" t="s">
        <v>3446</v>
      </c>
      <c r="Y1166" s="34" t="s">
        <v>3409</v>
      </c>
      <c r="Z1166" s="34">
        <v>10</v>
      </c>
      <c r="AA1166" s="34" t="s">
        <v>3594</v>
      </c>
      <c r="AB1166" s="34" t="s">
        <v>3594</v>
      </c>
      <c r="AC1166" s="34" t="s">
        <v>3520</v>
      </c>
      <c r="AD1166" s="34" t="s">
        <v>3520</v>
      </c>
      <c r="AE1166" s="34" t="s">
        <v>3692</v>
      </c>
      <c r="AF1166" s="34" t="s">
        <v>3443</v>
      </c>
      <c r="AG1166" s="34" t="s">
        <v>4288</v>
      </c>
      <c r="AH1166" s="34" t="s">
        <v>5818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7" t="str">
        <f>IFERROR(INDEX(Структура_ассортимента[SuperCategory],MATCH(Товары[[#This Row],[SubGroup]],Структура_ассортимента[Subgroup],0)),"")</f>
        <v>W</v>
      </c>
      <c r="D11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7" t="str">
        <f>IFERROR(INDEX(Структура_ассортимента[Product group],MATCH(Товары[[#This Row],[SubGroup]],Структура_ассортимента[Subgroup],0)),"")</f>
        <v>WMO_C</v>
      </c>
      <c r="G116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2708</v>
      </c>
      <c r="O1167" s="37" t="s">
        <v>6507</v>
      </c>
      <c r="P1167" s="37" t="s">
        <v>6508</v>
      </c>
      <c r="Q1167" s="39" t="s">
        <v>3416</v>
      </c>
      <c r="R1167" s="34" t="s">
        <v>3407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3410</v>
      </c>
      <c r="X1167" s="34" t="s">
        <v>3446</v>
      </c>
      <c r="Y1167" s="34" t="s">
        <v>3409</v>
      </c>
      <c r="Z1167" s="34">
        <v>10</v>
      </c>
      <c r="AA1167" s="34" t="s">
        <v>6386</v>
      </c>
      <c r="AB1167" s="34" t="s">
        <v>6386</v>
      </c>
      <c r="AC1167" s="34" t="s">
        <v>5514</v>
      </c>
      <c r="AD1167" s="34" t="s">
        <v>5514</v>
      </c>
      <c r="AE1167" s="34" t="s">
        <v>3560</v>
      </c>
      <c r="AF1167" s="34" t="s">
        <v>3443</v>
      </c>
      <c r="AG1167" s="34" t="s">
        <v>3798</v>
      </c>
      <c r="AH1167" s="34" t="s">
        <v>6472</v>
      </c>
      <c r="AI1167" s="34" t="s">
        <v>4330</v>
      </c>
      <c r="AJ1167" s="34" t="s">
        <v>4335</v>
      </c>
      <c r="AK1167" s="34" t="s">
        <v>4335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7" t="str">
        <f>IFERROR(INDEX(Структура_ассортимента[SuperCategory],MATCH(Товары[[#This Row],[SubGroup]],Структура_ассортимента[Subgroup],0)),"")</f>
        <v>W</v>
      </c>
      <c r="D11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7" t="str">
        <f>IFERROR(INDEX(Структура_ассортимента[Product group],MATCH(Товары[[#This Row],[SubGroup]],Структура_ассортимента[Subgroup],0)),"")</f>
        <v>WMO_C</v>
      </c>
      <c r="G116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2709</v>
      </c>
      <c r="Q1168" s="39" t="s">
        <v>3416</v>
      </c>
      <c r="R1168" s="34" t="s">
        <v>3407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3410</v>
      </c>
      <c r="X1168" s="34" t="s">
        <v>3446</v>
      </c>
      <c r="Y1168" s="34" t="s">
        <v>3409</v>
      </c>
      <c r="Z1168" s="34">
        <v>900</v>
      </c>
      <c r="AA1168" s="34" t="s">
        <v>3670</v>
      </c>
      <c r="AB1168" s="34" t="s">
        <v>3670</v>
      </c>
      <c r="AC1168" s="34" t="s">
        <v>6357</v>
      </c>
      <c r="AD1168" s="34" t="s">
        <v>6357</v>
      </c>
      <c r="AE1168" s="34" t="s">
        <v>4048</v>
      </c>
      <c r="AF1168" s="34" t="s">
        <v>3798</v>
      </c>
      <c r="AG1168" s="34" t="s">
        <v>3798</v>
      </c>
      <c r="AH1168" s="34" t="s">
        <v>6509</v>
      </c>
      <c r="AI1168" s="34" t="s">
        <v>4330</v>
      </c>
      <c r="AJ1168" s="34" t="s">
        <v>4335</v>
      </c>
      <c r="AK1168" s="34" t="s">
        <v>4335</v>
      </c>
      <c r="AL1168" s="34">
        <v>10800</v>
      </c>
      <c r="AM1168" s="34" t="s">
        <v>7962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7" t="str">
        <f>IFERROR(INDEX(Структура_ассортимента[SuperCategory],MATCH(Товары[[#This Row],[SubGroup]],Структура_ассортимента[Subgroup],0)),"")</f>
        <v>W</v>
      </c>
      <c r="D11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7" t="str">
        <f>IFERROR(INDEX(Структура_ассортимента[Product group],MATCH(Товары[[#This Row],[SubGroup]],Структура_ассортимента[Subgroup],0)),"")</f>
        <v>WMO_C</v>
      </c>
      <c r="G116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2710</v>
      </c>
      <c r="O1169" s="37" t="s">
        <v>6510</v>
      </c>
      <c r="P1169" s="37" t="s">
        <v>6511</v>
      </c>
      <c r="Q1169" s="39" t="s">
        <v>3416</v>
      </c>
      <c r="R1169" s="34" t="s">
        <v>3407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3410</v>
      </c>
      <c r="X1169" s="34" t="s">
        <v>3446</v>
      </c>
      <c r="Y1169" s="34" t="s">
        <v>3409</v>
      </c>
      <c r="Z1169" s="34">
        <v>6</v>
      </c>
      <c r="AA1169" s="34" t="s">
        <v>6382</v>
      </c>
      <c r="AB1169" s="34" t="s">
        <v>6382</v>
      </c>
      <c r="AC1169" s="34" t="s">
        <v>6306</v>
      </c>
      <c r="AD1169" s="34" t="s">
        <v>6306</v>
      </c>
      <c r="AE1169" s="34" t="s">
        <v>3560</v>
      </c>
      <c r="AF1169" s="34" t="s">
        <v>3443</v>
      </c>
      <c r="AG1169" s="34" t="s">
        <v>4098</v>
      </c>
      <c r="AH1169" s="34" t="s">
        <v>3585</v>
      </c>
      <c r="AI1169" s="34" t="s">
        <v>4106</v>
      </c>
      <c r="AJ1169" s="34" t="s">
        <v>4993</v>
      </c>
      <c r="AK1169" s="34" t="s">
        <v>3978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7" t="str">
        <f>IFERROR(INDEX(Структура_ассортимента[SuperCategory],MATCH(Товары[[#This Row],[SubGroup]],Структура_ассортимента[Subgroup],0)),"")</f>
        <v>W</v>
      </c>
      <c r="D11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7" t="str">
        <f>IFERROR(INDEX(Структура_ассортимента[Product group],MATCH(Товары[[#This Row],[SubGroup]],Структура_ассортимента[Subgroup],0)),"")</f>
        <v>WMO_C</v>
      </c>
      <c r="G117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2711</v>
      </c>
      <c r="Q1170" s="39" t="s">
        <v>3416</v>
      </c>
      <c r="R1170" s="34" t="s">
        <v>3407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3410</v>
      </c>
      <c r="X1170" s="34" t="s">
        <v>3446</v>
      </c>
      <c r="Y1170" s="34" t="s">
        <v>3409</v>
      </c>
      <c r="Z1170" s="34">
        <v>1200</v>
      </c>
      <c r="AA1170" s="34" t="s">
        <v>3651</v>
      </c>
      <c r="AB1170" s="34" t="s">
        <v>3651</v>
      </c>
      <c r="AC1170" s="34" t="s">
        <v>3666</v>
      </c>
      <c r="AD1170" s="34" t="s">
        <v>3666</v>
      </c>
      <c r="AE1170" s="34" t="s">
        <v>3621</v>
      </c>
      <c r="AF1170" s="34" t="s">
        <v>3539</v>
      </c>
      <c r="AG1170" s="34" t="s">
        <v>4098</v>
      </c>
      <c r="AH1170" s="34" t="s">
        <v>6377</v>
      </c>
      <c r="AI1170" s="34" t="s">
        <v>4106</v>
      </c>
      <c r="AJ1170" s="34" t="s">
        <v>4993</v>
      </c>
      <c r="AK1170" s="34" t="s">
        <v>3978</v>
      </c>
      <c r="AL1170" s="34">
        <v>14400</v>
      </c>
      <c r="AM1170" s="34" t="s">
        <v>7962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7" t="str">
        <f>IFERROR(INDEX(Структура_ассортимента[SuperCategory],MATCH(Товары[[#This Row],[SubGroup]],Структура_ассортимента[Subgroup],0)),"")</f>
        <v>W</v>
      </c>
      <c r="D11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7" t="str">
        <f>IFERROR(INDEX(Структура_ассортимента[Product group],MATCH(Товары[[#This Row],[SubGroup]],Структура_ассортимента[Subgroup],0)),"")</f>
        <v>WMO_C</v>
      </c>
      <c r="G117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2712</v>
      </c>
      <c r="Q1171" s="39" t="s">
        <v>3416</v>
      </c>
      <c r="R1171" s="34" t="s">
        <v>3407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3410</v>
      </c>
      <c r="X1171" s="34" t="s">
        <v>3446</v>
      </c>
      <c r="Y1171" s="34" t="s">
        <v>3409</v>
      </c>
      <c r="Z1171" s="34">
        <v>1400</v>
      </c>
      <c r="AA1171" s="34" t="s">
        <v>3662</v>
      </c>
      <c r="AB1171" s="34" t="s">
        <v>3662</v>
      </c>
      <c r="AC1171" s="34" t="s">
        <v>3674</v>
      </c>
      <c r="AD1171" s="34" t="s">
        <v>3674</v>
      </c>
      <c r="AE1171" s="34" t="s">
        <v>3621</v>
      </c>
      <c r="AF1171" s="34" t="s">
        <v>4098</v>
      </c>
      <c r="AG1171" s="34" t="s">
        <v>4098</v>
      </c>
      <c r="AH1171" s="34" t="s">
        <v>6512</v>
      </c>
      <c r="AL1171" s="34">
        <v>16800</v>
      </c>
      <c r="AM1171" s="34" t="s">
        <v>7962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7" t="str">
        <f>IFERROR(INDEX(Структура_ассортимента[SuperCategory],MATCH(Товары[[#This Row],[SubGroup]],Структура_ассортимента[Subgroup],0)),"")</f>
        <v>W</v>
      </c>
      <c r="D11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7" t="str">
        <f>IFERROR(INDEX(Структура_ассортимента[Product group],MATCH(Товары[[#This Row],[SubGroup]],Структура_ассортимента[Subgroup],0)),"")</f>
        <v>WMO_C</v>
      </c>
      <c r="G117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2713</v>
      </c>
      <c r="O1172" s="37" t="s">
        <v>6513</v>
      </c>
      <c r="P1172" s="37" t="s">
        <v>6514</v>
      </c>
      <c r="Q1172" s="39" t="s">
        <v>3416</v>
      </c>
      <c r="R1172" s="34" t="s">
        <v>3407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3410</v>
      </c>
      <c r="X1172" s="34" t="s">
        <v>3446</v>
      </c>
      <c r="Y1172" s="34" t="s">
        <v>3409</v>
      </c>
      <c r="Z1172" s="34">
        <v>10</v>
      </c>
      <c r="AA1172" s="34" t="s">
        <v>6423</v>
      </c>
      <c r="AB1172" s="34" t="s">
        <v>6423</v>
      </c>
      <c r="AC1172" s="34" t="s">
        <v>3670</v>
      </c>
      <c r="AD1172" s="34" t="s">
        <v>3670</v>
      </c>
      <c r="AE1172" s="34" t="s">
        <v>3560</v>
      </c>
      <c r="AF1172" s="34" t="s">
        <v>3443</v>
      </c>
      <c r="AG1172" s="34" t="s">
        <v>5912</v>
      </c>
      <c r="AH1172" s="34" t="s">
        <v>6515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7" t="str">
        <f>IFERROR(INDEX(Структура_ассортимента[SuperCategory],MATCH(Товары[[#This Row],[SubGroup]],Структура_ассортимента[Subgroup],0)),"")</f>
        <v>W</v>
      </c>
      <c r="D11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7" t="str">
        <f>IFERROR(INDEX(Структура_ассортимента[Product group],MATCH(Товары[[#This Row],[SubGroup]],Структура_ассортимента[Subgroup],0)),"")</f>
        <v>WMO_C</v>
      </c>
      <c r="G117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2714</v>
      </c>
      <c r="Q1173" s="39" t="s">
        <v>3416</v>
      </c>
      <c r="R1173" s="34" t="s">
        <v>3407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3410</v>
      </c>
      <c r="X1173" s="34" t="s">
        <v>3446</v>
      </c>
      <c r="Y1173" s="34" t="s">
        <v>3409</v>
      </c>
      <c r="Z1173" s="34">
        <v>1200</v>
      </c>
      <c r="AA1173" s="34" t="s">
        <v>3650</v>
      </c>
      <c r="AB1173" s="34" t="s">
        <v>3650</v>
      </c>
      <c r="AC1173" s="34" t="s">
        <v>3651</v>
      </c>
      <c r="AD1173" s="34" t="s">
        <v>3651</v>
      </c>
      <c r="AE1173" s="34" t="s">
        <v>3578</v>
      </c>
      <c r="AF1173" s="34" t="s">
        <v>3539</v>
      </c>
      <c r="AG1173" s="34" t="s">
        <v>3539</v>
      </c>
      <c r="AH1173" s="34" t="s">
        <v>6516</v>
      </c>
      <c r="AL1173" s="34">
        <v>14400</v>
      </c>
      <c r="AM1173" s="34" t="s">
        <v>7962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7" t="str">
        <f>IFERROR(INDEX(Структура_ассортимента[SuperCategory],MATCH(Товары[[#This Row],[SubGroup]],Структура_ассортимента[Subgroup],0)),"")</f>
        <v>W</v>
      </c>
      <c r="D11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7" t="str">
        <f>IFERROR(INDEX(Структура_ассортимента[Product group],MATCH(Товары[[#This Row],[SubGroup]],Структура_ассортимента[Subgroup],0)),"")</f>
        <v>WMO_C</v>
      </c>
      <c r="G117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2715</v>
      </c>
      <c r="O1174" s="37" t="s">
        <v>6517</v>
      </c>
      <c r="P1174" s="37" t="s">
        <v>6518</v>
      </c>
      <c r="Q1174" s="39" t="s">
        <v>3416</v>
      </c>
      <c r="R1174" s="34" t="s">
        <v>3407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3410</v>
      </c>
      <c r="X1174" s="34" t="s">
        <v>3446</v>
      </c>
      <c r="Y1174" s="34" t="s">
        <v>3409</v>
      </c>
      <c r="Z1174" s="34">
        <v>10</v>
      </c>
      <c r="AA1174" s="34" t="s">
        <v>6382</v>
      </c>
      <c r="AB1174" s="34" t="s">
        <v>6382</v>
      </c>
      <c r="AC1174" s="34" t="s">
        <v>3670</v>
      </c>
      <c r="AD1174" s="34" t="s">
        <v>3670</v>
      </c>
      <c r="AE1174" s="34" t="s">
        <v>3560</v>
      </c>
      <c r="AF1174" s="34" t="s">
        <v>3443</v>
      </c>
      <c r="AG1174" s="34" t="s">
        <v>3539</v>
      </c>
      <c r="AH1174" s="34" t="s">
        <v>6519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7" t="str">
        <f>IFERROR(INDEX(Структура_ассортимента[SuperCategory],MATCH(Товары[[#This Row],[SubGroup]],Структура_ассортимента[Subgroup],0)),"")</f>
        <v>W</v>
      </c>
      <c r="D11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7" t="str">
        <f>IFERROR(INDEX(Структура_ассортимента[Product group],MATCH(Товары[[#This Row],[SubGroup]],Структура_ассортимента[Subgroup],0)),"")</f>
        <v>WMO_C</v>
      </c>
      <c r="G117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2716</v>
      </c>
      <c r="O1175" s="37" t="s">
        <v>6520</v>
      </c>
      <c r="P1175" s="37" t="s">
        <v>6521</v>
      </c>
      <c r="Q1175" s="39" t="s">
        <v>3416</v>
      </c>
      <c r="R1175" s="34" t="s">
        <v>3407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3410</v>
      </c>
      <c r="X1175" s="34" t="s">
        <v>3446</v>
      </c>
      <c r="Y1175" s="34" t="s">
        <v>3409</v>
      </c>
      <c r="Z1175" s="34">
        <v>6</v>
      </c>
      <c r="AA1175" s="34" t="s">
        <v>3646</v>
      </c>
      <c r="AB1175" s="34" t="s">
        <v>3646</v>
      </c>
      <c r="AC1175" s="34" t="s">
        <v>6522</v>
      </c>
      <c r="AD1175" s="34" t="s">
        <v>6522</v>
      </c>
      <c r="AE1175" s="34" t="s">
        <v>3560</v>
      </c>
      <c r="AF1175" s="34" t="s">
        <v>3443</v>
      </c>
      <c r="AG1175" s="34" t="s">
        <v>4101</v>
      </c>
      <c r="AH1175" s="34" t="s">
        <v>5501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7" t="str">
        <f>IFERROR(INDEX(Структура_ассортимента[SuperCategory],MATCH(Товары[[#This Row],[SubGroup]],Структура_ассортимента[Subgroup],0)),"")</f>
        <v>W</v>
      </c>
      <c r="D11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7" t="str">
        <f>IFERROR(INDEX(Структура_ассортимента[Product group],MATCH(Товары[[#This Row],[SubGroup]],Структура_ассортимента[Subgroup],0)),"")</f>
        <v>WMO_C</v>
      </c>
      <c r="G117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2717</v>
      </c>
      <c r="O1176" s="37" t="s">
        <v>6523</v>
      </c>
      <c r="P1176" s="37" t="s">
        <v>6524</v>
      </c>
      <c r="Q1176" s="39" t="s">
        <v>3416</v>
      </c>
      <c r="R1176" s="34" t="s">
        <v>3407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3410</v>
      </c>
      <c r="X1176" s="34" t="s">
        <v>3446</v>
      </c>
      <c r="Y1176" s="34" t="s">
        <v>3409</v>
      </c>
      <c r="Z1176" s="34">
        <v>6</v>
      </c>
      <c r="AA1176" s="34" t="s">
        <v>6319</v>
      </c>
      <c r="AB1176" s="34" t="s">
        <v>6319</v>
      </c>
      <c r="AC1176" s="34" t="s">
        <v>3582</v>
      </c>
      <c r="AD1176" s="34" t="s">
        <v>3582</v>
      </c>
      <c r="AE1176" s="34" t="s">
        <v>3692</v>
      </c>
      <c r="AF1176" s="34" t="s">
        <v>3443</v>
      </c>
      <c r="AG1176" s="34" t="s">
        <v>4101</v>
      </c>
      <c r="AH1176" s="34" t="s">
        <v>6525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7" t="str">
        <f>IFERROR(INDEX(Структура_ассортимента[SuperCategory],MATCH(Товары[[#This Row],[SubGroup]],Структура_ассортимента[Subgroup],0)),"")</f>
        <v>W</v>
      </c>
      <c r="D11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7" t="str">
        <f>IFERROR(INDEX(Структура_ассортимента[Product group],MATCH(Товары[[#This Row],[SubGroup]],Структура_ассортимента[Subgroup],0)),"")</f>
        <v>WMO_C</v>
      </c>
      <c r="G117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2718</v>
      </c>
      <c r="O1177" s="37" t="s">
        <v>6526</v>
      </c>
      <c r="P1177" s="37" t="s">
        <v>6527</v>
      </c>
      <c r="Q1177" s="39" t="s">
        <v>3416</v>
      </c>
      <c r="R1177" s="34" t="s">
        <v>3407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3410</v>
      </c>
      <c r="X1177" s="34" t="s">
        <v>3446</v>
      </c>
      <c r="Y1177" s="34" t="s">
        <v>3409</v>
      </c>
      <c r="Z1177" s="34">
        <v>6</v>
      </c>
      <c r="AA1177" s="34" t="s">
        <v>5495</v>
      </c>
      <c r="AB1177" s="34" t="s">
        <v>5495</v>
      </c>
      <c r="AC1177" s="34" t="s">
        <v>6386</v>
      </c>
      <c r="AD1177" s="34" t="s">
        <v>6386</v>
      </c>
      <c r="AE1177" s="34" t="s">
        <v>3692</v>
      </c>
      <c r="AF1177" s="34" t="s">
        <v>3443</v>
      </c>
      <c r="AG1177" s="34" t="s">
        <v>3539</v>
      </c>
      <c r="AH1177" s="34" t="s">
        <v>4842</v>
      </c>
      <c r="AI1177" s="34" t="s">
        <v>5880</v>
      </c>
      <c r="AJ1177" s="34" t="s">
        <v>3668</v>
      </c>
      <c r="AK1177" s="34" t="s">
        <v>4526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7" t="str">
        <f>IFERROR(INDEX(Структура_ассортимента[SuperCategory],MATCH(Товары[[#This Row],[SubGroup]],Структура_ассортимента[Subgroup],0)),"")</f>
        <v>W</v>
      </c>
      <c r="D11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7" t="str">
        <f>IFERROR(INDEX(Структура_ассортимента[Product group],MATCH(Товары[[#This Row],[SubGroup]],Структура_ассортимента[Subgroup],0)),"")</f>
        <v>WMO_C</v>
      </c>
      <c r="G117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2719</v>
      </c>
      <c r="O1178" s="37" t="s">
        <v>6528</v>
      </c>
      <c r="P1178" s="37" t="s">
        <v>6529</v>
      </c>
      <c r="Q1178" s="39" t="s">
        <v>3416</v>
      </c>
      <c r="R1178" s="34" t="s">
        <v>3407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3410</v>
      </c>
      <c r="X1178" s="34" t="s">
        <v>3446</v>
      </c>
      <c r="Y1178" s="34" t="s">
        <v>3409</v>
      </c>
      <c r="Z1178" s="34">
        <v>10</v>
      </c>
      <c r="AA1178" s="34" t="s">
        <v>5500</v>
      </c>
      <c r="AB1178" s="34" t="s">
        <v>5500</v>
      </c>
      <c r="AC1178" s="34" t="s">
        <v>3642</v>
      </c>
      <c r="AD1178" s="34" t="s">
        <v>3642</v>
      </c>
      <c r="AE1178" s="34" t="s">
        <v>3560</v>
      </c>
      <c r="AF1178" s="34" t="s">
        <v>3443</v>
      </c>
      <c r="AG1178" s="34" t="s">
        <v>4335</v>
      </c>
      <c r="AH1178" s="34" t="s">
        <v>5504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7" t="str">
        <f>IFERROR(INDEX(Структура_ассортимента[SuperCategory],MATCH(Товары[[#This Row],[SubGroup]],Структура_ассортимента[Subgroup],0)),"")</f>
        <v>W</v>
      </c>
      <c r="D11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7" t="str">
        <f>IFERROR(INDEX(Структура_ассортимента[Product group],MATCH(Товары[[#This Row],[SubGroup]],Структура_ассортимента[Subgroup],0)),"")</f>
        <v>WMO_C</v>
      </c>
      <c r="G117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2720</v>
      </c>
      <c r="O1179" s="37" t="s">
        <v>6530</v>
      </c>
      <c r="P1179" s="37" t="s">
        <v>6531</v>
      </c>
      <c r="Q1179" s="39" t="s">
        <v>3416</v>
      </c>
      <c r="R1179" s="34" t="s">
        <v>3407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3410</v>
      </c>
      <c r="X1179" s="34" t="s">
        <v>3446</v>
      </c>
      <c r="Y1179" s="34" t="s">
        <v>3409</v>
      </c>
      <c r="Z1179" s="34">
        <v>6</v>
      </c>
      <c r="AA1179" s="34" t="s">
        <v>6132</v>
      </c>
      <c r="AB1179" s="34" t="s">
        <v>6132</v>
      </c>
      <c r="AC1179" s="34" t="s">
        <v>3595</v>
      </c>
      <c r="AD1179" s="34" t="s">
        <v>3595</v>
      </c>
      <c r="AE1179" s="34" t="s">
        <v>3692</v>
      </c>
      <c r="AF1179" s="34" t="s">
        <v>3443</v>
      </c>
      <c r="AG1179" s="34" t="s">
        <v>3578</v>
      </c>
      <c r="AH1179" s="34" t="s">
        <v>6532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7" t="str">
        <f>IFERROR(INDEX(Структура_ассортимента[SuperCategory],MATCH(Товары[[#This Row],[SubGroup]],Структура_ассортимента[Subgroup],0)),"")</f>
        <v>W</v>
      </c>
      <c r="D11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7" t="str">
        <f>IFERROR(INDEX(Структура_ассортимента[Product group],MATCH(Товары[[#This Row],[SubGroup]],Структура_ассортимента[Subgroup],0)),"")</f>
        <v>WMO_C</v>
      </c>
      <c r="G118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2721</v>
      </c>
      <c r="O1180" s="37" t="s">
        <v>6533</v>
      </c>
      <c r="P1180" s="37" t="s">
        <v>6534</v>
      </c>
      <c r="Q1180" s="39" t="s">
        <v>3416</v>
      </c>
      <c r="R1180" s="34" t="s">
        <v>3407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3410</v>
      </c>
      <c r="X1180" s="34" t="s">
        <v>3446</v>
      </c>
      <c r="Y1180" s="34" t="s">
        <v>3409</v>
      </c>
      <c r="Z1180" s="34">
        <v>10</v>
      </c>
      <c r="AA1180" s="34" t="s">
        <v>6535</v>
      </c>
      <c r="AB1180" s="34" t="s">
        <v>6535</v>
      </c>
      <c r="AC1180" s="34" t="s">
        <v>6536</v>
      </c>
      <c r="AD1180" s="34" t="s">
        <v>6536</v>
      </c>
      <c r="AE1180" s="34" t="s">
        <v>3692</v>
      </c>
      <c r="AF1180" s="34" t="s">
        <v>3443</v>
      </c>
      <c r="AG1180" s="34" t="s">
        <v>4335</v>
      </c>
      <c r="AH1180" s="34" t="s">
        <v>6537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7" t="str">
        <f>IFERROR(INDEX(Структура_ассортимента[SuperCategory],MATCH(Товары[[#This Row],[SubGroup]],Структура_ассортимента[Subgroup],0)),"")</f>
        <v>W</v>
      </c>
      <c r="D11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7" t="str">
        <f>IFERROR(INDEX(Структура_ассортимента[Product group],MATCH(Товары[[#This Row],[SubGroup]],Структура_ассортимента[Subgroup],0)),"")</f>
        <v>WMO_C</v>
      </c>
      <c r="G118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2722</v>
      </c>
      <c r="Q1181" s="39" t="s">
        <v>3416</v>
      </c>
      <c r="R1181" s="34" t="s">
        <v>3407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3408</v>
      </c>
      <c r="X1181" s="34" t="s">
        <v>3571</v>
      </c>
      <c r="Y1181" s="34" t="s">
        <v>3409</v>
      </c>
      <c r="Z1181" s="34">
        <v>4</v>
      </c>
      <c r="AA1181" s="34" t="s">
        <v>4522</v>
      </c>
      <c r="AB1181" s="34" t="s">
        <v>4522</v>
      </c>
      <c r="AC1181" s="34" t="s">
        <v>4046</v>
      </c>
      <c r="AD1181" s="34" t="s">
        <v>4046</v>
      </c>
      <c r="AE1181" s="34" t="s">
        <v>4895</v>
      </c>
      <c r="AF1181" s="34" t="s">
        <v>3778</v>
      </c>
      <c r="AG1181" s="34" t="s">
        <v>3753</v>
      </c>
      <c r="AH1181" s="34" t="s">
        <v>6538</v>
      </c>
      <c r="AL1181" s="34">
        <v>312</v>
      </c>
      <c r="AM1181" s="34" t="s">
        <v>7962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7" t="str">
        <f>IFERROR(INDEX(Структура_ассортимента[SuperCategory],MATCH(Товары[[#This Row],[SubGroup]],Структура_ассортимента[Subgroup],0)),"")</f>
        <v>W</v>
      </c>
      <c r="D11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7" t="str">
        <f>IFERROR(INDEX(Структура_ассортимента[Product group],MATCH(Товары[[#This Row],[SubGroup]],Структура_ассортимента[Subgroup],0)),"")</f>
        <v>WMO_C</v>
      </c>
      <c r="G118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7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2723</v>
      </c>
      <c r="Q1182" s="39" t="s">
        <v>3416</v>
      </c>
      <c r="R1182" s="34" t="s">
        <v>3407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3408</v>
      </c>
      <c r="X1182" s="34" t="s">
        <v>3571</v>
      </c>
      <c r="Y1182" s="34" t="s">
        <v>3409</v>
      </c>
      <c r="Z1182" s="34">
        <v>4</v>
      </c>
      <c r="AA1182" s="34" t="s">
        <v>4577</v>
      </c>
      <c r="AB1182" s="34" t="s">
        <v>4577</v>
      </c>
      <c r="AC1182" s="34" t="s">
        <v>4632</v>
      </c>
      <c r="AD1182" s="34" t="s">
        <v>4632</v>
      </c>
      <c r="AE1182" s="34" t="s">
        <v>5860</v>
      </c>
      <c r="AF1182" s="34" t="s">
        <v>3822</v>
      </c>
      <c r="AG1182" s="34" t="s">
        <v>3753</v>
      </c>
      <c r="AH1182" s="34" t="s">
        <v>6539</v>
      </c>
      <c r="AI1182" s="34" t="s">
        <v>6540</v>
      </c>
      <c r="AL1182" s="34">
        <v>72</v>
      </c>
      <c r="AM1182" s="34" t="s">
        <v>7962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7" t="str">
        <f>IFERROR(INDEX(Структура_ассортимента[SuperCategory],MATCH(Товары[[#This Row],[SubGroup]],Структура_ассортимента[Subgroup],0)),"")</f>
        <v>W</v>
      </c>
      <c r="D11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7" t="str">
        <f>IFERROR(INDEX(Структура_ассортимента[Product group],MATCH(Товары[[#This Row],[SubGroup]],Структура_ассортимента[Subgroup],0)),"")</f>
        <v>WMO_C</v>
      </c>
      <c r="G118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2724</v>
      </c>
      <c r="Q1183" s="39" t="s">
        <v>3519</v>
      </c>
      <c r="R1183" s="34" t="s">
        <v>3407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3410</v>
      </c>
      <c r="X1183" s="34" t="s">
        <v>3446</v>
      </c>
      <c r="Y1183" s="34" t="s">
        <v>3409</v>
      </c>
      <c r="Z1183" s="34">
        <v>36</v>
      </c>
      <c r="AB1183" s="34" t="s">
        <v>3629</v>
      </c>
      <c r="AD1183" s="34" t="s">
        <v>5097</v>
      </c>
      <c r="AE1183" s="34" t="s">
        <v>3809</v>
      </c>
      <c r="AF1183" s="34" t="s">
        <v>3835</v>
      </c>
      <c r="AG1183" s="34" t="s">
        <v>5547</v>
      </c>
      <c r="AH1183" s="34" t="s">
        <v>6331</v>
      </c>
      <c r="AL1183" s="34" t="s">
        <v>3429</v>
      </c>
      <c r="AM1183" s="34" t="s">
        <v>7962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7" t="str">
        <f>IFERROR(INDEX(Структура_ассортимента[SuperCategory],MATCH(Товары[[#This Row],[SubGroup]],Структура_ассортимента[Subgroup],0)),"")</f>
        <v>W</v>
      </c>
      <c r="D11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7" t="str">
        <f>IFERROR(INDEX(Структура_ассортимента[Product group],MATCH(Товары[[#This Row],[SubGroup]],Структура_ассортимента[Subgroup],0)),"")</f>
        <v>WMO_C</v>
      </c>
      <c r="G118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2725</v>
      </c>
      <c r="O1184" s="37" t="s">
        <v>6541</v>
      </c>
      <c r="P1184" s="37" t="s">
        <v>6542</v>
      </c>
      <c r="Q1184" s="39" t="s">
        <v>3416</v>
      </c>
      <c r="R1184" s="34" t="s">
        <v>3407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3410</v>
      </c>
      <c r="X1184" s="34" t="s">
        <v>3446</v>
      </c>
      <c r="Y1184" s="34" t="s">
        <v>3409</v>
      </c>
      <c r="Z1184" s="34">
        <v>6</v>
      </c>
      <c r="AA1184" s="34" t="s">
        <v>6543</v>
      </c>
      <c r="AB1184" s="34" t="s">
        <v>5895</v>
      </c>
      <c r="AC1184" s="34" t="s">
        <v>5496</v>
      </c>
      <c r="AD1184" s="34" t="s">
        <v>6338</v>
      </c>
      <c r="AE1184" s="34" t="s">
        <v>3560</v>
      </c>
      <c r="AF1184" s="34" t="s">
        <v>3667</v>
      </c>
      <c r="AG1184" s="34" t="s">
        <v>3539</v>
      </c>
      <c r="AH1184" s="34" t="s">
        <v>6307</v>
      </c>
      <c r="AI1184" s="34" t="s">
        <v>4101</v>
      </c>
      <c r="AJ1184" s="34" t="s">
        <v>4273</v>
      </c>
      <c r="AK1184" s="34" t="s">
        <v>4101</v>
      </c>
      <c r="AL1184" s="34" t="s">
        <v>6315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7" t="str">
        <f>IFERROR(INDEX(Структура_ассортимента[SuperCategory],MATCH(Товары[[#This Row],[SubGroup]],Структура_ассортимента[Subgroup],0)),"")</f>
        <v>W</v>
      </c>
      <c r="D11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7" t="str">
        <f>IFERROR(INDEX(Структура_ассортимента[Product group],MATCH(Товары[[#This Row],[SubGroup]],Структура_ассортимента[Subgroup],0)),"")</f>
        <v>WMO_C</v>
      </c>
      <c r="G118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2726</v>
      </c>
      <c r="O1185" s="37" t="s">
        <v>6544</v>
      </c>
      <c r="P1185" s="37" t="s">
        <v>6545</v>
      </c>
      <c r="Q1185" s="39" t="s">
        <v>3416</v>
      </c>
      <c r="R1185" s="34" t="s">
        <v>3407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3410</v>
      </c>
      <c r="X1185" s="34" t="s">
        <v>3446</v>
      </c>
      <c r="Y1185" s="34" t="s">
        <v>3409</v>
      </c>
      <c r="Z1185" s="34">
        <v>10</v>
      </c>
      <c r="AA1185" s="34" t="s">
        <v>6546</v>
      </c>
      <c r="AB1185" s="34" t="s">
        <v>3537</v>
      </c>
      <c r="AC1185" s="34" t="s">
        <v>5915</v>
      </c>
      <c r="AD1185" s="34" t="s">
        <v>3543</v>
      </c>
      <c r="AE1185" s="34" t="s">
        <v>4063</v>
      </c>
      <c r="AF1185" s="34" t="s">
        <v>3443</v>
      </c>
      <c r="AG1185" s="34" t="s">
        <v>3798</v>
      </c>
      <c r="AH1185" s="34" t="s">
        <v>6547</v>
      </c>
      <c r="AI1185" s="34" t="s">
        <v>4513</v>
      </c>
      <c r="AJ1185" s="34" t="s">
        <v>3798</v>
      </c>
      <c r="AK1185" s="34" t="s">
        <v>4642</v>
      </c>
      <c r="AL1185" s="34" t="s">
        <v>6548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7" t="str">
        <f>IFERROR(INDEX(Структура_ассортимента[SuperCategory],MATCH(Товары[[#This Row],[SubGroup]],Структура_ассортимента[Subgroup],0)),"")</f>
        <v>W</v>
      </c>
      <c r="D11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7" t="str">
        <f>IFERROR(INDEX(Структура_ассортимента[Product group],MATCH(Товары[[#This Row],[SubGroup]],Структура_ассортимента[Subgroup],0)),"")</f>
        <v>WMO_C</v>
      </c>
      <c r="G118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2727</v>
      </c>
      <c r="Q1186" s="39" t="s">
        <v>3416</v>
      </c>
      <c r="R1186" s="34" t="s">
        <v>3407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3410</v>
      </c>
      <c r="X1186" s="34" t="s">
        <v>3446</v>
      </c>
      <c r="Y1186" s="34" t="s">
        <v>3409</v>
      </c>
      <c r="Z1186" s="34">
        <v>8</v>
      </c>
      <c r="AB1186" s="34" t="s">
        <v>3537</v>
      </c>
      <c r="AD1186" s="34" t="s">
        <v>3543</v>
      </c>
      <c r="AE1186" s="34" t="s">
        <v>4063</v>
      </c>
      <c r="AF1186" s="34" t="s">
        <v>3443</v>
      </c>
      <c r="AG1186" s="34" t="s">
        <v>3798</v>
      </c>
      <c r="AH1186" s="34" t="s">
        <v>6547</v>
      </c>
      <c r="AI1186" s="34" t="s">
        <v>4513</v>
      </c>
      <c r="AJ1186" s="34" t="s">
        <v>3798</v>
      </c>
      <c r="AK1186" s="34" t="s">
        <v>4642</v>
      </c>
      <c r="AL1186" s="34" t="s">
        <v>4043</v>
      </c>
      <c r="AM1186" s="34" t="s">
        <v>7962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7" t="str">
        <f>IFERROR(INDEX(Структура_ассортимента[SuperCategory],MATCH(Товары[[#This Row],[SubGroup]],Структура_ассортимента[Subgroup],0)),"")</f>
        <v>W</v>
      </c>
      <c r="D11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7" t="str">
        <f>IFERROR(INDEX(Структура_ассортимента[Product group],MATCH(Товары[[#This Row],[SubGroup]],Структура_ассортимента[Subgroup],0)),"")</f>
        <v>WMO_C</v>
      </c>
      <c r="G118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2728</v>
      </c>
      <c r="O1187" s="37" t="s">
        <v>6549</v>
      </c>
      <c r="P1187" s="37" t="s">
        <v>6550</v>
      </c>
      <c r="Q1187" s="39" t="s">
        <v>3416</v>
      </c>
      <c r="R1187" s="34" t="s">
        <v>3407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3410</v>
      </c>
      <c r="Y1187" s="34" t="s">
        <v>3409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7" t="str">
        <f>IFERROR(INDEX(Структура_ассортимента[SuperCategory],MATCH(Товары[[#This Row],[SubGroup]],Структура_ассортимента[Subgroup],0)),"")</f>
        <v>W</v>
      </c>
      <c r="D11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7" t="str">
        <f>IFERROR(INDEX(Структура_ассортимента[Product group],MATCH(Товары[[#This Row],[SubGroup]],Структура_ассортимента[Subgroup],0)),"")</f>
        <v>WMO_C</v>
      </c>
      <c r="G118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7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2729</v>
      </c>
      <c r="O1188" s="37" t="s">
        <v>6551</v>
      </c>
      <c r="P1188" s="37" t="s">
        <v>6476</v>
      </c>
      <c r="Q1188" s="39" t="s">
        <v>3416</v>
      </c>
      <c r="R1188" s="34" t="s">
        <v>3407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3410</v>
      </c>
      <c r="Y1188" s="34" t="s">
        <v>3409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7" t="str">
        <f>IFERROR(INDEX(Структура_ассортимента[SuperCategory],MATCH(Товары[[#This Row],[SubGroup]],Структура_ассортимента[Subgroup],0)),"")</f>
        <v>W</v>
      </c>
      <c r="D11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7" t="str">
        <f>IFERROR(INDEX(Структура_ассортимента[Product group],MATCH(Товары[[#This Row],[SubGroup]],Структура_ассортимента[Subgroup],0)),"")</f>
        <v>WMA_C</v>
      </c>
      <c r="G118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2730</v>
      </c>
      <c r="Q1189" s="39" t="s">
        <v>3406</v>
      </c>
      <c r="R1189" s="34" t="s">
        <v>3407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3410</v>
      </c>
      <c r="Y1189" s="34" t="s">
        <v>3409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7961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7" t="str">
        <f>IFERROR(INDEX(Структура_ассортимента[SuperCategory],MATCH(Товары[[#This Row],[SubGroup]],Структура_ассортимента[Subgroup],0)),"")</f>
        <v>W</v>
      </c>
      <c r="D11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7" t="str">
        <f>IFERROR(INDEX(Структура_ассортимента[Product group],MATCH(Товары[[#This Row],[SubGroup]],Структура_ассортимента[Subgroup],0)),"")</f>
        <v>WMA_C</v>
      </c>
      <c r="G119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2731</v>
      </c>
      <c r="Q1190" s="39" t="s">
        <v>3406</v>
      </c>
      <c r="R1190" s="34" t="s">
        <v>3407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3410</v>
      </c>
      <c r="Y1190" s="34" t="s">
        <v>3409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7961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7" t="str">
        <f>IFERROR(INDEX(Структура_ассортимента[SuperCategory],MATCH(Товары[[#This Row],[SubGroup]],Структура_ассортимента[Subgroup],0)),"")</f>
        <v>W</v>
      </c>
      <c r="D11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7" t="str">
        <f>IFERROR(INDEX(Структура_ассортимента[Product group],MATCH(Товары[[#This Row],[SubGroup]],Структура_ассортимента[Subgroup],0)),"")</f>
        <v>WMT_C</v>
      </c>
      <c r="G119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2732</v>
      </c>
      <c r="Q1191" s="39" t="s">
        <v>3406</v>
      </c>
      <c r="R1191" s="34" t="s">
        <v>3407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3410</v>
      </c>
      <c r="Y1191" s="34" t="s">
        <v>3409</v>
      </c>
      <c r="Z1191" s="34">
        <v>6</v>
      </c>
      <c r="AA1191" s="34">
        <v>6160</v>
      </c>
      <c r="AC1191" s="34">
        <v>5960</v>
      </c>
      <c r="AM1191" s="34" t="s">
        <v>7961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7" t="str">
        <f>IFERROR(INDEX(Структура_ассортимента[SuperCategory],MATCH(Товары[[#This Row],[SubGroup]],Структура_ассортимента[Subgroup],0)),"")</f>
        <v>W</v>
      </c>
      <c r="D11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7" t="str">
        <f>IFERROR(INDEX(Структура_ассортимента[Product group],MATCH(Товары[[#This Row],[SubGroup]],Структура_ассортимента[Subgroup],0)),"")</f>
        <v>WMA_C</v>
      </c>
      <c r="G119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2733</v>
      </c>
      <c r="Q1192" s="39" t="s">
        <v>3406</v>
      </c>
      <c r="R1192" s="34" t="s">
        <v>3407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3410</v>
      </c>
      <c r="Y1192" s="34" t="s">
        <v>3409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7961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7" t="str">
        <f>IFERROR(INDEX(Структура_ассортимента[SuperCategory],MATCH(Товары[[#This Row],[SubGroup]],Структура_ассортимента[Subgroup],0)),"")</f>
        <v>W</v>
      </c>
      <c r="D11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7" t="str">
        <f>IFERROR(INDEX(Структура_ассортимента[Product group],MATCH(Товары[[#This Row],[SubGroup]],Структура_ассортимента[Subgroup],0)),"")</f>
        <v>WMA_C</v>
      </c>
      <c r="G119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2734</v>
      </c>
      <c r="Q1193" s="39" t="s">
        <v>3406</v>
      </c>
      <c r="R1193" s="34" t="s">
        <v>3407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3410</v>
      </c>
      <c r="Y1193" s="34" t="s">
        <v>3409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7961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7" t="str">
        <f>IFERROR(INDEX(Структура_ассортимента[SuperCategory],MATCH(Товары[[#This Row],[SubGroup]],Структура_ассортимента[Subgroup],0)),"")</f>
        <v>W</v>
      </c>
      <c r="D11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7" t="str">
        <f>IFERROR(INDEX(Структура_ассортимента[Product group],MATCH(Товары[[#This Row],[SubGroup]],Структура_ассортимента[Subgroup],0)),"")</f>
        <v>WMA_C</v>
      </c>
      <c r="G119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2735</v>
      </c>
      <c r="Q1194" s="39" t="s">
        <v>3406</v>
      </c>
      <c r="R1194" s="34" t="s">
        <v>3407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3410</v>
      </c>
      <c r="Y1194" s="34" t="s">
        <v>3409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7961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7" t="str">
        <f>IFERROR(INDEX(Структура_ассортимента[SuperCategory],MATCH(Товары[[#This Row],[SubGroup]],Структура_ассортимента[Subgroup],0)),"")</f>
        <v>W</v>
      </c>
      <c r="D11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7" t="str">
        <f>IFERROR(INDEX(Структура_ассортимента[Product group],MATCH(Товары[[#This Row],[SubGroup]],Структура_ассортимента[Subgroup],0)),"")</f>
        <v>WMA_C</v>
      </c>
      <c r="G119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2736</v>
      </c>
      <c r="Q1195" s="39" t="s">
        <v>3406</v>
      </c>
      <c r="R1195" s="34" t="s">
        <v>3407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3410</v>
      </c>
      <c r="Y1195" s="34" t="s">
        <v>3409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7961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7" t="str">
        <f>IFERROR(INDEX(Структура_ассортимента[SuperCategory],MATCH(Товары[[#This Row],[SubGroup]],Структура_ассортимента[Subgroup],0)),"")</f>
        <v>W</v>
      </c>
      <c r="D11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7" t="str">
        <f>IFERROR(INDEX(Структура_ассортимента[Product group],MATCH(Товары[[#This Row],[SubGroup]],Структура_ассортимента[Subgroup],0)),"")</f>
        <v>WMA_C</v>
      </c>
      <c r="G119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2737</v>
      </c>
      <c r="Q1196" s="39" t="s">
        <v>3406</v>
      </c>
      <c r="R1196" s="34" t="s">
        <v>3407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3410</v>
      </c>
      <c r="Y1196" s="34" t="s">
        <v>3409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7961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7" t="str">
        <f>IFERROR(INDEX(Структура_ассортимента[SuperCategory],MATCH(Товары[[#This Row],[SubGroup]],Структура_ассортимента[Subgroup],0)),"")</f>
        <v>W</v>
      </c>
      <c r="D11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7" t="str">
        <f>IFERROR(INDEX(Структура_ассортимента[Product group],MATCH(Товары[[#This Row],[SubGroup]],Структура_ассортимента[Subgroup],0)),"")</f>
        <v>WMA_C</v>
      </c>
      <c r="G119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2738</v>
      </c>
      <c r="Q1197" s="39" t="s">
        <v>3406</v>
      </c>
      <c r="R1197" s="34" t="s">
        <v>3407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3410</v>
      </c>
      <c r="Y1197" s="34" t="s">
        <v>3409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7961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7" t="str">
        <f>IFERROR(INDEX(Структура_ассортимента[SuperCategory],MATCH(Товары[[#This Row],[SubGroup]],Структура_ассортимента[Subgroup],0)),"")</f>
        <v>W</v>
      </c>
      <c r="D11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7" t="str">
        <f>IFERROR(INDEX(Структура_ассортимента[Product group],MATCH(Товары[[#This Row],[SubGroup]],Структура_ассортимента[Subgroup],0)),"")</f>
        <v>WMA_C</v>
      </c>
      <c r="G119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2739</v>
      </c>
      <c r="Q1198" s="39" t="s">
        <v>3406</v>
      </c>
      <c r="R1198" s="34" t="s">
        <v>3407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3410</v>
      </c>
      <c r="Y1198" s="34" t="s">
        <v>3409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7961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7" t="str">
        <f>IFERROR(INDEX(Структура_ассортимента[SuperCategory],MATCH(Товары[[#This Row],[SubGroup]],Структура_ассортимента[Subgroup],0)),"")</f>
        <v>W</v>
      </c>
      <c r="D11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7" t="str">
        <f>IFERROR(INDEX(Структура_ассортимента[Product group],MATCH(Товары[[#This Row],[SubGroup]],Структура_ассортимента[Subgroup],0)),"")</f>
        <v>WMO_C</v>
      </c>
      <c r="G119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2740</v>
      </c>
      <c r="Q1199" s="39" t="s">
        <v>3406</v>
      </c>
      <c r="R1199" s="34" t="s">
        <v>3407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3410</v>
      </c>
      <c r="AM1199" s="34" t="s">
        <v>7961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7" t="str">
        <f>IFERROR(INDEX(Структура_ассортимента[SuperCategory],MATCH(Товары[[#This Row],[SubGroup]],Структура_ассортимента[Subgroup],0)),"")</f>
        <v>W</v>
      </c>
      <c r="D12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7" t="str">
        <f>IFERROR(INDEX(Структура_ассортимента[Product group],MATCH(Товары[[#This Row],[SubGroup]],Структура_ассортимента[Subgroup],0)),"")</f>
        <v>WMO_C</v>
      </c>
      <c r="G120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2741</v>
      </c>
      <c r="Q1200" s="39" t="s">
        <v>3406</v>
      </c>
      <c r="R1200" s="34" t="s">
        <v>3407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3410</v>
      </c>
      <c r="AB1200" s="34" t="s">
        <v>6552</v>
      </c>
      <c r="AD1200" s="34" t="s">
        <v>6553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7961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7" t="str">
        <f>IFERROR(INDEX(Структура_ассортимента[SuperCategory],MATCH(Товары[[#This Row],[SubGroup]],Структура_ассортимента[Subgroup],0)),"")</f>
        <v>W</v>
      </c>
      <c r="D12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7" t="str">
        <f>IFERROR(INDEX(Структура_ассортимента[Product group],MATCH(Товары[[#This Row],[SubGroup]],Структура_ассортимента[Subgroup],0)),"")</f>
        <v>WMO_C</v>
      </c>
      <c r="G120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2742</v>
      </c>
      <c r="Q1201" s="39" t="s">
        <v>3406</v>
      </c>
      <c r="R1201" s="34" t="s">
        <v>3407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3410</v>
      </c>
      <c r="AM1201" s="34" t="s">
        <v>7961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7" t="str">
        <f>IFERROR(INDEX(Структура_ассортимента[SuperCategory],MATCH(Товары[[#This Row],[SubGroup]],Структура_ассортимента[Subgroup],0)),"")</f>
        <v>W</v>
      </c>
      <c r="D12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7" t="str">
        <f>IFERROR(INDEX(Структура_ассортимента[Product group],MATCH(Товары[[#This Row],[SubGroup]],Структура_ассортимента[Subgroup],0)),"")</f>
        <v>WMO_C</v>
      </c>
      <c r="G120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2743</v>
      </c>
      <c r="Q1202" s="39" t="s">
        <v>3406</v>
      </c>
      <c r="R1202" s="34" t="s">
        <v>3407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3410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7961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7" t="str">
        <f>IFERROR(INDEX(Структура_ассортимента[SuperCategory],MATCH(Товары[[#This Row],[SubGroup]],Структура_ассортимента[Subgroup],0)),"")</f>
        <v>W</v>
      </c>
      <c r="D12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7" t="str">
        <f>IFERROR(INDEX(Структура_ассортимента[Product group],MATCH(Товары[[#This Row],[SubGroup]],Структура_ассортимента[Subgroup],0)),"")</f>
        <v>WMO_C</v>
      </c>
      <c r="G120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2744</v>
      </c>
      <c r="Q1203" s="39" t="s">
        <v>3406</v>
      </c>
      <c r="R1203" s="34" t="s">
        <v>3407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3410</v>
      </c>
      <c r="AM1203" s="34" t="s">
        <v>7961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7" t="str">
        <f>IFERROR(INDEX(Структура_ассортимента[SuperCategory],MATCH(Товары[[#This Row],[SubGroup]],Структура_ассортимента[Subgroup],0)),"")</f>
        <v>W</v>
      </c>
      <c r="D12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7" t="str">
        <f>IFERROR(INDEX(Структура_ассортимента[Product group],MATCH(Товары[[#This Row],[SubGroup]],Структура_ассортимента[Subgroup],0)),"")</f>
        <v>WMO_C</v>
      </c>
      <c r="G120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2745</v>
      </c>
      <c r="Q1204" s="39" t="s">
        <v>3406</v>
      </c>
      <c r="R1204" s="34" t="s">
        <v>3407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3410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7961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7" t="str">
        <f>IFERROR(INDEX(Структура_ассортимента[SuperCategory],MATCH(Товары[[#This Row],[SubGroup]],Структура_ассортимента[Subgroup],0)),"")</f>
        <v>W</v>
      </c>
      <c r="D12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7" t="str">
        <f>IFERROR(INDEX(Структура_ассортимента[Product group],MATCH(Товары[[#This Row],[SubGroup]],Структура_ассортимента[Subgroup],0)),"")</f>
        <v>WMO_C</v>
      </c>
      <c r="G120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2746</v>
      </c>
      <c r="Q1205" s="39" t="s">
        <v>3406</v>
      </c>
      <c r="R1205" s="34" t="s">
        <v>3407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3410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7961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7" t="str">
        <f>IFERROR(INDEX(Структура_ассортимента[SuperCategory],MATCH(Товары[[#This Row],[SubGroup]],Структура_ассортимента[Subgroup],0)),"")</f>
        <v>W</v>
      </c>
      <c r="D12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7" t="str">
        <f>IFERROR(INDEX(Структура_ассортимента[Product group],MATCH(Товары[[#This Row],[SubGroup]],Структура_ассортимента[Subgroup],0)),"")</f>
        <v>WMO_C</v>
      </c>
      <c r="G120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2747</v>
      </c>
      <c r="Q1206" s="39" t="s">
        <v>3406</v>
      </c>
      <c r="R1206" s="34" t="s">
        <v>3407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3410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7961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7" t="str">
        <f>IFERROR(INDEX(Структура_ассортимента[SuperCategory],MATCH(Товары[[#This Row],[SubGroup]],Структура_ассортимента[Subgroup],0)),"")</f>
        <v>W</v>
      </c>
      <c r="D12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7" t="str">
        <f>IFERROR(INDEX(Структура_ассортимента[Product group],MATCH(Товары[[#This Row],[SubGroup]],Структура_ассортимента[Subgroup],0)),"")</f>
        <v>WMO_C</v>
      </c>
      <c r="G1207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2748</v>
      </c>
      <c r="Q1207" s="39" t="s">
        <v>3406</v>
      </c>
      <c r="R1207" s="34" t="s">
        <v>3407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3410</v>
      </c>
      <c r="AM1207" s="34" t="s">
        <v>7961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7" t="str">
        <f>IFERROR(INDEX(Структура_ассортимента[SuperCategory],MATCH(Товары[[#This Row],[SubGroup]],Структура_ассортимента[Subgroup],0)),"")</f>
        <v>W</v>
      </c>
      <c r="D12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7" t="str">
        <f>IFERROR(INDEX(Структура_ассортимента[Product group],MATCH(Товары[[#This Row],[SubGroup]],Структура_ассортимента[Subgroup],0)),"")</f>
        <v>WMO_C</v>
      </c>
      <c r="G1208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2749</v>
      </c>
      <c r="Q1208" s="39" t="s">
        <v>3406</v>
      </c>
      <c r="R1208" s="34" t="s">
        <v>3407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3410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7961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7" t="str">
        <f>IFERROR(INDEX(Структура_ассортимента[SuperCategory],MATCH(Товары[[#This Row],[SubGroup]],Структура_ассортимента[Subgroup],0)),"")</f>
        <v>W</v>
      </c>
      <c r="D12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7" t="str">
        <f>IFERROR(INDEX(Структура_ассортимента[Product group],MATCH(Товары[[#This Row],[SubGroup]],Структура_ассортимента[Subgroup],0)),"")</f>
        <v>WMO_C</v>
      </c>
      <c r="G1209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2750</v>
      </c>
      <c r="Q1209" s="39" t="s">
        <v>3406</v>
      </c>
      <c r="R1209" s="34" t="s">
        <v>3407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3410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7961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7" t="str">
        <f>IFERROR(INDEX(Структура_ассортимента[SuperCategory],MATCH(Товары[[#This Row],[SubGroup]],Структура_ассортимента[Subgroup],0)),"")</f>
        <v>W</v>
      </c>
      <c r="D12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7" t="str">
        <f>IFERROR(INDEX(Структура_ассортимента[Product group],MATCH(Товары[[#This Row],[SubGroup]],Структура_ассортимента[Subgroup],0)),"")</f>
        <v>WMO_C</v>
      </c>
      <c r="G1210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2751</v>
      </c>
      <c r="Q1210" s="39" t="s">
        <v>3406</v>
      </c>
      <c r="R1210" s="34" t="s">
        <v>3407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3410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7961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7" t="str">
        <f>IFERROR(INDEX(Структура_ассортимента[SuperCategory],MATCH(Товары[[#This Row],[SubGroup]],Структура_ассортимента[Subgroup],0)),"")</f>
        <v>W</v>
      </c>
      <c r="D12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7" t="str">
        <f>IFERROR(INDEX(Структура_ассортимента[Product group],MATCH(Товары[[#This Row],[SubGroup]],Структура_ассортимента[Subgroup],0)),"")</f>
        <v>WMO_C</v>
      </c>
      <c r="G1211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2752</v>
      </c>
      <c r="Q1211" s="39" t="s">
        <v>3406</v>
      </c>
      <c r="R1211" s="34" t="s">
        <v>3407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3410</v>
      </c>
      <c r="AM1211" s="34" t="s">
        <v>7961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7" t="str">
        <f>IFERROR(INDEX(Структура_ассортимента[SuperCategory],MATCH(Товары[[#This Row],[SubGroup]],Структура_ассортимента[Subgroup],0)),"")</f>
        <v>W</v>
      </c>
      <c r="D12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7" t="str">
        <f>IFERROR(INDEX(Структура_ассортимента[Product group],MATCH(Товары[[#This Row],[SubGroup]],Структура_ассортимента[Subgroup],0)),"")</f>
        <v>WMO_C</v>
      </c>
      <c r="G1212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2753</v>
      </c>
      <c r="Q1212" s="39" t="s">
        <v>3406</v>
      </c>
      <c r="R1212" s="34" t="s">
        <v>3407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3410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7961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7" t="str">
        <f>IFERROR(INDEX(Структура_ассортимента[SuperCategory],MATCH(Товары[[#This Row],[SubGroup]],Структура_ассортимента[Subgroup],0)),"")</f>
        <v>W</v>
      </c>
      <c r="D12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7" t="str">
        <f>IFERROR(INDEX(Структура_ассортимента[Product group],MATCH(Товары[[#This Row],[SubGroup]],Структура_ассортимента[Subgroup],0)),"")</f>
        <v>WMO_C</v>
      </c>
      <c r="G1213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2754</v>
      </c>
      <c r="Q1213" s="39" t="s">
        <v>3406</v>
      </c>
      <c r="R1213" s="34" t="s">
        <v>3407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3410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7961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7" t="str">
        <f>IFERROR(INDEX(Структура_ассортимента[SuperCategory],MATCH(Товары[[#This Row],[SubGroup]],Структура_ассортимента[Subgroup],0)),"")</f>
        <v>W</v>
      </c>
      <c r="D12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7" t="str">
        <f>IFERROR(INDEX(Структура_ассортимента[Product group],MATCH(Товары[[#This Row],[SubGroup]],Структура_ассортимента[Subgroup],0)),"")</f>
        <v>WMO_C</v>
      </c>
      <c r="G1214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2755</v>
      </c>
      <c r="Q1214" s="39" t="s">
        <v>3406</v>
      </c>
      <c r="R1214" s="34" t="s">
        <v>3407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7961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7" t="str">
        <f>IFERROR(INDEX(Структура_ассортимента[SuperCategory],MATCH(Товары[[#This Row],[SubGroup]],Структура_ассортимента[Subgroup],0)),"")</f>
        <v>W</v>
      </c>
      <c r="D12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7" t="str">
        <f>IFERROR(INDEX(Структура_ассортимента[Product group],MATCH(Товары[[#This Row],[SubGroup]],Структура_ассортимента[Subgroup],0)),"")</f>
        <v>WMO_C</v>
      </c>
      <c r="G1215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2756</v>
      </c>
      <c r="Q1215" s="39" t="s">
        <v>3406</v>
      </c>
      <c r="R1215" s="34" t="s">
        <v>3407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3410</v>
      </c>
      <c r="AM1215" s="34" t="s">
        <v>7961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7" t="str">
        <f>IFERROR(INDEX(Структура_ассортимента[SuperCategory],MATCH(Товары[[#This Row],[SubGroup]],Структура_ассортимента[Subgroup],0)),"")</f>
        <v>W</v>
      </c>
      <c r="D12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7" t="str">
        <f>IFERROR(INDEX(Структура_ассортимента[Product group],MATCH(Товары[[#This Row],[SubGroup]],Структура_ассортимента[Subgroup],0)),"")</f>
        <v>WMO_C</v>
      </c>
      <c r="G1216" s="67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7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2757</v>
      </c>
      <c r="Q1216" s="39" t="s">
        <v>3406</v>
      </c>
      <c r="R1216" s="34" t="s">
        <v>3407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3410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7961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7" t="str">
        <f>IFERROR(INDEX(Структура_ассортимента[SuperCategory],MATCH(Товары[[#This Row],[SubGroup]],Структура_ассортимента[Subgroup],0)),"")</f>
        <v>W</v>
      </c>
      <c r="D12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7" t="str">
        <f>IFERROR(INDEX(Структура_ассортимента[Product group],MATCH(Товары[[#This Row],[SubGroup]],Структура_ассортимента[Subgroup],0)),"")</f>
        <v>WMA_C</v>
      </c>
      <c r="G121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2758</v>
      </c>
      <c r="Q1217" s="39" t="s">
        <v>3406</v>
      </c>
      <c r="R1217" s="34" t="s">
        <v>3407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3410</v>
      </c>
      <c r="AB1217" s="34" t="s">
        <v>6554</v>
      </c>
      <c r="AD1217" s="34" t="s">
        <v>6555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7961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7" t="str">
        <f>IFERROR(INDEX(Структура_ассортимента[SuperCategory],MATCH(Товары[[#This Row],[SubGroup]],Структура_ассортимента[Subgroup],0)),"")</f>
        <v>W</v>
      </c>
      <c r="D12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7" t="str">
        <f>IFERROR(INDEX(Структура_ассортимента[Product group],MATCH(Товары[[#This Row],[SubGroup]],Структура_ассортимента[Subgroup],0)),"")</f>
        <v>WMA_C</v>
      </c>
      <c r="G121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2759</v>
      </c>
      <c r="Q1218" s="39" t="s">
        <v>3406</v>
      </c>
      <c r="R1218" s="34" t="s">
        <v>3407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3410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7961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7" t="str">
        <f>IFERROR(INDEX(Структура_ассортимента[SuperCategory],MATCH(Товары[[#This Row],[SubGroup]],Структура_ассортимента[Subgroup],0)),"")</f>
        <v>W</v>
      </c>
      <c r="D12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7" t="str">
        <f>IFERROR(INDEX(Структура_ассортимента[Product group],MATCH(Товары[[#This Row],[SubGroup]],Структура_ассортимента[Subgroup],0)),"")</f>
        <v>WMA_C</v>
      </c>
      <c r="G121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2760</v>
      </c>
      <c r="Q1219" s="39" t="s">
        <v>3406</v>
      </c>
      <c r="R1219" s="34" t="s">
        <v>3407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3410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7961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7" t="str">
        <f>IFERROR(INDEX(Структура_ассортимента[SuperCategory],MATCH(Товары[[#This Row],[SubGroup]],Структура_ассортимента[Subgroup],0)),"")</f>
        <v>W</v>
      </c>
      <c r="D12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7" t="str">
        <f>IFERROR(INDEX(Структура_ассортимента[Product group],MATCH(Товары[[#This Row],[SubGroup]],Структура_ассортимента[Subgroup],0)),"")</f>
        <v>WMA_C</v>
      </c>
      <c r="G1220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2761</v>
      </c>
      <c r="Q1220" s="39" t="s">
        <v>3406</v>
      </c>
      <c r="R1220" s="34" t="s">
        <v>3407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3410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7961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7" t="str">
        <f>IFERROR(INDEX(Структура_ассортимента[SuperCategory],MATCH(Товары[[#This Row],[SubGroup]],Структура_ассортимента[Subgroup],0)),"")</f>
        <v>W</v>
      </c>
      <c r="D12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7" t="str">
        <f>IFERROR(INDEX(Структура_ассортимента[Product group],MATCH(Товары[[#This Row],[SubGroup]],Структура_ассортимента[Subgroup],0)),"")</f>
        <v>WMA_C</v>
      </c>
      <c r="G1221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2762</v>
      </c>
      <c r="Q1221" s="39" t="s">
        <v>3406</v>
      </c>
      <c r="R1221" s="34" t="s">
        <v>3407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3410</v>
      </c>
      <c r="AB1221" s="34" t="s">
        <v>6556</v>
      </c>
      <c r="AD1221" s="34" t="s">
        <v>6557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7961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7" t="str">
        <f>IFERROR(INDEX(Структура_ассортимента[SuperCategory],MATCH(Товары[[#This Row],[SubGroup]],Структура_ассортимента[Subgroup],0)),"")</f>
        <v>W</v>
      </c>
      <c r="D12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7" t="str">
        <f>IFERROR(INDEX(Структура_ассортимента[Product group],MATCH(Товары[[#This Row],[SubGroup]],Структура_ассортимента[Subgroup],0)),"")</f>
        <v>WMA_C</v>
      </c>
      <c r="G1222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2763</v>
      </c>
      <c r="Q1222" s="39" t="s">
        <v>3406</v>
      </c>
      <c r="R1222" s="34" t="s">
        <v>3407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3410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7961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7" t="str">
        <f>IFERROR(INDEX(Структура_ассортимента[SuperCategory],MATCH(Товары[[#This Row],[SubGroup]],Структура_ассортимента[Subgroup],0)),"")</f>
        <v>W</v>
      </c>
      <c r="D12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7" t="str">
        <f>IFERROR(INDEX(Структура_ассортимента[Product group],MATCH(Товары[[#This Row],[SubGroup]],Структура_ассортимента[Subgroup],0)),"")</f>
        <v>WMA_C</v>
      </c>
      <c r="G1223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2764</v>
      </c>
      <c r="Q1223" s="39" t="s">
        <v>3406</v>
      </c>
      <c r="R1223" s="34" t="s">
        <v>3407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3410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7961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7" t="str">
        <f>IFERROR(INDEX(Структура_ассортимента[SuperCategory],MATCH(Товары[[#This Row],[SubGroup]],Структура_ассортимента[Subgroup],0)),"")</f>
        <v>W</v>
      </c>
      <c r="D12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7" t="str">
        <f>IFERROR(INDEX(Структура_ассортимента[Product group],MATCH(Товары[[#This Row],[SubGroup]],Структура_ассортимента[Subgroup],0)),"")</f>
        <v>WMA_C</v>
      </c>
      <c r="G1224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2765</v>
      </c>
      <c r="Q1224" s="39" t="s">
        <v>3406</v>
      </c>
      <c r="R1224" s="34" t="s">
        <v>3407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3410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7961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7" t="str">
        <f>IFERROR(INDEX(Структура_ассортимента[SuperCategory],MATCH(Товары[[#This Row],[SubGroup]],Структура_ассортимента[Subgroup],0)),"")</f>
        <v>W</v>
      </c>
      <c r="D12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7" t="str">
        <f>IFERROR(INDEX(Структура_ассортимента[Product group],MATCH(Товары[[#This Row],[SubGroup]],Структура_ассортимента[Subgroup],0)),"")</f>
        <v>WMA_C</v>
      </c>
      <c r="G1225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2766</v>
      </c>
      <c r="Q1225" s="39" t="s">
        <v>3406</v>
      </c>
      <c r="R1225" s="34" t="s">
        <v>3407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3410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7961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7" t="str">
        <f>IFERROR(INDEX(Структура_ассортимента[SuperCategory],MATCH(Товары[[#This Row],[SubGroup]],Структура_ассортимента[Subgroup],0)),"")</f>
        <v>W</v>
      </c>
      <c r="D12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7" t="str">
        <f>IFERROR(INDEX(Структура_ассортимента[Product group],MATCH(Товары[[#This Row],[SubGroup]],Структура_ассортимента[Subgroup],0)),"")</f>
        <v>WMA_C</v>
      </c>
      <c r="G1226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2767</v>
      </c>
      <c r="Q1226" s="39" t="s">
        <v>3406</v>
      </c>
      <c r="R1226" s="34" t="s">
        <v>3407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3410</v>
      </c>
      <c r="AB1226" s="34">
        <v>441</v>
      </c>
      <c r="AD1226" s="34" t="s">
        <v>6558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7961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7" t="str">
        <f>IFERROR(INDEX(Структура_ассортимента[SuperCategory],MATCH(Товары[[#This Row],[SubGroup]],Структура_ассортимента[Subgroup],0)),"")</f>
        <v>W</v>
      </c>
      <c r="D12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7" t="str">
        <f>IFERROR(INDEX(Структура_ассортимента[Product group],MATCH(Товары[[#This Row],[SubGroup]],Структура_ассортимента[Subgroup],0)),"")</f>
        <v>WMA_C</v>
      </c>
      <c r="G1227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2768</v>
      </c>
      <c r="Q1227" s="39" t="s">
        <v>3406</v>
      </c>
      <c r="R1227" s="34" t="s">
        <v>3407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3410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7961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7" t="str">
        <f>IFERROR(INDEX(Структура_ассортимента[SuperCategory],MATCH(Товары[[#This Row],[SubGroup]],Структура_ассортимента[Subgroup],0)),"")</f>
        <v>W</v>
      </c>
      <c r="D12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7" t="str">
        <f>IFERROR(INDEX(Структура_ассортимента[Product group],MATCH(Товары[[#This Row],[SubGroup]],Структура_ассортимента[Subgroup],0)),"")</f>
        <v>WMA_C</v>
      </c>
      <c r="G1228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2769</v>
      </c>
      <c r="Q1228" s="39" t="s">
        <v>3406</v>
      </c>
      <c r="R1228" s="34" t="s">
        <v>3407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3410</v>
      </c>
      <c r="AB1228" s="34" t="s">
        <v>6559</v>
      </c>
      <c r="AD1228" s="34" t="s">
        <v>6560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7961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7" t="str">
        <f>IFERROR(INDEX(Структура_ассортимента[SuperCategory],MATCH(Товары[[#This Row],[SubGroup]],Структура_ассортимента[Subgroup],0)),"")</f>
        <v>W</v>
      </c>
      <c r="D12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7" t="str">
        <f>IFERROR(INDEX(Структура_ассортимента[Product group],MATCH(Товары[[#This Row],[SubGroup]],Структура_ассортимента[Subgroup],0)),"")</f>
        <v>WMA_C</v>
      </c>
      <c r="G1229" s="67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7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2770</v>
      </c>
      <c r="Q1229" s="39" t="s">
        <v>3406</v>
      </c>
      <c r="R1229" s="34" t="s">
        <v>3407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3410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7961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7" t="str">
        <f>IFERROR(INDEX(Структура_ассортимента[SuperCategory],MATCH(Товары[[#This Row],[SubGroup]],Структура_ассортимента[Subgroup],0)),"")</f>
        <v>W</v>
      </c>
      <c r="D12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7" t="str">
        <f>IFERROR(INDEX(Структура_ассортимента[Product group],MATCH(Товары[[#This Row],[SubGroup]],Структура_ассортимента[Subgroup],0)),"")</f>
        <v>WMS_C</v>
      </c>
      <c r="G123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2771</v>
      </c>
      <c r="Q1230" s="39" t="s">
        <v>3416</v>
      </c>
      <c r="R1230" s="34" t="s">
        <v>3407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3410</v>
      </c>
      <c r="X1230" s="34" t="s">
        <v>3446</v>
      </c>
      <c r="Y1230" s="34" t="s">
        <v>3409</v>
      </c>
      <c r="Z1230" s="34">
        <v>10</v>
      </c>
      <c r="AA1230" s="34" t="s">
        <v>5928</v>
      </c>
      <c r="AB1230" s="34" t="s">
        <v>5928</v>
      </c>
      <c r="AC1230" s="34" t="s">
        <v>3595</v>
      </c>
      <c r="AD1230" s="34" t="s">
        <v>3595</v>
      </c>
      <c r="AE1230" s="34" t="s">
        <v>3457</v>
      </c>
      <c r="AF1230" s="34" t="s">
        <v>4258</v>
      </c>
      <c r="AG1230" s="34" t="s">
        <v>4526</v>
      </c>
      <c r="AH1230" s="34" t="s">
        <v>6561</v>
      </c>
      <c r="AL1230" s="34">
        <v>320</v>
      </c>
      <c r="AM1230" s="34" t="s">
        <v>7962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7" t="str">
        <f>IFERROR(INDEX(Структура_ассортимента[SuperCategory],MATCH(Товары[[#This Row],[SubGroup]],Структура_ассортимента[Subgroup],0)),"")</f>
        <v>W</v>
      </c>
      <c r="D12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7" t="str">
        <f>IFERROR(INDEX(Структура_ассортимента[Product group],MATCH(Товары[[#This Row],[SubGroup]],Структура_ассортимента[Subgroup],0)),"")</f>
        <v>WMS_C</v>
      </c>
      <c r="G123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2772</v>
      </c>
      <c r="Q1231" s="39" t="s">
        <v>3416</v>
      </c>
      <c r="R1231" s="34" t="s">
        <v>3407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3410</v>
      </c>
      <c r="X1231" s="34" t="s">
        <v>3446</v>
      </c>
      <c r="Y1231" s="34" t="s">
        <v>3409</v>
      </c>
      <c r="Z1231" s="34">
        <v>4</v>
      </c>
      <c r="AA1231" s="34" t="s">
        <v>6562</v>
      </c>
      <c r="AB1231" s="34" t="s">
        <v>6562</v>
      </c>
      <c r="AC1231" s="34" t="s">
        <v>4492</v>
      </c>
      <c r="AD1231" s="34" t="s">
        <v>4492</v>
      </c>
      <c r="AE1231" s="34" t="s">
        <v>6563</v>
      </c>
      <c r="AF1231" s="34" t="s">
        <v>4038</v>
      </c>
      <c r="AG1231" s="34" t="s">
        <v>4548</v>
      </c>
      <c r="AH1231" s="34" t="s">
        <v>6564</v>
      </c>
      <c r="AI1231" s="34" t="s">
        <v>4027</v>
      </c>
      <c r="AJ1231" s="34" t="s">
        <v>3483</v>
      </c>
      <c r="AK1231" s="34" t="s">
        <v>3744</v>
      </c>
      <c r="AL1231" s="34">
        <v>72</v>
      </c>
      <c r="AM1231" s="34" t="s">
        <v>7962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7" t="str">
        <f>IFERROR(INDEX(Структура_ассортимента[SuperCategory],MATCH(Товары[[#This Row],[SubGroup]],Структура_ассортимента[Subgroup],0)),"")</f>
        <v>W</v>
      </c>
      <c r="D12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7" t="str">
        <f>IFERROR(INDEX(Структура_ассортимента[Product group],MATCH(Товары[[#This Row],[SubGroup]],Структура_ассортимента[Subgroup],0)),"")</f>
        <v>WMS_C</v>
      </c>
      <c r="G123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2773</v>
      </c>
      <c r="O1232" s="37" t="s">
        <v>6565</v>
      </c>
      <c r="P1232" s="37" t="s">
        <v>6566</v>
      </c>
      <c r="Q1232" s="39" t="s">
        <v>3416</v>
      </c>
      <c r="R1232" s="34" t="s">
        <v>3407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3410</v>
      </c>
      <c r="X1232" s="34" t="s">
        <v>3446</v>
      </c>
      <c r="Y1232" s="34" t="s">
        <v>3409</v>
      </c>
      <c r="Z1232" s="34">
        <v>4</v>
      </c>
      <c r="AA1232" s="34" t="s">
        <v>4991</v>
      </c>
      <c r="AB1232" s="34" t="s">
        <v>4991</v>
      </c>
      <c r="AC1232" s="34" t="s">
        <v>4668</v>
      </c>
      <c r="AD1232" s="34" t="s">
        <v>4668</v>
      </c>
      <c r="AE1232" s="34" t="s">
        <v>4027</v>
      </c>
      <c r="AF1232" s="34" t="s">
        <v>3744</v>
      </c>
      <c r="AG1232" s="34" t="s">
        <v>3443</v>
      </c>
      <c r="AH1232" s="34" t="s">
        <v>6567</v>
      </c>
      <c r="AI1232" s="34" t="s">
        <v>4027</v>
      </c>
      <c r="AJ1232" s="34" t="s">
        <v>3443</v>
      </c>
      <c r="AK1232" s="34" t="s">
        <v>3744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7" t="str">
        <f>IFERROR(INDEX(Структура_ассортимента[SuperCategory],MATCH(Товары[[#This Row],[SubGroup]],Структура_ассортимента[Subgroup],0)),"")</f>
        <v>W</v>
      </c>
      <c r="D12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7" t="str">
        <f>IFERROR(INDEX(Структура_ассортимента[Product group],MATCH(Товары[[#This Row],[SubGroup]],Структура_ассортимента[Subgroup],0)),"")</f>
        <v>WMS_C</v>
      </c>
      <c r="G123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2774</v>
      </c>
      <c r="O1233" s="37" t="s">
        <v>6568</v>
      </c>
      <c r="P1233" s="37" t="s">
        <v>6569</v>
      </c>
      <c r="Q1233" s="39" t="s">
        <v>3416</v>
      </c>
      <c r="R1233" s="34" t="s">
        <v>3407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3410</v>
      </c>
      <c r="X1233" s="34" t="s">
        <v>3446</v>
      </c>
      <c r="Y1233" s="34" t="s">
        <v>3409</v>
      </c>
      <c r="Z1233" s="34">
        <v>4</v>
      </c>
      <c r="AA1233" s="34" t="s">
        <v>6570</v>
      </c>
      <c r="AB1233" s="34" t="s">
        <v>6570</v>
      </c>
      <c r="AC1233" s="34" t="s">
        <v>4443</v>
      </c>
      <c r="AD1233" s="34" t="s">
        <v>4443</v>
      </c>
      <c r="AE1233" s="34" t="s">
        <v>4055</v>
      </c>
      <c r="AF1233" s="34" t="s">
        <v>3631</v>
      </c>
      <c r="AG1233" s="34" t="s">
        <v>3433</v>
      </c>
      <c r="AH1233" s="34" t="s">
        <v>6571</v>
      </c>
      <c r="AI1233" s="34" t="s">
        <v>4603</v>
      </c>
      <c r="AJ1233" s="34" t="s">
        <v>3433</v>
      </c>
      <c r="AK1233" s="34" t="s">
        <v>4441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7" t="str">
        <f>IFERROR(INDEX(Структура_ассортимента[SuperCategory],MATCH(Товары[[#This Row],[SubGroup]],Структура_ассортимента[Subgroup],0)),"")</f>
        <v>W</v>
      </c>
      <c r="D12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7" t="str">
        <f>IFERROR(INDEX(Структура_ассортимента[Product group],MATCH(Товары[[#This Row],[SubGroup]],Структура_ассортимента[Subgroup],0)),"")</f>
        <v>WMS_C</v>
      </c>
      <c r="G123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2775</v>
      </c>
      <c r="Q1234" s="39" t="s">
        <v>3416</v>
      </c>
      <c r="R1234" s="34" t="s">
        <v>3407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3410</v>
      </c>
      <c r="X1234" s="34" t="s">
        <v>3446</v>
      </c>
      <c r="Y1234" s="34" t="s">
        <v>3409</v>
      </c>
      <c r="Z1234" s="34">
        <v>60</v>
      </c>
      <c r="AA1234" s="34" t="s">
        <v>4014</v>
      </c>
      <c r="AB1234" s="34" t="s">
        <v>4014</v>
      </c>
      <c r="AC1234" s="34" t="s">
        <v>4267</v>
      </c>
      <c r="AD1234" s="34" t="s">
        <v>4267</v>
      </c>
      <c r="AE1234" s="34" t="s">
        <v>3457</v>
      </c>
      <c r="AF1234" s="34" t="s">
        <v>4258</v>
      </c>
      <c r="AG1234" s="34" t="s">
        <v>4427</v>
      </c>
      <c r="AH1234" s="34" t="s">
        <v>6572</v>
      </c>
      <c r="AL1234" s="34">
        <v>240</v>
      </c>
      <c r="AM1234" s="34" t="s">
        <v>7962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7" t="str">
        <f>IFERROR(INDEX(Структура_ассортимента[SuperCategory],MATCH(Товары[[#This Row],[SubGroup]],Структура_ассортимента[Subgroup],0)),"")</f>
        <v>W</v>
      </c>
      <c r="D12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7" t="str">
        <f>IFERROR(INDEX(Структура_ассортимента[Product group],MATCH(Товары[[#This Row],[SubGroup]],Структура_ассортимента[Subgroup],0)),"")</f>
        <v>WMS_C</v>
      </c>
      <c r="G123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2776</v>
      </c>
      <c r="Q1235" s="39" t="s">
        <v>3580</v>
      </c>
      <c r="R1235" s="34" t="s">
        <v>3407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3410</v>
      </c>
      <c r="Y1235" s="34" t="s">
        <v>3409</v>
      </c>
      <c r="Z1235" s="34">
        <v>60</v>
      </c>
      <c r="AA1235" s="34">
        <v>0</v>
      </c>
      <c r="AB1235" s="34" t="s">
        <v>4031</v>
      </c>
      <c r="AC1235" s="34">
        <v>0</v>
      </c>
      <c r="AD1235" s="34" t="s">
        <v>4267</v>
      </c>
      <c r="AE1235" s="34" t="s">
        <v>3457</v>
      </c>
      <c r="AF1235" s="34" t="s">
        <v>4258</v>
      </c>
      <c r="AG1235" s="34" t="s">
        <v>4847</v>
      </c>
      <c r="AH1235" s="34" t="s">
        <v>6572</v>
      </c>
      <c r="AL1235" s="34" t="s">
        <v>3614</v>
      </c>
      <c r="AM1235" s="34" t="s">
        <v>7961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7" t="str">
        <f>IFERROR(INDEX(Структура_ассортимента[SuperCategory],MATCH(Товары[[#This Row],[SubGroup]],Структура_ассортимента[Subgroup],0)),"")</f>
        <v>W</v>
      </c>
      <c r="D12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7" t="str">
        <f>IFERROR(INDEX(Структура_ассортимента[Product group],MATCH(Товары[[#This Row],[SubGroup]],Структура_ассортимента[Subgroup],0)),"")</f>
        <v>WMS_C</v>
      </c>
      <c r="G123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2777</v>
      </c>
      <c r="O1236" s="37" t="s">
        <v>6573</v>
      </c>
      <c r="P1236" s="37" t="s">
        <v>6574</v>
      </c>
      <c r="Q1236" s="39" t="s">
        <v>3416</v>
      </c>
      <c r="R1236" s="34" t="s">
        <v>3407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3414</v>
      </c>
      <c r="X1236" s="34" t="s">
        <v>3571</v>
      </c>
      <c r="Y1236" s="34" t="s">
        <v>3409</v>
      </c>
      <c r="Z1236" s="34">
        <v>4</v>
      </c>
      <c r="AA1236" s="34" t="s">
        <v>4369</v>
      </c>
      <c r="AB1236" s="34" t="s">
        <v>4369</v>
      </c>
      <c r="AC1236" s="34" t="s">
        <v>4003</v>
      </c>
      <c r="AD1236" s="34" t="s">
        <v>4003</v>
      </c>
      <c r="AE1236" s="34" t="s">
        <v>6563</v>
      </c>
      <c r="AF1236" s="34" t="s">
        <v>3631</v>
      </c>
      <c r="AG1236" s="34" t="s">
        <v>3667</v>
      </c>
      <c r="AH1236" s="34" t="s">
        <v>6575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7" t="str">
        <f>IFERROR(INDEX(Структура_ассортимента[SuperCategory],MATCH(Товары[[#This Row],[SubGroup]],Структура_ассортимента[Subgroup],0)),"")</f>
        <v>W</v>
      </c>
      <c r="D12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7" t="str">
        <f>IFERROR(INDEX(Структура_ассортимента[Product group],MATCH(Товары[[#This Row],[SubGroup]],Структура_ассортимента[Subgroup],0)),"")</f>
        <v>WMS_C</v>
      </c>
      <c r="G123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2778</v>
      </c>
      <c r="Q1237" s="39" t="s">
        <v>3416</v>
      </c>
      <c r="R1237" s="34" t="s">
        <v>3407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3410</v>
      </c>
      <c r="X1237" s="34" t="s">
        <v>3571</v>
      </c>
      <c r="Y1237" s="34" t="s">
        <v>3409</v>
      </c>
      <c r="Z1237" s="34">
        <v>1</v>
      </c>
      <c r="AA1237" s="34" t="s">
        <v>3728</v>
      </c>
      <c r="AB1237" s="34" t="s">
        <v>4409</v>
      </c>
      <c r="AC1237" s="34" t="s">
        <v>5097</v>
      </c>
      <c r="AD1237" s="34" t="s">
        <v>4545</v>
      </c>
      <c r="AE1237" s="34" t="s">
        <v>3423</v>
      </c>
      <c r="AF1237" s="34" t="s">
        <v>4000</v>
      </c>
      <c r="AG1237" s="34" t="s">
        <v>3880</v>
      </c>
      <c r="AH1237" s="34" t="s">
        <v>6576</v>
      </c>
      <c r="AJ1237" s="34" t="s">
        <v>4090</v>
      </c>
      <c r="AL1237" s="34">
        <v>117</v>
      </c>
      <c r="AM1237" s="34" t="s">
        <v>7962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7" t="str">
        <f>IFERROR(INDEX(Структура_ассортимента[SuperCategory],MATCH(Товары[[#This Row],[SubGroup]],Структура_ассортимента[Subgroup],0)),"")</f>
        <v>W</v>
      </c>
      <c r="D12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7" t="str">
        <f>IFERROR(INDEX(Структура_ассортимента[Product group],MATCH(Товары[[#This Row],[SubGroup]],Структура_ассортимента[Subgroup],0)),"")</f>
        <v>WMS_C</v>
      </c>
      <c r="G123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2779</v>
      </c>
      <c r="Q1238" s="39" t="s">
        <v>3416</v>
      </c>
      <c r="R1238" s="34" t="s">
        <v>3407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3414</v>
      </c>
      <c r="X1238" s="34" t="s">
        <v>3571</v>
      </c>
      <c r="Y1238" s="34" t="s">
        <v>3409</v>
      </c>
      <c r="Z1238" s="34">
        <v>5</v>
      </c>
      <c r="AA1238" s="34" t="s">
        <v>5006</v>
      </c>
      <c r="AB1238" s="34" t="s">
        <v>5006</v>
      </c>
      <c r="AC1238" s="34" t="s">
        <v>6577</v>
      </c>
      <c r="AD1238" s="34" t="s">
        <v>6577</v>
      </c>
      <c r="AE1238" s="34" t="s">
        <v>5987</v>
      </c>
      <c r="AF1238" s="34" t="s">
        <v>4895</v>
      </c>
      <c r="AG1238" s="34" t="s">
        <v>4191</v>
      </c>
      <c r="AH1238" s="34" t="s">
        <v>6578</v>
      </c>
      <c r="AL1238" s="34">
        <v>145</v>
      </c>
      <c r="AM1238" s="34" t="s">
        <v>7962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7" t="str">
        <f>IFERROR(INDEX(Структура_ассортимента[SuperCategory],MATCH(Товары[[#This Row],[SubGroup]],Структура_ассортимента[Subgroup],0)),"")</f>
        <v>W</v>
      </c>
      <c r="D12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7" t="str">
        <f>IFERROR(INDEX(Структура_ассортимента[Product group],MATCH(Товары[[#This Row],[SubGroup]],Структура_ассортимента[Subgroup],0)),"")</f>
        <v>WMS_C</v>
      </c>
      <c r="G123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2780</v>
      </c>
      <c r="O1239" s="37" t="s">
        <v>6579</v>
      </c>
      <c r="P1239" s="37" t="s">
        <v>6580</v>
      </c>
      <c r="Q1239" s="39" t="s">
        <v>3416</v>
      </c>
      <c r="R1239" s="34" t="s">
        <v>3407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3414</v>
      </c>
      <c r="X1239" s="34" t="s">
        <v>3571</v>
      </c>
      <c r="Y1239" s="34" t="s">
        <v>3409</v>
      </c>
      <c r="Z1239" s="34">
        <v>5</v>
      </c>
      <c r="AA1239" s="34" t="s">
        <v>5933</v>
      </c>
      <c r="AB1239" s="34" t="s">
        <v>5933</v>
      </c>
      <c r="AC1239" s="34" t="s">
        <v>4014</v>
      </c>
      <c r="AD1239" s="34" t="s">
        <v>4014</v>
      </c>
      <c r="AE1239" s="34" t="s">
        <v>6581</v>
      </c>
      <c r="AF1239" s="34" t="s">
        <v>3433</v>
      </c>
      <c r="AG1239" s="34" t="s">
        <v>3578</v>
      </c>
      <c r="AH1239" s="34" t="s">
        <v>6582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7" t="str">
        <f>IFERROR(INDEX(Структура_ассортимента[SuperCategory],MATCH(Товары[[#This Row],[SubGroup]],Структура_ассортимента[Subgroup],0)),"")</f>
        <v>W</v>
      </c>
      <c r="D12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7" t="str">
        <f>IFERROR(INDEX(Структура_ассортимента[Product group],MATCH(Товары[[#This Row],[SubGroup]],Структура_ассортимента[Subgroup],0)),"")</f>
        <v>WMS_C</v>
      </c>
      <c r="G124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2781</v>
      </c>
      <c r="Q1240" s="39" t="s">
        <v>3416</v>
      </c>
      <c r="R1240" s="34" t="s">
        <v>3407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3414</v>
      </c>
      <c r="X1240" s="34" t="s">
        <v>3571</v>
      </c>
      <c r="Y1240" s="34" t="s">
        <v>3409</v>
      </c>
      <c r="Z1240" s="34">
        <v>60</v>
      </c>
      <c r="AA1240" s="34" t="s">
        <v>4014</v>
      </c>
      <c r="AB1240" s="34" t="s">
        <v>4014</v>
      </c>
      <c r="AC1240" s="34" t="s">
        <v>4026</v>
      </c>
      <c r="AD1240" s="34" t="s">
        <v>4026</v>
      </c>
      <c r="AE1240" s="34" t="s">
        <v>6583</v>
      </c>
      <c r="AF1240" s="34" t="s">
        <v>3560</v>
      </c>
      <c r="AG1240" s="34" t="s">
        <v>4191</v>
      </c>
      <c r="AH1240" s="34" t="s">
        <v>6584</v>
      </c>
      <c r="AL1240" s="34" t="s">
        <v>3614</v>
      </c>
      <c r="AM1240" s="34" t="s">
        <v>7962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7" t="str">
        <f>IFERROR(INDEX(Структура_ассортимента[SuperCategory],MATCH(Товары[[#This Row],[SubGroup]],Структура_ассортимента[Subgroup],0)),"")</f>
        <v>W</v>
      </c>
      <c r="D12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7" t="str">
        <f>IFERROR(INDEX(Структура_ассортимента[Product group],MATCH(Товары[[#This Row],[SubGroup]],Структура_ассортимента[Subgroup],0)),"")</f>
        <v>WMS_C</v>
      </c>
      <c r="G124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2782</v>
      </c>
      <c r="Q1241" s="39" t="s">
        <v>3416</v>
      </c>
      <c r="R1241" s="34" t="s">
        <v>3407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3410</v>
      </c>
      <c r="X1241" s="34" t="s">
        <v>3446</v>
      </c>
      <c r="Y1241" s="34" t="s">
        <v>3409</v>
      </c>
      <c r="Z1241" s="34">
        <v>6</v>
      </c>
      <c r="AA1241" s="34" t="s">
        <v>3784</v>
      </c>
      <c r="AB1241" s="34" t="s">
        <v>3784</v>
      </c>
      <c r="AC1241" s="34" t="s">
        <v>3537</v>
      </c>
      <c r="AD1241" s="34" t="s">
        <v>3537</v>
      </c>
      <c r="AE1241" s="34" t="s">
        <v>3457</v>
      </c>
      <c r="AF1241" s="34" t="s">
        <v>4258</v>
      </c>
      <c r="AG1241" s="34" t="s">
        <v>4218</v>
      </c>
      <c r="AH1241" s="34" t="s">
        <v>6585</v>
      </c>
      <c r="AI1241" s="34" t="s">
        <v>4268</v>
      </c>
      <c r="AJ1241" s="34" t="s">
        <v>3964</v>
      </c>
      <c r="AK1241" s="34" t="s">
        <v>4218</v>
      </c>
      <c r="AL1241" s="34">
        <v>480</v>
      </c>
      <c r="AM1241" s="34" t="s">
        <v>7962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7" t="str">
        <f>IFERROR(INDEX(Структура_ассортимента[SuperCategory],MATCH(Товары[[#This Row],[SubGroup]],Структура_ассортимента[Subgroup],0)),"")</f>
        <v>W</v>
      </c>
      <c r="D12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7" t="str">
        <f>IFERROR(INDEX(Структура_ассортимента[Product group],MATCH(Товары[[#This Row],[SubGroup]],Структура_ассортимента[Subgroup],0)),"")</f>
        <v>WMS_C</v>
      </c>
      <c r="G124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2783</v>
      </c>
      <c r="O1242" s="37" t="s">
        <v>6586</v>
      </c>
      <c r="P1242" s="37" t="s">
        <v>6587</v>
      </c>
      <c r="Q1242" s="39" t="s">
        <v>3416</v>
      </c>
      <c r="R1242" s="34" t="s">
        <v>3407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3410</v>
      </c>
      <c r="X1242" s="34" t="s">
        <v>3446</v>
      </c>
      <c r="Y1242" s="34" t="s">
        <v>3409</v>
      </c>
      <c r="Z1242" s="34">
        <v>6</v>
      </c>
      <c r="AA1242" s="34" t="s">
        <v>3987</v>
      </c>
      <c r="AB1242" s="34" t="s">
        <v>3987</v>
      </c>
      <c r="AC1242" s="34" t="s">
        <v>6588</v>
      </c>
      <c r="AD1242" s="34" t="s">
        <v>6588</v>
      </c>
      <c r="AE1242" s="34" t="s">
        <v>4069</v>
      </c>
      <c r="AF1242" s="34" t="s">
        <v>3560</v>
      </c>
      <c r="AG1242" s="34" t="s">
        <v>4048</v>
      </c>
      <c r="AH1242" s="34" t="s">
        <v>6589</v>
      </c>
      <c r="AI1242" s="34" t="s">
        <v>3975</v>
      </c>
      <c r="AJ1242" s="34" t="s">
        <v>3459</v>
      </c>
      <c r="AK1242" s="34" t="s">
        <v>4218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7" t="str">
        <f>IFERROR(INDEX(Структура_ассортимента[SuperCategory],MATCH(Товары[[#This Row],[SubGroup]],Структура_ассортимента[Subgroup],0)),"")</f>
        <v>W</v>
      </c>
      <c r="D12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7" t="str">
        <f>IFERROR(INDEX(Структура_ассортимента[Product group],MATCH(Товары[[#This Row],[SubGroup]],Структура_ассортимента[Subgroup],0)),"")</f>
        <v>WMS_C</v>
      </c>
      <c r="G124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2784</v>
      </c>
      <c r="Q1243" s="39" t="s">
        <v>3416</v>
      </c>
      <c r="R1243" s="34" t="s">
        <v>3407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3414</v>
      </c>
      <c r="X1243" s="34" t="s">
        <v>3571</v>
      </c>
      <c r="Y1243" s="34" t="s">
        <v>3409</v>
      </c>
      <c r="Z1243" s="34">
        <v>6</v>
      </c>
      <c r="AA1243" s="34" t="s">
        <v>4806</v>
      </c>
      <c r="AB1243" s="34" t="s">
        <v>4806</v>
      </c>
      <c r="AC1243" s="34" t="s">
        <v>4047</v>
      </c>
      <c r="AD1243" s="34" t="s">
        <v>4047</v>
      </c>
      <c r="AE1243" s="34" t="s">
        <v>6590</v>
      </c>
      <c r="AF1243" s="34" t="s">
        <v>3631</v>
      </c>
      <c r="AG1243" s="34" t="s">
        <v>4587</v>
      </c>
      <c r="AH1243" s="34" t="s">
        <v>6591</v>
      </c>
      <c r="AL1243" s="34">
        <v>180</v>
      </c>
      <c r="AM1243" s="34" t="s">
        <v>7962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7" t="str">
        <f>IFERROR(INDEX(Структура_ассортимента[SuperCategory],MATCH(Товары[[#This Row],[SubGroup]],Структура_ассортимента[Subgroup],0)),"")</f>
        <v>W</v>
      </c>
      <c r="D12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7" t="str">
        <f>IFERROR(INDEX(Структура_ассортимента[Product group],MATCH(Товары[[#This Row],[SubGroup]],Структура_ассортимента[Subgroup],0)),"")</f>
        <v>WMS_C</v>
      </c>
      <c r="G124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2785</v>
      </c>
      <c r="Q1244" s="39" t="s">
        <v>3416</v>
      </c>
      <c r="R1244" s="34" t="s">
        <v>3407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3410</v>
      </c>
      <c r="X1244" s="34" t="s">
        <v>3446</v>
      </c>
      <c r="Y1244" s="34" t="s">
        <v>3409</v>
      </c>
      <c r="Z1244" s="34">
        <v>50</v>
      </c>
      <c r="AA1244" s="34" t="s">
        <v>5500</v>
      </c>
      <c r="AB1244" s="34" t="s">
        <v>5500</v>
      </c>
      <c r="AC1244" s="34" t="s">
        <v>5470</v>
      </c>
      <c r="AD1244" s="34" t="s">
        <v>5470</v>
      </c>
      <c r="AE1244" s="34" t="s">
        <v>3693</v>
      </c>
      <c r="AF1244" s="34" t="s">
        <v>4191</v>
      </c>
      <c r="AG1244" s="34" t="s">
        <v>4823</v>
      </c>
      <c r="AH1244" s="34" t="s">
        <v>6592</v>
      </c>
      <c r="AL1244" s="34">
        <v>1800</v>
      </c>
      <c r="AM1244" s="34" t="s">
        <v>7962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7" t="str">
        <f>IFERROR(INDEX(Структура_ассортимента[SuperCategory],MATCH(Товары[[#This Row],[SubGroup]],Структура_ассортимента[Subgroup],0)),"")</f>
        <v>W</v>
      </c>
      <c r="D12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7" t="str">
        <f>IFERROR(INDEX(Структура_ассортимента[Product group],MATCH(Товары[[#This Row],[SubGroup]],Структура_ассортимента[Subgroup],0)),"")</f>
        <v>WMS_C</v>
      </c>
      <c r="G124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2786</v>
      </c>
      <c r="O1245" s="37" t="s">
        <v>6593</v>
      </c>
      <c r="P1245" s="37" t="s">
        <v>6594</v>
      </c>
      <c r="Q1245" s="39" t="s">
        <v>3416</v>
      </c>
      <c r="R1245" s="34" t="s">
        <v>3407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3410</v>
      </c>
      <c r="X1245" s="34" t="s">
        <v>3446</v>
      </c>
      <c r="Y1245" s="34" t="s">
        <v>3409</v>
      </c>
      <c r="Z1245" s="34">
        <v>36</v>
      </c>
      <c r="AA1245" s="34">
        <v>0</v>
      </c>
      <c r="AB1245" s="34" t="s">
        <v>5777</v>
      </c>
      <c r="AC1245" s="34">
        <v>0</v>
      </c>
      <c r="AD1245" s="34" t="s">
        <v>3538</v>
      </c>
      <c r="AE1245" s="34" t="s">
        <v>3864</v>
      </c>
      <c r="AF1245" s="34" t="s">
        <v>3835</v>
      </c>
      <c r="AG1245" s="34" t="s">
        <v>4074</v>
      </c>
      <c r="AH1245" s="34" t="s">
        <v>6595</v>
      </c>
      <c r="AI1245" s="34" t="s">
        <v>5195</v>
      </c>
      <c r="AJ1245" s="34" t="s">
        <v>5791</v>
      </c>
      <c r="AK1245" s="34" t="s">
        <v>3575</v>
      </c>
      <c r="AL1245" s="34" t="s">
        <v>5959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7" t="str">
        <f>IFERROR(INDEX(Структура_ассортимента[SuperCategory],MATCH(Товары[[#This Row],[SubGroup]],Структура_ассортимента[Subgroup],0)),"")</f>
        <v>W</v>
      </c>
      <c r="D12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7" t="str">
        <f>IFERROR(INDEX(Структура_ассортимента[Product group],MATCH(Товары[[#This Row],[SubGroup]],Структура_ассортимента[Subgroup],0)),"")</f>
        <v>WMS_C</v>
      </c>
      <c r="G124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2787</v>
      </c>
      <c r="O1246" s="37" t="s">
        <v>6596</v>
      </c>
      <c r="P1246" s="37" t="s">
        <v>6597</v>
      </c>
      <c r="Q1246" s="39" t="s">
        <v>3416</v>
      </c>
      <c r="R1246" s="34" t="s">
        <v>3407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3410</v>
      </c>
      <c r="X1246" s="34" t="s">
        <v>3446</v>
      </c>
      <c r="Y1246" s="34" t="s">
        <v>3409</v>
      </c>
      <c r="Z1246" s="34">
        <v>1</v>
      </c>
      <c r="AA1246" s="34" t="s">
        <v>5305</v>
      </c>
      <c r="AB1246" s="34" t="s">
        <v>5305</v>
      </c>
      <c r="AC1246" s="34" t="s">
        <v>3837</v>
      </c>
      <c r="AD1246" s="34" t="s">
        <v>3837</v>
      </c>
      <c r="AE1246" s="34" t="s">
        <v>6598</v>
      </c>
      <c r="AF1246" s="34" t="s">
        <v>5213</v>
      </c>
      <c r="AG1246" s="34" t="s">
        <v>4268</v>
      </c>
      <c r="AH1246" s="34" t="s">
        <v>6599</v>
      </c>
      <c r="AI1246" s="34" t="s">
        <v>6600</v>
      </c>
      <c r="AJ1246" s="34" t="s">
        <v>3696</v>
      </c>
      <c r="AK1246" s="34" t="s">
        <v>5891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7" t="str">
        <f>IFERROR(INDEX(Структура_ассортимента[SuperCategory],MATCH(Товары[[#This Row],[SubGroup]],Структура_ассортимента[Subgroup],0)),"")</f>
        <v>W</v>
      </c>
      <c r="D12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7" t="str">
        <f>IFERROR(INDEX(Структура_ассортимента[Product group],MATCH(Товары[[#This Row],[SubGroup]],Структура_ассортимента[Subgroup],0)),"")</f>
        <v>WMS_C</v>
      </c>
      <c r="G124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2788</v>
      </c>
      <c r="Q1247" s="39" t="s">
        <v>3580</v>
      </c>
      <c r="R1247" s="34" t="s">
        <v>3407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3410</v>
      </c>
      <c r="Y1247" s="34" t="s">
        <v>3409</v>
      </c>
      <c r="Z1247" s="34">
        <v>16</v>
      </c>
      <c r="AA1247" s="34" t="s">
        <v>4443</v>
      </c>
      <c r="AB1247" s="34" t="s">
        <v>4443</v>
      </c>
      <c r="AC1247" s="34" t="s">
        <v>4256</v>
      </c>
      <c r="AD1247" s="34" t="s">
        <v>4256</v>
      </c>
      <c r="AE1247" s="34" t="s">
        <v>6601</v>
      </c>
      <c r="AF1247" s="34" t="s">
        <v>4873</v>
      </c>
      <c r="AG1247" s="34" t="s">
        <v>4895</v>
      </c>
      <c r="AH1247" s="34" t="s">
        <v>6602</v>
      </c>
      <c r="AL1247" s="34" t="s">
        <v>6603</v>
      </c>
      <c r="AM1247" s="34" t="s">
        <v>7961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7" t="str">
        <f>IFERROR(INDEX(Структура_ассортимента[SuperCategory],MATCH(Товары[[#This Row],[SubGroup]],Структура_ассортимента[Subgroup],0)),"")</f>
        <v>W</v>
      </c>
      <c r="D12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7" t="str">
        <f>IFERROR(INDEX(Структура_ассортимента[Product group],MATCH(Товары[[#This Row],[SubGroup]],Структура_ассортимента[Subgroup],0)),"")</f>
        <v>WMS_C</v>
      </c>
      <c r="G124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2789</v>
      </c>
      <c r="Q1248" s="39" t="s">
        <v>3580</v>
      </c>
      <c r="R1248" s="34" t="s">
        <v>3407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3410</v>
      </c>
      <c r="Y1248" s="34" t="s">
        <v>3409</v>
      </c>
      <c r="Z1248" s="34">
        <v>16</v>
      </c>
      <c r="AA1248" s="34">
        <v>0</v>
      </c>
      <c r="AB1248" s="34" t="s">
        <v>4443</v>
      </c>
      <c r="AC1248" s="34">
        <v>0</v>
      </c>
      <c r="AD1248" s="34" t="s">
        <v>4256</v>
      </c>
      <c r="AE1248" s="34" t="s">
        <v>6601</v>
      </c>
      <c r="AF1248" s="34" t="s">
        <v>4873</v>
      </c>
      <c r="AG1248" s="34" t="s">
        <v>4895</v>
      </c>
      <c r="AH1248" s="34" t="s">
        <v>6602</v>
      </c>
      <c r="AL1248" s="34" t="s">
        <v>3525</v>
      </c>
      <c r="AM1248" s="34" t="s">
        <v>7961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7" t="str">
        <f>IFERROR(INDEX(Структура_ассортимента[SuperCategory],MATCH(Товары[[#This Row],[SubGroup]],Структура_ассортимента[Subgroup],0)),"")</f>
        <v>W</v>
      </c>
      <c r="D12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7" t="str">
        <f>IFERROR(INDEX(Структура_ассортимента[Product group],MATCH(Товары[[#This Row],[SubGroup]],Структура_ассортимента[Subgroup],0)),"")</f>
        <v>WMS_C</v>
      </c>
      <c r="G124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2790</v>
      </c>
      <c r="Q1249" s="39" t="s">
        <v>3580</v>
      </c>
      <c r="R1249" s="34" t="s">
        <v>3407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3410</v>
      </c>
      <c r="Y1249" s="34" t="s">
        <v>3409</v>
      </c>
      <c r="Z1249" s="34">
        <v>2</v>
      </c>
      <c r="AA1249" s="34" t="s">
        <v>5097</v>
      </c>
      <c r="AB1249" s="34" t="s">
        <v>5097</v>
      </c>
      <c r="AC1249" s="34" t="s">
        <v>3731</v>
      </c>
      <c r="AD1249" s="34" t="s">
        <v>3731</v>
      </c>
      <c r="AE1249" s="34" t="s">
        <v>4073</v>
      </c>
      <c r="AF1249" s="34" t="s">
        <v>4372</v>
      </c>
      <c r="AG1249" s="34" t="s">
        <v>4416</v>
      </c>
      <c r="AH1249" s="34" t="s">
        <v>6604</v>
      </c>
      <c r="AL1249" s="34">
        <v>136</v>
      </c>
      <c r="AM1249" s="34" t="s">
        <v>7961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7" t="str">
        <f>IFERROR(INDEX(Структура_ассортимента[SuperCategory],MATCH(Товары[[#This Row],[SubGroup]],Структура_ассортимента[Subgroup],0)),"")</f>
        <v>W</v>
      </c>
      <c r="D12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7" t="str">
        <f>IFERROR(INDEX(Структура_ассортимента[Product group],MATCH(Товары[[#This Row],[SubGroup]],Структура_ассортимента[Subgroup],0)),"")</f>
        <v>WMS_C</v>
      </c>
      <c r="G125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2791</v>
      </c>
      <c r="P1250" s="37" t="s">
        <v>6605</v>
      </c>
      <c r="Q1250" s="39" t="s">
        <v>3580</v>
      </c>
      <c r="R1250" s="34" t="s">
        <v>3407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3410</v>
      </c>
      <c r="Y1250" s="34" t="s">
        <v>3409</v>
      </c>
      <c r="Z1250" s="34">
        <v>4</v>
      </c>
      <c r="AA1250" s="34" t="s">
        <v>6606</v>
      </c>
      <c r="AB1250" s="34" t="s">
        <v>6606</v>
      </c>
      <c r="AC1250" s="34" t="s">
        <v>3759</v>
      </c>
      <c r="AD1250" s="34" t="s">
        <v>3759</v>
      </c>
      <c r="AE1250" s="34" t="s">
        <v>6607</v>
      </c>
      <c r="AF1250" s="34" t="s">
        <v>4307</v>
      </c>
      <c r="AG1250" s="34" t="s">
        <v>3424</v>
      </c>
      <c r="AH1250" s="34" t="s">
        <v>6608</v>
      </c>
      <c r="AI1250" s="34" t="s">
        <v>5683</v>
      </c>
      <c r="AJ1250" s="34" t="s">
        <v>3433</v>
      </c>
      <c r="AK1250" s="34" t="s">
        <v>4325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7" t="str">
        <f>IFERROR(INDEX(Структура_ассортимента[SuperCategory],MATCH(Товары[[#This Row],[SubGroup]],Структура_ассортимента[Subgroup],0)),"")</f>
        <v>W</v>
      </c>
      <c r="D12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7" t="str">
        <f>IFERROR(INDEX(Структура_ассортимента[Product group],MATCH(Товары[[#This Row],[SubGroup]],Структура_ассортимента[Subgroup],0)),"")</f>
        <v>WMS_C</v>
      </c>
      <c r="G125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2792</v>
      </c>
      <c r="P1251" s="37" t="s">
        <v>6609</v>
      </c>
      <c r="Q1251" s="39" t="s">
        <v>3580</v>
      </c>
      <c r="R1251" s="34" t="s">
        <v>3407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3410</v>
      </c>
      <c r="Y1251" s="34" t="s">
        <v>3409</v>
      </c>
      <c r="Z1251" s="34">
        <v>4</v>
      </c>
      <c r="AA1251" s="34" t="s">
        <v>6610</v>
      </c>
      <c r="AB1251" s="34" t="s">
        <v>6611</v>
      </c>
      <c r="AC1251" s="34" t="s">
        <v>4083</v>
      </c>
      <c r="AD1251" s="34" t="s">
        <v>4531</v>
      </c>
      <c r="AE1251" s="34" t="s">
        <v>4703</v>
      </c>
      <c r="AF1251" s="34" t="s">
        <v>5332</v>
      </c>
      <c r="AG1251" s="34" t="s">
        <v>4548</v>
      </c>
      <c r="AH1251" s="34" t="s">
        <v>6612</v>
      </c>
      <c r="AI1251" s="34" t="s">
        <v>4069</v>
      </c>
      <c r="AJ1251" s="34" t="s">
        <v>3574</v>
      </c>
      <c r="AK1251" s="34" t="s">
        <v>4325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7" t="str">
        <f>IFERROR(INDEX(Структура_ассортимента[SuperCategory],MATCH(Товары[[#This Row],[SubGroup]],Структура_ассортимента[Subgroup],0)),"")</f>
        <v>W</v>
      </c>
      <c r="D12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7" t="str">
        <f>IFERROR(INDEX(Структура_ассортимента[Product group],MATCH(Товары[[#This Row],[SubGroup]],Структура_ассортимента[Subgroup],0)),"")</f>
        <v>WMS_C</v>
      </c>
      <c r="G125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2793</v>
      </c>
      <c r="P1252" s="37" t="s">
        <v>6613</v>
      </c>
      <c r="Q1252" s="39" t="s">
        <v>3580</v>
      </c>
      <c r="R1252" s="34" t="s">
        <v>3407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3410</v>
      </c>
      <c r="Y1252" s="34" t="s">
        <v>3409</v>
      </c>
      <c r="Z1252" s="34">
        <v>4</v>
      </c>
      <c r="AA1252" s="34" t="s">
        <v>4238</v>
      </c>
      <c r="AB1252" s="34" t="s">
        <v>4238</v>
      </c>
      <c r="AC1252" s="34" t="s">
        <v>3421</v>
      </c>
      <c r="AD1252" s="34" t="s">
        <v>3421</v>
      </c>
      <c r="AE1252" s="34" t="s">
        <v>4201</v>
      </c>
      <c r="AF1252" s="34" t="s">
        <v>4760</v>
      </c>
      <c r="AG1252" s="34" t="s">
        <v>3424</v>
      </c>
      <c r="AH1252" s="34" t="s">
        <v>6614</v>
      </c>
      <c r="AI1252" s="34" t="s">
        <v>3555</v>
      </c>
      <c r="AJ1252" s="34" t="s">
        <v>3433</v>
      </c>
      <c r="AK1252" s="34" t="s">
        <v>4325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7" t="str">
        <f>IFERROR(INDEX(Структура_ассортимента[SuperCategory],MATCH(Товары[[#This Row],[SubGroup]],Структура_ассортимента[Subgroup],0)),"")</f>
        <v>W</v>
      </c>
      <c r="D12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7" t="str">
        <f>IFERROR(INDEX(Структура_ассортимента[Product group],MATCH(Товары[[#This Row],[SubGroup]],Структура_ассортимента[Subgroup],0)),"")</f>
        <v>WMS_C</v>
      </c>
      <c r="G125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2794</v>
      </c>
      <c r="P1253" s="37" t="s">
        <v>6615</v>
      </c>
      <c r="Q1253" s="39" t="s">
        <v>3580</v>
      </c>
      <c r="R1253" s="34" t="s">
        <v>3407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3410</v>
      </c>
      <c r="Y1253" s="34" t="s">
        <v>3409</v>
      </c>
      <c r="Z1253" s="34">
        <v>4</v>
      </c>
      <c r="AA1253" s="34" t="s">
        <v>4453</v>
      </c>
      <c r="AB1253" s="34" t="s">
        <v>4453</v>
      </c>
      <c r="AC1253" s="34" t="s">
        <v>4241</v>
      </c>
      <c r="AD1253" s="34" t="s">
        <v>4241</v>
      </c>
      <c r="AE1253" s="34" t="s">
        <v>6616</v>
      </c>
      <c r="AF1253" s="34" t="s">
        <v>4595</v>
      </c>
      <c r="AG1253" s="34" t="s">
        <v>4139</v>
      </c>
      <c r="AH1253" s="34" t="s">
        <v>6617</v>
      </c>
      <c r="AI1253" s="34" t="s">
        <v>6618</v>
      </c>
      <c r="AJ1253" s="34" t="s">
        <v>3433</v>
      </c>
      <c r="AK1253" s="34" t="s">
        <v>4325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7" t="str">
        <f>IFERROR(INDEX(Структура_ассортимента[SuperCategory],MATCH(Товары[[#This Row],[SubGroup]],Структура_ассортимента[Subgroup],0)),"")</f>
        <v>W</v>
      </c>
      <c r="D12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7" t="str">
        <f>IFERROR(INDEX(Структура_ассортимента[Product group],MATCH(Товары[[#This Row],[SubGroup]],Структура_ассортимента[Subgroup],0)),"")</f>
        <v>WMS_C</v>
      </c>
      <c r="G125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2795</v>
      </c>
      <c r="Q1254" s="39" t="s">
        <v>3580</v>
      </c>
      <c r="R1254" s="34" t="s">
        <v>3407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3410</v>
      </c>
      <c r="Y1254" s="34" t="s">
        <v>3409</v>
      </c>
      <c r="Z1254" s="34">
        <v>24</v>
      </c>
      <c r="AA1254" s="34" t="s">
        <v>6619</v>
      </c>
      <c r="AB1254" s="34" t="s">
        <v>6619</v>
      </c>
      <c r="AC1254" s="34" t="s">
        <v>4083</v>
      </c>
      <c r="AD1254" s="34" t="s">
        <v>4083</v>
      </c>
      <c r="AE1254" s="34" t="s">
        <v>3609</v>
      </c>
      <c r="AF1254" s="34" t="s">
        <v>4325</v>
      </c>
      <c r="AG1254" s="34" t="s">
        <v>3753</v>
      </c>
      <c r="AH1254" s="34" t="s">
        <v>6620</v>
      </c>
      <c r="AL1254" s="34" t="s">
        <v>3848</v>
      </c>
      <c r="AM1254" s="34" t="s">
        <v>7961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7" t="str">
        <f>IFERROR(INDEX(Структура_ассортимента[SuperCategory],MATCH(Товары[[#This Row],[SubGroup]],Структура_ассортимента[Subgroup],0)),"")</f>
        <v>W</v>
      </c>
      <c r="D12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7" t="str">
        <f>IFERROR(INDEX(Структура_ассортимента[Product group],MATCH(Товары[[#This Row],[SubGroup]],Структура_ассортимента[Subgroup],0)),"")</f>
        <v>WMS_C</v>
      </c>
      <c r="G125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2796</v>
      </c>
      <c r="Q1255" s="39" t="s">
        <v>3580</v>
      </c>
      <c r="R1255" s="34" t="s">
        <v>3407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3410</v>
      </c>
      <c r="Y1255" s="34" t="s">
        <v>3409</v>
      </c>
      <c r="Z1255" s="34">
        <v>24</v>
      </c>
      <c r="AA1255" s="34">
        <v>0</v>
      </c>
      <c r="AB1255" s="34" t="s">
        <v>6619</v>
      </c>
      <c r="AC1255" s="34">
        <v>0</v>
      </c>
      <c r="AD1255" s="34" t="s">
        <v>4083</v>
      </c>
      <c r="AE1255" s="34" t="s">
        <v>3609</v>
      </c>
      <c r="AF1255" s="34" t="s">
        <v>4325</v>
      </c>
      <c r="AG1255" s="34" t="s">
        <v>3753</v>
      </c>
      <c r="AH1255" s="34" t="s">
        <v>6620</v>
      </c>
      <c r="AL1255" s="34" t="s">
        <v>3848</v>
      </c>
      <c r="AM1255" s="34" t="s">
        <v>7961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7" t="str">
        <f>IFERROR(INDEX(Структура_ассортимента[SuperCategory],MATCH(Товары[[#This Row],[SubGroup]],Структура_ассортимента[Subgroup],0)),"")</f>
        <v>W</v>
      </c>
      <c r="D12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7" t="str">
        <f>IFERROR(INDEX(Структура_ассортимента[Product group],MATCH(Товары[[#This Row],[SubGroup]],Структура_ассортимента[Subgroup],0)),"")</f>
        <v>WMS_C</v>
      </c>
      <c r="G125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2797</v>
      </c>
      <c r="Q1256" s="39" t="s">
        <v>3580</v>
      </c>
      <c r="R1256" s="34" t="s">
        <v>3407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3410</v>
      </c>
      <c r="Y1256" s="34" t="s">
        <v>3409</v>
      </c>
      <c r="Z1256" s="34">
        <v>20</v>
      </c>
      <c r="AA1256" s="34" t="s">
        <v>6621</v>
      </c>
      <c r="AB1256" s="34" t="s">
        <v>6621</v>
      </c>
      <c r="AC1256" s="34" t="s">
        <v>4806</v>
      </c>
      <c r="AD1256" s="34" t="s">
        <v>4806</v>
      </c>
      <c r="AE1256" s="34" t="s">
        <v>6622</v>
      </c>
      <c r="AF1256" s="34" t="s">
        <v>3427</v>
      </c>
      <c r="AG1256" s="34" t="s">
        <v>3667</v>
      </c>
      <c r="AH1256" s="34" t="s">
        <v>6623</v>
      </c>
      <c r="AL1256" s="34">
        <v>200</v>
      </c>
      <c r="AM1256" s="34" t="s">
        <v>7961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7" t="str">
        <f>IFERROR(INDEX(Структура_ассортимента[SuperCategory],MATCH(Товары[[#This Row],[SubGroup]],Структура_ассортимента[Subgroup],0)),"")</f>
        <v>W</v>
      </c>
      <c r="D12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7" t="str">
        <f>IFERROR(INDEX(Структура_ассортимента[Product group],MATCH(Товары[[#This Row],[SubGroup]],Структура_ассортимента[Subgroup],0)),"")</f>
        <v>WMS_C</v>
      </c>
      <c r="G125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2798</v>
      </c>
      <c r="Q1257" s="39" t="s">
        <v>3580</v>
      </c>
      <c r="R1257" s="34" t="s">
        <v>3407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3410</v>
      </c>
      <c r="Y1257" s="34" t="s">
        <v>3409</v>
      </c>
      <c r="Z1257" s="34">
        <v>30</v>
      </c>
      <c r="AA1257" s="34">
        <v>0</v>
      </c>
      <c r="AB1257" s="34" t="s">
        <v>6621</v>
      </c>
      <c r="AC1257" s="34">
        <v>0</v>
      </c>
      <c r="AD1257" s="34" t="s">
        <v>4806</v>
      </c>
      <c r="AE1257" s="34" t="s">
        <v>6622</v>
      </c>
      <c r="AF1257" s="34" t="s">
        <v>3427</v>
      </c>
      <c r="AG1257" s="34" t="s">
        <v>3667</v>
      </c>
      <c r="AH1257" s="34" t="s">
        <v>6623</v>
      </c>
      <c r="AL1257" s="34" t="s">
        <v>3460</v>
      </c>
      <c r="AM1257" s="34" t="s">
        <v>7961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7" t="str">
        <f>IFERROR(INDEX(Структура_ассортимента[SuperCategory],MATCH(Товары[[#This Row],[SubGroup]],Структура_ассортимента[Subgroup],0)),"")</f>
        <v>W</v>
      </c>
      <c r="D12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7" t="str">
        <f>IFERROR(INDEX(Структура_ассортимента[Product group],MATCH(Товары[[#This Row],[SubGroup]],Структура_ассортимента[Subgroup],0)),"")</f>
        <v>WMS_C</v>
      </c>
      <c r="G125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2799</v>
      </c>
      <c r="Q1258" s="39" t="s">
        <v>3580</v>
      </c>
      <c r="R1258" s="34" t="s">
        <v>3407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3410</v>
      </c>
      <c r="Y1258" s="34" t="s">
        <v>3409</v>
      </c>
      <c r="Z1258" s="34">
        <v>5</v>
      </c>
      <c r="AA1258" s="34" t="s">
        <v>4632</v>
      </c>
      <c r="AB1258" s="34" t="s">
        <v>4632</v>
      </c>
      <c r="AC1258" s="34" t="s">
        <v>4443</v>
      </c>
      <c r="AD1258" s="34" t="s">
        <v>4443</v>
      </c>
      <c r="AE1258" s="34" t="s">
        <v>4092</v>
      </c>
      <c r="AF1258" s="34" t="s">
        <v>3466</v>
      </c>
      <c r="AG1258" s="34" t="s">
        <v>4416</v>
      </c>
      <c r="AH1258" s="34" t="s">
        <v>6624</v>
      </c>
      <c r="AL1258" s="34">
        <v>80</v>
      </c>
      <c r="AM1258" s="34" t="s">
        <v>7961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7" t="str">
        <f>IFERROR(INDEX(Структура_ассортимента[SuperCategory],MATCH(Товары[[#This Row],[SubGroup]],Структура_ассортимента[Subgroup],0)),"")</f>
        <v>W</v>
      </c>
      <c r="D12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7" t="str">
        <f>IFERROR(INDEX(Структура_ассортимента[Product group],MATCH(Товары[[#This Row],[SubGroup]],Структура_ассортимента[Subgroup],0)),"")</f>
        <v>WMS_C</v>
      </c>
      <c r="G125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2800</v>
      </c>
      <c r="Q1259" s="39" t="s">
        <v>3580</v>
      </c>
      <c r="R1259" s="34" t="s">
        <v>3407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3410</v>
      </c>
      <c r="Y1259" s="34" t="s">
        <v>3409</v>
      </c>
      <c r="Z1259" s="34">
        <v>30</v>
      </c>
      <c r="AA1259" s="34" t="s">
        <v>6625</v>
      </c>
      <c r="AB1259" s="34" t="s">
        <v>6625</v>
      </c>
      <c r="AC1259" s="34" t="s">
        <v>4246</v>
      </c>
      <c r="AD1259" s="34" t="s">
        <v>4246</v>
      </c>
      <c r="AE1259" s="34" t="s">
        <v>4092</v>
      </c>
      <c r="AF1259" s="34" t="s">
        <v>3466</v>
      </c>
      <c r="AG1259" s="34" t="s">
        <v>4416</v>
      </c>
      <c r="AH1259" s="34" t="s">
        <v>6624</v>
      </c>
      <c r="AL1259" s="34">
        <v>90</v>
      </c>
      <c r="AM1259" s="34" t="s">
        <v>7961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7" t="str">
        <f>IFERROR(INDEX(Структура_ассортимента[SuperCategory],MATCH(Товары[[#This Row],[SubGroup]],Структура_ассортимента[Subgroup],0)),"")</f>
        <v>W</v>
      </c>
      <c r="D12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7" t="str">
        <f>IFERROR(INDEX(Структура_ассортимента[Product group],MATCH(Товары[[#This Row],[SubGroup]],Структура_ассортимента[Subgroup],0)),"")</f>
        <v>WMS_C</v>
      </c>
      <c r="G126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2801</v>
      </c>
      <c r="P1260" s="37" t="s">
        <v>6626</v>
      </c>
      <c r="Q1260" s="39" t="s">
        <v>3580</v>
      </c>
      <c r="R1260" s="34" t="s">
        <v>3407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3410</v>
      </c>
      <c r="Y1260" s="34" t="s">
        <v>3409</v>
      </c>
      <c r="Z1260" s="34">
        <v>5</v>
      </c>
      <c r="AA1260" s="34" t="s">
        <v>6627</v>
      </c>
      <c r="AB1260" s="34" t="s">
        <v>6627</v>
      </c>
      <c r="AC1260" s="34" t="s">
        <v>4037</v>
      </c>
      <c r="AD1260" s="34" t="s">
        <v>4037</v>
      </c>
      <c r="AE1260" s="34" t="s">
        <v>3724</v>
      </c>
      <c r="AF1260" s="34" t="s">
        <v>3466</v>
      </c>
      <c r="AG1260" s="34" t="s">
        <v>5880</v>
      </c>
      <c r="AH1260" s="34" t="s">
        <v>6628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7" t="str">
        <f>IFERROR(INDEX(Структура_ассортимента[SuperCategory],MATCH(Товары[[#This Row],[SubGroup]],Структура_ассортимента[Subgroup],0)),"")</f>
        <v>W</v>
      </c>
      <c r="D12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7" t="str">
        <f>IFERROR(INDEX(Структура_ассортимента[Product group],MATCH(Товары[[#This Row],[SubGroup]],Структура_ассортимента[Subgroup],0)),"")</f>
        <v>WMS_C</v>
      </c>
      <c r="G126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2802</v>
      </c>
      <c r="Q1261" s="39" t="s">
        <v>3580</v>
      </c>
      <c r="R1261" s="34" t="s">
        <v>3407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3410</v>
      </c>
      <c r="Y1261" s="34" t="s">
        <v>3409</v>
      </c>
      <c r="Z1261" s="34">
        <v>40</v>
      </c>
      <c r="AA1261" s="34" t="s">
        <v>4668</v>
      </c>
      <c r="AB1261" s="34" t="s">
        <v>4668</v>
      </c>
      <c r="AC1261" s="34" t="s">
        <v>4037</v>
      </c>
      <c r="AD1261" s="34" t="s">
        <v>4037</v>
      </c>
      <c r="AE1261" s="34" t="s">
        <v>3724</v>
      </c>
      <c r="AF1261" s="34" t="s">
        <v>3466</v>
      </c>
      <c r="AG1261" s="34" t="s">
        <v>5880</v>
      </c>
      <c r="AH1261" s="34" t="s">
        <v>6628</v>
      </c>
      <c r="AL1261" s="34">
        <v>120</v>
      </c>
      <c r="AM1261" s="34" t="s">
        <v>7961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7" t="str">
        <f>IFERROR(INDEX(Структура_ассортимента[SuperCategory],MATCH(Товары[[#This Row],[SubGroup]],Структура_ассортимента[Subgroup],0)),"")</f>
        <v>W</v>
      </c>
      <c r="D12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7" t="str">
        <f>IFERROR(INDEX(Структура_ассортимента[Product group],MATCH(Товары[[#This Row],[SubGroup]],Структура_ассортимента[Subgroup],0)),"")</f>
        <v>WMS_C</v>
      </c>
      <c r="G126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2803</v>
      </c>
      <c r="P1262" s="37" t="s">
        <v>6629</v>
      </c>
      <c r="Q1262" s="39" t="s">
        <v>3580</v>
      </c>
      <c r="R1262" s="34" t="s">
        <v>3407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3410</v>
      </c>
      <c r="Y1262" s="34" t="s">
        <v>3409</v>
      </c>
      <c r="Z1262" s="34">
        <v>10</v>
      </c>
      <c r="AA1262" s="34" t="s">
        <v>4369</v>
      </c>
      <c r="AB1262" s="34" t="s">
        <v>4369</v>
      </c>
      <c r="AC1262" s="34" t="s">
        <v>4806</v>
      </c>
      <c r="AD1262" s="34" t="s">
        <v>4806</v>
      </c>
      <c r="AE1262" s="34" t="s">
        <v>3724</v>
      </c>
      <c r="AF1262" s="34" t="s">
        <v>3455</v>
      </c>
      <c r="AG1262" s="34" t="s">
        <v>3667</v>
      </c>
      <c r="AH1262" s="34" t="s">
        <v>6630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7" t="str">
        <f>IFERROR(INDEX(Структура_ассортимента[SuperCategory],MATCH(Товары[[#This Row],[SubGroup]],Структура_ассортимента[Subgroup],0)),"")</f>
        <v>W</v>
      </c>
      <c r="D12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7" t="str">
        <f>IFERROR(INDEX(Структура_ассортимента[Product group],MATCH(Товары[[#This Row],[SubGroup]],Структура_ассортимента[Subgroup],0)),"")</f>
        <v>WMS_C</v>
      </c>
      <c r="G126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2804</v>
      </c>
      <c r="Q1263" s="39" t="s">
        <v>3580</v>
      </c>
      <c r="R1263" s="34" t="s">
        <v>3407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3410</v>
      </c>
      <c r="Y1263" s="34" t="s">
        <v>3409</v>
      </c>
      <c r="Z1263" s="34">
        <v>58</v>
      </c>
      <c r="AA1263" s="34" t="s">
        <v>6631</v>
      </c>
      <c r="AB1263" s="34" t="s">
        <v>6631</v>
      </c>
      <c r="AC1263" s="34" t="s">
        <v>4806</v>
      </c>
      <c r="AD1263" s="34" t="s">
        <v>4806</v>
      </c>
      <c r="AE1263" s="34" t="s">
        <v>3724</v>
      </c>
      <c r="AF1263" s="34" t="s">
        <v>3455</v>
      </c>
      <c r="AG1263" s="34" t="s">
        <v>3667</v>
      </c>
      <c r="AH1263" s="34" t="s">
        <v>6630</v>
      </c>
      <c r="AL1263" s="34">
        <v>174</v>
      </c>
      <c r="AM1263" s="34" t="s">
        <v>7961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7" t="str">
        <f>IFERROR(INDEX(Структура_ассортимента[SuperCategory],MATCH(Товары[[#This Row],[SubGroup]],Структура_ассортимента[Subgroup],0)),"")</f>
        <v>W</v>
      </c>
      <c r="D12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7" t="str">
        <f>IFERROR(INDEX(Структура_ассортимента[Product group],MATCH(Товары[[#This Row],[SubGroup]],Структура_ассортимента[Subgroup],0)),"")</f>
        <v>WMS_C</v>
      </c>
      <c r="G126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2805</v>
      </c>
      <c r="Q1264" s="39" t="s">
        <v>3580</v>
      </c>
      <c r="R1264" s="34" t="s">
        <v>3407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3410</v>
      </c>
      <c r="Y1264" s="34" t="s">
        <v>3409</v>
      </c>
      <c r="Z1264" s="34">
        <v>60</v>
      </c>
      <c r="AA1264" s="34" t="s">
        <v>4255</v>
      </c>
      <c r="AB1264" s="34" t="s">
        <v>4255</v>
      </c>
      <c r="AC1264" s="34" t="s">
        <v>4046</v>
      </c>
      <c r="AD1264" s="34" t="s">
        <v>4046</v>
      </c>
      <c r="AE1264" s="34" t="s">
        <v>3724</v>
      </c>
      <c r="AF1264" s="34" t="s">
        <v>3455</v>
      </c>
      <c r="AG1264" s="34" t="s">
        <v>3667</v>
      </c>
      <c r="AH1264" s="34" t="s">
        <v>6630</v>
      </c>
      <c r="AL1264" s="34">
        <v>120</v>
      </c>
      <c r="AM1264" s="34" t="s">
        <v>7961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7" t="str">
        <f>IFERROR(INDEX(Структура_ассортимента[SuperCategory],MATCH(Товары[[#This Row],[SubGroup]],Структура_ассортимента[Subgroup],0)),"")</f>
        <v>W</v>
      </c>
      <c r="D12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7" t="str">
        <f>IFERROR(INDEX(Структура_ассортимента[Product group],MATCH(Товары[[#This Row],[SubGroup]],Структура_ассортимента[Subgroup],0)),"")</f>
        <v>WMS_C</v>
      </c>
      <c r="G126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2806</v>
      </c>
      <c r="Q1265" s="39" t="s">
        <v>3580</v>
      </c>
      <c r="R1265" s="34" t="s">
        <v>3407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3410</v>
      </c>
      <c r="Y1265" s="34" t="s">
        <v>3409</v>
      </c>
      <c r="Z1265" s="34">
        <v>60</v>
      </c>
      <c r="AA1265" s="34">
        <v>0</v>
      </c>
      <c r="AB1265" s="34" t="s">
        <v>4255</v>
      </c>
      <c r="AC1265" s="34">
        <v>0</v>
      </c>
      <c r="AD1265" s="34" t="s">
        <v>4046</v>
      </c>
      <c r="AE1265" s="34" t="s">
        <v>3724</v>
      </c>
      <c r="AF1265" s="34" t="s">
        <v>3455</v>
      </c>
      <c r="AG1265" s="34" t="s">
        <v>3667</v>
      </c>
      <c r="AH1265" s="34" t="s">
        <v>6630</v>
      </c>
      <c r="AL1265" s="34" t="s">
        <v>3460</v>
      </c>
      <c r="AM1265" s="34" t="s">
        <v>7961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7" t="str">
        <f>IFERROR(INDEX(Структура_ассортимента[SuperCategory],MATCH(Товары[[#This Row],[SubGroup]],Структура_ассортимента[Subgroup],0)),"")</f>
        <v>W</v>
      </c>
      <c r="D12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7" t="str">
        <f>IFERROR(INDEX(Структура_ассортимента[Product group],MATCH(Товары[[#This Row],[SubGroup]],Структура_ассортимента[Subgroup],0)),"")</f>
        <v>WMS_C</v>
      </c>
      <c r="G126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2807</v>
      </c>
      <c r="P1266" s="37" t="s">
        <v>6632</v>
      </c>
      <c r="Q1266" s="39" t="s">
        <v>3580</v>
      </c>
      <c r="R1266" s="34" t="s">
        <v>3407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3410</v>
      </c>
      <c r="Y1266" s="34" t="s">
        <v>3409</v>
      </c>
      <c r="Z1266" s="34">
        <v>5</v>
      </c>
      <c r="AA1266" s="34" t="s">
        <v>4443</v>
      </c>
      <c r="AB1266" s="34" t="s">
        <v>4443</v>
      </c>
      <c r="AC1266" s="34" t="s">
        <v>4256</v>
      </c>
      <c r="AD1266" s="34" t="s">
        <v>4256</v>
      </c>
      <c r="AE1266" s="34" t="s">
        <v>6601</v>
      </c>
      <c r="AF1266" s="34" t="s">
        <v>4873</v>
      </c>
      <c r="AG1266" s="34" t="s">
        <v>4895</v>
      </c>
      <c r="AH1266" s="34" t="s">
        <v>6602</v>
      </c>
      <c r="AL1266" s="34" t="s">
        <v>4173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7" t="str">
        <f>IFERROR(INDEX(Структура_ассортимента[SuperCategory],MATCH(Товары[[#This Row],[SubGroup]],Структура_ассортимента[Subgroup],0)),"")</f>
        <v>W</v>
      </c>
      <c r="D12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7" t="str">
        <f>IFERROR(INDEX(Структура_ассортимента[Product group],MATCH(Товары[[#This Row],[SubGroup]],Структура_ассортимента[Subgroup],0)),"")</f>
        <v>WMS_C</v>
      </c>
      <c r="G126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2808</v>
      </c>
      <c r="P1267" s="37" t="s">
        <v>6633</v>
      </c>
      <c r="Q1267" s="39" t="s">
        <v>3580</v>
      </c>
      <c r="R1267" s="34" t="s">
        <v>3407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3410</v>
      </c>
      <c r="Y1267" s="34" t="s">
        <v>3409</v>
      </c>
      <c r="Z1267" s="34">
        <v>60</v>
      </c>
      <c r="AA1267" s="34">
        <v>0</v>
      </c>
      <c r="AB1267" s="34" t="s">
        <v>4003</v>
      </c>
      <c r="AC1267" s="34">
        <v>282</v>
      </c>
      <c r="AD1267" s="34" t="s">
        <v>4046</v>
      </c>
      <c r="AE1267" s="34" t="s">
        <v>4069</v>
      </c>
      <c r="AF1267" s="34" t="s">
        <v>3427</v>
      </c>
      <c r="AG1267" s="34" t="s">
        <v>3574</v>
      </c>
      <c r="AH1267" s="34" t="s">
        <v>6634</v>
      </c>
      <c r="AL1267" s="34" t="s">
        <v>3460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7" t="str">
        <f>IFERROR(INDEX(Структура_ассортимента[SuperCategory],MATCH(Товары[[#This Row],[SubGroup]],Структура_ассортимента[Subgroup],0)),"")</f>
        <v>W</v>
      </c>
      <c r="D12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7" t="str">
        <f>IFERROR(INDEX(Структура_ассортимента[Product group],MATCH(Товары[[#This Row],[SubGroup]],Структура_ассортимента[Subgroup],0)),"")</f>
        <v>WMS_C</v>
      </c>
      <c r="G126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2809</v>
      </c>
      <c r="O1268" s="37" t="s">
        <v>6635</v>
      </c>
      <c r="P1268" s="37" t="s">
        <v>6636</v>
      </c>
      <c r="Q1268" s="39" t="s">
        <v>3416</v>
      </c>
      <c r="R1268" s="34" t="s">
        <v>3407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3417</v>
      </c>
      <c r="X1268" s="34" t="s">
        <v>3446</v>
      </c>
      <c r="Y1268" s="34" t="s">
        <v>3409</v>
      </c>
      <c r="Z1268" s="34">
        <v>5</v>
      </c>
      <c r="AA1268" s="34" t="s">
        <v>5046</v>
      </c>
      <c r="AB1268" s="34" t="s">
        <v>5046</v>
      </c>
      <c r="AC1268" s="34" t="s">
        <v>3489</v>
      </c>
      <c r="AD1268" s="34" t="s">
        <v>3489</v>
      </c>
      <c r="AE1268" s="34" t="s">
        <v>3457</v>
      </c>
      <c r="AF1268" s="34" t="s">
        <v>5152</v>
      </c>
      <c r="AG1268" s="34" t="s">
        <v>4028</v>
      </c>
      <c r="AH1268" s="34" t="s">
        <v>6637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7" t="str">
        <f>IFERROR(INDEX(Структура_ассортимента[SuperCategory],MATCH(Товары[[#This Row],[SubGroup]],Структура_ассортимента[Subgroup],0)),"")</f>
        <v>W</v>
      </c>
      <c r="D12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7" t="str">
        <f>IFERROR(INDEX(Структура_ассортимента[Product group],MATCH(Товары[[#This Row],[SubGroup]],Структура_ассортимента[Subgroup],0)),"")</f>
        <v>WMS_C</v>
      </c>
      <c r="G126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2810</v>
      </c>
      <c r="O1269" s="37" t="s">
        <v>6638</v>
      </c>
      <c r="P1269" s="37" t="s">
        <v>6639</v>
      </c>
      <c r="Q1269" s="39" t="s">
        <v>3416</v>
      </c>
      <c r="R1269" s="34" t="s">
        <v>3407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3417</v>
      </c>
      <c r="X1269" s="34" t="s">
        <v>3446</v>
      </c>
      <c r="Y1269" s="34" t="s">
        <v>5848</v>
      </c>
      <c r="Z1269" s="34">
        <v>100</v>
      </c>
      <c r="AA1269" s="34" t="s">
        <v>6640</v>
      </c>
      <c r="AB1269" s="34" t="s">
        <v>6640</v>
      </c>
      <c r="AC1269" s="34" t="s">
        <v>3587</v>
      </c>
      <c r="AD1269" s="34" t="s">
        <v>3587</v>
      </c>
      <c r="AE1269" s="34" t="s">
        <v>3623</v>
      </c>
      <c r="AF1269" s="34" t="s">
        <v>3523</v>
      </c>
      <c r="AG1269" s="34" t="s">
        <v>3523</v>
      </c>
      <c r="AH1269" s="34" t="s">
        <v>6214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7" t="str">
        <f>IFERROR(INDEX(Структура_ассортимента[SuperCategory],MATCH(Товары[[#This Row],[SubGroup]],Структура_ассортимента[Subgroup],0)),"")</f>
        <v>W</v>
      </c>
      <c r="D12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7" t="str">
        <f>IFERROR(INDEX(Структура_ассортимента[Product group],MATCH(Товары[[#This Row],[SubGroup]],Структура_ассортимента[Subgroup],0)),"")</f>
        <v>WMS_C</v>
      </c>
      <c r="G127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2811</v>
      </c>
      <c r="O1270" s="37" t="s">
        <v>6641</v>
      </c>
      <c r="P1270" s="37" t="s">
        <v>6642</v>
      </c>
      <c r="Q1270" s="39" t="s">
        <v>3416</v>
      </c>
      <c r="R1270" s="34" t="s">
        <v>3407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3410</v>
      </c>
      <c r="X1270" s="34" t="s">
        <v>3446</v>
      </c>
      <c r="Y1270" s="34" t="s">
        <v>3409</v>
      </c>
      <c r="Z1270" s="34">
        <v>6</v>
      </c>
      <c r="AA1270" s="34" t="s">
        <v>3596</v>
      </c>
      <c r="AB1270" s="34" t="s">
        <v>3596</v>
      </c>
      <c r="AC1270" s="34" t="s">
        <v>6643</v>
      </c>
      <c r="AD1270" s="34" t="s">
        <v>6643</v>
      </c>
      <c r="AE1270" s="34" t="s">
        <v>3692</v>
      </c>
      <c r="AF1270" s="34" t="s">
        <v>3443</v>
      </c>
      <c r="AG1270" s="34" t="s">
        <v>4335</v>
      </c>
      <c r="AH1270" s="34" t="s">
        <v>6537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7" t="str">
        <f>IFERROR(INDEX(Структура_ассортимента[SuperCategory],MATCH(Товары[[#This Row],[SubGroup]],Структура_ассортимента[Subgroup],0)),"")</f>
        <v>W</v>
      </c>
      <c r="D12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7" t="str">
        <f>IFERROR(INDEX(Структура_ассортимента[Product group],MATCH(Товары[[#This Row],[SubGroup]],Структура_ассортимента[Subgroup],0)),"")</f>
        <v>WMS_C</v>
      </c>
      <c r="G127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2812</v>
      </c>
      <c r="O1271" s="37" t="s">
        <v>6644</v>
      </c>
      <c r="P1271" s="37" t="s">
        <v>6645</v>
      </c>
      <c r="Q1271" s="39" t="s">
        <v>3416</v>
      </c>
      <c r="R1271" s="34" t="s">
        <v>3407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3417</v>
      </c>
      <c r="X1271" s="34" t="s">
        <v>3446</v>
      </c>
      <c r="Y1271" s="34" t="s">
        <v>3409</v>
      </c>
      <c r="Z1271" s="34">
        <v>5</v>
      </c>
      <c r="AA1271" s="34" t="s">
        <v>6646</v>
      </c>
      <c r="AB1271" s="34" t="s">
        <v>6646</v>
      </c>
      <c r="AC1271" s="34" t="s">
        <v>3501</v>
      </c>
      <c r="AD1271" s="34" t="s">
        <v>3501</v>
      </c>
      <c r="AE1271" s="34" t="s">
        <v>3441</v>
      </c>
      <c r="AF1271" s="34" t="s">
        <v>3441</v>
      </c>
      <c r="AG1271" s="34" t="s">
        <v>3574</v>
      </c>
      <c r="AH1271" s="34" t="s">
        <v>6647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7" t="str">
        <f>IFERROR(INDEX(Структура_ассортимента[SuperCategory],MATCH(Товары[[#This Row],[SubGroup]],Структура_ассортимента[Subgroup],0)),"")</f>
        <v>W</v>
      </c>
      <c r="D12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7" t="str">
        <f>IFERROR(INDEX(Структура_ассортимента[Product group],MATCH(Товары[[#This Row],[SubGroup]],Структура_ассортимента[Subgroup],0)),"")</f>
        <v>WMS_C</v>
      </c>
      <c r="G127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2813</v>
      </c>
      <c r="Q1272" s="39" t="s">
        <v>3416</v>
      </c>
      <c r="R1272" s="34" t="s">
        <v>3407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3417</v>
      </c>
      <c r="X1272" s="34" t="s">
        <v>3446</v>
      </c>
      <c r="Y1272" s="34" t="s">
        <v>3409</v>
      </c>
      <c r="Z1272" s="34">
        <v>5</v>
      </c>
      <c r="AA1272" s="34" t="s">
        <v>4575</v>
      </c>
      <c r="AB1272" s="34" t="s">
        <v>4575</v>
      </c>
      <c r="AC1272" s="34" t="s">
        <v>5475</v>
      </c>
      <c r="AD1272" s="34" t="s">
        <v>5475</v>
      </c>
      <c r="AE1272" s="34" t="s">
        <v>4533</v>
      </c>
      <c r="AF1272" s="34" t="s">
        <v>6648</v>
      </c>
      <c r="AG1272" s="34" t="s">
        <v>3798</v>
      </c>
      <c r="AH1272" s="34" t="s">
        <v>6649</v>
      </c>
      <c r="AL1272" s="34">
        <v>210</v>
      </c>
      <c r="AM1272" s="34" t="s">
        <v>7962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7" t="str">
        <f>IFERROR(INDEX(Структура_ассортимента[SuperCategory],MATCH(Товары[[#This Row],[SubGroup]],Структура_ассортимента[Subgroup],0)),"")</f>
        <v>W</v>
      </c>
      <c r="D12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7" t="str">
        <f>IFERROR(INDEX(Структура_ассортимента[Product group],MATCH(Товары[[#This Row],[SubGroup]],Структура_ассортимента[Subgroup],0)),"")</f>
        <v>WMS_C</v>
      </c>
      <c r="G127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2814</v>
      </c>
      <c r="Q1273" s="39" t="s">
        <v>3416</v>
      </c>
      <c r="R1273" s="34" t="s">
        <v>3407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3417</v>
      </c>
      <c r="X1273" s="34" t="s">
        <v>3446</v>
      </c>
      <c r="Y1273" s="34" t="s">
        <v>5848</v>
      </c>
      <c r="Z1273" s="34">
        <v>100</v>
      </c>
      <c r="AA1273" s="34" t="s">
        <v>3957</v>
      </c>
      <c r="AB1273" s="34" t="s">
        <v>3957</v>
      </c>
      <c r="AC1273" s="34" t="s">
        <v>3594</v>
      </c>
      <c r="AD1273" s="34" t="s">
        <v>3594</v>
      </c>
      <c r="AE1273" s="34" t="s">
        <v>3623</v>
      </c>
      <c r="AF1273" s="34" t="s">
        <v>3545</v>
      </c>
      <c r="AG1273" s="34" t="s">
        <v>3545</v>
      </c>
      <c r="AH1273" s="34" t="s">
        <v>6149</v>
      </c>
      <c r="AL1273" s="34">
        <v>3000</v>
      </c>
      <c r="AM1273" s="34" t="s">
        <v>7962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7" t="str">
        <f>IFERROR(INDEX(Структура_ассортимента[SuperCategory],MATCH(Товары[[#This Row],[SubGroup]],Структура_ассортимента[Subgroup],0)),"")</f>
        <v>W</v>
      </c>
      <c r="D12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7" t="str">
        <f>IFERROR(INDEX(Структура_ассортимента[Product group],MATCH(Товары[[#This Row],[SubGroup]],Структура_ассортимента[Subgroup],0)),"")</f>
        <v>WMS_C</v>
      </c>
      <c r="G127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2815</v>
      </c>
      <c r="O1274" s="37" t="s">
        <v>6650</v>
      </c>
      <c r="P1274" s="37" t="s">
        <v>6651</v>
      </c>
      <c r="Q1274" s="39" t="s">
        <v>3416</v>
      </c>
      <c r="R1274" s="34" t="s">
        <v>3407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3410</v>
      </c>
      <c r="X1274" s="34" t="s">
        <v>3446</v>
      </c>
      <c r="Y1274" s="34" t="s">
        <v>3409</v>
      </c>
      <c r="Z1274" s="34">
        <v>6</v>
      </c>
      <c r="AA1274" s="34" t="s">
        <v>3594</v>
      </c>
      <c r="AB1274" s="34" t="s">
        <v>3594</v>
      </c>
      <c r="AC1274" s="34" t="s">
        <v>3586</v>
      </c>
      <c r="AD1274" s="34" t="s">
        <v>3586</v>
      </c>
      <c r="AE1274" s="34" t="s">
        <v>3692</v>
      </c>
      <c r="AF1274" s="34" t="s">
        <v>3443</v>
      </c>
      <c r="AG1274" s="34" t="s">
        <v>4823</v>
      </c>
      <c r="AH1274" s="34" t="s">
        <v>6652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7" t="str">
        <f>IFERROR(INDEX(Структура_ассортимента[SuperCategory],MATCH(Товары[[#This Row],[SubGroup]],Структура_ассортимента[Subgroup],0)),"")</f>
        <v>W</v>
      </c>
      <c r="D12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7" t="str">
        <f>IFERROR(INDEX(Структура_ассортимента[Product group],MATCH(Товары[[#This Row],[SubGroup]],Структура_ассортимента[Subgroup],0)),"")</f>
        <v>WMS_C</v>
      </c>
      <c r="G127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2816</v>
      </c>
      <c r="O1275" s="37" t="s">
        <v>6653</v>
      </c>
      <c r="P1275" s="37" t="s">
        <v>6654</v>
      </c>
      <c r="Q1275" s="39" t="s">
        <v>3416</v>
      </c>
      <c r="R1275" s="34" t="s">
        <v>3407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3417</v>
      </c>
      <c r="X1275" s="34" t="s">
        <v>3446</v>
      </c>
      <c r="Y1275" s="34" t="s">
        <v>3409</v>
      </c>
      <c r="Z1275" s="34">
        <v>5</v>
      </c>
      <c r="AA1275" s="34" t="s">
        <v>3829</v>
      </c>
      <c r="AB1275" s="34" t="s">
        <v>4421</v>
      </c>
      <c r="AC1275" s="34" t="s">
        <v>3440</v>
      </c>
      <c r="AD1275" s="34" t="s">
        <v>3440</v>
      </c>
      <c r="AE1275" s="34" t="s">
        <v>3477</v>
      </c>
      <c r="AF1275" s="34" t="s">
        <v>3422</v>
      </c>
      <c r="AG1275" s="34" t="s">
        <v>4127</v>
      </c>
      <c r="AH1275" s="34" t="s">
        <v>6655</v>
      </c>
      <c r="AL1275" s="34" t="s">
        <v>4169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7" t="str">
        <f>IFERROR(INDEX(Структура_ассортимента[SuperCategory],MATCH(Товары[[#This Row],[SubGroup]],Структура_ассортимента[Subgroup],0)),"")</f>
        <v>W</v>
      </c>
      <c r="D12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7" t="str">
        <f>IFERROR(INDEX(Структура_ассортимента[Product group],MATCH(Товары[[#This Row],[SubGroup]],Структура_ассортимента[Subgroup],0)),"")</f>
        <v>WMS_C</v>
      </c>
      <c r="G127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2817</v>
      </c>
      <c r="Q1276" s="39" t="s">
        <v>3416</v>
      </c>
      <c r="R1276" s="34" t="s">
        <v>3407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3417</v>
      </c>
      <c r="X1276" s="34" t="s">
        <v>3446</v>
      </c>
      <c r="Y1276" s="34" t="s">
        <v>3409</v>
      </c>
      <c r="Z1276" s="34">
        <v>5</v>
      </c>
      <c r="AA1276" s="34" t="s">
        <v>6656</v>
      </c>
      <c r="AB1276" s="34" t="s">
        <v>6657</v>
      </c>
      <c r="AC1276" s="34" t="s">
        <v>6658</v>
      </c>
      <c r="AD1276" s="34" t="s">
        <v>3768</v>
      </c>
      <c r="AE1276" s="34" t="s">
        <v>3477</v>
      </c>
      <c r="AF1276" s="34" t="s">
        <v>3477</v>
      </c>
      <c r="AG1276" s="34" t="s">
        <v>4098</v>
      </c>
      <c r="AH1276" s="34" t="s">
        <v>6659</v>
      </c>
      <c r="AL1276" s="34">
        <v>150</v>
      </c>
      <c r="AM1276" s="34" t="s">
        <v>7962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7" t="str">
        <f>IFERROR(INDEX(Структура_ассортимента[SuperCategory],MATCH(Товары[[#This Row],[SubGroup]],Структура_ассортимента[Subgroup],0)),"")</f>
        <v>W</v>
      </c>
      <c r="D12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7" t="str">
        <f>IFERROR(INDEX(Структура_ассортимента[Product group],MATCH(Товары[[#This Row],[SubGroup]],Структура_ассортимента[Subgroup],0)),"")</f>
        <v>WMS_C</v>
      </c>
      <c r="G127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2818</v>
      </c>
      <c r="Q1277" s="39" t="s">
        <v>3416</v>
      </c>
      <c r="R1277" s="34" t="s">
        <v>3407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3417</v>
      </c>
      <c r="X1277" s="34" t="s">
        <v>3446</v>
      </c>
      <c r="Y1277" s="34" t="s">
        <v>3409</v>
      </c>
      <c r="Z1277" s="34">
        <v>5</v>
      </c>
      <c r="AA1277" s="34" t="s">
        <v>5020</v>
      </c>
      <c r="AB1277" s="34" t="s">
        <v>3465</v>
      </c>
      <c r="AC1277" s="34" t="s">
        <v>3430</v>
      </c>
      <c r="AD1277" s="34" t="s">
        <v>6660</v>
      </c>
      <c r="AE1277" s="34" t="s">
        <v>3477</v>
      </c>
      <c r="AF1277" s="34" t="s">
        <v>3490</v>
      </c>
      <c r="AG1277" s="34" t="s">
        <v>4098</v>
      </c>
      <c r="AH1277" s="34" t="s">
        <v>6661</v>
      </c>
      <c r="AL1277" s="34">
        <v>150</v>
      </c>
      <c r="AM1277" s="34" t="s">
        <v>7962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7" t="str">
        <f>IFERROR(INDEX(Структура_ассортимента[SuperCategory],MATCH(Товары[[#This Row],[SubGroup]],Структура_ассортимента[Subgroup],0)),"")</f>
        <v>W</v>
      </c>
      <c r="D12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7" t="str">
        <f>IFERROR(INDEX(Структура_ассортимента[Product group],MATCH(Товары[[#This Row],[SubGroup]],Структура_ассортимента[Subgroup],0)),"")</f>
        <v>WMS_C</v>
      </c>
      <c r="G127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2819</v>
      </c>
      <c r="O1278" s="37" t="s">
        <v>6662</v>
      </c>
      <c r="P1278" s="37" t="s">
        <v>6663</v>
      </c>
      <c r="Q1278" s="39" t="s">
        <v>3416</v>
      </c>
      <c r="R1278" s="34" t="s">
        <v>3407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3417</v>
      </c>
      <c r="X1278" s="34" t="s">
        <v>3446</v>
      </c>
      <c r="Y1278" s="34" t="s">
        <v>3409</v>
      </c>
      <c r="Z1278" s="34">
        <v>5</v>
      </c>
      <c r="AA1278" s="34" t="s">
        <v>3628</v>
      </c>
      <c r="AB1278" s="34" t="s">
        <v>3628</v>
      </c>
      <c r="AC1278" s="34" t="s">
        <v>6664</v>
      </c>
      <c r="AD1278" s="34" t="s">
        <v>6664</v>
      </c>
      <c r="AE1278" s="34" t="s">
        <v>6665</v>
      </c>
      <c r="AF1278" s="34" t="s">
        <v>6666</v>
      </c>
      <c r="AG1278" s="34" t="s">
        <v>4098</v>
      </c>
      <c r="AH1278" s="34" t="s">
        <v>6667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7" t="str">
        <f>IFERROR(INDEX(Структура_ассортимента[SuperCategory],MATCH(Товары[[#This Row],[SubGroup]],Структура_ассортимента[Subgroup],0)),"")</f>
        <v>W</v>
      </c>
      <c r="D12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7" t="str">
        <f>IFERROR(INDEX(Структура_ассортимента[Product group],MATCH(Товары[[#This Row],[SubGroup]],Структура_ассортимента[Subgroup],0)),"")</f>
        <v>WMS_C</v>
      </c>
      <c r="G127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2820</v>
      </c>
      <c r="O1279" s="37" t="s">
        <v>6668</v>
      </c>
      <c r="P1279" s="37" t="s">
        <v>6669</v>
      </c>
      <c r="Q1279" s="39" t="s">
        <v>3416</v>
      </c>
      <c r="R1279" s="34" t="s">
        <v>3407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3414</v>
      </c>
      <c r="X1279" s="34" t="s">
        <v>3571</v>
      </c>
      <c r="Y1279" s="34" t="s">
        <v>3409</v>
      </c>
      <c r="Z1279" s="34">
        <v>5</v>
      </c>
      <c r="AA1279" s="34" t="s">
        <v>3768</v>
      </c>
      <c r="AB1279" s="34" t="s">
        <v>3768</v>
      </c>
      <c r="AC1279" s="34" t="s">
        <v>3682</v>
      </c>
      <c r="AD1279" s="34" t="s">
        <v>3682</v>
      </c>
      <c r="AE1279" s="34" t="s">
        <v>6601</v>
      </c>
      <c r="AF1279" s="34" t="s">
        <v>4873</v>
      </c>
      <c r="AG1279" s="34" t="s">
        <v>4895</v>
      </c>
      <c r="AH1279" s="34" t="s">
        <v>6602</v>
      </c>
      <c r="AI1279" s="34" t="s">
        <v>4070</v>
      </c>
      <c r="AJ1279" s="34" t="s">
        <v>3984</v>
      </c>
      <c r="AK1279" s="34" t="s">
        <v>4070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7" t="str">
        <f>IFERROR(INDEX(Структура_ассортимента[SuperCategory],MATCH(Товары[[#This Row],[SubGroup]],Структура_ассортимента[Subgroup],0)),"")</f>
        <v>W</v>
      </c>
      <c r="D12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7" t="str">
        <f>IFERROR(INDEX(Структура_ассортимента[Product group],MATCH(Товары[[#This Row],[SubGroup]],Структура_ассортимента[Subgroup],0)),"")</f>
        <v>WMS_C</v>
      </c>
      <c r="G128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2821</v>
      </c>
      <c r="O1280" s="37" t="s">
        <v>6668</v>
      </c>
      <c r="P1280" s="37" t="s">
        <v>6670</v>
      </c>
      <c r="Q1280" s="39" t="s">
        <v>3416</v>
      </c>
      <c r="R1280" s="34" t="s">
        <v>3407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3410</v>
      </c>
      <c r="X1280" s="34" t="s">
        <v>3571</v>
      </c>
      <c r="Y1280" s="34" t="s">
        <v>3409</v>
      </c>
      <c r="Z1280" s="34">
        <v>5</v>
      </c>
      <c r="AA1280" s="34" t="s">
        <v>6621</v>
      </c>
      <c r="AB1280" s="34" t="s">
        <v>6621</v>
      </c>
      <c r="AC1280" s="34" t="s">
        <v>6671</v>
      </c>
      <c r="AD1280" s="34" t="s">
        <v>6671</v>
      </c>
      <c r="AE1280" s="34" t="s">
        <v>4449</v>
      </c>
      <c r="AF1280" s="34" t="s">
        <v>3685</v>
      </c>
      <c r="AG1280" s="34" t="s">
        <v>4810</v>
      </c>
      <c r="AH1280" s="34" t="s">
        <v>6672</v>
      </c>
      <c r="AI1280" s="34" t="s">
        <v>3575</v>
      </c>
      <c r="AJ1280" s="34" t="s">
        <v>6673</v>
      </c>
      <c r="AK1280" s="34" t="s">
        <v>3560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7" t="str">
        <f>IFERROR(INDEX(Структура_ассортимента[SuperCategory],MATCH(Товары[[#This Row],[SubGroup]],Структура_ассортимента[Subgroup],0)),"")</f>
        <v>W</v>
      </c>
      <c r="D12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7" t="str">
        <f>IFERROR(INDEX(Структура_ассортимента[Product group],MATCH(Товары[[#This Row],[SubGroup]],Структура_ассортимента[Subgroup],0)),"")</f>
        <v>WMS_C</v>
      </c>
      <c r="G128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2822</v>
      </c>
      <c r="Q1281" s="39" t="s">
        <v>3416</v>
      </c>
      <c r="R1281" s="34" t="s">
        <v>3407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3410</v>
      </c>
      <c r="X1281" s="34" t="s">
        <v>3571</v>
      </c>
      <c r="Y1281" s="34" t="s">
        <v>3409</v>
      </c>
      <c r="Z1281" s="34">
        <v>6</v>
      </c>
      <c r="AA1281" s="34" t="s">
        <v>4748</v>
      </c>
      <c r="AB1281" s="34" t="s">
        <v>4748</v>
      </c>
      <c r="AC1281" s="34" t="s">
        <v>3869</v>
      </c>
      <c r="AD1281" s="34" t="s">
        <v>3869</v>
      </c>
      <c r="AE1281" s="34" t="s">
        <v>3809</v>
      </c>
      <c r="AF1281" s="34" t="s">
        <v>3835</v>
      </c>
      <c r="AG1281" s="34" t="s">
        <v>4810</v>
      </c>
      <c r="AH1281" s="34" t="s">
        <v>6674</v>
      </c>
      <c r="AI1281" s="34" t="s">
        <v>3433</v>
      </c>
      <c r="AJ1281" s="34" t="s">
        <v>3454</v>
      </c>
      <c r="AK1281" s="34" t="s">
        <v>3866</v>
      </c>
      <c r="AL1281" s="34">
        <v>420</v>
      </c>
      <c r="AM1281" s="34" t="s">
        <v>7962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7" t="str">
        <f>IFERROR(INDEX(Структура_ассортимента[SuperCategory],MATCH(Товары[[#This Row],[SubGroup]],Структура_ассортимента[Subgroup],0)),"")</f>
        <v>W</v>
      </c>
      <c r="D12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7" t="str">
        <f>IFERROR(INDEX(Структура_ассортимента[Product group],MATCH(Товары[[#This Row],[SubGroup]],Структура_ассортимента[Subgroup],0)),"")</f>
        <v>WMS_C</v>
      </c>
      <c r="G128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2823</v>
      </c>
      <c r="Q1282" s="39" t="s">
        <v>3416</v>
      </c>
      <c r="R1282" s="34" t="s">
        <v>3407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3410</v>
      </c>
      <c r="X1282" s="34" t="s">
        <v>3446</v>
      </c>
      <c r="Y1282" s="34" t="s">
        <v>3409</v>
      </c>
      <c r="Z1282" s="34">
        <v>2</v>
      </c>
      <c r="AA1282" s="34" t="s">
        <v>6675</v>
      </c>
      <c r="AB1282" s="34" t="s">
        <v>6675</v>
      </c>
      <c r="AC1282" s="34" t="s">
        <v>6676</v>
      </c>
      <c r="AD1282" s="34" t="s">
        <v>6676</v>
      </c>
      <c r="AE1282" s="34" t="s">
        <v>6677</v>
      </c>
      <c r="AF1282" s="34" t="s">
        <v>6678</v>
      </c>
      <c r="AG1282" s="34" t="s">
        <v>3565</v>
      </c>
      <c r="AH1282" s="34" t="s">
        <v>6679</v>
      </c>
      <c r="AI1282" s="34" t="s">
        <v>5636</v>
      </c>
      <c r="AJ1282" s="34" t="s">
        <v>3723</v>
      </c>
      <c r="AK1282" s="34" t="s">
        <v>5703</v>
      </c>
      <c r="AL1282" s="34">
        <v>56</v>
      </c>
      <c r="AM1282" s="34" t="s">
        <v>7962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7" t="str">
        <f>IFERROR(INDEX(Структура_ассортимента[SuperCategory],MATCH(Товары[[#This Row],[SubGroup]],Структура_ассортимента[Subgroup],0)),"")</f>
        <v>W</v>
      </c>
      <c r="D12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7" t="str">
        <f>IFERROR(INDEX(Структура_ассортимента[Product group],MATCH(Товары[[#This Row],[SubGroup]],Структура_ассортимента[Subgroup],0)),"")</f>
        <v>WMS_C</v>
      </c>
      <c r="G128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2824</v>
      </c>
      <c r="Q1283" s="39" t="s">
        <v>3416</v>
      </c>
      <c r="R1283" s="34" t="s">
        <v>3407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3414</v>
      </c>
      <c r="X1283" s="34" t="s">
        <v>3571</v>
      </c>
      <c r="Y1283" s="34" t="s">
        <v>3409</v>
      </c>
      <c r="Z1283" s="34">
        <v>70</v>
      </c>
      <c r="AA1283" s="34" t="s">
        <v>3784</v>
      </c>
      <c r="AB1283" s="34" t="s">
        <v>3784</v>
      </c>
      <c r="AC1283" s="34" t="s">
        <v>6362</v>
      </c>
      <c r="AD1283" s="34" t="s">
        <v>6362</v>
      </c>
      <c r="AI1283" s="34" t="s">
        <v>3845</v>
      </c>
      <c r="AJ1283" s="34" t="s">
        <v>6665</v>
      </c>
      <c r="AK1283" s="34" t="s">
        <v>3491</v>
      </c>
      <c r="AL1283" s="34">
        <v>840</v>
      </c>
      <c r="AM1283" s="34" t="s">
        <v>7962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7" t="str">
        <f>IFERROR(INDEX(Структура_ассортимента[SuperCategory],MATCH(Товары[[#This Row],[SubGroup]],Структура_ассортимента[Subgroup],0)),"")</f>
        <v>W</v>
      </c>
      <c r="D12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7" t="str">
        <f>IFERROR(INDEX(Структура_ассортимента[Product group],MATCH(Товары[[#This Row],[SubGroup]],Структура_ассортимента[Subgroup],0)),"")</f>
        <v>WMS_C</v>
      </c>
      <c r="G128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2825</v>
      </c>
      <c r="O1284" s="37" t="s">
        <v>6668</v>
      </c>
      <c r="P1284" s="37" t="s">
        <v>6680</v>
      </c>
      <c r="Q1284" s="39" t="s">
        <v>3416</v>
      </c>
      <c r="R1284" s="34" t="s">
        <v>3407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3410</v>
      </c>
      <c r="X1284" s="34" t="s">
        <v>3571</v>
      </c>
      <c r="Y1284" s="34" t="s">
        <v>3409</v>
      </c>
      <c r="Z1284" s="34">
        <v>5</v>
      </c>
      <c r="AA1284" s="34" t="s">
        <v>5952</v>
      </c>
      <c r="AB1284" s="34" t="s">
        <v>5952</v>
      </c>
      <c r="AC1284" s="34" t="s">
        <v>3973</v>
      </c>
      <c r="AD1284" s="34" t="s">
        <v>3973</v>
      </c>
      <c r="AE1284" s="34" t="s">
        <v>4449</v>
      </c>
      <c r="AF1284" s="34" t="s">
        <v>3685</v>
      </c>
      <c r="AG1284" s="34" t="s">
        <v>4191</v>
      </c>
      <c r="AH1284" s="34" t="s">
        <v>6681</v>
      </c>
      <c r="AI1284" s="34" t="s">
        <v>3845</v>
      </c>
      <c r="AJ1284" s="34" t="s">
        <v>6665</v>
      </c>
      <c r="AK1284" s="34" t="s">
        <v>3491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7" t="str">
        <f>IFERROR(INDEX(Структура_ассортимента[SuperCategory],MATCH(Товары[[#This Row],[SubGroup]],Структура_ассортимента[Subgroup],0)),"")</f>
        <v>W</v>
      </c>
      <c r="D12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7" t="str">
        <f>IFERROR(INDEX(Структура_ассортимента[Product group],MATCH(Товары[[#This Row],[SubGroup]],Структура_ассортимента[Subgroup],0)),"")</f>
        <v>WMS_C</v>
      </c>
      <c r="G128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2826</v>
      </c>
      <c r="Q1285" s="39" t="s">
        <v>3416</v>
      </c>
      <c r="R1285" s="34" t="s">
        <v>3407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3410</v>
      </c>
      <c r="X1285" s="34" t="s">
        <v>3446</v>
      </c>
      <c r="Y1285" s="34" t="s">
        <v>3409</v>
      </c>
      <c r="Z1285" s="34">
        <v>70</v>
      </c>
      <c r="AA1285" s="34" t="s">
        <v>3862</v>
      </c>
      <c r="AB1285" s="34" t="s">
        <v>3862</v>
      </c>
      <c r="AC1285" s="34" t="s">
        <v>6469</v>
      </c>
      <c r="AD1285" s="34" t="s">
        <v>6469</v>
      </c>
      <c r="AE1285" s="34" t="s">
        <v>3667</v>
      </c>
      <c r="AF1285" s="34" t="s">
        <v>4048</v>
      </c>
      <c r="AG1285" s="34" t="s">
        <v>3778</v>
      </c>
      <c r="AH1285" s="34" t="s">
        <v>6682</v>
      </c>
      <c r="AI1285" s="34" t="s">
        <v>4660</v>
      </c>
      <c r="AJ1285" s="34" t="s">
        <v>5595</v>
      </c>
      <c r="AK1285" s="34" t="s">
        <v>4526</v>
      </c>
      <c r="AL1285" s="34">
        <v>840</v>
      </c>
      <c r="AM1285" s="34" t="s">
        <v>7962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7" t="str">
        <f>IFERROR(INDEX(Структура_ассортимента[SuperCategory],MATCH(Товары[[#This Row],[SubGroup]],Структура_ассортимента[Subgroup],0)),"")</f>
        <v>W</v>
      </c>
      <c r="D12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7" t="str">
        <f>IFERROR(INDEX(Структура_ассортимента[Product group],MATCH(Товары[[#This Row],[SubGroup]],Структура_ассортимента[Subgroup],0)),"")</f>
        <v>WMS_C</v>
      </c>
      <c r="G128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2827</v>
      </c>
      <c r="O1286" s="37" t="s">
        <v>6683</v>
      </c>
      <c r="P1286" s="37" t="s">
        <v>6684</v>
      </c>
      <c r="Q1286" s="39" t="s">
        <v>3416</v>
      </c>
      <c r="R1286" s="34" t="s">
        <v>3407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3410</v>
      </c>
      <c r="X1286" s="34" t="s">
        <v>3446</v>
      </c>
      <c r="Y1286" s="34" t="s">
        <v>3409</v>
      </c>
      <c r="Z1286" s="34">
        <v>5</v>
      </c>
      <c r="AA1286" s="34" t="s">
        <v>4003</v>
      </c>
      <c r="AB1286" s="34" t="s">
        <v>4003</v>
      </c>
      <c r="AC1286" s="34" t="s">
        <v>6685</v>
      </c>
      <c r="AD1286" s="34" t="s">
        <v>6685</v>
      </c>
      <c r="AE1286" s="34" t="s">
        <v>4449</v>
      </c>
      <c r="AF1286" s="34" t="s">
        <v>3685</v>
      </c>
      <c r="AG1286" s="34" t="s">
        <v>6368</v>
      </c>
      <c r="AH1286" s="34" t="s">
        <v>6686</v>
      </c>
      <c r="AI1286" s="34" t="s">
        <v>4660</v>
      </c>
      <c r="AJ1286" s="34" t="s">
        <v>5595</v>
      </c>
      <c r="AK1286" s="34" t="s">
        <v>4526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7" t="str">
        <f>IFERROR(INDEX(Структура_ассортимента[SuperCategory],MATCH(Товары[[#This Row],[SubGroup]],Структура_ассортимента[Subgroup],0)),"")</f>
        <v>W</v>
      </c>
      <c r="D12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7" t="str">
        <f>IFERROR(INDEX(Структура_ассортимента[Product group],MATCH(Товары[[#This Row],[SubGroup]],Структура_ассортимента[Subgroup],0)),"")</f>
        <v>WMS_C</v>
      </c>
      <c r="G128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2828</v>
      </c>
      <c r="Q1287" s="39" t="s">
        <v>3416</v>
      </c>
      <c r="R1287" s="34" t="s">
        <v>3407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3408</v>
      </c>
      <c r="X1287" s="34" t="s">
        <v>3571</v>
      </c>
      <c r="Y1287" s="34" t="s">
        <v>3409</v>
      </c>
      <c r="Z1287" s="34">
        <v>10</v>
      </c>
      <c r="AA1287" s="34" t="s">
        <v>5190</v>
      </c>
      <c r="AB1287" s="34" t="s">
        <v>5190</v>
      </c>
      <c r="AC1287" s="34" t="s">
        <v>5046</v>
      </c>
      <c r="AD1287" s="34" t="s">
        <v>5046</v>
      </c>
      <c r="AE1287" s="34" t="s">
        <v>3686</v>
      </c>
      <c r="AF1287" s="34" t="s">
        <v>4070</v>
      </c>
      <c r="AG1287" s="34" t="s">
        <v>4202</v>
      </c>
      <c r="AH1287" s="34" t="s">
        <v>6687</v>
      </c>
      <c r="AI1287" s="34" t="s">
        <v>4070</v>
      </c>
      <c r="AJ1287" s="34" t="s">
        <v>3822</v>
      </c>
      <c r="AK1287" s="34" t="s">
        <v>3703</v>
      </c>
      <c r="AL1287" s="34">
        <v>100</v>
      </c>
      <c r="AM1287" s="34" t="s">
        <v>7962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7" t="str">
        <f>IFERROR(INDEX(Структура_ассортимента[SuperCategory],MATCH(Товары[[#This Row],[SubGroup]],Структура_ассортимента[Subgroup],0)),"")</f>
        <v>W</v>
      </c>
      <c r="D12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7" t="str">
        <f>IFERROR(INDEX(Структура_ассортимента[Product group],MATCH(Товары[[#This Row],[SubGroup]],Структура_ассортимента[Subgroup],0)),"")</f>
        <v>WMS_C</v>
      </c>
      <c r="G128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2829</v>
      </c>
      <c r="Q1288" s="39" t="s">
        <v>3416</v>
      </c>
      <c r="R1288" s="34" t="s">
        <v>3407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3410</v>
      </c>
      <c r="X1288" s="34" t="s">
        <v>3446</v>
      </c>
      <c r="Y1288" s="34" t="s">
        <v>3409</v>
      </c>
      <c r="Z1288" s="34">
        <v>5</v>
      </c>
      <c r="AA1288" s="34" t="s">
        <v>4653</v>
      </c>
      <c r="AB1288" s="34" t="s">
        <v>4653</v>
      </c>
      <c r="AC1288" s="34" t="s">
        <v>6172</v>
      </c>
      <c r="AD1288" s="34" t="s">
        <v>6172</v>
      </c>
      <c r="AE1288" s="34" t="s">
        <v>6601</v>
      </c>
      <c r="AF1288" s="34" t="s">
        <v>4873</v>
      </c>
      <c r="AG1288" s="34" t="s">
        <v>4895</v>
      </c>
      <c r="AH1288" s="34" t="s">
        <v>6602</v>
      </c>
      <c r="AI1288" s="34" t="s">
        <v>4070</v>
      </c>
      <c r="AJ1288" s="34" t="s">
        <v>3822</v>
      </c>
      <c r="AK1288" s="34" t="s">
        <v>3703</v>
      </c>
      <c r="AL1288" s="34">
        <v>90</v>
      </c>
      <c r="AM1288" s="34" t="s">
        <v>7962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7" t="str">
        <f>IFERROR(INDEX(Структура_ассортимента[SuperCategory],MATCH(Товары[[#This Row],[SubGroup]],Структура_ассортимента[Subgroup],0)),"")</f>
        <v>W</v>
      </c>
      <c r="D12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7" t="str">
        <f>IFERROR(INDEX(Структура_ассортимента[Product group],MATCH(Товары[[#This Row],[SubGroup]],Структура_ассортимента[Subgroup],0)),"")</f>
        <v>WMS_C</v>
      </c>
      <c r="G128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2830</v>
      </c>
      <c r="O1289" s="37" t="s">
        <v>6688</v>
      </c>
      <c r="P1289" s="37" t="s">
        <v>6689</v>
      </c>
      <c r="Q1289" s="39" t="s">
        <v>3416</v>
      </c>
      <c r="R1289" s="34" t="s">
        <v>3407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3410</v>
      </c>
      <c r="X1289" s="34" t="s">
        <v>3446</v>
      </c>
      <c r="Y1289" s="34" t="s">
        <v>3409</v>
      </c>
      <c r="Z1289" s="34">
        <v>10</v>
      </c>
      <c r="AA1289" s="34" t="s">
        <v>6690</v>
      </c>
      <c r="AB1289" s="34" t="s">
        <v>4369</v>
      </c>
      <c r="AC1289" s="34" t="s">
        <v>6691</v>
      </c>
      <c r="AD1289" s="34" t="s">
        <v>4806</v>
      </c>
      <c r="AE1289" s="34" t="s">
        <v>3724</v>
      </c>
      <c r="AF1289" s="34" t="s">
        <v>3455</v>
      </c>
      <c r="AG1289" s="34" t="s">
        <v>3667</v>
      </c>
      <c r="AH1289" s="34" t="s">
        <v>6630</v>
      </c>
      <c r="AI1289" s="34" t="s">
        <v>3724</v>
      </c>
      <c r="AJ1289" s="34" t="s">
        <v>6692</v>
      </c>
      <c r="AK1289" s="34" t="s">
        <v>6693</v>
      </c>
      <c r="AL1289" s="34" t="s">
        <v>5017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7" t="str">
        <f>IFERROR(INDEX(Структура_ассортимента[SuperCategory],MATCH(Товары[[#This Row],[SubGroup]],Структура_ассортимента[Subgroup],0)),"")</f>
        <v>W</v>
      </c>
      <c r="D12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7" t="str">
        <f>IFERROR(INDEX(Структура_ассортимента[Product group],MATCH(Товары[[#This Row],[SubGroup]],Структура_ассортимента[Subgroup],0)),"")</f>
        <v>WMS_C</v>
      </c>
      <c r="G129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2831</v>
      </c>
      <c r="Q1290" s="39" t="s">
        <v>3416</v>
      </c>
      <c r="R1290" s="34" t="s">
        <v>3407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3410</v>
      </c>
      <c r="X1290" s="34" t="s">
        <v>3446</v>
      </c>
      <c r="Y1290" s="34" t="s">
        <v>3409</v>
      </c>
      <c r="Z1290" s="34">
        <v>60</v>
      </c>
      <c r="AB1290" s="34" t="s">
        <v>4255</v>
      </c>
      <c r="AD1290" s="34" t="s">
        <v>4046</v>
      </c>
      <c r="AE1290" s="34" t="s">
        <v>3724</v>
      </c>
      <c r="AF1290" s="34" t="s">
        <v>3455</v>
      </c>
      <c r="AG1290" s="34" t="s">
        <v>3667</v>
      </c>
      <c r="AH1290" s="34" t="s">
        <v>6630</v>
      </c>
      <c r="AL1290" s="34" t="s">
        <v>3460</v>
      </c>
      <c r="AM1290" s="34" t="s">
        <v>7962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7" t="str">
        <f>IFERROR(INDEX(Структура_ассортимента[SuperCategory],MATCH(Товары[[#This Row],[SubGroup]],Структура_ассортимента[Subgroup],0)),"")</f>
        <v>W</v>
      </c>
      <c r="D12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7" t="str">
        <f>IFERROR(INDEX(Структура_ассортимента[Product group],MATCH(Товары[[#This Row],[SubGroup]],Структура_ассортимента[Subgroup],0)),"")</f>
        <v>WMS_C</v>
      </c>
      <c r="G129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2832</v>
      </c>
      <c r="O1291" s="37" t="s">
        <v>6694</v>
      </c>
      <c r="P1291" s="37" t="s">
        <v>6695</v>
      </c>
      <c r="Q1291" s="39" t="s">
        <v>3416</v>
      </c>
      <c r="R1291" s="34" t="s">
        <v>3407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3410</v>
      </c>
      <c r="X1291" s="34" t="s">
        <v>3446</v>
      </c>
      <c r="Y1291" s="34" t="s">
        <v>3409</v>
      </c>
      <c r="Z1291" s="34">
        <v>30</v>
      </c>
      <c r="AB1291" s="34" t="s">
        <v>3618</v>
      </c>
      <c r="AD1291" s="34" t="s">
        <v>4806</v>
      </c>
      <c r="AE1291" s="34" t="s">
        <v>6622</v>
      </c>
      <c r="AF1291" s="34" t="s">
        <v>3427</v>
      </c>
      <c r="AG1291" s="34" t="s">
        <v>3667</v>
      </c>
      <c r="AH1291" s="34" t="s">
        <v>6623</v>
      </c>
      <c r="AL1291" s="34" t="s">
        <v>3460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7" t="str">
        <f>IFERROR(INDEX(Структура_ассортимента[SuperCategory],MATCH(Товары[[#This Row],[SubGroup]],Структура_ассортимента[Subgroup],0)),"")</f>
        <v>W</v>
      </c>
      <c r="D12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7" t="str">
        <f>IFERROR(INDEX(Структура_ассортимента[Product group],MATCH(Товары[[#This Row],[SubGroup]],Структура_ассортимента[Subgroup],0)),"")</f>
        <v>WMS_C</v>
      </c>
      <c r="G129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2833</v>
      </c>
      <c r="O1292" s="37" t="s">
        <v>6696</v>
      </c>
      <c r="P1292" s="37" t="s">
        <v>6697</v>
      </c>
      <c r="Q1292" s="39" t="s">
        <v>3416</v>
      </c>
      <c r="R1292" s="34" t="s">
        <v>3407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3410</v>
      </c>
      <c r="X1292" s="34" t="s">
        <v>3446</v>
      </c>
      <c r="Y1292" s="34" t="s">
        <v>3409</v>
      </c>
      <c r="Z1292" s="34">
        <v>16</v>
      </c>
      <c r="AB1292" s="34" t="s">
        <v>6698</v>
      </c>
      <c r="AD1292" s="34" t="s">
        <v>3629</v>
      </c>
      <c r="AE1292" s="34" t="s">
        <v>3724</v>
      </c>
      <c r="AF1292" s="34" t="s">
        <v>3455</v>
      </c>
      <c r="AG1292" s="34" t="s">
        <v>3575</v>
      </c>
      <c r="AH1292" s="34" t="s">
        <v>6699</v>
      </c>
      <c r="AL1292" s="34" t="s">
        <v>6603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7" t="str">
        <f>IFERROR(INDEX(Структура_ассортимента[SuperCategory],MATCH(Товары[[#This Row],[SubGroup]],Структура_ассортимента[Subgroup],0)),"")</f>
        <v>W</v>
      </c>
      <c r="D12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7" t="str">
        <f>IFERROR(INDEX(Структура_ассортимента[Product group],MATCH(Товары[[#This Row],[SubGroup]],Структура_ассортимента[Subgroup],0)),"")</f>
        <v>WMS_C</v>
      </c>
      <c r="G1293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2834</v>
      </c>
      <c r="O1293" s="37" t="s">
        <v>6700</v>
      </c>
      <c r="P1293" s="37" t="s">
        <v>6701</v>
      </c>
      <c r="Q1293" s="39" t="s">
        <v>3416</v>
      </c>
      <c r="R1293" s="34" t="s">
        <v>3407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3410</v>
      </c>
      <c r="X1293" s="34" t="s">
        <v>3446</v>
      </c>
      <c r="Y1293" s="34" t="s">
        <v>3409</v>
      </c>
      <c r="Z1293" s="34">
        <v>5</v>
      </c>
      <c r="AA1293" s="34" t="s">
        <v>6702</v>
      </c>
      <c r="AB1293" s="34" t="s">
        <v>6627</v>
      </c>
      <c r="AC1293" s="34" t="s">
        <v>4037</v>
      </c>
      <c r="AD1293" s="34" t="s">
        <v>4037</v>
      </c>
      <c r="AE1293" s="34" t="s">
        <v>3724</v>
      </c>
      <c r="AF1293" s="34" t="s">
        <v>3466</v>
      </c>
      <c r="AG1293" s="34" t="s">
        <v>5880</v>
      </c>
      <c r="AH1293" s="34" t="s">
        <v>6628</v>
      </c>
      <c r="AI1293" s="34" t="s">
        <v>3724</v>
      </c>
      <c r="AJ1293" s="34" t="s">
        <v>6692</v>
      </c>
      <c r="AK1293" s="34" t="s">
        <v>6693</v>
      </c>
      <c r="AL1293" s="34" t="s">
        <v>6703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7" t="str">
        <f>IFERROR(INDEX(Структура_ассортимента[SuperCategory],MATCH(Товары[[#This Row],[SubGroup]],Структура_ассортимента[Subgroup],0)),"")</f>
        <v>W</v>
      </c>
      <c r="D12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7" t="str">
        <f>IFERROR(INDEX(Структура_ассортимента[Product group],MATCH(Товары[[#This Row],[SubGroup]],Структура_ассортимента[Subgroup],0)),"")</f>
        <v>WMS_C</v>
      </c>
      <c r="G1294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2835</v>
      </c>
      <c r="O1294" s="37" t="s">
        <v>6704</v>
      </c>
      <c r="P1294" s="37" t="s">
        <v>6705</v>
      </c>
      <c r="Q1294" s="39" t="s">
        <v>3416</v>
      </c>
      <c r="R1294" s="34" t="s">
        <v>3407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3410</v>
      </c>
      <c r="X1294" s="34" t="s">
        <v>3446</v>
      </c>
      <c r="Y1294" s="34" t="s">
        <v>3409</v>
      </c>
      <c r="Z1294" s="34">
        <v>5</v>
      </c>
      <c r="AA1294" s="34" t="s">
        <v>6706</v>
      </c>
      <c r="AB1294" s="34" t="s">
        <v>4632</v>
      </c>
      <c r="AC1294" s="34" t="s">
        <v>4364</v>
      </c>
      <c r="AD1294" s="34" t="s">
        <v>4443</v>
      </c>
      <c r="AE1294" s="34" t="s">
        <v>4092</v>
      </c>
      <c r="AF1294" s="34" t="s">
        <v>3466</v>
      </c>
      <c r="AG1294" s="34" t="s">
        <v>4416</v>
      </c>
      <c r="AH1294" s="34" t="s">
        <v>6624</v>
      </c>
      <c r="AI1294" s="34" t="s">
        <v>6707</v>
      </c>
      <c r="AJ1294" s="34" t="s">
        <v>6692</v>
      </c>
      <c r="AK1294" s="34" t="s">
        <v>6693</v>
      </c>
      <c r="AL1294" s="34" t="s">
        <v>4173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7" t="str">
        <f>IFERROR(INDEX(Структура_ассортимента[SuperCategory],MATCH(Товары[[#This Row],[SubGroup]],Структура_ассортимента[Subgroup],0)),"")</f>
        <v>W</v>
      </c>
      <c r="D12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7" t="str">
        <f>IFERROR(INDEX(Структура_ассортимента[Product group],MATCH(Товары[[#This Row],[SubGroup]],Структура_ассортимента[Subgroup],0)),"")</f>
        <v>WMS_C</v>
      </c>
      <c r="G1295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2836</v>
      </c>
      <c r="O1295" s="37" t="s">
        <v>6708</v>
      </c>
      <c r="P1295" s="37" t="s">
        <v>6709</v>
      </c>
      <c r="Q1295" s="39" t="s">
        <v>3416</v>
      </c>
      <c r="R1295" s="34" t="s">
        <v>3407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3410</v>
      </c>
      <c r="X1295" s="34" t="s">
        <v>3446</v>
      </c>
      <c r="Y1295" s="34" t="s">
        <v>3409</v>
      </c>
      <c r="Z1295" s="34">
        <v>5</v>
      </c>
      <c r="AA1295" s="34" t="s">
        <v>6710</v>
      </c>
      <c r="AB1295" s="34" t="s">
        <v>4443</v>
      </c>
      <c r="AC1295" s="34" t="s">
        <v>6711</v>
      </c>
      <c r="AD1295" s="34" t="s">
        <v>4256</v>
      </c>
      <c r="AE1295" s="34" t="s">
        <v>6601</v>
      </c>
      <c r="AF1295" s="34" t="s">
        <v>4873</v>
      </c>
      <c r="AG1295" s="34" t="s">
        <v>4895</v>
      </c>
      <c r="AH1295" s="34" t="s">
        <v>6602</v>
      </c>
      <c r="AI1295" s="34" t="s">
        <v>4070</v>
      </c>
      <c r="AJ1295" s="34" t="s">
        <v>3732</v>
      </c>
      <c r="AK1295" s="34" t="s">
        <v>4070</v>
      </c>
      <c r="AL1295" s="34" t="s">
        <v>4173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7" t="str">
        <f>IFERROR(INDEX(Структура_ассортимента[SuperCategory],MATCH(Товары[[#This Row],[SubGroup]],Структура_ассортимента[Subgroup],0)),"")</f>
        <v>W</v>
      </c>
      <c r="D12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7" t="str">
        <f>IFERROR(INDEX(Структура_ассортимента[Product group],MATCH(Товары[[#This Row],[SubGroup]],Структура_ассортимента[Subgroup],0)),"")</f>
        <v>WMS_C</v>
      </c>
      <c r="G1296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2837</v>
      </c>
      <c r="O1296" s="37" t="s">
        <v>6712</v>
      </c>
      <c r="P1296" s="37" t="s">
        <v>6713</v>
      </c>
      <c r="Q1296" s="39" t="s">
        <v>3416</v>
      </c>
      <c r="R1296" s="34" t="s">
        <v>3407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3410</v>
      </c>
      <c r="X1296" s="34" t="s">
        <v>3446</v>
      </c>
      <c r="Y1296" s="34" t="s">
        <v>3409</v>
      </c>
      <c r="Z1296" s="34">
        <v>16</v>
      </c>
      <c r="AB1296" s="34" t="s">
        <v>4443</v>
      </c>
      <c r="AD1296" s="34" t="s">
        <v>4256</v>
      </c>
      <c r="AE1296" s="34" t="s">
        <v>6601</v>
      </c>
      <c r="AF1296" s="34" t="s">
        <v>4873</v>
      </c>
      <c r="AG1296" s="34" t="s">
        <v>4895</v>
      </c>
      <c r="AH1296" s="34" t="s">
        <v>6602</v>
      </c>
      <c r="AL1296" s="34" t="s">
        <v>6603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7" t="str">
        <f>IFERROR(INDEX(Структура_ассортимента[SuperCategory],MATCH(Товары[[#This Row],[SubGroup]],Структура_ассортимента[Subgroup],0)),"")</f>
        <v>W</v>
      </c>
      <c r="D12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7" t="str">
        <f>IFERROR(INDEX(Структура_ассортимента[Product group],MATCH(Товары[[#This Row],[SubGroup]],Структура_ассортимента[Subgroup],0)),"")</f>
        <v>WMS_C</v>
      </c>
      <c r="G1297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2838</v>
      </c>
      <c r="O1297" s="37" t="s">
        <v>6714</v>
      </c>
      <c r="P1297" s="37" t="s">
        <v>6715</v>
      </c>
      <c r="Q1297" s="39" t="s">
        <v>3416</v>
      </c>
      <c r="R1297" s="34" t="s">
        <v>3407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3410</v>
      </c>
      <c r="X1297" s="34" t="s">
        <v>3446</v>
      </c>
      <c r="Y1297" s="34" t="s">
        <v>3409</v>
      </c>
      <c r="Z1297" s="34">
        <v>4</v>
      </c>
      <c r="AA1297" s="34" t="s">
        <v>6716</v>
      </c>
      <c r="AB1297" s="34" t="s">
        <v>4619</v>
      </c>
      <c r="AC1297" s="34" t="s">
        <v>6717</v>
      </c>
      <c r="AD1297" s="34" t="s">
        <v>4987</v>
      </c>
      <c r="AE1297" s="34" t="s">
        <v>3553</v>
      </c>
      <c r="AF1297" s="34" t="s">
        <v>4027</v>
      </c>
      <c r="AG1297" s="34" t="s">
        <v>4416</v>
      </c>
      <c r="AH1297" s="34" t="s">
        <v>6718</v>
      </c>
      <c r="AI1297" s="34" t="s">
        <v>4280</v>
      </c>
      <c r="AJ1297" s="34" t="s">
        <v>3791</v>
      </c>
      <c r="AK1297" s="34" t="s">
        <v>3459</v>
      </c>
      <c r="AL1297" s="34" t="s">
        <v>6603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7" t="str">
        <f>IFERROR(INDEX(Структура_ассортимента[SuperCategory],MATCH(Товары[[#This Row],[SubGroup]],Структура_ассортимента[Subgroup],0)),"")</f>
        <v>W</v>
      </c>
      <c r="D12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7" t="str">
        <f>IFERROR(INDEX(Структура_ассортимента[Product group],MATCH(Товары[[#This Row],[SubGroup]],Структура_ассортимента[Subgroup],0)),"")</f>
        <v>WMS_C</v>
      </c>
      <c r="G1298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2839</v>
      </c>
      <c r="O1298" s="37" t="s">
        <v>6719</v>
      </c>
      <c r="P1298" s="37" t="s">
        <v>6720</v>
      </c>
      <c r="Q1298" s="39" t="s">
        <v>3416</v>
      </c>
      <c r="R1298" s="34" t="s">
        <v>3407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3410</v>
      </c>
      <c r="X1298" s="34" t="s">
        <v>3446</v>
      </c>
      <c r="Y1298" s="34" t="s">
        <v>3409</v>
      </c>
      <c r="Z1298" s="34">
        <v>16</v>
      </c>
      <c r="AB1298" s="34" t="s">
        <v>6611</v>
      </c>
      <c r="AD1298" s="34" t="s">
        <v>4531</v>
      </c>
      <c r="AE1298" s="34" t="s">
        <v>6721</v>
      </c>
      <c r="AF1298" s="34" t="s">
        <v>6722</v>
      </c>
      <c r="AG1298" s="34" t="s">
        <v>4548</v>
      </c>
      <c r="AH1298" s="34" t="s">
        <v>6723</v>
      </c>
      <c r="AI1298" s="34" t="s">
        <v>4280</v>
      </c>
      <c r="AJ1298" s="34" t="s">
        <v>3791</v>
      </c>
      <c r="AK1298" s="34" t="s">
        <v>3459</v>
      </c>
      <c r="AL1298" s="34" t="s">
        <v>6603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7" t="str">
        <f>IFERROR(INDEX(Структура_ассортимента[SuperCategory],MATCH(Товары[[#This Row],[SubGroup]],Структура_ассортимента[Subgroup],0)),"")</f>
        <v>W</v>
      </c>
      <c r="D12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7" t="str">
        <f>IFERROR(INDEX(Структура_ассортимента[Product group],MATCH(Товары[[#This Row],[SubGroup]],Структура_ассортимента[Subgroup],0)),"")</f>
        <v>WMS_C</v>
      </c>
      <c r="G1299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2840</v>
      </c>
      <c r="O1299" s="37" t="s">
        <v>6724</v>
      </c>
      <c r="P1299" s="37" t="s">
        <v>6725</v>
      </c>
      <c r="Q1299" s="39" t="s">
        <v>3416</v>
      </c>
      <c r="R1299" s="34" t="s">
        <v>3407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3410</v>
      </c>
      <c r="X1299" s="34" t="s">
        <v>3446</v>
      </c>
      <c r="Y1299" s="34" t="s">
        <v>3409</v>
      </c>
      <c r="Z1299" s="34">
        <v>4</v>
      </c>
      <c r="AA1299" s="34" t="s">
        <v>6726</v>
      </c>
      <c r="AB1299" s="34" t="s">
        <v>4575</v>
      </c>
      <c r="AC1299" s="34" t="s">
        <v>4406</v>
      </c>
      <c r="AD1299" s="34" t="s">
        <v>3628</v>
      </c>
      <c r="AE1299" s="34" t="s">
        <v>4190</v>
      </c>
      <c r="AF1299" s="34" t="s">
        <v>4027</v>
      </c>
      <c r="AG1299" s="34" t="s">
        <v>4416</v>
      </c>
      <c r="AH1299" s="34" t="s">
        <v>6727</v>
      </c>
      <c r="AI1299" s="34" t="s">
        <v>5486</v>
      </c>
      <c r="AJ1299" s="34" t="s">
        <v>3791</v>
      </c>
      <c r="AK1299" s="34" t="s">
        <v>3459</v>
      </c>
      <c r="AL1299" s="34" t="s">
        <v>6603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7" t="str">
        <f>IFERROR(INDEX(Структура_ассортимента[SuperCategory],MATCH(Товары[[#This Row],[SubGroup]],Структура_ассортимента[Subgroup],0)),"")</f>
        <v>W</v>
      </c>
      <c r="D13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7" t="str">
        <f>IFERROR(INDEX(Структура_ассортимента[Product group],MATCH(Товары[[#This Row],[SubGroup]],Структура_ассортимента[Subgroup],0)),"")</f>
        <v>WMS_C</v>
      </c>
      <c r="G1300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2841</v>
      </c>
      <c r="O1300" s="37" t="s">
        <v>6728</v>
      </c>
      <c r="P1300" s="37" t="s">
        <v>6729</v>
      </c>
      <c r="Q1300" s="39" t="s">
        <v>3416</v>
      </c>
      <c r="R1300" s="34" t="s">
        <v>3407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3410</v>
      </c>
      <c r="X1300" s="34" t="s">
        <v>3446</v>
      </c>
      <c r="Y1300" s="34" t="s">
        <v>3409</v>
      </c>
      <c r="Z1300" s="34">
        <v>16</v>
      </c>
      <c r="AB1300" s="34" t="s">
        <v>4238</v>
      </c>
      <c r="AD1300" s="34" t="s">
        <v>3421</v>
      </c>
      <c r="AE1300" s="34" t="s">
        <v>4193</v>
      </c>
      <c r="AF1300" s="34" t="s">
        <v>4760</v>
      </c>
      <c r="AG1300" s="34" t="s">
        <v>3424</v>
      </c>
      <c r="AH1300" s="34" t="s">
        <v>4896</v>
      </c>
      <c r="AI1300" s="34" t="s">
        <v>5486</v>
      </c>
      <c r="AJ1300" s="34" t="s">
        <v>3791</v>
      </c>
      <c r="AK1300" s="34" t="s">
        <v>3459</v>
      </c>
      <c r="AL1300" s="34" t="s">
        <v>6603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7" t="str">
        <f>IFERROR(INDEX(Структура_ассортимента[SuperCategory],MATCH(Товары[[#This Row],[SubGroup]],Структура_ассортимента[Subgroup],0)),"")</f>
        <v>W</v>
      </c>
      <c r="D13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7" t="str">
        <f>IFERROR(INDEX(Структура_ассортимента[Product group],MATCH(Товары[[#This Row],[SubGroup]],Структура_ассортимента[Subgroup],0)),"")</f>
        <v>WMS_C</v>
      </c>
      <c r="G1301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2842</v>
      </c>
      <c r="O1301" s="37" t="s">
        <v>6730</v>
      </c>
      <c r="P1301" s="37" t="s">
        <v>6731</v>
      </c>
      <c r="Q1301" s="39" t="s">
        <v>3416</v>
      </c>
      <c r="R1301" s="34" t="s">
        <v>3407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3410</v>
      </c>
      <c r="X1301" s="34" t="s">
        <v>3446</v>
      </c>
      <c r="Y1301" s="34" t="s">
        <v>3409</v>
      </c>
      <c r="Z1301" s="34">
        <v>4</v>
      </c>
      <c r="AA1301" s="34" t="s">
        <v>6732</v>
      </c>
      <c r="AB1301" s="34" t="s">
        <v>4393</v>
      </c>
      <c r="AC1301" s="34" t="s">
        <v>3489</v>
      </c>
      <c r="AD1301" s="34" t="s">
        <v>4575</v>
      </c>
      <c r="AE1301" s="34" t="s">
        <v>3721</v>
      </c>
      <c r="AF1301" s="34" t="s">
        <v>4027</v>
      </c>
      <c r="AG1301" s="34" t="s">
        <v>4416</v>
      </c>
      <c r="AH1301" s="34" t="s">
        <v>6733</v>
      </c>
      <c r="AI1301" s="34" t="s">
        <v>5683</v>
      </c>
      <c r="AJ1301" s="34" t="s">
        <v>3791</v>
      </c>
      <c r="AK1301" s="34" t="s">
        <v>3459</v>
      </c>
      <c r="AL1301" s="34" t="s">
        <v>6603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7" t="str">
        <f>IFERROR(INDEX(Структура_ассортимента[SuperCategory],MATCH(Товары[[#This Row],[SubGroup]],Структура_ассортимента[Subgroup],0)),"")</f>
        <v>W</v>
      </c>
      <c r="D13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7" t="str">
        <f>IFERROR(INDEX(Структура_ассортимента[Product group],MATCH(Товары[[#This Row],[SubGroup]],Структура_ассортимента[Subgroup],0)),"")</f>
        <v>WMS_C</v>
      </c>
      <c r="G1302" s="67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7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2843</v>
      </c>
      <c r="Q1302" s="39" t="s">
        <v>3416</v>
      </c>
      <c r="R1302" s="34" t="s">
        <v>3407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3410</v>
      </c>
      <c r="X1302" s="34" t="s">
        <v>3446</v>
      </c>
      <c r="Y1302" s="34" t="s">
        <v>3409</v>
      </c>
      <c r="Z1302" s="34">
        <v>60</v>
      </c>
      <c r="AB1302" s="34" t="s">
        <v>4003</v>
      </c>
      <c r="AD1302" s="34" t="s">
        <v>4046</v>
      </c>
      <c r="AE1302" s="34" t="s">
        <v>4069</v>
      </c>
      <c r="AF1302" s="34" t="s">
        <v>3427</v>
      </c>
      <c r="AG1302" s="34" t="s">
        <v>3574</v>
      </c>
      <c r="AH1302" s="34" t="s">
        <v>6634</v>
      </c>
      <c r="AL1302" s="34" t="s">
        <v>3460</v>
      </c>
      <c r="AM1302" s="34" t="s">
        <v>7962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7" t="str">
        <f>IFERROR(INDEX(Структура_ассортимента[SuperCategory],MATCH(Товары[[#This Row],[SubGroup]],Структура_ассортимента[Subgroup],0)),"")</f>
        <v>W</v>
      </c>
      <c r="D13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7" t="str">
        <f>IFERROR(INDEX(Структура_ассортимента[Product group],MATCH(Товары[[#This Row],[SubGroup]],Структура_ассортимента[Subgroup],0)),"")</f>
        <v>WMT_C</v>
      </c>
      <c r="G130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2844</v>
      </c>
      <c r="O1303" s="37" t="s">
        <v>6734</v>
      </c>
      <c r="P1303" s="37" t="s">
        <v>6735</v>
      </c>
      <c r="Q1303" s="39" t="s">
        <v>3416</v>
      </c>
      <c r="R1303" s="34" t="s">
        <v>3407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3410</v>
      </c>
      <c r="X1303" s="34" t="s">
        <v>3446</v>
      </c>
      <c r="Y1303" s="34" t="s">
        <v>3409</v>
      </c>
      <c r="Z1303" s="34">
        <v>6</v>
      </c>
      <c r="AA1303" s="34" t="s">
        <v>6736</v>
      </c>
      <c r="AB1303" s="34" t="s">
        <v>6736</v>
      </c>
      <c r="AC1303" s="34" t="s">
        <v>6140</v>
      </c>
      <c r="AD1303" s="34" t="s">
        <v>6140</v>
      </c>
      <c r="AE1303" s="34" t="s">
        <v>4608</v>
      </c>
      <c r="AF1303" s="34" t="s">
        <v>3639</v>
      </c>
      <c r="AG1303" s="34" t="s">
        <v>4909</v>
      </c>
      <c r="AH1303" s="34" t="s">
        <v>6737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7" t="str">
        <f>IFERROR(INDEX(Структура_ассортимента[SuperCategory],MATCH(Товары[[#This Row],[SubGroup]],Структура_ассортимента[Subgroup],0)),"")</f>
        <v>W</v>
      </c>
      <c r="D13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7" t="str">
        <f>IFERROR(INDEX(Структура_ассортимента[Product group],MATCH(Товары[[#This Row],[SubGroup]],Структура_ассортимента[Subgroup],0)),"")</f>
        <v>WMT_C</v>
      </c>
      <c r="G130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2845</v>
      </c>
      <c r="O1304" s="37" t="s">
        <v>6738</v>
      </c>
      <c r="P1304" s="37" t="s">
        <v>6739</v>
      </c>
      <c r="Q1304" s="39" t="s">
        <v>3416</v>
      </c>
      <c r="R1304" s="34" t="s">
        <v>3407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3410</v>
      </c>
      <c r="X1304" s="34" t="s">
        <v>3446</v>
      </c>
      <c r="Y1304" s="34" t="s">
        <v>3409</v>
      </c>
      <c r="Z1304" s="34">
        <v>1</v>
      </c>
      <c r="AA1304" s="34" t="s">
        <v>6740</v>
      </c>
      <c r="AB1304" s="34" t="s">
        <v>6740</v>
      </c>
      <c r="AC1304" s="34" t="s">
        <v>6244</v>
      </c>
      <c r="AD1304" s="34" t="s">
        <v>6244</v>
      </c>
      <c r="AE1304" s="34" t="s">
        <v>6741</v>
      </c>
      <c r="AF1304" s="34" t="s">
        <v>5240</v>
      </c>
      <c r="AG1304" s="34" t="s">
        <v>6742</v>
      </c>
      <c r="AH1304" s="34" t="s">
        <v>6743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7" t="str">
        <f>IFERROR(INDEX(Структура_ассортимента[SuperCategory],MATCH(Товары[[#This Row],[SubGroup]],Структура_ассортимента[Subgroup],0)),"")</f>
        <v>W</v>
      </c>
      <c r="D13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7" t="str">
        <f>IFERROR(INDEX(Структура_ассортимента[Product group],MATCH(Товары[[#This Row],[SubGroup]],Структура_ассортимента[Subgroup],0)),"")</f>
        <v>WMT_C</v>
      </c>
      <c r="G130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2846</v>
      </c>
      <c r="O1305" s="37" t="s">
        <v>6744</v>
      </c>
      <c r="P1305" s="37" t="s">
        <v>6745</v>
      </c>
      <c r="Q1305" s="39" t="s">
        <v>3416</v>
      </c>
      <c r="R1305" s="34" t="s">
        <v>3407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3414</v>
      </c>
      <c r="X1305" s="34" t="s">
        <v>3446</v>
      </c>
      <c r="Y1305" s="34" t="s">
        <v>3409</v>
      </c>
      <c r="Z1305" s="34">
        <v>1</v>
      </c>
      <c r="AA1305" s="34" t="s">
        <v>6746</v>
      </c>
      <c r="AB1305" s="34" t="s">
        <v>6746</v>
      </c>
      <c r="AC1305" s="34" t="s">
        <v>6747</v>
      </c>
      <c r="AD1305" s="34" t="s">
        <v>6747</v>
      </c>
      <c r="AE1305" s="34" t="s">
        <v>4851</v>
      </c>
      <c r="AF1305" s="34" t="s">
        <v>3457</v>
      </c>
      <c r="AG1305" s="34" t="s">
        <v>6748</v>
      </c>
      <c r="AH1305" s="34" t="s">
        <v>6749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7" t="str">
        <f>IFERROR(INDEX(Структура_ассортимента[SuperCategory],MATCH(Товары[[#This Row],[SubGroup]],Структура_ассортимента[Subgroup],0)),"")</f>
        <v>W</v>
      </c>
      <c r="D13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7" t="str">
        <f>IFERROR(INDEX(Структура_ассортимента[Product group],MATCH(Товары[[#This Row],[SubGroup]],Структура_ассортимента[Subgroup],0)),"")</f>
        <v>WMT_C</v>
      </c>
      <c r="G130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2847</v>
      </c>
      <c r="Q1306" s="39" t="s">
        <v>3416</v>
      </c>
      <c r="R1306" s="34" t="s">
        <v>3407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3410</v>
      </c>
      <c r="X1306" s="34" t="s">
        <v>3446</v>
      </c>
      <c r="Y1306" s="34" t="s">
        <v>3409</v>
      </c>
      <c r="Z1306" s="34">
        <v>1</v>
      </c>
      <c r="AA1306" s="34" t="s">
        <v>6750</v>
      </c>
      <c r="AB1306" s="34" t="s">
        <v>6750</v>
      </c>
      <c r="AC1306" s="34" t="s">
        <v>5280</v>
      </c>
      <c r="AD1306" s="34" t="s">
        <v>5280</v>
      </c>
      <c r="AE1306" s="34" t="s">
        <v>3720</v>
      </c>
      <c r="AF1306" s="34" t="s">
        <v>4087</v>
      </c>
      <c r="AG1306" s="34" t="s">
        <v>4677</v>
      </c>
      <c r="AH1306" s="34" t="s">
        <v>6751</v>
      </c>
      <c r="AL1306" s="34">
        <v>24</v>
      </c>
      <c r="AM1306" s="34" t="s">
        <v>7962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7" t="str">
        <f>IFERROR(INDEX(Структура_ассортимента[SuperCategory],MATCH(Товары[[#This Row],[SubGroup]],Структура_ассортимента[Subgroup],0)),"")</f>
        <v>W</v>
      </c>
      <c r="D13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7" t="str">
        <f>IFERROR(INDEX(Структура_ассортимента[Product group],MATCH(Товары[[#This Row],[SubGroup]],Структура_ассортимента[Subgroup],0)),"")</f>
        <v>WMT_C</v>
      </c>
      <c r="G130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2848</v>
      </c>
      <c r="Q1307" s="39" t="s">
        <v>3416</v>
      </c>
      <c r="R1307" s="34" t="s">
        <v>3407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3410</v>
      </c>
      <c r="X1307" s="34" t="s">
        <v>3446</v>
      </c>
      <c r="Y1307" s="34" t="s">
        <v>3409</v>
      </c>
      <c r="Z1307" s="34">
        <v>1</v>
      </c>
      <c r="AA1307" s="34">
        <v>0</v>
      </c>
      <c r="AB1307" s="34" t="s">
        <v>6750</v>
      </c>
      <c r="AC1307" s="34">
        <v>0</v>
      </c>
      <c r="AD1307" s="34" t="s">
        <v>5280</v>
      </c>
      <c r="AE1307" s="34" t="s">
        <v>3720</v>
      </c>
      <c r="AF1307" s="34" t="s">
        <v>4087</v>
      </c>
      <c r="AG1307" s="34" t="s">
        <v>4677</v>
      </c>
      <c r="AH1307" s="34" t="s">
        <v>6751</v>
      </c>
      <c r="AL1307" s="34" t="s">
        <v>3709</v>
      </c>
      <c r="AM1307" s="34" t="s">
        <v>7962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7" t="str">
        <f>IFERROR(INDEX(Структура_ассортимента[SuperCategory],MATCH(Товары[[#This Row],[SubGroup]],Структура_ассортимента[Subgroup],0)),"")</f>
        <v>W</v>
      </c>
      <c r="D13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7" t="str">
        <f>IFERROR(INDEX(Структура_ассортимента[Product group],MATCH(Товары[[#This Row],[SubGroup]],Структура_ассортимента[Subgroup],0)),"")</f>
        <v>WMT_C</v>
      </c>
      <c r="G130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2849</v>
      </c>
      <c r="Q1308" s="39" t="s">
        <v>3416</v>
      </c>
      <c r="R1308" s="34" t="s">
        <v>3407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3410</v>
      </c>
      <c r="X1308" s="34" t="s">
        <v>3446</v>
      </c>
      <c r="Y1308" s="34" t="s">
        <v>3409</v>
      </c>
      <c r="Z1308" s="34">
        <v>1</v>
      </c>
      <c r="AA1308" s="34">
        <v>724</v>
      </c>
      <c r="AB1308" s="34" t="s">
        <v>6752</v>
      </c>
      <c r="AC1308" s="34">
        <v>0</v>
      </c>
      <c r="AD1308" s="34" t="s">
        <v>4574</v>
      </c>
      <c r="AE1308" s="34" t="s">
        <v>3724</v>
      </c>
      <c r="AF1308" s="34" t="s">
        <v>3490</v>
      </c>
      <c r="AG1308" s="34" t="s">
        <v>3632</v>
      </c>
      <c r="AH1308" s="34" t="s">
        <v>6753</v>
      </c>
      <c r="AL1308" s="34" t="s">
        <v>5309</v>
      </c>
      <c r="AM1308" s="34" t="s">
        <v>7962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7" t="str">
        <f>IFERROR(INDEX(Структура_ассортимента[SuperCategory],MATCH(Товары[[#This Row],[SubGroup]],Структура_ассортимента[Subgroup],0)),"")</f>
        <v>W</v>
      </c>
      <c r="D13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7" t="str">
        <f>IFERROR(INDEX(Структура_ассортимента[Product group],MATCH(Товары[[#This Row],[SubGroup]],Структура_ассортимента[Subgroup],0)),"")</f>
        <v>WMT_C</v>
      </c>
      <c r="G130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2850</v>
      </c>
      <c r="Q1309" s="39" t="s">
        <v>3416</v>
      </c>
      <c r="R1309" s="34" t="s">
        <v>3407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3410</v>
      </c>
      <c r="X1309" s="34" t="s">
        <v>3446</v>
      </c>
      <c r="Y1309" s="34" t="s">
        <v>3409</v>
      </c>
      <c r="Z1309" s="34">
        <v>1</v>
      </c>
      <c r="AA1309" s="34">
        <v>744</v>
      </c>
      <c r="AB1309" s="34" t="s">
        <v>6754</v>
      </c>
      <c r="AC1309" s="34">
        <v>0</v>
      </c>
      <c r="AD1309" s="34" t="s">
        <v>6755</v>
      </c>
      <c r="AE1309" s="34" t="s">
        <v>3724</v>
      </c>
      <c r="AF1309" s="34" t="s">
        <v>3490</v>
      </c>
      <c r="AG1309" s="34" t="s">
        <v>3632</v>
      </c>
      <c r="AH1309" s="34" t="s">
        <v>6753</v>
      </c>
      <c r="AL1309" s="34" t="s">
        <v>5309</v>
      </c>
      <c r="AM1309" s="34" t="s">
        <v>7962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7" t="str">
        <f>IFERROR(INDEX(Структура_ассортимента[SuperCategory],MATCH(Товары[[#This Row],[SubGroup]],Структура_ассортимента[Subgroup],0)),"")</f>
        <v>W</v>
      </c>
      <c r="D13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7" t="str">
        <f>IFERROR(INDEX(Структура_ассортимента[Product group],MATCH(Товары[[#This Row],[SubGroup]],Структура_ассортимента[Subgroup],0)),"")</f>
        <v>WMT_C</v>
      </c>
      <c r="G131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2851</v>
      </c>
      <c r="O1310" s="37" t="s">
        <v>6756</v>
      </c>
      <c r="P1310" s="37" t="s">
        <v>6757</v>
      </c>
      <c r="Q1310" s="39" t="s">
        <v>3416</v>
      </c>
      <c r="R1310" s="34" t="s">
        <v>3407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3803</v>
      </c>
      <c r="X1310" s="34" t="s">
        <v>3446</v>
      </c>
      <c r="Y1310" s="34" t="s">
        <v>3409</v>
      </c>
      <c r="Z1310" s="34">
        <v>1</v>
      </c>
      <c r="AA1310" s="34" t="s">
        <v>6758</v>
      </c>
      <c r="AB1310" s="34" t="s">
        <v>6759</v>
      </c>
      <c r="AC1310" s="34" t="s">
        <v>6760</v>
      </c>
      <c r="AD1310" s="34" t="s">
        <v>6761</v>
      </c>
      <c r="AE1310" s="34" t="s">
        <v>6762</v>
      </c>
      <c r="AF1310" s="34" t="s">
        <v>6763</v>
      </c>
      <c r="AG1310" s="34" t="s">
        <v>4407</v>
      </c>
      <c r="AH1310" s="34" t="s">
        <v>6764</v>
      </c>
      <c r="AL1310" s="34" t="s">
        <v>4839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7" t="str">
        <f>IFERROR(INDEX(Структура_ассортимента[SuperCategory],MATCH(Товары[[#This Row],[SubGroup]],Структура_ассортимента[Subgroup],0)),"")</f>
        <v>W</v>
      </c>
      <c r="D13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7" t="str">
        <f>IFERROR(INDEX(Структура_ассортимента[Product group],MATCH(Товары[[#This Row],[SubGroup]],Структура_ассортимента[Subgroup],0)),"")</f>
        <v>WMT_C</v>
      </c>
      <c r="G131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2852</v>
      </c>
      <c r="O1311" s="37" t="s">
        <v>6765</v>
      </c>
      <c r="P1311" s="37" t="s">
        <v>6766</v>
      </c>
      <c r="Q1311" s="39" t="s">
        <v>3416</v>
      </c>
      <c r="R1311" s="34" t="s">
        <v>3407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3410</v>
      </c>
      <c r="X1311" s="34" t="s">
        <v>3446</v>
      </c>
      <c r="Y1311" s="34" t="s">
        <v>3409</v>
      </c>
      <c r="Z1311" s="34">
        <v>1</v>
      </c>
      <c r="AA1311" s="34">
        <v>2235</v>
      </c>
      <c r="AB1311" s="34" t="s">
        <v>4963</v>
      </c>
      <c r="AC1311" s="34">
        <v>1800</v>
      </c>
      <c r="AD1311" s="34" t="s">
        <v>3837</v>
      </c>
      <c r="AE1311" s="34" t="s">
        <v>4084</v>
      </c>
      <c r="AF1311" s="34" t="s">
        <v>3845</v>
      </c>
      <c r="AG1311" s="34" t="s">
        <v>5893</v>
      </c>
      <c r="AH1311" s="34" t="s">
        <v>6767</v>
      </c>
      <c r="AI1311" s="34" t="s">
        <v>6768</v>
      </c>
      <c r="AJ1311" s="34" t="s">
        <v>6769</v>
      </c>
      <c r="AK1311" s="34" t="s">
        <v>6770</v>
      </c>
      <c r="AL1311" s="34" t="s">
        <v>5309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7" t="str">
        <f>IFERROR(INDEX(Структура_ассортимента[SuperCategory],MATCH(Товары[[#This Row],[SubGroup]],Структура_ассортимента[Subgroup],0)),"")</f>
        <v>W</v>
      </c>
      <c r="D13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7" t="str">
        <f>IFERROR(INDEX(Структура_ассортимента[Product group],MATCH(Товары[[#This Row],[SubGroup]],Структура_ассортимента[Subgroup],0)),"")</f>
        <v>WMT_C</v>
      </c>
      <c r="G131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2853</v>
      </c>
      <c r="O1312" s="37" t="s">
        <v>6771</v>
      </c>
      <c r="P1312" s="37" t="s">
        <v>6772</v>
      </c>
      <c r="Q1312" s="39" t="s">
        <v>3416</v>
      </c>
      <c r="R1312" s="34" t="s">
        <v>3407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3410</v>
      </c>
      <c r="X1312" s="34" t="s">
        <v>3446</v>
      </c>
      <c r="Y1312" s="34" t="s">
        <v>3409</v>
      </c>
      <c r="Z1312" s="34">
        <v>18</v>
      </c>
      <c r="AA1312" s="34">
        <v>5540</v>
      </c>
      <c r="AB1312" s="34" t="s">
        <v>6773</v>
      </c>
      <c r="AC1312" s="34">
        <v>5116</v>
      </c>
      <c r="AD1312" s="34" t="s">
        <v>5368</v>
      </c>
      <c r="AE1312" s="34" t="s">
        <v>4915</v>
      </c>
      <c r="AF1312" s="34" t="s">
        <v>4449</v>
      </c>
      <c r="AG1312" s="34" t="s">
        <v>4608</v>
      </c>
      <c r="AH1312" s="34" t="s">
        <v>6774</v>
      </c>
      <c r="AI1312" s="34" t="s">
        <v>4377</v>
      </c>
      <c r="AJ1312" s="34" t="s">
        <v>4424</v>
      </c>
      <c r="AK1312" s="34" t="s">
        <v>4449</v>
      </c>
      <c r="AL1312" s="34" t="s">
        <v>5300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7" t="str">
        <f>IFERROR(INDEX(Структура_ассортимента[SuperCategory],MATCH(Товары[[#This Row],[SubGroup]],Структура_ассортимента[Subgroup],0)),"")</f>
        <v>W</v>
      </c>
      <c r="D13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7" t="str">
        <f>IFERROR(INDEX(Структура_ассортимента[Product group],MATCH(Товары[[#This Row],[SubGroup]],Структура_ассортимента[Subgroup],0)),"")</f>
        <v>WMT_C</v>
      </c>
      <c r="G131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2854</v>
      </c>
      <c r="O1313" s="37" t="s">
        <v>6771</v>
      </c>
      <c r="P1313" s="37" t="s">
        <v>6775</v>
      </c>
      <c r="Q1313" s="39" t="s">
        <v>3416</v>
      </c>
      <c r="R1313" s="34" t="s">
        <v>3407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3410</v>
      </c>
      <c r="X1313" s="34" t="s">
        <v>3446</v>
      </c>
      <c r="Y1313" s="34" t="s">
        <v>3409</v>
      </c>
      <c r="Z1313" s="34">
        <v>1</v>
      </c>
      <c r="AA1313" s="34">
        <v>5300</v>
      </c>
      <c r="AB1313" s="34" t="s">
        <v>6776</v>
      </c>
      <c r="AC1313" s="34">
        <v>5300</v>
      </c>
      <c r="AD1313" s="34" t="s">
        <v>5202</v>
      </c>
      <c r="AE1313" s="34" t="s">
        <v>3790</v>
      </c>
      <c r="AF1313" s="34" t="s">
        <v>4511</v>
      </c>
      <c r="AG1313" s="34" t="s">
        <v>4069</v>
      </c>
      <c r="AH1313" s="34" t="s">
        <v>6777</v>
      </c>
      <c r="AL1313" s="34" t="s">
        <v>4476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7" t="str">
        <f>IFERROR(INDEX(Структура_ассортимента[SuperCategory],MATCH(Товары[[#This Row],[SubGroup]],Структура_ассортимента[Subgroup],0)),"")</f>
        <v>W</v>
      </c>
      <c r="D13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7" t="str">
        <f>IFERROR(INDEX(Структура_ассортимента[Product group],MATCH(Товары[[#This Row],[SubGroup]],Структура_ассортимента[Subgroup],0)),"")</f>
        <v>WMT_C</v>
      </c>
      <c r="G131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2855</v>
      </c>
      <c r="Q1314" s="39" t="s">
        <v>3416</v>
      </c>
      <c r="R1314" s="34" t="s">
        <v>3407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3410</v>
      </c>
      <c r="X1314" s="34" t="s">
        <v>3446</v>
      </c>
      <c r="Y1314" s="34" t="s">
        <v>3409</v>
      </c>
      <c r="Z1314" s="34">
        <v>6</v>
      </c>
      <c r="AA1314" s="34">
        <v>0</v>
      </c>
      <c r="AB1314" s="34" t="s">
        <v>5368</v>
      </c>
      <c r="AC1314" s="34">
        <v>5116</v>
      </c>
      <c r="AD1314" s="34" t="s">
        <v>6778</v>
      </c>
      <c r="AE1314" s="34" t="s">
        <v>4915</v>
      </c>
      <c r="AF1314" s="34" t="s">
        <v>4449</v>
      </c>
      <c r="AG1314" s="34" t="s">
        <v>4608</v>
      </c>
      <c r="AH1314" s="34" t="s">
        <v>6774</v>
      </c>
      <c r="AL1314" s="34" t="s">
        <v>3484</v>
      </c>
      <c r="AM1314" s="34" t="s">
        <v>7962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7" t="str">
        <f>IFERROR(INDEX(Структура_ассортимента[SuperCategory],MATCH(Товары[[#This Row],[SubGroup]],Структура_ассортимента[Subgroup],0)),"")</f>
        <v>W</v>
      </c>
      <c r="D13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7" t="str">
        <f>IFERROR(INDEX(Структура_ассортимента[Product group],MATCH(Товары[[#This Row],[SubGroup]],Структура_ассортимента[Subgroup],0)),"")</f>
        <v>WMT_C</v>
      </c>
      <c r="G131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2856</v>
      </c>
      <c r="Q1315" s="39" t="s">
        <v>3416</v>
      </c>
      <c r="R1315" s="34" t="s">
        <v>3407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3410</v>
      </c>
      <c r="X1315" s="34" t="s">
        <v>3446</v>
      </c>
      <c r="Y1315" s="34" t="s">
        <v>3409</v>
      </c>
      <c r="Z1315" s="34">
        <v>6</v>
      </c>
      <c r="AB1315" s="34" t="s">
        <v>6773</v>
      </c>
      <c r="AD1315" s="34" t="s">
        <v>5368</v>
      </c>
      <c r="AE1315" s="34" t="s">
        <v>4915</v>
      </c>
      <c r="AF1315" s="34" t="s">
        <v>4449</v>
      </c>
      <c r="AG1315" s="34" t="s">
        <v>4608</v>
      </c>
      <c r="AH1315" s="34" t="s">
        <v>6774</v>
      </c>
      <c r="AL1315" s="34" t="s">
        <v>3484</v>
      </c>
      <c r="AM1315" s="34" t="s">
        <v>7962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7" t="str">
        <f>IFERROR(INDEX(Структура_ассортимента[SuperCategory],MATCH(Товары[[#This Row],[SubGroup]],Структура_ассортимента[Subgroup],0)),"")</f>
        <v>W</v>
      </c>
      <c r="D13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7" t="str">
        <f>IFERROR(INDEX(Структура_ассортимента[Product group],MATCH(Товары[[#This Row],[SubGroup]],Структура_ассортимента[Subgroup],0)),"")</f>
        <v>WMT_C</v>
      </c>
      <c r="G131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2857</v>
      </c>
      <c r="O1316" s="37" t="s">
        <v>6779</v>
      </c>
      <c r="P1316" s="37" t="s">
        <v>6780</v>
      </c>
      <c r="Q1316" s="39" t="s">
        <v>3416</v>
      </c>
      <c r="R1316" s="34" t="s">
        <v>3407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3410</v>
      </c>
      <c r="X1316" s="34" t="s">
        <v>3446</v>
      </c>
      <c r="Y1316" s="34" t="s">
        <v>3409</v>
      </c>
      <c r="Z1316" s="34">
        <v>1</v>
      </c>
      <c r="AA1316" s="34">
        <v>4500</v>
      </c>
      <c r="AB1316" s="34" t="s">
        <v>5313</v>
      </c>
      <c r="AC1316" s="34">
        <v>4000</v>
      </c>
      <c r="AD1316" s="34" t="s">
        <v>5293</v>
      </c>
      <c r="AE1316" s="34" t="s">
        <v>4069</v>
      </c>
      <c r="AF1316" s="34" t="s">
        <v>4353</v>
      </c>
      <c r="AG1316" s="34" t="s">
        <v>6781</v>
      </c>
      <c r="AH1316" s="34" t="s">
        <v>6782</v>
      </c>
      <c r="AI1316" s="34" t="s">
        <v>6783</v>
      </c>
      <c r="AJ1316" s="34" t="s">
        <v>3777</v>
      </c>
      <c r="AK1316" s="34" t="s">
        <v>4635</v>
      </c>
      <c r="AL1316" s="34" t="s">
        <v>6784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7" t="str">
        <f>IFERROR(INDEX(Структура_ассортимента[SuperCategory],MATCH(Товары[[#This Row],[SubGroup]],Структура_ассортимента[Subgroup],0)),"")</f>
        <v>W</v>
      </c>
      <c r="D13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7" t="str">
        <f>IFERROR(INDEX(Структура_ассортимента[Product group],MATCH(Товары[[#This Row],[SubGroup]],Структура_ассортимента[Subgroup],0)),"")</f>
        <v>WMT_C</v>
      </c>
      <c r="G131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2858</v>
      </c>
      <c r="Q1317" s="39" t="s">
        <v>3416</v>
      </c>
      <c r="R1317" s="34" t="s">
        <v>3407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3410</v>
      </c>
      <c r="X1317" s="34" t="s">
        <v>3446</v>
      </c>
      <c r="Y1317" s="34" t="s">
        <v>3409</v>
      </c>
      <c r="Z1317" s="34">
        <v>1</v>
      </c>
      <c r="AA1317" s="34">
        <v>3940</v>
      </c>
      <c r="AB1317" s="34" t="s">
        <v>6785</v>
      </c>
      <c r="AC1317" s="34">
        <v>3800</v>
      </c>
      <c r="AD1317" s="34" t="s">
        <v>5303</v>
      </c>
      <c r="AE1317" s="34" t="s">
        <v>4069</v>
      </c>
      <c r="AF1317" s="34" t="s">
        <v>4353</v>
      </c>
      <c r="AG1317" s="34" t="s">
        <v>6781</v>
      </c>
      <c r="AH1317" s="34" t="s">
        <v>6782</v>
      </c>
      <c r="AI1317" s="34" t="s">
        <v>5633</v>
      </c>
      <c r="AJ1317" s="34" t="s">
        <v>3554</v>
      </c>
      <c r="AK1317" s="34" t="s">
        <v>4160</v>
      </c>
      <c r="AL1317" s="34" t="s">
        <v>6784</v>
      </c>
      <c r="AM1317" s="34" t="s">
        <v>7962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7" t="str">
        <f>IFERROR(INDEX(Структура_ассортимента[SuperCategory],MATCH(Товары[[#This Row],[SubGroup]],Структура_ассортимента[Subgroup],0)),"")</f>
        <v>W</v>
      </c>
      <c r="D13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7" t="str">
        <f>IFERROR(INDEX(Структура_ассортимента[Product group],MATCH(Товары[[#This Row],[SubGroup]],Структура_ассортимента[Subgroup],0)),"")</f>
        <v>WMT_C</v>
      </c>
      <c r="G131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2859</v>
      </c>
      <c r="O1318" s="37" t="s">
        <v>6786</v>
      </c>
      <c r="P1318" s="37" t="s">
        <v>6787</v>
      </c>
      <c r="Q1318" s="39" t="s">
        <v>3416</v>
      </c>
      <c r="R1318" s="34" t="s">
        <v>3407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3410</v>
      </c>
      <c r="X1318" s="34" t="s">
        <v>3446</v>
      </c>
      <c r="Y1318" s="34" t="s">
        <v>3409</v>
      </c>
      <c r="Z1318" s="34">
        <v>2</v>
      </c>
      <c r="AA1318" s="34">
        <v>3500</v>
      </c>
      <c r="AB1318" s="34" t="s">
        <v>6788</v>
      </c>
      <c r="AC1318" s="34">
        <v>3200</v>
      </c>
      <c r="AD1318" s="34" t="s">
        <v>6789</v>
      </c>
      <c r="AE1318" s="34" t="s">
        <v>4600</v>
      </c>
      <c r="AF1318" s="34" t="s">
        <v>3589</v>
      </c>
      <c r="AG1318" s="34" t="s">
        <v>3881</v>
      </c>
      <c r="AH1318" s="34" t="s">
        <v>6790</v>
      </c>
      <c r="AL1318" s="34" t="s">
        <v>3725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7" t="str">
        <f>IFERROR(INDEX(Структура_ассортимента[SuperCategory],MATCH(Товары[[#This Row],[SubGroup]],Структура_ассортимента[Subgroup],0)),"")</f>
        <v>W</v>
      </c>
      <c r="D13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7" t="str">
        <f>IFERROR(INDEX(Структура_ассортимента[Product group],MATCH(Товары[[#This Row],[SubGroup]],Структура_ассортимента[Subgroup],0)),"")</f>
        <v>WMT_C</v>
      </c>
      <c r="G131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2860</v>
      </c>
      <c r="Q1319" s="39" t="s">
        <v>3416</v>
      </c>
      <c r="R1319" s="34" t="s">
        <v>3407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3410</v>
      </c>
      <c r="X1319" s="34" t="s">
        <v>3446</v>
      </c>
      <c r="Y1319" s="34" t="s">
        <v>3409</v>
      </c>
      <c r="Z1319" s="34">
        <v>2</v>
      </c>
      <c r="AA1319" s="34">
        <v>0</v>
      </c>
      <c r="AB1319" s="34" t="s">
        <v>6788</v>
      </c>
      <c r="AC1319" s="34">
        <v>0</v>
      </c>
      <c r="AD1319" s="34" t="s">
        <v>6789</v>
      </c>
      <c r="AE1319" s="34" t="s">
        <v>4600</v>
      </c>
      <c r="AF1319" s="34" t="s">
        <v>3589</v>
      </c>
      <c r="AG1319" s="34" t="s">
        <v>3881</v>
      </c>
      <c r="AH1319" s="34" t="s">
        <v>6790</v>
      </c>
      <c r="AL1319" s="34" t="s">
        <v>3725</v>
      </c>
      <c r="AM1319" s="34" t="s">
        <v>7962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7" t="str">
        <f>IFERROR(INDEX(Структура_ассортимента[SuperCategory],MATCH(Товары[[#This Row],[SubGroup]],Структура_ассортимента[Subgroup],0)),"")</f>
        <v>W</v>
      </c>
      <c r="D13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7" t="str">
        <f>IFERROR(INDEX(Структура_ассортимента[Product group],MATCH(Товары[[#This Row],[SubGroup]],Структура_ассортимента[Subgroup],0)),"")</f>
        <v>WMT_C</v>
      </c>
      <c r="G132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2861</v>
      </c>
      <c r="Q1320" s="39" t="s">
        <v>3416</v>
      </c>
      <c r="R1320" s="34" t="s">
        <v>3407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3410</v>
      </c>
      <c r="X1320" s="34" t="s">
        <v>3446</v>
      </c>
      <c r="Y1320" s="34" t="s">
        <v>3409</v>
      </c>
      <c r="Z1320" s="34">
        <v>1</v>
      </c>
      <c r="AA1320" s="34">
        <v>7000</v>
      </c>
      <c r="AB1320" s="34" t="s">
        <v>6791</v>
      </c>
      <c r="AC1320" s="34">
        <v>6500</v>
      </c>
      <c r="AD1320" s="34" t="s">
        <v>5601</v>
      </c>
      <c r="AE1320" s="34" t="s">
        <v>6792</v>
      </c>
      <c r="AF1320" s="34" t="s">
        <v>4353</v>
      </c>
      <c r="AG1320" s="34" t="s">
        <v>6793</v>
      </c>
      <c r="AH1320" s="34" t="s">
        <v>6794</v>
      </c>
      <c r="AL1320" s="34" t="s">
        <v>4732</v>
      </c>
      <c r="AM1320" s="34" t="s">
        <v>7962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7" t="str">
        <f>IFERROR(INDEX(Структура_ассортимента[SuperCategory],MATCH(Товары[[#This Row],[SubGroup]],Структура_ассортимента[Subgroup],0)),"")</f>
        <v>W</v>
      </c>
      <c r="D13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7" t="str">
        <f>IFERROR(INDEX(Структура_ассортимента[Product group],MATCH(Товары[[#This Row],[SubGroup]],Структура_ассортимента[Subgroup],0)),"")</f>
        <v>WMT_C</v>
      </c>
      <c r="G132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2862</v>
      </c>
      <c r="Q1321" s="39" t="s">
        <v>3416</v>
      </c>
      <c r="R1321" s="34" t="s">
        <v>3407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3410</v>
      </c>
      <c r="X1321" s="34" t="s">
        <v>3446</v>
      </c>
      <c r="Y1321" s="34" t="s">
        <v>3409</v>
      </c>
      <c r="Z1321" s="34">
        <v>2</v>
      </c>
      <c r="AA1321" s="34">
        <v>7860</v>
      </c>
      <c r="AB1321" s="34" t="s">
        <v>6795</v>
      </c>
      <c r="AC1321" s="34">
        <v>7860</v>
      </c>
      <c r="AD1321" s="34" t="s">
        <v>5274</v>
      </c>
      <c r="AE1321" s="34" t="s">
        <v>3639</v>
      </c>
      <c r="AF1321" s="34" t="s">
        <v>3589</v>
      </c>
      <c r="AG1321" s="34" t="s">
        <v>3880</v>
      </c>
      <c r="AH1321" s="34" t="s">
        <v>6796</v>
      </c>
      <c r="AL1321" s="34" t="s">
        <v>3725</v>
      </c>
      <c r="AM1321" s="34" t="s">
        <v>7962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7" t="str">
        <f>IFERROR(INDEX(Структура_ассортимента[SuperCategory],MATCH(Товары[[#This Row],[SubGroup]],Структура_ассортимента[Subgroup],0)),"")</f>
        <v>W</v>
      </c>
      <c r="D13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7" t="str">
        <f>IFERROR(INDEX(Структура_ассортимента[Product group],MATCH(Товары[[#This Row],[SubGroup]],Структура_ассортимента[Subgroup],0)),"")</f>
        <v>WMT_C</v>
      </c>
      <c r="G132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2863</v>
      </c>
      <c r="O1322" s="37" t="s">
        <v>6797</v>
      </c>
      <c r="P1322" s="37" t="s">
        <v>6798</v>
      </c>
      <c r="Q1322" s="39" t="s">
        <v>3416</v>
      </c>
      <c r="R1322" s="34" t="s">
        <v>3407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3410</v>
      </c>
      <c r="X1322" s="34" t="s">
        <v>3446</v>
      </c>
      <c r="Y1322" s="34" t="s">
        <v>3409</v>
      </c>
      <c r="Z1322" s="34">
        <v>1</v>
      </c>
      <c r="AA1322" s="34">
        <v>4455</v>
      </c>
      <c r="AB1322" s="34" t="s">
        <v>6799</v>
      </c>
      <c r="AC1322" s="34">
        <v>3805</v>
      </c>
      <c r="AD1322" s="34" t="s">
        <v>6800</v>
      </c>
      <c r="AE1322" s="34" t="s">
        <v>4069</v>
      </c>
      <c r="AF1322" s="34" t="s">
        <v>4353</v>
      </c>
      <c r="AG1322" s="34" t="s">
        <v>6781</v>
      </c>
      <c r="AH1322" s="34" t="s">
        <v>6782</v>
      </c>
      <c r="AL1322" s="34" t="s">
        <v>6784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7" t="str">
        <f>IFERROR(INDEX(Структура_ассортимента[SuperCategory],MATCH(Товары[[#This Row],[SubGroup]],Структура_ассортимента[Subgroup],0)),"")</f>
        <v>W</v>
      </c>
      <c r="D13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7" t="str">
        <f>IFERROR(INDEX(Структура_ассортимента[Product group],MATCH(Товары[[#This Row],[SubGroup]],Структура_ассортимента[Subgroup],0)),"")</f>
        <v>WMT_C</v>
      </c>
      <c r="G132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2864</v>
      </c>
      <c r="O1323" s="37" t="s">
        <v>6801</v>
      </c>
      <c r="P1323" s="37" t="s">
        <v>6802</v>
      </c>
      <c r="Q1323" s="39" t="s">
        <v>3416</v>
      </c>
      <c r="R1323" s="34" t="s">
        <v>3407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3410</v>
      </c>
      <c r="X1323" s="34" t="s">
        <v>3446</v>
      </c>
      <c r="Y1323" s="34" t="s">
        <v>3409</v>
      </c>
      <c r="Z1323" s="34">
        <v>1</v>
      </c>
      <c r="AA1323" s="34">
        <v>4395</v>
      </c>
      <c r="AB1323" s="34" t="s">
        <v>6803</v>
      </c>
      <c r="AC1323" s="34">
        <v>4150</v>
      </c>
      <c r="AD1323" s="34" t="s">
        <v>6094</v>
      </c>
      <c r="AE1323" s="34" t="s">
        <v>6781</v>
      </c>
      <c r="AF1323" s="34" t="s">
        <v>4608</v>
      </c>
      <c r="AG1323" s="34" t="s">
        <v>4325</v>
      </c>
      <c r="AH1323" s="34" t="s">
        <v>6804</v>
      </c>
      <c r="AI1323" s="34" t="s">
        <v>5306</v>
      </c>
      <c r="AJ1323" s="34" t="s">
        <v>6805</v>
      </c>
      <c r="AK1323" s="34" t="s">
        <v>4371</v>
      </c>
      <c r="AL1323" s="34" t="s">
        <v>4732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7" t="str">
        <f>IFERROR(INDEX(Структура_ассортимента[SuperCategory],MATCH(Товары[[#This Row],[SubGroup]],Структура_ассортимента[Subgroup],0)),"")</f>
        <v>W</v>
      </c>
      <c r="D13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7" t="str">
        <f>IFERROR(INDEX(Структура_ассортимента[Product group],MATCH(Товары[[#This Row],[SubGroup]],Структура_ассортимента[Subgroup],0)),"")</f>
        <v>WMT_C</v>
      </c>
      <c r="G132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2865</v>
      </c>
      <c r="Q1324" s="39" t="s">
        <v>3416</v>
      </c>
      <c r="R1324" s="34" t="s">
        <v>3407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3410</v>
      </c>
      <c r="X1324" s="34" t="s">
        <v>3446</v>
      </c>
      <c r="Y1324" s="34" t="s">
        <v>3409</v>
      </c>
      <c r="Z1324" s="34">
        <v>1</v>
      </c>
      <c r="AA1324" s="34">
        <v>12195</v>
      </c>
      <c r="AB1324" s="34" t="s">
        <v>6806</v>
      </c>
      <c r="AC1324" s="34">
        <v>10830</v>
      </c>
      <c r="AD1324" s="34" t="s">
        <v>3877</v>
      </c>
      <c r="AE1324" s="34" t="s">
        <v>3884</v>
      </c>
      <c r="AF1324" s="34" t="s">
        <v>4069</v>
      </c>
      <c r="AG1324" s="34" t="s">
        <v>5227</v>
      </c>
      <c r="AH1324" s="34" t="s">
        <v>6807</v>
      </c>
      <c r="AL1324" s="34" t="s">
        <v>3886</v>
      </c>
      <c r="AM1324" s="34" t="s">
        <v>7962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7" t="str">
        <f>IFERROR(INDEX(Структура_ассортимента[SuperCategory],MATCH(Товары[[#This Row],[SubGroup]],Структура_ассортимента[Subgroup],0)),"")</f>
        <v>W</v>
      </c>
      <c r="D13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7" t="str">
        <f>IFERROR(INDEX(Структура_ассортимента[Product group],MATCH(Товары[[#This Row],[SubGroup]],Структура_ассортимента[Subgroup],0)),"")</f>
        <v>WMT_C</v>
      </c>
      <c r="G132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2866</v>
      </c>
      <c r="Q1325" s="39" t="s">
        <v>3416</v>
      </c>
      <c r="R1325" s="34" t="s">
        <v>3407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3410</v>
      </c>
      <c r="X1325" s="34" t="s">
        <v>3446</v>
      </c>
      <c r="Y1325" s="34" t="s">
        <v>3409</v>
      </c>
      <c r="Z1325" s="34">
        <v>1</v>
      </c>
      <c r="AB1325" s="34" t="s">
        <v>6808</v>
      </c>
      <c r="AD1325" s="34" t="s">
        <v>3877</v>
      </c>
      <c r="AE1325" s="34" t="s">
        <v>3884</v>
      </c>
      <c r="AF1325" s="34" t="s">
        <v>4069</v>
      </c>
      <c r="AG1325" s="34" t="s">
        <v>5227</v>
      </c>
      <c r="AH1325" s="34" t="s">
        <v>6807</v>
      </c>
      <c r="AL1325" s="34" t="s">
        <v>3886</v>
      </c>
      <c r="AM1325" s="34" t="s">
        <v>7962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7" t="str">
        <f>IFERROR(INDEX(Структура_ассортимента[SuperCategory],MATCH(Товары[[#This Row],[SubGroup]],Структура_ассортимента[Subgroup],0)),"")</f>
        <v>W</v>
      </c>
      <c r="D13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7" t="str">
        <f>IFERROR(INDEX(Структура_ассортимента[Product group],MATCH(Товары[[#This Row],[SubGroup]],Структура_ассортимента[Subgroup],0)),"")</f>
        <v>WMT_C</v>
      </c>
      <c r="G132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2867</v>
      </c>
      <c r="Q1326" s="39" t="s">
        <v>3416</v>
      </c>
      <c r="R1326" s="34" t="s">
        <v>3407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3410</v>
      </c>
      <c r="X1326" s="34" t="s">
        <v>3446</v>
      </c>
      <c r="Y1326" s="34" t="s">
        <v>3409</v>
      </c>
      <c r="Z1326" s="34">
        <v>1</v>
      </c>
      <c r="AB1326" s="34" t="s">
        <v>6809</v>
      </c>
      <c r="AD1326" s="34" t="s">
        <v>6795</v>
      </c>
      <c r="AE1326" s="34" t="s">
        <v>3884</v>
      </c>
      <c r="AF1326" s="34" t="s">
        <v>4069</v>
      </c>
      <c r="AG1326" s="34" t="s">
        <v>5227</v>
      </c>
      <c r="AH1326" s="34" t="s">
        <v>6807</v>
      </c>
      <c r="AL1326" s="34" t="s">
        <v>3886</v>
      </c>
      <c r="AM1326" s="34" t="s">
        <v>7962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7" t="str">
        <f>IFERROR(INDEX(Структура_ассортимента[SuperCategory],MATCH(Товары[[#This Row],[SubGroup]],Структура_ассортимента[Subgroup],0)),"")</f>
        <v>W</v>
      </c>
      <c r="D13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7" t="str">
        <f>IFERROR(INDEX(Структура_ассортимента[Product group],MATCH(Товары[[#This Row],[SubGroup]],Структура_ассортимента[Subgroup],0)),"")</f>
        <v>WMT_C</v>
      </c>
      <c r="G132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2868</v>
      </c>
      <c r="Q1327" s="39" t="s">
        <v>3416</v>
      </c>
      <c r="R1327" s="34" t="s">
        <v>3407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3410</v>
      </c>
      <c r="X1327" s="34" t="s">
        <v>3446</v>
      </c>
      <c r="Y1327" s="34" t="s">
        <v>3409</v>
      </c>
      <c r="Z1327" s="34">
        <v>1</v>
      </c>
      <c r="AA1327" s="34">
        <v>6990</v>
      </c>
      <c r="AB1327" s="34" t="s">
        <v>6810</v>
      </c>
      <c r="AC1327" s="34">
        <v>6382</v>
      </c>
      <c r="AD1327" s="34" t="s">
        <v>6811</v>
      </c>
      <c r="AE1327" s="34" t="s">
        <v>3884</v>
      </c>
      <c r="AF1327" s="34" t="s">
        <v>4069</v>
      </c>
      <c r="AG1327" s="34" t="s">
        <v>5227</v>
      </c>
      <c r="AH1327" s="34" t="s">
        <v>6796</v>
      </c>
      <c r="AL1327" s="34" t="s">
        <v>3886</v>
      </c>
      <c r="AM1327" s="34" t="s">
        <v>7962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7" t="str">
        <f>IFERROR(INDEX(Структура_ассортимента[SuperCategory],MATCH(Товары[[#This Row],[SubGroup]],Структура_ассортимента[Subgroup],0)),"")</f>
        <v>W</v>
      </c>
      <c r="D13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7" t="str">
        <f>IFERROR(INDEX(Структура_ассортимента[Product group],MATCH(Товары[[#This Row],[SubGroup]],Структура_ассортимента[Subgroup],0)),"")</f>
        <v>WMT_C</v>
      </c>
      <c r="G132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2869</v>
      </c>
      <c r="Q1328" s="39" t="s">
        <v>3416</v>
      </c>
      <c r="R1328" s="34" t="s">
        <v>3407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3410</v>
      </c>
      <c r="X1328" s="34" t="s">
        <v>3446</v>
      </c>
      <c r="Y1328" s="34" t="s">
        <v>3409</v>
      </c>
      <c r="Z1328" s="34">
        <v>1</v>
      </c>
      <c r="AA1328" s="34">
        <v>0</v>
      </c>
      <c r="AB1328" s="34" t="s">
        <v>6812</v>
      </c>
      <c r="AC1328" s="34">
        <v>0</v>
      </c>
      <c r="AD1328" s="34" t="s">
        <v>6795</v>
      </c>
      <c r="AE1328" s="34" t="s">
        <v>3884</v>
      </c>
      <c r="AF1328" s="34" t="s">
        <v>4069</v>
      </c>
      <c r="AG1328" s="34" t="s">
        <v>5227</v>
      </c>
      <c r="AH1328" s="34" t="s">
        <v>6807</v>
      </c>
      <c r="AL1328" s="34" t="s">
        <v>3886</v>
      </c>
      <c r="AM1328" s="34" t="s">
        <v>7962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7" t="str">
        <f>IFERROR(INDEX(Структура_ассортимента[SuperCategory],MATCH(Товары[[#This Row],[SubGroup]],Структура_ассортимента[Subgroup],0)),"")</f>
        <v>W</v>
      </c>
      <c r="D13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7" t="str">
        <f>IFERROR(INDEX(Структура_ассортимента[Product group],MATCH(Товары[[#This Row],[SubGroup]],Структура_ассортимента[Subgroup],0)),"")</f>
        <v>WMT_C</v>
      </c>
      <c r="G132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2870</v>
      </c>
      <c r="O1329" s="37" t="s">
        <v>6813</v>
      </c>
      <c r="P1329" s="37" t="s">
        <v>6814</v>
      </c>
      <c r="Q1329" s="39" t="s">
        <v>3416</v>
      </c>
      <c r="R1329" s="34" t="s">
        <v>3407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3410</v>
      </c>
      <c r="X1329" s="34" t="s">
        <v>3446</v>
      </c>
      <c r="Y1329" s="34" t="s">
        <v>3409</v>
      </c>
      <c r="Z1329" s="34">
        <v>2</v>
      </c>
      <c r="AB1329" s="34" t="s">
        <v>6815</v>
      </c>
      <c r="AD1329" s="34" t="s">
        <v>6816</v>
      </c>
      <c r="AE1329" s="34" t="s">
        <v>6817</v>
      </c>
      <c r="AF1329" s="34" t="s">
        <v>3589</v>
      </c>
      <c r="AG1329" s="34" t="s">
        <v>4449</v>
      </c>
      <c r="AH1329" s="34" t="s">
        <v>6796</v>
      </c>
      <c r="AI1329" s="34" t="s">
        <v>5633</v>
      </c>
      <c r="AJ1329" s="34" t="s">
        <v>3554</v>
      </c>
      <c r="AK1329" s="34" t="s">
        <v>6721</v>
      </c>
      <c r="AL1329" s="34" t="s">
        <v>3725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7" t="str">
        <f>IFERROR(INDEX(Структура_ассортимента[SuperCategory],MATCH(Товары[[#This Row],[SubGroup]],Структура_ассортимента[Subgroup],0)),"")</f>
        <v>W</v>
      </c>
      <c r="D13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7" t="str">
        <f>IFERROR(INDEX(Структура_ассортимента[Product group],MATCH(Товары[[#This Row],[SubGroup]],Структура_ассортимента[Subgroup],0)),"")</f>
        <v>WMT_C</v>
      </c>
      <c r="G133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2871</v>
      </c>
      <c r="O1330" s="37" t="s">
        <v>6813</v>
      </c>
      <c r="P1330" s="37" t="s">
        <v>6818</v>
      </c>
      <c r="Q1330" s="39" t="s">
        <v>3416</v>
      </c>
      <c r="R1330" s="34" t="s">
        <v>3407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3410</v>
      </c>
      <c r="X1330" s="34" t="s">
        <v>3446</v>
      </c>
      <c r="Y1330" s="34" t="s">
        <v>3409</v>
      </c>
      <c r="Z1330" s="34">
        <v>2</v>
      </c>
      <c r="AB1330" s="34" t="s">
        <v>6819</v>
      </c>
      <c r="AD1330" s="34" t="s">
        <v>6140</v>
      </c>
      <c r="AE1330" s="34" t="s">
        <v>3639</v>
      </c>
      <c r="AF1330" s="34" t="s">
        <v>3589</v>
      </c>
      <c r="AG1330" s="34" t="s">
        <v>3880</v>
      </c>
      <c r="AH1330" s="34" t="s">
        <v>6796</v>
      </c>
      <c r="AI1330" s="34" t="s">
        <v>5633</v>
      </c>
      <c r="AJ1330" s="34" t="s">
        <v>3554</v>
      </c>
      <c r="AK1330" s="34" t="s">
        <v>6721</v>
      </c>
      <c r="AL1330" s="34" t="s">
        <v>3725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7" t="str">
        <f>IFERROR(INDEX(Структура_ассортимента[SuperCategory],MATCH(Товары[[#This Row],[SubGroup]],Структура_ассортимента[Subgroup],0)),"")</f>
        <v>W</v>
      </c>
      <c r="D13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7" t="str">
        <f>IFERROR(INDEX(Структура_ассортимента[Product group],MATCH(Товары[[#This Row],[SubGroup]],Структура_ассортимента[Subgroup],0)),"")</f>
        <v>WMT_C</v>
      </c>
      <c r="G133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2872</v>
      </c>
      <c r="O1331" s="37" t="s">
        <v>6820</v>
      </c>
      <c r="P1331" s="37" t="s">
        <v>6821</v>
      </c>
      <c r="Q1331" s="39" t="s">
        <v>3416</v>
      </c>
      <c r="R1331" s="34" t="s">
        <v>3407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3410</v>
      </c>
      <c r="X1331" s="34" t="s">
        <v>3446</v>
      </c>
      <c r="Y1331" s="34" t="s">
        <v>3409</v>
      </c>
      <c r="Z1331" s="34">
        <v>2</v>
      </c>
      <c r="AB1331" s="34" t="s">
        <v>6822</v>
      </c>
      <c r="AD1331" s="34" t="s">
        <v>6823</v>
      </c>
      <c r="AE1331" s="34" t="s">
        <v>3639</v>
      </c>
      <c r="AF1331" s="34" t="s">
        <v>3589</v>
      </c>
      <c r="AG1331" s="34" t="s">
        <v>3880</v>
      </c>
      <c r="AH1331" s="34" t="s">
        <v>6796</v>
      </c>
      <c r="AI1331" s="34" t="s">
        <v>5633</v>
      </c>
      <c r="AJ1331" s="34" t="s">
        <v>3554</v>
      </c>
      <c r="AK1331" s="34" t="s">
        <v>6721</v>
      </c>
      <c r="AL1331" s="34" t="s">
        <v>3725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7" t="str">
        <f>IFERROR(INDEX(Структура_ассортимента[SuperCategory],MATCH(Товары[[#This Row],[SubGroup]],Структура_ассортимента[Subgroup],0)),"")</f>
        <v>W</v>
      </c>
      <c r="D13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7" t="str">
        <f>IFERROR(INDEX(Структура_ассортимента[Product group],MATCH(Товары[[#This Row],[SubGroup]],Структура_ассортимента[Subgroup],0)),"")</f>
        <v>WMT_C</v>
      </c>
      <c r="G133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2873</v>
      </c>
      <c r="Q1332" s="39" t="s">
        <v>3416</v>
      </c>
      <c r="R1332" s="34" t="s">
        <v>3407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3410</v>
      </c>
      <c r="X1332" s="34" t="s">
        <v>3446</v>
      </c>
      <c r="Y1332" s="34" t="s">
        <v>3409</v>
      </c>
      <c r="Z1332" s="34">
        <v>2</v>
      </c>
      <c r="AB1332" s="34" t="s">
        <v>6824</v>
      </c>
      <c r="AD1332" s="34" t="s">
        <v>6825</v>
      </c>
      <c r="AE1332" s="34" t="s">
        <v>3639</v>
      </c>
      <c r="AF1332" s="34" t="s">
        <v>3589</v>
      </c>
      <c r="AG1332" s="34" t="s">
        <v>3880</v>
      </c>
      <c r="AH1332" s="34" t="s">
        <v>6796</v>
      </c>
      <c r="AI1332" s="34" t="s">
        <v>5633</v>
      </c>
      <c r="AJ1332" s="34" t="s">
        <v>3554</v>
      </c>
      <c r="AK1332" s="34" t="s">
        <v>6721</v>
      </c>
      <c r="AL1332" s="34" t="s">
        <v>3725</v>
      </c>
      <c r="AM1332" s="34" t="s">
        <v>7962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7" t="str">
        <f>IFERROR(INDEX(Структура_ассортимента[SuperCategory],MATCH(Товары[[#This Row],[SubGroup]],Структура_ассортимента[Subgroup],0)),"")</f>
        <v>W</v>
      </c>
      <c r="D13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7" t="str">
        <f>IFERROR(INDEX(Структура_ассортимента[Product group],MATCH(Товары[[#This Row],[SubGroup]],Структура_ассортимента[Subgroup],0)),"")</f>
        <v>WMT_C</v>
      </c>
      <c r="G133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2874</v>
      </c>
      <c r="O1333" s="37" t="s">
        <v>6826</v>
      </c>
      <c r="P1333" s="37" t="s">
        <v>6827</v>
      </c>
      <c r="Q1333" s="39" t="s">
        <v>3416</v>
      </c>
      <c r="R1333" s="34" t="s">
        <v>3407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3410</v>
      </c>
      <c r="X1333" s="34" t="s">
        <v>3446</v>
      </c>
      <c r="Y1333" s="34" t="s">
        <v>3409</v>
      </c>
      <c r="Z1333" s="34">
        <v>1</v>
      </c>
      <c r="AB1333" s="34" t="s">
        <v>6828</v>
      </c>
      <c r="AD1333" s="34" t="s">
        <v>6829</v>
      </c>
      <c r="AE1333" s="34" t="s">
        <v>3884</v>
      </c>
      <c r="AF1333" s="34" t="s">
        <v>4069</v>
      </c>
      <c r="AG1333" s="34" t="s">
        <v>5227</v>
      </c>
      <c r="AH1333" s="34" t="s">
        <v>6807</v>
      </c>
      <c r="AI1333" s="34" t="s">
        <v>5633</v>
      </c>
      <c r="AJ1333" s="34" t="s">
        <v>3554</v>
      </c>
      <c r="AK1333" s="34" t="s">
        <v>6721</v>
      </c>
      <c r="AL1333" s="34" t="s">
        <v>3886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7" t="str">
        <f>IFERROR(INDEX(Структура_ассортимента[SuperCategory],MATCH(Товары[[#This Row],[SubGroup]],Структура_ассортимента[Subgroup],0)),"")</f>
        <v>W</v>
      </c>
      <c r="D13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7" t="str">
        <f>IFERROR(INDEX(Структура_ассортимента[Product group],MATCH(Товары[[#This Row],[SubGroup]],Структура_ассортимента[Subgroup],0)),"")</f>
        <v>WMT_C</v>
      </c>
      <c r="G133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2875</v>
      </c>
      <c r="O1334" s="37" t="s">
        <v>6830</v>
      </c>
      <c r="P1334" s="37" t="s">
        <v>6831</v>
      </c>
      <c r="Q1334" s="39" t="s">
        <v>3416</v>
      </c>
      <c r="R1334" s="34" t="s">
        <v>3407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3410</v>
      </c>
      <c r="X1334" s="34" t="s">
        <v>3446</v>
      </c>
      <c r="Y1334" s="34" t="s">
        <v>3409</v>
      </c>
      <c r="Z1334" s="34">
        <v>1</v>
      </c>
      <c r="AB1334" s="34" t="s">
        <v>6832</v>
      </c>
      <c r="AD1334" s="34" t="s">
        <v>6833</v>
      </c>
      <c r="AE1334" s="34" t="s">
        <v>3884</v>
      </c>
      <c r="AF1334" s="34" t="s">
        <v>4069</v>
      </c>
      <c r="AG1334" s="34" t="s">
        <v>5227</v>
      </c>
      <c r="AH1334" s="34" t="s">
        <v>6807</v>
      </c>
      <c r="AI1334" s="34" t="s">
        <v>5633</v>
      </c>
      <c r="AJ1334" s="34" t="s">
        <v>3554</v>
      </c>
      <c r="AK1334" s="34" t="s">
        <v>6721</v>
      </c>
      <c r="AL1334" s="34" t="s">
        <v>3886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7" t="str">
        <f>IFERROR(INDEX(Структура_ассортимента[SuperCategory],MATCH(Товары[[#This Row],[SubGroup]],Структура_ассортимента[Subgroup],0)),"")</f>
        <v>W</v>
      </c>
      <c r="D13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7" t="str">
        <f>IFERROR(INDEX(Структура_ассортимента[Product group],MATCH(Товары[[#This Row],[SubGroup]],Структура_ассортимента[Subgroup],0)),"")</f>
        <v>WMT_C</v>
      </c>
      <c r="G133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2876</v>
      </c>
      <c r="Q1335" s="39" t="s">
        <v>3580</v>
      </c>
      <c r="R1335" s="34" t="s">
        <v>3407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3410</v>
      </c>
      <c r="Y1335" s="34" t="s">
        <v>3409</v>
      </c>
      <c r="Z1335" s="34">
        <v>2</v>
      </c>
      <c r="AB1335" s="34" t="s">
        <v>6834</v>
      </c>
      <c r="AD1335" s="34" t="s">
        <v>6835</v>
      </c>
      <c r="AE1335" s="34" t="s">
        <v>3639</v>
      </c>
      <c r="AF1335" s="34" t="s">
        <v>3589</v>
      </c>
      <c r="AG1335" s="34" t="s">
        <v>3880</v>
      </c>
      <c r="AH1335" s="34" t="s">
        <v>6796</v>
      </c>
      <c r="AI1335" s="34" t="s">
        <v>5633</v>
      </c>
      <c r="AJ1335" s="34" t="s">
        <v>3554</v>
      </c>
      <c r="AK1335" s="34" t="s">
        <v>6721</v>
      </c>
      <c r="AL1335" s="34" t="s">
        <v>3725</v>
      </c>
      <c r="AM1335" s="34" t="s">
        <v>7961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7" t="str">
        <f>IFERROR(INDEX(Структура_ассортимента[SuperCategory],MATCH(Товары[[#This Row],[SubGroup]],Структура_ассортимента[Subgroup],0)),"")</f>
        <v>W</v>
      </c>
      <c r="D13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7" t="str">
        <f>IFERROR(INDEX(Структура_ассортимента[Product group],MATCH(Товары[[#This Row],[SubGroup]],Структура_ассортимента[Subgroup],0)),"")</f>
        <v>WMT_C</v>
      </c>
      <c r="G133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2877</v>
      </c>
      <c r="Q1336" s="39" t="s">
        <v>3416</v>
      </c>
      <c r="R1336" s="34" t="s">
        <v>3407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3410</v>
      </c>
      <c r="X1336" s="34" t="s">
        <v>3446</v>
      </c>
      <c r="Y1336" s="34" t="s">
        <v>3409</v>
      </c>
      <c r="Z1336" s="34">
        <v>1</v>
      </c>
      <c r="AB1336" s="34" t="s">
        <v>6836</v>
      </c>
      <c r="AD1336" s="34" t="s">
        <v>6837</v>
      </c>
      <c r="AE1336" s="34" t="s">
        <v>3884</v>
      </c>
      <c r="AF1336" s="34" t="s">
        <v>4069</v>
      </c>
      <c r="AG1336" s="34" t="s">
        <v>5227</v>
      </c>
      <c r="AH1336" s="34" t="s">
        <v>6807</v>
      </c>
      <c r="AI1336" s="34" t="s">
        <v>5633</v>
      </c>
      <c r="AJ1336" s="34" t="s">
        <v>3554</v>
      </c>
      <c r="AK1336" s="34" t="s">
        <v>6721</v>
      </c>
      <c r="AL1336" s="34" t="s">
        <v>3886</v>
      </c>
      <c r="AM1336" s="34" t="s">
        <v>7962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7" t="str">
        <f>IFERROR(INDEX(Структура_ассортимента[SuperCategory],MATCH(Товары[[#This Row],[SubGroup]],Структура_ассортимента[Subgroup],0)),"")</f>
        <v>W</v>
      </c>
      <c r="D13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7" t="str">
        <f>IFERROR(INDEX(Структура_ассортимента[Product group],MATCH(Товары[[#This Row],[SubGroup]],Структура_ассортимента[Subgroup],0)),"")</f>
        <v>WMT_C</v>
      </c>
      <c r="G133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2878</v>
      </c>
      <c r="Q1337" s="39" t="s">
        <v>3416</v>
      </c>
      <c r="R1337" s="34" t="s">
        <v>3407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3410</v>
      </c>
      <c r="X1337" s="34" t="s">
        <v>3446</v>
      </c>
      <c r="Y1337" s="34" t="s">
        <v>3409</v>
      </c>
      <c r="Z1337" s="34">
        <v>1</v>
      </c>
      <c r="AB1337" s="34" t="s">
        <v>6828</v>
      </c>
      <c r="AD1337" s="34" t="s">
        <v>6838</v>
      </c>
      <c r="AE1337" s="34" t="s">
        <v>3884</v>
      </c>
      <c r="AF1337" s="34" t="s">
        <v>4069</v>
      </c>
      <c r="AG1337" s="34" t="s">
        <v>5227</v>
      </c>
      <c r="AH1337" s="34" t="s">
        <v>6807</v>
      </c>
      <c r="AL1337" s="34" t="s">
        <v>3886</v>
      </c>
      <c r="AM1337" s="34" t="s">
        <v>7962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7" t="str">
        <f>IFERROR(INDEX(Структура_ассортимента[SuperCategory],MATCH(Товары[[#This Row],[SubGroup]],Структура_ассортимента[Subgroup],0)),"")</f>
        <v>W</v>
      </c>
      <c r="D13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7" t="str">
        <f>IFERROR(INDEX(Структура_ассортимента[Product group],MATCH(Товары[[#This Row],[SubGroup]],Структура_ассортимента[Subgroup],0)),"")</f>
        <v>WMT_C</v>
      </c>
      <c r="G133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2879</v>
      </c>
      <c r="Q1338" s="39" t="s">
        <v>3416</v>
      </c>
      <c r="R1338" s="34" t="s">
        <v>3407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3803</v>
      </c>
      <c r="X1338" s="34" t="s">
        <v>3446</v>
      </c>
      <c r="Y1338" s="34" t="s">
        <v>3409</v>
      </c>
      <c r="Z1338" s="34">
        <v>5</v>
      </c>
      <c r="AA1338" s="34" t="s">
        <v>5898</v>
      </c>
      <c r="AB1338" s="34" t="s">
        <v>5898</v>
      </c>
      <c r="AC1338" s="34" t="s">
        <v>4369</v>
      </c>
      <c r="AD1338" s="34" t="s">
        <v>4369</v>
      </c>
      <c r="AE1338" s="34" t="s">
        <v>3457</v>
      </c>
      <c r="AF1338" s="34" t="s">
        <v>4124</v>
      </c>
      <c r="AG1338" s="34" t="s">
        <v>4366</v>
      </c>
      <c r="AH1338" s="34" t="s">
        <v>6839</v>
      </c>
      <c r="AI1338" s="34" t="s">
        <v>3457</v>
      </c>
      <c r="AJ1338" s="34" t="s">
        <v>4124</v>
      </c>
      <c r="AK1338" s="34" t="s">
        <v>3560</v>
      </c>
      <c r="AL1338" s="34">
        <v>90</v>
      </c>
      <c r="AM1338" s="34" t="s">
        <v>7962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7" t="str">
        <f>IFERROR(INDEX(Структура_ассортимента[SuperCategory],MATCH(Товары[[#This Row],[SubGroup]],Структура_ассортимента[Subgroup],0)),"")</f>
        <v>W</v>
      </c>
      <c r="D13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7" t="str">
        <f>IFERROR(INDEX(Структура_ассортимента[Product group],MATCH(Товары[[#This Row],[SubGroup]],Структура_ассортимента[Subgroup],0)),"")</f>
        <v>WMT_C</v>
      </c>
      <c r="G133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2880</v>
      </c>
      <c r="Q1339" s="39" t="s">
        <v>3416</v>
      </c>
      <c r="R1339" s="34" t="s">
        <v>3407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3413</v>
      </c>
      <c r="X1339" s="34" t="s">
        <v>3571</v>
      </c>
      <c r="Y1339" s="34" t="s">
        <v>3409</v>
      </c>
      <c r="Z1339" s="34">
        <v>1</v>
      </c>
      <c r="AA1339" s="34" t="s">
        <v>6105</v>
      </c>
      <c r="AB1339" s="34" t="s">
        <v>6105</v>
      </c>
      <c r="AC1339" s="34" t="s">
        <v>5314</v>
      </c>
      <c r="AD1339" s="34" t="s">
        <v>5314</v>
      </c>
      <c r="AE1339" s="34" t="s">
        <v>3589</v>
      </c>
      <c r="AF1339" s="34" t="s">
        <v>3745</v>
      </c>
      <c r="AG1339" s="34" t="s">
        <v>3779</v>
      </c>
      <c r="AH1339" s="34" t="s">
        <v>6840</v>
      </c>
      <c r="AL1339" s="34">
        <v>22</v>
      </c>
      <c r="AM1339" s="34" t="s">
        <v>7962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7" t="str">
        <f>IFERROR(INDEX(Структура_ассортимента[SuperCategory],MATCH(Товары[[#This Row],[SubGroup]],Структура_ассортимента[Subgroup],0)),"")</f>
        <v>W</v>
      </c>
      <c r="D13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7" t="str">
        <f>IFERROR(INDEX(Структура_ассортимента[Product group],MATCH(Товары[[#This Row],[SubGroup]],Структура_ассортимента[Subgroup],0)),"")</f>
        <v>WMT_C</v>
      </c>
      <c r="G134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2881</v>
      </c>
      <c r="Q1340" s="39" t="s">
        <v>3416</v>
      </c>
      <c r="R1340" s="34" t="s">
        <v>3407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3410</v>
      </c>
      <c r="X1340" s="34" t="s">
        <v>3446</v>
      </c>
      <c r="Y1340" s="34" t="s">
        <v>3409</v>
      </c>
      <c r="Z1340" s="34">
        <v>12</v>
      </c>
      <c r="AA1340" s="34" t="s">
        <v>6841</v>
      </c>
      <c r="AB1340" s="34" t="s">
        <v>6841</v>
      </c>
      <c r="AC1340" s="34" t="s">
        <v>6842</v>
      </c>
      <c r="AD1340" s="34" t="s">
        <v>6842</v>
      </c>
      <c r="AE1340" s="34" t="s">
        <v>3724</v>
      </c>
      <c r="AF1340" s="34" t="s">
        <v>3724</v>
      </c>
      <c r="AG1340" s="34" t="s">
        <v>4608</v>
      </c>
      <c r="AH1340" s="34" t="s">
        <v>6843</v>
      </c>
      <c r="AL1340" s="34">
        <v>12</v>
      </c>
      <c r="AM1340" s="34" t="s">
        <v>7962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7" t="str">
        <f>IFERROR(INDEX(Структура_ассортимента[SuperCategory],MATCH(Товары[[#This Row],[SubGroup]],Структура_ассортимента[Subgroup],0)),"")</f>
        <v>W</v>
      </c>
      <c r="D13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7" t="str">
        <f>IFERROR(INDEX(Структура_ассортимента[Product group],MATCH(Товары[[#This Row],[SubGroup]],Структура_ассортимента[Subgroup],0)),"")</f>
        <v>WMT_C</v>
      </c>
      <c r="G134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2882</v>
      </c>
      <c r="Q1341" s="39" t="s">
        <v>3416</v>
      </c>
      <c r="R1341" s="34" t="s">
        <v>3407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3410</v>
      </c>
      <c r="X1341" s="34" t="s">
        <v>3446</v>
      </c>
      <c r="Y1341" s="34" t="s">
        <v>3409</v>
      </c>
      <c r="Z1341" s="34">
        <v>12</v>
      </c>
      <c r="AB1341" s="34" t="s">
        <v>5601</v>
      </c>
      <c r="AD1341" s="34" t="s">
        <v>4725</v>
      </c>
      <c r="AE1341" s="34" t="s">
        <v>3724</v>
      </c>
      <c r="AF1341" s="34" t="s">
        <v>3724</v>
      </c>
      <c r="AG1341" s="34" t="s">
        <v>4608</v>
      </c>
      <c r="AH1341" s="34" t="s">
        <v>6843</v>
      </c>
      <c r="AL1341" s="34" t="s">
        <v>3484</v>
      </c>
      <c r="AM1341" s="34" t="s">
        <v>7962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7" t="str">
        <f>IFERROR(INDEX(Структура_ассортимента[SuperCategory],MATCH(Товары[[#This Row],[SubGroup]],Структура_ассортимента[Subgroup],0)),"")</f>
        <v>W</v>
      </c>
      <c r="D13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7" t="str">
        <f>IFERROR(INDEX(Структура_ассортимента[Product group],MATCH(Товары[[#This Row],[SubGroup]],Структура_ассортимента[Subgroup],0)),"")</f>
        <v>WMT_C</v>
      </c>
      <c r="G134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2883</v>
      </c>
      <c r="Q1342" s="39" t="s">
        <v>3519</v>
      </c>
      <c r="R1342" s="34" t="s">
        <v>3407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3413</v>
      </c>
      <c r="X1342" s="34" t="s">
        <v>3571</v>
      </c>
      <c r="Y1342" s="34" t="s">
        <v>3409</v>
      </c>
      <c r="Z1342" s="34">
        <v>1</v>
      </c>
      <c r="AA1342" s="34" t="s">
        <v>5274</v>
      </c>
      <c r="AB1342" s="34" t="s">
        <v>5274</v>
      </c>
      <c r="AC1342" s="34" t="s">
        <v>6844</v>
      </c>
      <c r="AD1342" s="34" t="s">
        <v>6845</v>
      </c>
      <c r="AE1342" s="34" t="s">
        <v>3719</v>
      </c>
      <c r="AF1342" s="34" t="s">
        <v>3854</v>
      </c>
      <c r="AG1342" s="34" t="s">
        <v>4407</v>
      </c>
      <c r="AH1342" s="34" t="s">
        <v>6846</v>
      </c>
      <c r="AI1342" s="34" t="s">
        <v>6847</v>
      </c>
      <c r="AJ1342" s="34" t="s">
        <v>3724</v>
      </c>
      <c r="AK1342" s="34" t="s">
        <v>6848</v>
      </c>
      <c r="AL1342" s="34" t="s">
        <v>4732</v>
      </c>
      <c r="AM1342" s="34" t="s">
        <v>7962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7" t="str">
        <f>IFERROR(INDEX(Структура_ассортимента[SuperCategory],MATCH(Товары[[#This Row],[SubGroup]],Структура_ассортимента[Subgroup],0)),"")</f>
        <v>W</v>
      </c>
      <c r="D13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7" t="str">
        <f>IFERROR(INDEX(Структура_ассортимента[Product group],MATCH(Товары[[#This Row],[SubGroup]],Структура_ассортимента[Subgroup],0)),"")</f>
        <v>WMT_C</v>
      </c>
      <c r="G134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2884</v>
      </c>
      <c r="O1343" s="37" t="s">
        <v>6849</v>
      </c>
      <c r="P1343" s="37" t="s">
        <v>6850</v>
      </c>
      <c r="Q1343" s="39" t="s">
        <v>3519</v>
      </c>
      <c r="R1343" s="34" t="s">
        <v>3407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3413</v>
      </c>
      <c r="X1343" s="34" t="s">
        <v>6851</v>
      </c>
      <c r="Y1343" s="34" t="s">
        <v>3409</v>
      </c>
      <c r="Z1343" s="34">
        <v>1</v>
      </c>
      <c r="AA1343" s="34" t="s">
        <v>6852</v>
      </c>
      <c r="AB1343" s="34" t="s">
        <v>6852</v>
      </c>
      <c r="AC1343" s="34" t="s">
        <v>5677</v>
      </c>
      <c r="AD1343" s="34" t="s">
        <v>5677</v>
      </c>
      <c r="AE1343" s="34" t="s">
        <v>6853</v>
      </c>
      <c r="AF1343" s="34" t="s">
        <v>5152</v>
      </c>
      <c r="AG1343" s="34" t="s">
        <v>4133</v>
      </c>
      <c r="AH1343" s="34" t="s">
        <v>6854</v>
      </c>
      <c r="AI1343" s="34" t="s">
        <v>4100</v>
      </c>
      <c r="AJ1343" s="34" t="s">
        <v>6855</v>
      </c>
      <c r="AK1343" s="34" t="s">
        <v>4176</v>
      </c>
      <c r="AL1343" s="34" t="s">
        <v>3484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7" t="str">
        <f>IFERROR(INDEX(Структура_ассортимента[SuperCategory],MATCH(Товары[[#This Row],[SubGroup]],Структура_ассортимента[Subgroup],0)),"")</f>
        <v>W</v>
      </c>
      <c r="D13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7" t="str">
        <f>IFERROR(INDEX(Структура_ассортимента[Product group],MATCH(Товары[[#This Row],[SubGroup]],Структура_ассортимента[Subgroup],0)),"")</f>
        <v>WMT_C</v>
      </c>
      <c r="G134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2885</v>
      </c>
      <c r="O1344" s="37" t="s">
        <v>6856</v>
      </c>
      <c r="P1344" s="37" t="s">
        <v>6857</v>
      </c>
      <c r="Q1344" s="39" t="s">
        <v>3519</v>
      </c>
      <c r="R1344" s="34" t="s">
        <v>3407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3413</v>
      </c>
      <c r="X1344" s="34" t="s">
        <v>6851</v>
      </c>
      <c r="Y1344" s="34" t="s">
        <v>3409</v>
      </c>
      <c r="Z1344" s="34">
        <v>1</v>
      </c>
      <c r="AA1344" s="34" t="s">
        <v>5677</v>
      </c>
      <c r="AB1344" s="34" t="s">
        <v>5720</v>
      </c>
      <c r="AC1344" s="34" t="s">
        <v>5655</v>
      </c>
      <c r="AD1344" s="34" t="s">
        <v>6858</v>
      </c>
      <c r="AE1344" s="34" t="s">
        <v>6853</v>
      </c>
      <c r="AF1344" s="34" t="s">
        <v>5152</v>
      </c>
      <c r="AG1344" s="34" t="s">
        <v>4133</v>
      </c>
      <c r="AH1344" s="34" t="s">
        <v>6854</v>
      </c>
      <c r="AI1344" s="34" t="s">
        <v>4100</v>
      </c>
      <c r="AJ1344" s="34" t="s">
        <v>6855</v>
      </c>
      <c r="AK1344" s="34" t="s">
        <v>4176</v>
      </c>
      <c r="AL1344" s="34" t="s">
        <v>3484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7" t="str">
        <f>IFERROR(INDEX(Структура_ассортимента[SuperCategory],MATCH(Товары[[#This Row],[SubGroup]],Структура_ассортимента[Subgroup],0)),"")</f>
        <v>W</v>
      </c>
      <c r="D13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7" t="str">
        <f>IFERROR(INDEX(Структура_ассортимента[Product group],MATCH(Товары[[#This Row],[SubGroup]],Структура_ассортимента[Subgroup],0)),"")</f>
        <v>WMT_C</v>
      </c>
      <c r="G134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2886</v>
      </c>
      <c r="Q1345" s="39" t="s">
        <v>3519</v>
      </c>
      <c r="R1345" s="34" t="s">
        <v>3407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3413</v>
      </c>
      <c r="X1345" s="34" t="s">
        <v>6851</v>
      </c>
      <c r="Y1345" s="34" t="s">
        <v>3409</v>
      </c>
      <c r="Z1345" s="34">
        <v>1</v>
      </c>
      <c r="AB1345" s="34" t="s">
        <v>5720</v>
      </c>
      <c r="AD1345" s="34" t="s">
        <v>6858</v>
      </c>
      <c r="AE1345" s="34" t="s">
        <v>6853</v>
      </c>
      <c r="AF1345" s="34" t="s">
        <v>5152</v>
      </c>
      <c r="AG1345" s="34" t="s">
        <v>4133</v>
      </c>
      <c r="AH1345" s="34" t="s">
        <v>6854</v>
      </c>
      <c r="AL1345" s="34" t="s">
        <v>3525</v>
      </c>
      <c r="AM1345" s="34" t="s">
        <v>7962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7" t="str">
        <f>IFERROR(INDEX(Структура_ассортимента[SuperCategory],MATCH(Товары[[#This Row],[SubGroup]],Структура_ассортимента[Subgroup],0)),"")</f>
        <v>W</v>
      </c>
      <c r="D13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7" t="str">
        <f>IFERROR(INDEX(Структура_ассортимента[Product group],MATCH(Товары[[#This Row],[SubGroup]],Структура_ассортимента[Subgroup],0)),"")</f>
        <v>WMT_C</v>
      </c>
      <c r="G134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2887</v>
      </c>
      <c r="Q1346" s="39" t="s">
        <v>3580</v>
      </c>
      <c r="R1346" s="34" t="s">
        <v>3407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3413</v>
      </c>
      <c r="Y1346" s="34" t="s">
        <v>3409</v>
      </c>
      <c r="Z1346" s="34">
        <v>1</v>
      </c>
      <c r="AA1346" s="34" t="s">
        <v>5675</v>
      </c>
      <c r="AB1346" s="34" t="s">
        <v>5675</v>
      </c>
      <c r="AC1346" s="34" t="s">
        <v>5632</v>
      </c>
      <c r="AD1346" s="34" t="s">
        <v>5632</v>
      </c>
      <c r="AE1346" s="34" t="s">
        <v>6853</v>
      </c>
      <c r="AF1346" s="34" t="s">
        <v>5152</v>
      </c>
      <c r="AG1346" s="34" t="s">
        <v>4133</v>
      </c>
      <c r="AH1346" s="34" t="s">
        <v>6854</v>
      </c>
      <c r="AL1346" s="34" t="s">
        <v>3484</v>
      </c>
      <c r="AM1346" s="34" t="s">
        <v>7961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7" t="str">
        <f>IFERROR(INDEX(Структура_ассортимента[SuperCategory],MATCH(Товары[[#This Row],[SubGroup]],Структура_ассортимента[Subgroup],0)),"")</f>
        <v>W</v>
      </c>
      <c r="D13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7" t="str">
        <f>IFERROR(INDEX(Структура_ассортимента[Product group],MATCH(Товары[[#This Row],[SubGroup]],Структура_ассортимента[Subgroup],0)),"")</f>
        <v>WMT_C</v>
      </c>
      <c r="G134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2888</v>
      </c>
      <c r="O1347" s="37" t="s">
        <v>6859</v>
      </c>
      <c r="P1347" s="37" t="s">
        <v>6860</v>
      </c>
      <c r="Q1347" s="39" t="s">
        <v>3416</v>
      </c>
      <c r="R1347" s="34" t="s">
        <v>3407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3803</v>
      </c>
      <c r="X1347" s="34" t="s">
        <v>3446</v>
      </c>
      <c r="Y1347" s="34" t="s">
        <v>3409</v>
      </c>
      <c r="Z1347" s="34">
        <v>10</v>
      </c>
      <c r="AA1347" s="34" t="s">
        <v>4771</v>
      </c>
      <c r="AB1347" s="34" t="s">
        <v>6861</v>
      </c>
      <c r="AC1347" s="34" t="s">
        <v>6861</v>
      </c>
      <c r="AD1347" s="34" t="s">
        <v>3873</v>
      </c>
      <c r="AE1347" s="34" t="s">
        <v>6590</v>
      </c>
      <c r="AF1347" s="34" t="s">
        <v>4366</v>
      </c>
      <c r="AG1347" s="34" t="s">
        <v>6367</v>
      </c>
      <c r="AH1347" s="34" t="s">
        <v>6862</v>
      </c>
      <c r="AI1347" s="34" t="s">
        <v>6590</v>
      </c>
      <c r="AJ1347" s="34" t="s">
        <v>6367</v>
      </c>
      <c r="AK1347" s="34" t="s">
        <v>4251</v>
      </c>
      <c r="AL1347" s="34" t="s">
        <v>3614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7" t="str">
        <f>IFERROR(INDEX(Структура_ассортимента[SuperCategory],MATCH(Товары[[#This Row],[SubGroup]],Структура_ассортимента[Subgroup],0)),"")</f>
        <v>W</v>
      </c>
      <c r="D13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7" t="str">
        <f>IFERROR(INDEX(Структура_ассортимента[Product group],MATCH(Товары[[#This Row],[SubGroup]],Структура_ассортимента[Subgroup],0)),"")</f>
        <v>WMT_C</v>
      </c>
      <c r="G134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2889</v>
      </c>
      <c r="O1348" s="37" t="s">
        <v>6863</v>
      </c>
      <c r="P1348" s="37" t="s">
        <v>6864</v>
      </c>
      <c r="Q1348" s="39" t="s">
        <v>3519</v>
      </c>
      <c r="R1348" s="34" t="s">
        <v>3407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3413</v>
      </c>
      <c r="X1348" s="34" t="s">
        <v>3571</v>
      </c>
      <c r="Y1348" s="34" t="s">
        <v>3409</v>
      </c>
      <c r="Z1348" s="34">
        <v>1</v>
      </c>
      <c r="AA1348" s="34">
        <v>8193</v>
      </c>
      <c r="AB1348" s="34" t="s">
        <v>5274</v>
      </c>
      <c r="AC1348" s="34">
        <v>6500</v>
      </c>
      <c r="AD1348" s="34" t="s">
        <v>6865</v>
      </c>
      <c r="AE1348" s="34" t="s">
        <v>4570</v>
      </c>
      <c r="AF1348" s="34" t="s">
        <v>3854</v>
      </c>
      <c r="AG1348" s="34" t="s">
        <v>4407</v>
      </c>
      <c r="AH1348" s="34" t="s">
        <v>6866</v>
      </c>
      <c r="AI1348" s="34" t="s">
        <v>6847</v>
      </c>
      <c r="AJ1348" s="34" t="s">
        <v>3724</v>
      </c>
      <c r="AK1348" s="34" t="s">
        <v>6848</v>
      </c>
      <c r="AL1348" s="34" t="s">
        <v>4732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7" t="str">
        <f>IFERROR(INDEX(Структура_ассортимента[SuperCategory],MATCH(Товары[[#This Row],[SubGroup]],Структура_ассортимента[Subgroup],0)),"")</f>
        <v>W</v>
      </c>
      <c r="D13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7" t="str">
        <f>IFERROR(INDEX(Структура_ассортимента[Product group],MATCH(Товары[[#This Row],[SubGroup]],Структура_ассортимента[Subgroup],0)),"")</f>
        <v>WMT_C</v>
      </c>
      <c r="G134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2890</v>
      </c>
      <c r="Q1349" s="39" t="s">
        <v>3519</v>
      </c>
      <c r="R1349" s="34" t="s">
        <v>3407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3414</v>
      </c>
      <c r="X1349" s="34" t="s">
        <v>3571</v>
      </c>
      <c r="Y1349" s="34" t="s">
        <v>3409</v>
      </c>
      <c r="Z1349" s="34">
        <v>1</v>
      </c>
      <c r="AB1349" s="34" t="s">
        <v>5274</v>
      </c>
      <c r="AD1349" s="34" t="s">
        <v>6867</v>
      </c>
      <c r="AE1349" s="34" t="s">
        <v>4570</v>
      </c>
      <c r="AF1349" s="34" t="s">
        <v>3854</v>
      </c>
      <c r="AG1349" s="34" t="s">
        <v>4407</v>
      </c>
      <c r="AH1349" s="34" t="s">
        <v>6866</v>
      </c>
      <c r="AL1349" s="34" t="s">
        <v>4732</v>
      </c>
      <c r="AM1349" s="34" t="s">
        <v>7962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7" t="str">
        <f>IFERROR(INDEX(Структура_ассортимента[SuperCategory],MATCH(Товары[[#This Row],[SubGroup]],Структура_ассортимента[Subgroup],0)),"")</f>
        <v>W</v>
      </c>
      <c r="D13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7" t="str">
        <f>IFERROR(INDEX(Структура_ассортимента[Product group],MATCH(Товары[[#This Row],[SubGroup]],Структура_ассортимента[Subgroup],0)),"")</f>
        <v>WMT_C</v>
      </c>
      <c r="G135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2891</v>
      </c>
      <c r="O1350" s="37" t="s">
        <v>6868</v>
      </c>
      <c r="P1350" s="37" t="s">
        <v>6869</v>
      </c>
      <c r="Q1350" s="39" t="s">
        <v>3519</v>
      </c>
      <c r="R1350" s="34" t="s">
        <v>3407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3413</v>
      </c>
      <c r="X1350" s="34" t="s">
        <v>6851</v>
      </c>
      <c r="Y1350" s="34" t="s">
        <v>3409</v>
      </c>
      <c r="Z1350" s="34">
        <v>1</v>
      </c>
      <c r="AB1350" s="34" t="s">
        <v>6870</v>
      </c>
      <c r="AD1350" s="34" t="s">
        <v>6871</v>
      </c>
      <c r="AE1350" s="34" t="s">
        <v>6853</v>
      </c>
      <c r="AF1350" s="34" t="s">
        <v>5152</v>
      </c>
      <c r="AG1350" s="34" t="s">
        <v>4133</v>
      </c>
      <c r="AH1350" s="34" t="s">
        <v>6854</v>
      </c>
      <c r="AL1350" s="34" t="s">
        <v>3525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7" t="str">
        <f>IFERROR(INDEX(Структура_ассортимента[SuperCategory],MATCH(Товары[[#This Row],[SubGroup]],Структура_ассортимента[Subgroup],0)),"")</f>
        <v>W</v>
      </c>
      <c r="D13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7" t="str">
        <f>IFERROR(INDEX(Структура_ассортимента[Product group],MATCH(Товары[[#This Row],[SubGroup]],Структура_ассортимента[Subgroup],0)),"")</f>
        <v>WMT_C</v>
      </c>
      <c r="G135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2892</v>
      </c>
      <c r="O1351" s="37" t="s">
        <v>6868</v>
      </c>
      <c r="P1351" s="37" t="s">
        <v>6872</v>
      </c>
      <c r="Q1351" s="39" t="s">
        <v>3519</v>
      </c>
      <c r="R1351" s="34" t="s">
        <v>3407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3413</v>
      </c>
      <c r="X1351" s="34" t="s">
        <v>6851</v>
      </c>
      <c r="Y1351" s="34" t="s">
        <v>3409</v>
      </c>
      <c r="Z1351" s="34">
        <v>1</v>
      </c>
      <c r="AB1351" s="34" t="s">
        <v>6873</v>
      </c>
      <c r="AD1351" s="34" t="s">
        <v>6871</v>
      </c>
      <c r="AE1351" s="34" t="s">
        <v>6853</v>
      </c>
      <c r="AF1351" s="34" t="s">
        <v>5152</v>
      </c>
      <c r="AG1351" s="34" t="s">
        <v>4133</v>
      </c>
      <c r="AH1351" s="34" t="s">
        <v>6854</v>
      </c>
      <c r="AL1351" s="34" t="s">
        <v>3484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7" t="str">
        <f>IFERROR(INDEX(Структура_ассортимента[SuperCategory],MATCH(Товары[[#This Row],[SubGroup]],Структура_ассортимента[Subgroup],0)),"")</f>
        <v>W</v>
      </c>
      <c r="D13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7" t="str">
        <f>IFERROR(INDEX(Структура_ассортимента[Product group],MATCH(Товары[[#This Row],[SubGroup]],Структура_ассортимента[Subgroup],0)),"")</f>
        <v>WMT_C</v>
      </c>
      <c r="G135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2893</v>
      </c>
      <c r="Q1352" s="39" t="s">
        <v>3416</v>
      </c>
      <c r="R1352" s="34" t="s">
        <v>3407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3410</v>
      </c>
      <c r="X1352" s="34" t="s">
        <v>3571</v>
      </c>
      <c r="Y1352" s="34" t="s">
        <v>3409</v>
      </c>
      <c r="Z1352" s="34">
        <v>12</v>
      </c>
      <c r="AA1352" s="34" t="s">
        <v>6874</v>
      </c>
      <c r="AB1352" s="34" t="s">
        <v>6037</v>
      </c>
      <c r="AC1352" s="34" t="s">
        <v>6077</v>
      </c>
      <c r="AD1352" s="34" t="s">
        <v>5349</v>
      </c>
      <c r="AE1352" s="34" t="s">
        <v>4069</v>
      </c>
      <c r="AF1352" s="34" t="s">
        <v>3589</v>
      </c>
      <c r="AG1352" s="34" t="s">
        <v>3589</v>
      </c>
      <c r="AH1352" s="34" t="s">
        <v>6875</v>
      </c>
      <c r="AL1352" s="34" t="s">
        <v>3484</v>
      </c>
      <c r="AM1352" s="34" t="s">
        <v>7962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7" t="str">
        <f>IFERROR(INDEX(Структура_ассортимента[SuperCategory],MATCH(Товары[[#This Row],[SubGroup]],Структура_ассортимента[Subgroup],0)),"")</f>
        <v>W</v>
      </c>
      <c r="D13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7" t="str">
        <f>IFERROR(INDEX(Структура_ассортимента[Product group],MATCH(Товары[[#This Row],[SubGroup]],Структура_ассортимента[Subgroup],0)),"")</f>
        <v>WMT_C</v>
      </c>
      <c r="G135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2894</v>
      </c>
      <c r="Q1353" s="39" t="s">
        <v>3519</v>
      </c>
      <c r="R1353" s="34" t="s">
        <v>3407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3413</v>
      </c>
      <c r="X1353" s="34" t="s">
        <v>6851</v>
      </c>
      <c r="Y1353" s="34" t="s">
        <v>3409</v>
      </c>
      <c r="Z1353" s="34">
        <v>1</v>
      </c>
      <c r="AB1353" s="34" t="s">
        <v>6852</v>
      </c>
      <c r="AD1353" s="34" t="s">
        <v>5677</v>
      </c>
      <c r="AE1353" s="34" t="s">
        <v>6853</v>
      </c>
      <c r="AF1353" s="34" t="s">
        <v>5152</v>
      </c>
      <c r="AG1353" s="34" t="s">
        <v>4133</v>
      </c>
      <c r="AH1353" s="34" t="s">
        <v>6854</v>
      </c>
      <c r="AM1353" s="34" t="s">
        <v>7962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7" t="str">
        <f>IFERROR(INDEX(Структура_ассортимента[SuperCategory],MATCH(Товары[[#This Row],[SubGroup]],Структура_ассортимента[Subgroup],0)),"")</f>
        <v>W</v>
      </c>
      <c r="D13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7" t="str">
        <f>IFERROR(INDEX(Структура_ассортимента[Product group],MATCH(Товары[[#This Row],[SubGroup]],Структура_ассортимента[Subgroup],0)),"")</f>
        <v>WMT_C</v>
      </c>
      <c r="G135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2895</v>
      </c>
      <c r="Q1354" s="39" t="s">
        <v>3416</v>
      </c>
      <c r="R1354" s="34" t="s">
        <v>3407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3410</v>
      </c>
      <c r="X1354" s="34" t="s">
        <v>3446</v>
      </c>
      <c r="Y1354" s="34" t="s">
        <v>3409</v>
      </c>
      <c r="Z1354" s="34">
        <v>6</v>
      </c>
      <c r="AB1354" s="34" t="s">
        <v>6773</v>
      </c>
      <c r="AD1354" s="34" t="s">
        <v>5368</v>
      </c>
      <c r="AE1354" s="34" t="s">
        <v>4915</v>
      </c>
      <c r="AF1354" s="34" t="s">
        <v>4449</v>
      </c>
      <c r="AG1354" s="34" t="s">
        <v>4608</v>
      </c>
      <c r="AH1354" s="34" t="s">
        <v>6774</v>
      </c>
      <c r="AL1354" s="34" t="s">
        <v>3484</v>
      </c>
      <c r="AM1354" s="34" t="s">
        <v>7962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7" t="str">
        <f>IFERROR(INDEX(Структура_ассортимента[SuperCategory],MATCH(Товары[[#This Row],[SubGroup]],Структура_ассортимента[Subgroup],0)),"")</f>
        <v>W</v>
      </c>
      <c r="D13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7" t="str">
        <f>IFERROR(INDEX(Структура_ассортимента[Product group],MATCH(Товары[[#This Row],[SubGroup]],Структура_ассортимента[Subgroup],0)),"")</f>
        <v>WMT_C</v>
      </c>
      <c r="G135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2896</v>
      </c>
      <c r="Q1355" s="39" t="s">
        <v>3416</v>
      </c>
      <c r="R1355" s="34" t="s">
        <v>3407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3410</v>
      </c>
      <c r="X1355" s="34" t="s">
        <v>3446</v>
      </c>
      <c r="Y1355" s="34" t="s">
        <v>3409</v>
      </c>
      <c r="Z1355" s="34">
        <v>1</v>
      </c>
      <c r="AM1355" s="34" t="s">
        <v>7962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7" t="str">
        <f>IFERROR(INDEX(Структура_ассортимента[SuperCategory],MATCH(Товары[[#This Row],[SubGroup]],Структура_ассортимента[Subgroup],0)),"")</f>
        <v>W</v>
      </c>
      <c r="D13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7" t="str">
        <f>IFERROR(INDEX(Структура_ассортимента[Product group],MATCH(Товары[[#This Row],[SubGroup]],Структура_ассортимента[Subgroup],0)),"")</f>
        <v>WMT_C</v>
      </c>
      <c r="G135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2897</v>
      </c>
      <c r="O1356" s="37" t="s">
        <v>6876</v>
      </c>
      <c r="P1356" s="37" t="s">
        <v>6877</v>
      </c>
      <c r="Q1356" s="39" t="s">
        <v>3416</v>
      </c>
      <c r="R1356" s="34" t="s">
        <v>3407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3414</v>
      </c>
      <c r="Y1356" s="34" t="s">
        <v>3409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7" t="str">
        <f>IFERROR(INDEX(Структура_ассортимента[SuperCategory],MATCH(Товары[[#This Row],[SubGroup]],Структура_ассортимента[Subgroup],0)),"")</f>
        <v>W</v>
      </c>
      <c r="D13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7" t="str">
        <f>IFERROR(INDEX(Структура_ассортимента[Product group],MATCH(Товары[[#This Row],[SubGroup]],Структура_ассортимента[Subgroup],0)),"")</f>
        <v>WMT_C</v>
      </c>
      <c r="G135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2898</v>
      </c>
      <c r="O1357" s="37" t="s">
        <v>6876</v>
      </c>
      <c r="P1357" s="37" t="s">
        <v>6878</v>
      </c>
      <c r="Q1357" s="39" t="s">
        <v>3416</v>
      </c>
      <c r="R1357" s="34" t="s">
        <v>3407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3414</v>
      </c>
      <c r="Y1357" s="34" t="s">
        <v>3409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7" t="str">
        <f>IFERROR(INDEX(Структура_ассортимента[SuperCategory],MATCH(Товары[[#This Row],[SubGroup]],Структура_ассортимента[Subgroup],0)),"")</f>
        <v>W</v>
      </c>
      <c r="D13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7" t="str">
        <f>IFERROR(INDEX(Структура_ассортимента[Product group],MATCH(Товары[[#This Row],[SubGroup]],Структура_ассортимента[Subgroup],0)),"")</f>
        <v>WMT_C</v>
      </c>
      <c r="G135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2899</v>
      </c>
      <c r="O1358" s="37" t="s">
        <v>6879</v>
      </c>
      <c r="P1358" s="37" t="s">
        <v>6880</v>
      </c>
      <c r="Q1358" s="39" t="s">
        <v>3416</v>
      </c>
      <c r="R1358" s="34" t="s">
        <v>3407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3414</v>
      </c>
      <c r="Y1358" s="34" t="s">
        <v>3409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7" t="str">
        <f>IFERROR(INDEX(Структура_ассортимента[SuperCategory],MATCH(Товары[[#This Row],[SubGroup]],Структура_ассортимента[Subgroup],0)),"")</f>
        <v>W</v>
      </c>
      <c r="D13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7" t="str">
        <f>IFERROR(INDEX(Структура_ассортимента[Product group],MATCH(Товары[[#This Row],[SubGroup]],Структура_ассортимента[Subgroup],0)),"")</f>
        <v>WMT_C</v>
      </c>
      <c r="G135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2900</v>
      </c>
      <c r="O1359" s="37" t="s">
        <v>6879</v>
      </c>
      <c r="P1359" s="37" t="s">
        <v>6881</v>
      </c>
      <c r="Q1359" s="39" t="s">
        <v>3416</v>
      </c>
      <c r="R1359" s="34" t="s">
        <v>3407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3414</v>
      </c>
      <c r="Y1359" s="34" t="s">
        <v>3409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7" t="str">
        <f>IFERROR(INDEX(Структура_ассортимента[SuperCategory],MATCH(Товары[[#This Row],[SubGroup]],Структура_ассортимента[Subgroup],0)),"")</f>
        <v>W</v>
      </c>
      <c r="D13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7" t="str">
        <f>IFERROR(INDEX(Структура_ассортимента[Product group],MATCH(Товары[[#This Row],[SubGroup]],Структура_ассортимента[Subgroup],0)),"")</f>
        <v>WMT_C</v>
      </c>
      <c r="G1360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2901</v>
      </c>
      <c r="O1360" s="37" t="s">
        <v>6882</v>
      </c>
      <c r="P1360" s="37" t="s">
        <v>6883</v>
      </c>
      <c r="Q1360" s="39" t="s">
        <v>3416</v>
      </c>
      <c r="R1360" s="34" t="s">
        <v>3407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3414</v>
      </c>
      <c r="Y1360" s="34" t="s">
        <v>3409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7" t="str">
        <f>IFERROR(INDEX(Структура_ассортимента[SuperCategory],MATCH(Товары[[#This Row],[SubGroup]],Структура_ассортимента[Subgroup],0)),"")</f>
        <v>W</v>
      </c>
      <c r="D13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7" t="str">
        <f>IFERROR(INDEX(Структура_ассортимента[Product group],MATCH(Товары[[#This Row],[SubGroup]],Структура_ассортимента[Subgroup],0)),"")</f>
        <v>WMT_C</v>
      </c>
      <c r="G1361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2902</v>
      </c>
      <c r="O1361" s="37" t="s">
        <v>6882</v>
      </c>
      <c r="P1361" s="37" t="s">
        <v>6884</v>
      </c>
      <c r="Q1361" s="39" t="s">
        <v>3416</v>
      </c>
      <c r="R1361" s="34" t="s">
        <v>3407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3414</v>
      </c>
      <c r="Y1361" s="34" t="s">
        <v>3409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7" t="str">
        <f>IFERROR(INDEX(Структура_ассортимента[SuperCategory],MATCH(Товары[[#This Row],[SubGroup]],Структура_ассортимента[Subgroup],0)),"")</f>
        <v>W</v>
      </c>
      <c r="D13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7" t="str">
        <f>IFERROR(INDEX(Структура_ассортимента[Product group],MATCH(Товары[[#This Row],[SubGroup]],Структура_ассортимента[Subgroup],0)),"")</f>
        <v>WMT_C</v>
      </c>
      <c r="G1362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2903</v>
      </c>
      <c r="O1362" s="37" t="s">
        <v>6885</v>
      </c>
      <c r="P1362" s="37" t="s">
        <v>6886</v>
      </c>
      <c r="Q1362" s="39" t="s">
        <v>3416</v>
      </c>
      <c r="R1362" s="34" t="s">
        <v>3407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3414</v>
      </c>
      <c r="Y1362" s="34" t="s">
        <v>3409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7" t="str">
        <f>IFERROR(INDEX(Структура_ассортимента[SuperCategory],MATCH(Товары[[#This Row],[SubGroup]],Структура_ассортимента[Subgroup],0)),"")</f>
        <v>W</v>
      </c>
      <c r="D13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7" t="str">
        <f>IFERROR(INDEX(Структура_ассортимента[Product group],MATCH(Товары[[#This Row],[SubGroup]],Структура_ассортимента[Subgroup],0)),"")</f>
        <v>WMT_C</v>
      </c>
      <c r="G1363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2904</v>
      </c>
      <c r="O1363" s="37" t="s">
        <v>6885</v>
      </c>
      <c r="P1363" s="37" t="s">
        <v>6887</v>
      </c>
      <c r="Q1363" s="39" t="s">
        <v>3416</v>
      </c>
      <c r="R1363" s="34" t="s">
        <v>3407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3414</v>
      </c>
      <c r="Y1363" s="34" t="s">
        <v>3409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7" t="str">
        <f>IFERROR(INDEX(Структура_ассортимента[SuperCategory],MATCH(Товары[[#This Row],[SubGroup]],Структура_ассортимента[Subgroup],0)),"")</f>
        <v>W</v>
      </c>
      <c r="D13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7" t="str">
        <f>IFERROR(INDEX(Структура_ассортимента[Product group],MATCH(Товары[[#This Row],[SubGroup]],Структура_ассортимента[Subgroup],0)),"")</f>
        <v>WMT_C</v>
      </c>
      <c r="G1364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2905</v>
      </c>
      <c r="O1364" s="37" t="s">
        <v>6888</v>
      </c>
      <c r="P1364" s="37" t="s">
        <v>6889</v>
      </c>
      <c r="Q1364" s="39" t="s">
        <v>3416</v>
      </c>
      <c r="R1364" s="34" t="s">
        <v>3407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3413</v>
      </c>
      <c r="Y1364" s="34" t="s">
        <v>3409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7" t="str">
        <f>IFERROR(INDEX(Структура_ассортимента[SuperCategory],MATCH(Товары[[#This Row],[SubGroup]],Структура_ассортимента[Subgroup],0)),"")</f>
        <v>W</v>
      </c>
      <c r="D13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7" t="str">
        <f>IFERROR(INDEX(Структура_ассортимента[Product group],MATCH(Товары[[#This Row],[SubGroup]],Структура_ассортимента[Subgroup],0)),"")</f>
        <v>WMT_C</v>
      </c>
      <c r="G1365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2906</v>
      </c>
      <c r="O1365" s="37" t="s">
        <v>6890</v>
      </c>
      <c r="P1365" s="37" t="s">
        <v>6891</v>
      </c>
      <c r="Q1365" s="39" t="s">
        <v>3416</v>
      </c>
      <c r="R1365" s="34" t="s">
        <v>3407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3413</v>
      </c>
      <c r="Y1365" s="34" t="s">
        <v>3409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7" t="str">
        <f>IFERROR(INDEX(Структура_ассортимента[SuperCategory],MATCH(Товары[[#This Row],[SubGroup]],Структура_ассортимента[Subgroup],0)),"")</f>
        <v>W</v>
      </c>
      <c r="D13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7" t="str">
        <f>IFERROR(INDEX(Структура_ассортимента[Product group],MATCH(Товары[[#This Row],[SubGroup]],Структура_ассортимента[Subgroup],0)),"")</f>
        <v>WMT_C</v>
      </c>
      <c r="G1366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2907</v>
      </c>
      <c r="O1366" s="37" t="s">
        <v>6892</v>
      </c>
      <c r="P1366" s="37" t="s">
        <v>6893</v>
      </c>
      <c r="Q1366" s="39" t="s">
        <v>3416</v>
      </c>
      <c r="R1366" s="34" t="s">
        <v>3407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3413</v>
      </c>
      <c r="Y1366" s="34" t="s">
        <v>3409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7" t="str">
        <f>IFERROR(INDEX(Структура_ассортимента[SuperCategory],MATCH(Товары[[#This Row],[SubGroup]],Структура_ассортимента[Subgroup],0)),"")</f>
        <v>W</v>
      </c>
      <c r="D13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7" t="str">
        <f>IFERROR(INDEX(Структура_ассортимента[Product group],MATCH(Товары[[#This Row],[SubGroup]],Структура_ассортимента[Subgroup],0)),"")</f>
        <v>WMT_C</v>
      </c>
      <c r="G1367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2908</v>
      </c>
      <c r="O1367" s="37" t="s">
        <v>6892</v>
      </c>
      <c r="P1367" s="37" t="s">
        <v>6894</v>
      </c>
      <c r="Q1367" s="39" t="s">
        <v>3416</v>
      </c>
      <c r="R1367" s="34" t="s">
        <v>3407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3413</v>
      </c>
      <c r="Y1367" s="34" t="s">
        <v>3409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7" t="str">
        <f>IFERROR(INDEX(Структура_ассортимента[SuperCategory],MATCH(Товары[[#This Row],[SubGroup]],Структура_ассортимента[Subgroup],0)),"")</f>
        <v>W</v>
      </c>
      <c r="D13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7" t="str">
        <f>IFERROR(INDEX(Структура_ассортимента[Product group],MATCH(Товары[[#This Row],[SubGroup]],Структура_ассортимента[Subgroup],0)),"")</f>
        <v>WMT_C</v>
      </c>
      <c r="G1368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2909</v>
      </c>
      <c r="O1368" s="37" t="s">
        <v>6895</v>
      </c>
      <c r="P1368" s="37" t="s">
        <v>6896</v>
      </c>
      <c r="Q1368" s="39" t="s">
        <v>3416</v>
      </c>
      <c r="R1368" s="34" t="s">
        <v>3407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3413</v>
      </c>
      <c r="Y1368" s="34" t="s">
        <v>3409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7" t="str">
        <f>IFERROR(INDEX(Структура_ассортимента[SuperCategory],MATCH(Товары[[#This Row],[SubGroup]],Структура_ассортимента[Subgroup],0)),"")</f>
        <v>W</v>
      </c>
      <c r="D13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7" t="str">
        <f>IFERROR(INDEX(Структура_ассортимента[Product group],MATCH(Товары[[#This Row],[SubGroup]],Структура_ассортимента[Subgroup],0)),"")</f>
        <v>WMT_C</v>
      </c>
      <c r="G1369" s="67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7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2910</v>
      </c>
      <c r="O1369" s="37" t="s">
        <v>6897</v>
      </c>
      <c r="P1369" s="37" t="s">
        <v>6898</v>
      </c>
      <c r="Q1369" s="39" t="s">
        <v>3416</v>
      </c>
      <c r="R1369" s="34" t="s">
        <v>3407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3413</v>
      </c>
      <c r="Y1369" s="34" t="s">
        <v>3409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7" t="str">
        <f>IFERROR(INDEX(Структура_ассортимента[SuperCategory],MATCH(Товары[[#This Row],[SubGroup]],Структура_ассортимента[Subgroup],0)),"")</f>
        <v>W</v>
      </c>
      <c r="D13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7" t="str">
        <f>IFERROR(INDEX(Структура_ассортимента[Product group],MATCH(Товары[[#This Row],[SubGroup]],Структура_ассортимента[Subgroup],0)),"")</f>
        <v>WPO_C</v>
      </c>
      <c r="G1370" s="67" t="str">
        <f>IFERROR(INDEX(Структура_ассортимента[Product group name ENG],MATCH(Товары[[#This Row],[SubGroup]],Структура_ассортимента[Subgroup],0)),"")</f>
        <v>Watering, Pond</v>
      </c>
      <c r="H1370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2911</v>
      </c>
      <c r="Q1370" s="39" t="s">
        <v>3416</v>
      </c>
      <c r="R1370" s="34" t="s">
        <v>3407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3417</v>
      </c>
      <c r="X1370" s="34" t="s">
        <v>6899</v>
      </c>
      <c r="Y1370" s="34" t="s">
        <v>5848</v>
      </c>
      <c r="Z1370" s="34">
        <v>25</v>
      </c>
      <c r="AA1370" s="34" t="s">
        <v>5939</v>
      </c>
      <c r="AB1370" s="34" t="s">
        <v>5939</v>
      </c>
      <c r="AC1370" s="34" t="s">
        <v>5942</v>
      </c>
      <c r="AD1370" s="34" t="s">
        <v>5942</v>
      </c>
      <c r="AE1370" s="34" t="s">
        <v>3623</v>
      </c>
      <c r="AF1370" s="34" t="s">
        <v>3791</v>
      </c>
      <c r="AG1370" s="34" t="s">
        <v>3791</v>
      </c>
      <c r="AH1370" s="34" t="s">
        <v>5568</v>
      </c>
      <c r="AL1370" s="34" t="s">
        <v>6900</v>
      </c>
      <c r="AM1370" s="34" t="s">
        <v>7962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7" t="str">
        <f>IFERROR(INDEX(Структура_ассортимента[SuperCategory],MATCH(Товары[[#This Row],[SubGroup]],Структура_ассортимента[Subgroup],0)),"")</f>
        <v>W</v>
      </c>
      <c r="D13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7" t="str">
        <f>IFERROR(INDEX(Структура_ассортимента[Product group],MATCH(Товары[[#This Row],[SubGroup]],Структура_ассортимента[Subgroup],0)),"")</f>
        <v>WPO_C</v>
      </c>
      <c r="G1371" s="67" t="str">
        <f>IFERROR(INDEX(Структура_ассортимента[Product group name ENG],MATCH(Товары[[#This Row],[SubGroup]],Структура_ассортимента[Subgroup],0)),"")</f>
        <v>Watering, Pond</v>
      </c>
      <c r="H1371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2912</v>
      </c>
      <c r="Q1371" s="39" t="s">
        <v>3416</v>
      </c>
      <c r="R1371" s="34" t="s">
        <v>3407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3417</v>
      </c>
      <c r="X1371" s="34" t="s">
        <v>6899</v>
      </c>
      <c r="Y1371" s="34" t="s">
        <v>5848</v>
      </c>
      <c r="Z1371" s="34">
        <v>25</v>
      </c>
      <c r="AA1371" s="34" t="s">
        <v>6640</v>
      </c>
      <c r="AB1371" s="34" t="s">
        <v>6640</v>
      </c>
      <c r="AC1371" s="34" t="s">
        <v>3958</v>
      </c>
      <c r="AD1371" s="34" t="s">
        <v>3958</v>
      </c>
      <c r="AE1371" s="34" t="s">
        <v>3623</v>
      </c>
      <c r="AF1371" s="34" t="s">
        <v>4993</v>
      </c>
      <c r="AG1371" s="34" t="s">
        <v>4993</v>
      </c>
      <c r="AH1371" s="34" t="s">
        <v>6097</v>
      </c>
      <c r="AL1371" s="34" t="s">
        <v>6901</v>
      </c>
      <c r="AM1371" s="34" t="s">
        <v>7962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7" t="str">
        <f>IFERROR(INDEX(Структура_ассортимента[SuperCategory],MATCH(Товары[[#This Row],[SubGroup]],Структура_ассортимента[Subgroup],0)),"")</f>
        <v>W</v>
      </c>
      <c r="D13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7" t="str">
        <f>IFERROR(INDEX(Структура_ассортимента[Product group],MATCH(Товары[[#This Row],[SubGroup]],Структура_ассортимента[Subgroup],0)),"")</f>
        <v>WPO_C</v>
      </c>
      <c r="G1372" s="67" t="str">
        <f>IFERROR(INDEX(Структура_ассортимента[Product group name ENG],MATCH(Товары[[#This Row],[SubGroup]],Структура_ассортимента[Subgroup],0)),"")</f>
        <v>Watering, Pond</v>
      </c>
      <c r="H1372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2913</v>
      </c>
      <c r="Q1372" s="39" t="s">
        <v>3416</v>
      </c>
      <c r="R1372" s="34" t="s">
        <v>3407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3417</v>
      </c>
      <c r="X1372" s="34" t="s">
        <v>6899</v>
      </c>
      <c r="Y1372" s="34" t="s">
        <v>5848</v>
      </c>
      <c r="Z1372" s="34">
        <v>25</v>
      </c>
      <c r="AA1372" s="34" t="s">
        <v>6902</v>
      </c>
      <c r="AB1372" s="34" t="s">
        <v>6902</v>
      </c>
      <c r="AC1372" s="34" t="s">
        <v>6029</v>
      </c>
      <c r="AD1372" s="34" t="s">
        <v>6029</v>
      </c>
      <c r="AE1372" s="34" t="s">
        <v>3623</v>
      </c>
      <c r="AF1372" s="34" t="s">
        <v>4642</v>
      </c>
      <c r="AG1372" s="34" t="s">
        <v>4642</v>
      </c>
      <c r="AH1372" s="34" t="s">
        <v>6903</v>
      </c>
      <c r="AL1372" s="34" t="s">
        <v>4871</v>
      </c>
      <c r="AM1372" s="34" t="s">
        <v>7962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7" t="str">
        <f>IFERROR(INDEX(Структура_ассортимента[SuperCategory],MATCH(Товары[[#This Row],[SubGroup]],Структура_ассортимента[Subgroup],0)),"")</f>
        <v>W</v>
      </c>
      <c r="D13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7" t="str">
        <f>IFERROR(INDEX(Структура_ассортимента[Product group],MATCH(Товары[[#This Row],[SubGroup]],Структура_ассортимента[Subgroup],0)),"")</f>
        <v>WPO_C</v>
      </c>
      <c r="G1373" s="67" t="str">
        <f>IFERROR(INDEX(Структура_ассортимента[Product group name ENG],MATCH(Товары[[#This Row],[SubGroup]],Структура_ассортимента[Subgroup],0)),"")</f>
        <v>Watering, Pond</v>
      </c>
      <c r="H1373" s="67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2914</v>
      </c>
      <c r="Q1373" s="39" t="s">
        <v>3416</v>
      </c>
      <c r="R1373" s="34" t="s">
        <v>3407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3417</v>
      </c>
      <c r="X1373" s="34" t="s">
        <v>6899</v>
      </c>
      <c r="Y1373" s="34" t="s">
        <v>5848</v>
      </c>
      <c r="Z1373" s="34">
        <v>20</v>
      </c>
      <c r="AA1373" s="34" t="s">
        <v>6904</v>
      </c>
      <c r="AB1373" s="34" t="s">
        <v>6904</v>
      </c>
      <c r="AC1373" s="34" t="s">
        <v>4032</v>
      </c>
      <c r="AD1373" s="34" t="s">
        <v>4032</v>
      </c>
      <c r="AE1373" s="34" t="s">
        <v>3623</v>
      </c>
      <c r="AF1373" s="34" t="s">
        <v>4299</v>
      </c>
      <c r="AG1373" s="34" t="s">
        <v>4299</v>
      </c>
      <c r="AH1373" s="34" t="s">
        <v>6905</v>
      </c>
      <c r="AL1373" s="34" t="s">
        <v>4043</v>
      </c>
      <c r="AM1373" s="34" t="s">
        <v>7962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7" t="str">
        <f>IFERROR(INDEX(Структура_ассортимента[SuperCategory],MATCH(Товары[[#This Row],[SubGroup]],Структура_ассортимента[Subgroup],0)),"")</f>
        <v>O</v>
      </c>
      <c r="D13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7" t="str">
        <f>IFERROR(INDEX(Структура_ассортимента[Product group],MATCH(Товары[[#This Row],[SubGroup]],Структура_ассортимента[Subgroup],0)),"")</f>
        <v>WPU_C</v>
      </c>
      <c r="G1374" s="67" t="str">
        <f>IFERROR(INDEX(Структура_ассортимента[Product group name ENG],MATCH(Товары[[#This Row],[SubGroup]],Структура_ассортимента[Subgroup],0)),"")</f>
        <v>Watering, Pumps</v>
      </c>
      <c r="H137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2915</v>
      </c>
      <c r="Q1374" s="39" t="s">
        <v>4432</v>
      </c>
      <c r="R1374" s="34" t="s">
        <v>3407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6906</v>
      </c>
      <c r="Y1374" s="34" t="s">
        <v>3409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7961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7" t="str">
        <f>IFERROR(INDEX(Структура_ассортимента[SuperCategory],MATCH(Товары[[#This Row],[SubGroup]],Структура_ассортимента[Subgroup],0)),"")</f>
        <v>O</v>
      </c>
      <c r="D13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7" t="str">
        <f>IFERROR(INDEX(Структура_ассортимента[Product group],MATCH(Товары[[#This Row],[SubGroup]],Структура_ассортимента[Subgroup],0)),"")</f>
        <v>WPU_C</v>
      </c>
      <c r="G1375" s="67" t="str">
        <f>IFERROR(INDEX(Структура_ассортимента[Product group name ENG],MATCH(Товары[[#This Row],[SubGroup]],Структура_ассортимента[Subgroup],0)),"")</f>
        <v>Watering, Pumps</v>
      </c>
      <c r="H1375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2916</v>
      </c>
      <c r="Q1375" s="39" t="s">
        <v>4432</v>
      </c>
      <c r="R1375" s="34" t="s">
        <v>3407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6906</v>
      </c>
      <c r="Y1375" s="34" t="s">
        <v>3409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7961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7" t="str">
        <f>IFERROR(INDEX(Структура_ассортимента[SuperCategory],MATCH(Товары[[#This Row],[SubGroup]],Структура_ассортимента[Subgroup],0)),"")</f>
        <v>O</v>
      </c>
      <c r="D13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7" t="str">
        <f>IFERROR(INDEX(Структура_ассортимента[Product group],MATCH(Товары[[#This Row],[SubGroup]],Структура_ассортимента[Subgroup],0)),"")</f>
        <v>WPU_C</v>
      </c>
      <c r="G1376" s="67" t="str">
        <f>IFERROR(INDEX(Структура_ассортимента[Product group name ENG],MATCH(Товары[[#This Row],[SubGroup]],Структура_ассортимента[Subgroup],0)),"")</f>
        <v>Watering, Pumps</v>
      </c>
      <c r="H137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2917</v>
      </c>
      <c r="Q1376" s="39" t="s">
        <v>3519</v>
      </c>
      <c r="R1376" s="34" t="s">
        <v>3407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3410</v>
      </c>
      <c r="X1376" s="34" t="s">
        <v>3418</v>
      </c>
      <c r="Y1376" s="34" t="s">
        <v>3409</v>
      </c>
      <c r="Z1376" s="34">
        <v>1</v>
      </c>
      <c r="AA1376" s="34" t="s">
        <v>6907</v>
      </c>
      <c r="AB1376" s="34" t="s">
        <v>5639</v>
      </c>
      <c r="AC1376" s="34" t="s">
        <v>6908</v>
      </c>
      <c r="AD1376" s="34" t="s">
        <v>6909</v>
      </c>
      <c r="AE1376" s="34" t="s">
        <v>6910</v>
      </c>
      <c r="AF1376" s="34" t="s">
        <v>6622</v>
      </c>
      <c r="AG1376" s="34" t="s">
        <v>5684</v>
      </c>
      <c r="AH1376" s="34" t="s">
        <v>6911</v>
      </c>
      <c r="AL1376" s="34" t="s">
        <v>3484</v>
      </c>
      <c r="AM1376" s="34" t="s">
        <v>7962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7" t="str">
        <f>IFERROR(INDEX(Структура_ассортимента[SuperCategory],MATCH(Товары[[#This Row],[SubGroup]],Структура_ассортимента[Subgroup],0)),"")</f>
        <v>O</v>
      </c>
      <c r="D13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7" t="str">
        <f>IFERROR(INDEX(Структура_ассортимента[Product group],MATCH(Товары[[#This Row],[SubGroup]],Структура_ассортимента[Subgroup],0)),"")</f>
        <v>WPU_C</v>
      </c>
      <c r="G1377" s="67" t="str">
        <f>IFERROR(INDEX(Структура_ассортимента[Product group name ENG],MATCH(Товары[[#This Row],[SubGroup]],Структура_ассортимента[Subgroup],0)),"")</f>
        <v>Watering, Pumps</v>
      </c>
      <c r="H137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2918</v>
      </c>
      <c r="P1377" s="37" t="s">
        <v>6912</v>
      </c>
      <c r="Q1377" s="39" t="s">
        <v>3580</v>
      </c>
      <c r="R1377" s="34" t="s">
        <v>3407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3417</v>
      </c>
      <c r="Y1377" s="34" t="s">
        <v>3409</v>
      </c>
      <c r="Z1377" s="34">
        <v>1</v>
      </c>
      <c r="AA1377" s="34" t="s">
        <v>6913</v>
      </c>
      <c r="AB1377" s="34" t="s">
        <v>6913</v>
      </c>
      <c r="AC1377" s="34" t="s">
        <v>6914</v>
      </c>
      <c r="AD1377" s="34" t="s">
        <v>6914</v>
      </c>
      <c r="AE1377" s="34" t="s">
        <v>6616</v>
      </c>
      <c r="AF1377" s="34" t="s">
        <v>3426</v>
      </c>
      <c r="AG1377" s="34" t="s">
        <v>5032</v>
      </c>
      <c r="AH1377" s="34" t="s">
        <v>6915</v>
      </c>
      <c r="AI1377" s="34" t="s">
        <v>3881</v>
      </c>
      <c r="AJ1377" s="34" t="s">
        <v>3797</v>
      </c>
      <c r="AK1377" s="34" t="s">
        <v>3529</v>
      </c>
      <c r="AL1377" s="34" t="s">
        <v>3886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7" t="str">
        <f>IFERROR(INDEX(Структура_ассортимента[SuperCategory],MATCH(Товары[[#This Row],[SubGroup]],Структура_ассортимента[Subgroup],0)),"")</f>
        <v>O</v>
      </c>
      <c r="D13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7" t="str">
        <f>IFERROR(INDEX(Структура_ассортимента[Product group],MATCH(Товары[[#This Row],[SubGroup]],Структура_ассортимента[Subgroup],0)),"")</f>
        <v>WPU_C</v>
      </c>
      <c r="G1378" s="67" t="str">
        <f>IFERROR(INDEX(Структура_ассортимента[Product group name ENG],MATCH(Товары[[#This Row],[SubGroup]],Структура_ассортимента[Subgroup],0)),"")</f>
        <v>Watering, Pumps</v>
      </c>
      <c r="H137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2919</v>
      </c>
      <c r="O1378" s="37" t="s">
        <v>6916</v>
      </c>
      <c r="P1378" s="37" t="s">
        <v>6917</v>
      </c>
      <c r="Q1378" s="39" t="s">
        <v>3416</v>
      </c>
      <c r="R1378" s="34" t="s">
        <v>3407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3410</v>
      </c>
      <c r="X1378" s="34" t="s">
        <v>3446</v>
      </c>
      <c r="Y1378" s="34" t="s">
        <v>3409</v>
      </c>
      <c r="Z1378" s="34">
        <v>1</v>
      </c>
      <c r="AA1378" s="34" t="s">
        <v>3503</v>
      </c>
      <c r="AB1378" s="34" t="s">
        <v>3503</v>
      </c>
      <c r="AC1378" s="34" t="s">
        <v>6657</v>
      </c>
      <c r="AD1378" s="34" t="s">
        <v>6657</v>
      </c>
      <c r="AE1378" s="34" t="s">
        <v>3589</v>
      </c>
      <c r="AF1378" s="34" t="s">
        <v>3589</v>
      </c>
      <c r="AG1378" s="34" t="s">
        <v>4526</v>
      </c>
      <c r="AH1378" s="34" t="s">
        <v>6918</v>
      </c>
      <c r="AL1378" s="34" t="s">
        <v>3697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7" t="str">
        <f>IFERROR(INDEX(Структура_ассортимента[SuperCategory],MATCH(Товары[[#This Row],[SubGroup]],Структура_ассортимента[Subgroup],0)),"")</f>
        <v>O</v>
      </c>
      <c r="D13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7" t="str">
        <f>IFERROR(INDEX(Структура_ассортимента[Product group],MATCH(Товары[[#This Row],[SubGroup]],Структура_ассортимента[Subgroup],0)),"")</f>
        <v>WPU_C</v>
      </c>
      <c r="G1379" s="67" t="str">
        <f>IFERROR(INDEX(Структура_ассортимента[Product group name ENG],MATCH(Товары[[#This Row],[SubGroup]],Структура_ассортимента[Subgroup],0)),"")</f>
        <v>Watering, Pumps</v>
      </c>
      <c r="H137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2920</v>
      </c>
      <c r="O1379" s="37" t="s">
        <v>6919</v>
      </c>
      <c r="P1379" s="37" t="s">
        <v>6920</v>
      </c>
      <c r="Q1379" s="39" t="s">
        <v>3416</v>
      </c>
      <c r="R1379" s="34" t="s">
        <v>3407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3417</v>
      </c>
      <c r="X1379" s="34" t="s">
        <v>3774</v>
      </c>
      <c r="Y1379" s="34" t="s">
        <v>5848</v>
      </c>
      <c r="Z1379" s="34">
        <v>50</v>
      </c>
      <c r="AA1379" s="34" t="s">
        <v>4026</v>
      </c>
      <c r="AB1379" s="34" t="s">
        <v>4026</v>
      </c>
      <c r="AC1379" s="34" t="s">
        <v>4267</v>
      </c>
      <c r="AD1379" s="34" t="s">
        <v>4267</v>
      </c>
      <c r="AE1379" s="34" t="s">
        <v>3623</v>
      </c>
      <c r="AF1379" s="34" t="s">
        <v>3667</v>
      </c>
      <c r="AG1379" s="34" t="s">
        <v>3667</v>
      </c>
      <c r="AH1379" s="34" t="s">
        <v>6921</v>
      </c>
      <c r="AL1379" s="34" t="s">
        <v>4876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7" t="str">
        <f>IFERROR(INDEX(Структура_ассортимента[SuperCategory],MATCH(Товары[[#This Row],[SubGroup]],Структура_ассортимента[Subgroup],0)),"")</f>
        <v>O</v>
      </c>
      <c r="D13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7" t="str">
        <f>IFERROR(INDEX(Структура_ассортимента[Product group],MATCH(Товары[[#This Row],[SubGroup]],Структура_ассортимента[Subgroup],0)),"")</f>
        <v>WPU_C</v>
      </c>
      <c r="G1380" s="67" t="str">
        <f>IFERROR(INDEX(Структура_ассортимента[Product group name ENG],MATCH(Товары[[#This Row],[SubGroup]],Структура_ассортимента[Subgroup],0)),"")</f>
        <v>Watering, Pumps</v>
      </c>
      <c r="H13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2921</v>
      </c>
      <c r="O1380" s="37" t="s">
        <v>6922</v>
      </c>
      <c r="P1380" s="37" t="s">
        <v>6923</v>
      </c>
      <c r="Q1380" s="39" t="s">
        <v>3416</v>
      </c>
      <c r="R1380" s="34" t="s">
        <v>3407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3417</v>
      </c>
      <c r="X1380" s="34" t="s">
        <v>3774</v>
      </c>
      <c r="Y1380" s="34" t="s">
        <v>5848</v>
      </c>
      <c r="Z1380" s="34">
        <v>45</v>
      </c>
      <c r="AA1380" s="34" t="s">
        <v>4364</v>
      </c>
      <c r="AB1380" s="34" t="s">
        <v>4364</v>
      </c>
      <c r="AC1380" s="34" t="s">
        <v>6016</v>
      </c>
      <c r="AD1380" s="34" t="s">
        <v>6016</v>
      </c>
      <c r="AE1380" s="34" t="s">
        <v>3623</v>
      </c>
      <c r="AF1380" s="34" t="s">
        <v>3668</v>
      </c>
      <c r="AG1380" s="34" t="s">
        <v>3668</v>
      </c>
      <c r="AH1380" s="34" t="s">
        <v>6924</v>
      </c>
      <c r="AL1380" s="34" t="s">
        <v>6925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7" t="str">
        <f>IFERROR(INDEX(Структура_ассортимента[SuperCategory],MATCH(Товары[[#This Row],[SubGroup]],Структура_ассортимента[Subgroup],0)),"")</f>
        <v>O</v>
      </c>
      <c r="D13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7" t="str">
        <f>IFERROR(INDEX(Структура_ассортимента[Product group],MATCH(Товары[[#This Row],[SubGroup]],Структура_ассортимента[Subgroup],0)),"")</f>
        <v>WPU_C</v>
      </c>
      <c r="G1381" s="67" t="str">
        <f>IFERROR(INDEX(Структура_ассортимента[Product group name ENG],MATCH(Товары[[#This Row],[SubGroup]],Структура_ассортимента[Subgroup],0)),"")</f>
        <v>Watering, Pumps</v>
      </c>
      <c r="H13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2922</v>
      </c>
      <c r="Q1381" s="39" t="s">
        <v>3416</v>
      </c>
      <c r="R1381" s="34" t="s">
        <v>3407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3417</v>
      </c>
      <c r="X1381" s="34" t="s">
        <v>3418</v>
      </c>
      <c r="Y1381" s="34" t="s">
        <v>3409</v>
      </c>
      <c r="Z1381" s="34">
        <v>5</v>
      </c>
      <c r="AA1381" s="34" t="s">
        <v>5915</v>
      </c>
      <c r="AB1381" s="34" t="s">
        <v>5915</v>
      </c>
      <c r="AC1381" s="34" t="s">
        <v>3521</v>
      </c>
      <c r="AD1381" s="34" t="s">
        <v>3521</v>
      </c>
      <c r="AE1381" s="34" t="s">
        <v>3578</v>
      </c>
      <c r="AF1381" s="34" t="s">
        <v>4218</v>
      </c>
      <c r="AG1381" s="34" t="s">
        <v>3539</v>
      </c>
      <c r="AH1381" s="34" t="s">
        <v>6926</v>
      </c>
      <c r="AL1381" s="34" t="s">
        <v>6927</v>
      </c>
      <c r="AM1381" s="34" t="s">
        <v>7962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7" t="str">
        <f>IFERROR(INDEX(Структура_ассортимента[SuperCategory],MATCH(Товары[[#This Row],[SubGroup]],Структура_ассортимента[Subgroup],0)),"")</f>
        <v>O</v>
      </c>
      <c r="D13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7" t="str">
        <f>IFERROR(INDEX(Структура_ассортимента[Product group],MATCH(Товары[[#This Row],[SubGroup]],Структура_ассортимента[Subgroup],0)),"")</f>
        <v>WPU_C</v>
      </c>
      <c r="G1382" s="67" t="str">
        <f>IFERROR(INDEX(Структура_ассортимента[Product group name ENG],MATCH(Товары[[#This Row],[SubGroup]],Структура_ассортимента[Subgroup],0)),"")</f>
        <v>Watering, Pumps</v>
      </c>
      <c r="H13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2923</v>
      </c>
      <c r="Q1382" s="39" t="s">
        <v>3416</v>
      </c>
      <c r="R1382" s="34" t="s">
        <v>3407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3417</v>
      </c>
      <c r="X1382" s="34" t="s">
        <v>3418</v>
      </c>
      <c r="Y1382" s="34" t="s">
        <v>3409</v>
      </c>
      <c r="Z1382" s="34">
        <v>2</v>
      </c>
      <c r="AA1382" s="34" t="s">
        <v>5821</v>
      </c>
      <c r="AB1382" s="34" t="s">
        <v>5821</v>
      </c>
      <c r="AC1382" s="34" t="s">
        <v>5821</v>
      </c>
      <c r="AD1382" s="34" t="s">
        <v>5821</v>
      </c>
      <c r="AE1382" s="34" t="s">
        <v>3443</v>
      </c>
      <c r="AF1382" s="34" t="s">
        <v>3433</v>
      </c>
      <c r="AG1382" s="34" t="s">
        <v>3964</v>
      </c>
      <c r="AH1382" s="34" t="s">
        <v>6928</v>
      </c>
      <c r="AL1382" s="34" t="s">
        <v>4274</v>
      </c>
      <c r="AM1382" s="34" t="s">
        <v>7962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7" t="str">
        <f>IFERROR(INDEX(Структура_ассортимента[SuperCategory],MATCH(Товары[[#This Row],[SubGroup]],Структура_ассортимента[Subgroup],0)),"")</f>
        <v>O</v>
      </c>
      <c r="D13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7" t="str">
        <f>IFERROR(INDEX(Структура_ассортимента[Product group],MATCH(Товары[[#This Row],[SubGroup]],Структура_ассортимента[Subgroup],0)),"")</f>
        <v>WPU_C</v>
      </c>
      <c r="G1383" s="67" t="str">
        <f>IFERROR(INDEX(Структура_ассортимента[Product group name ENG],MATCH(Товары[[#This Row],[SubGroup]],Структура_ассортимента[Subgroup],0)),"")</f>
        <v>Watering, Pumps</v>
      </c>
      <c r="H13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2924</v>
      </c>
      <c r="Q1383" s="39" t="s">
        <v>3416</v>
      </c>
      <c r="R1383" s="34" t="s">
        <v>3407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3417</v>
      </c>
      <c r="X1383" s="34" t="s">
        <v>3418</v>
      </c>
      <c r="Y1383" s="34" t="s">
        <v>3409</v>
      </c>
      <c r="Z1383" s="34">
        <v>5</v>
      </c>
      <c r="AA1383" s="34" t="s">
        <v>3586</v>
      </c>
      <c r="AB1383" s="34" t="s">
        <v>3586</v>
      </c>
      <c r="AC1383" s="34" t="s">
        <v>3521</v>
      </c>
      <c r="AD1383" s="34" t="s">
        <v>3521</v>
      </c>
      <c r="AE1383" s="34" t="s">
        <v>4809</v>
      </c>
      <c r="AF1383" s="34" t="s">
        <v>4299</v>
      </c>
      <c r="AG1383" s="34" t="s">
        <v>4106</v>
      </c>
      <c r="AH1383" s="34" t="s">
        <v>6929</v>
      </c>
      <c r="AL1383" s="34" t="s">
        <v>6927</v>
      </c>
      <c r="AM1383" s="34" t="s">
        <v>7962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7" t="str">
        <f>IFERROR(INDEX(Структура_ассортимента[SuperCategory],MATCH(Товары[[#This Row],[SubGroup]],Структура_ассортимента[Subgroup],0)),"")</f>
        <v>O</v>
      </c>
      <c r="D13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7" t="str">
        <f>IFERROR(INDEX(Структура_ассортимента[Product group],MATCH(Товары[[#This Row],[SubGroup]],Структура_ассортимента[Subgroup],0)),"")</f>
        <v>WPU_C</v>
      </c>
      <c r="G1384" s="67" t="str">
        <f>IFERROR(INDEX(Структура_ассортимента[Product group name ENG],MATCH(Товары[[#This Row],[SubGroup]],Структура_ассортимента[Subgroup],0)),"")</f>
        <v>Watering, Pumps</v>
      </c>
      <c r="H13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2925</v>
      </c>
      <c r="Q1384" s="39" t="s">
        <v>3416</v>
      </c>
      <c r="R1384" s="34" t="s">
        <v>3407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3417</v>
      </c>
      <c r="X1384" s="34" t="s">
        <v>3418</v>
      </c>
      <c r="Y1384" s="34" t="s">
        <v>3409</v>
      </c>
      <c r="Z1384" s="34">
        <v>5</v>
      </c>
      <c r="AA1384" s="34" t="s">
        <v>5516</v>
      </c>
      <c r="AB1384" s="34" t="s">
        <v>5516</v>
      </c>
      <c r="AC1384" s="34" t="s">
        <v>6930</v>
      </c>
      <c r="AD1384" s="34" t="s">
        <v>6930</v>
      </c>
      <c r="AE1384" s="34" t="s">
        <v>3578</v>
      </c>
      <c r="AF1384" s="34" t="s">
        <v>4669</v>
      </c>
      <c r="AG1384" s="34" t="s">
        <v>4218</v>
      </c>
      <c r="AH1384" s="34" t="s">
        <v>6931</v>
      </c>
      <c r="AL1384" s="34" t="s">
        <v>6927</v>
      </c>
      <c r="AM1384" s="34" t="s">
        <v>7962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7" t="str">
        <f>IFERROR(INDEX(Структура_ассортимента[SuperCategory],MATCH(Товары[[#This Row],[SubGroup]],Структура_ассортимента[Subgroup],0)),"")</f>
        <v>O</v>
      </c>
      <c r="D13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7" t="str">
        <f>IFERROR(INDEX(Структура_ассортимента[Product group],MATCH(Товары[[#This Row],[SubGroup]],Структура_ассортимента[Subgroup],0)),"")</f>
        <v>WPU_C</v>
      </c>
      <c r="G1385" s="67" t="str">
        <f>IFERROR(INDEX(Структура_ассортимента[Product group name ENG],MATCH(Товары[[#This Row],[SubGroup]],Структура_ассортимента[Subgroup],0)),"")</f>
        <v>Watering, Pumps</v>
      </c>
      <c r="H13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2926</v>
      </c>
      <c r="Q1385" s="39" t="s">
        <v>3416</v>
      </c>
      <c r="R1385" s="34" t="s">
        <v>3407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3417</v>
      </c>
      <c r="X1385" s="34" t="s">
        <v>3418</v>
      </c>
      <c r="Y1385" s="34" t="s">
        <v>3409</v>
      </c>
      <c r="Z1385" s="34">
        <v>5</v>
      </c>
      <c r="AA1385" s="34" t="s">
        <v>6480</v>
      </c>
      <c r="AB1385" s="34" t="s">
        <v>6480</v>
      </c>
      <c r="AC1385" s="34" t="s">
        <v>3957</v>
      </c>
      <c r="AD1385" s="34" t="s">
        <v>3957</v>
      </c>
      <c r="AE1385" s="34" t="s">
        <v>3964</v>
      </c>
      <c r="AF1385" s="34" t="s">
        <v>4269</v>
      </c>
      <c r="AG1385" s="34" t="s">
        <v>4299</v>
      </c>
      <c r="AH1385" s="34" t="s">
        <v>6932</v>
      </c>
      <c r="AL1385" s="34" t="s">
        <v>6933</v>
      </c>
      <c r="AM1385" s="34" t="s">
        <v>7962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7" t="str">
        <f>IFERROR(INDEX(Структура_ассортимента[SuperCategory],MATCH(Товары[[#This Row],[SubGroup]],Структура_ассортимента[Subgroup],0)),"")</f>
        <v>O</v>
      </c>
      <c r="D13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7" t="str">
        <f>IFERROR(INDEX(Структура_ассортимента[Product group],MATCH(Товары[[#This Row],[SubGroup]],Структура_ассортимента[Subgroup],0)),"")</f>
        <v>WPU_C</v>
      </c>
      <c r="G1386" s="67" t="str">
        <f>IFERROR(INDEX(Структура_ассортимента[Product group name ENG],MATCH(Товары[[#This Row],[SubGroup]],Структура_ассортимента[Subgroup],0)),"")</f>
        <v>Watering, Pumps</v>
      </c>
      <c r="H13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2927</v>
      </c>
      <c r="Q1386" s="39" t="s">
        <v>3416</v>
      </c>
      <c r="R1386" s="34" t="s">
        <v>3407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3417</v>
      </c>
      <c r="X1386" s="34" t="s">
        <v>3418</v>
      </c>
      <c r="Y1386" s="34" t="s">
        <v>3409</v>
      </c>
      <c r="Z1386" s="34">
        <v>5</v>
      </c>
      <c r="AA1386" s="34" t="s">
        <v>6132</v>
      </c>
      <c r="AB1386" s="34" t="s">
        <v>6132</v>
      </c>
      <c r="AC1386" s="34" t="s">
        <v>3863</v>
      </c>
      <c r="AD1386" s="34" t="s">
        <v>3863</v>
      </c>
      <c r="AE1386" s="34" t="s">
        <v>4202</v>
      </c>
      <c r="AF1386" s="34" t="s">
        <v>4269</v>
      </c>
      <c r="AG1386" s="34" t="s">
        <v>4218</v>
      </c>
      <c r="AH1386" s="34" t="s">
        <v>6934</v>
      </c>
      <c r="AL1386" s="34" t="s">
        <v>6933</v>
      </c>
      <c r="AM1386" s="34" t="s">
        <v>7962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7" t="str">
        <f>IFERROR(INDEX(Структура_ассортимента[SuperCategory],MATCH(Товары[[#This Row],[SubGroup]],Структура_ассортимента[Subgroup],0)),"")</f>
        <v>O</v>
      </c>
      <c r="D13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7" t="str">
        <f>IFERROR(INDEX(Структура_ассортимента[Product group],MATCH(Товары[[#This Row],[SubGroup]],Структура_ассортимента[Subgroup],0)),"")</f>
        <v>WPU_C</v>
      </c>
      <c r="G1387" s="67" t="str">
        <f>IFERROR(INDEX(Структура_ассортимента[Product group name ENG],MATCH(Товары[[#This Row],[SubGroup]],Структура_ассортимента[Subgroup],0)),"")</f>
        <v>Watering, Pumps</v>
      </c>
      <c r="H13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2928</v>
      </c>
      <c r="Q1387" s="39" t="s">
        <v>3416</v>
      </c>
      <c r="R1387" s="34" t="s">
        <v>3407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3417</v>
      </c>
      <c r="X1387" s="34" t="s">
        <v>3418</v>
      </c>
      <c r="Y1387" s="34" t="s">
        <v>3409</v>
      </c>
      <c r="Z1387" s="34">
        <v>10</v>
      </c>
      <c r="AA1387" s="34" t="s">
        <v>5520</v>
      </c>
      <c r="AB1387" s="34" t="s">
        <v>5520</v>
      </c>
      <c r="AC1387" s="34" t="s">
        <v>3586</v>
      </c>
      <c r="AD1387" s="34" t="s">
        <v>3586</v>
      </c>
      <c r="AE1387" s="34" t="s">
        <v>4809</v>
      </c>
      <c r="AF1387" s="34" t="s">
        <v>4299</v>
      </c>
      <c r="AG1387" s="34" t="s">
        <v>3566</v>
      </c>
      <c r="AH1387" s="34" t="s">
        <v>6935</v>
      </c>
      <c r="AL1387" s="34" t="s">
        <v>6936</v>
      </c>
      <c r="AM1387" s="34" t="s">
        <v>7962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7" t="str">
        <f>IFERROR(INDEX(Структура_ассортимента[SuperCategory],MATCH(Товары[[#This Row],[SubGroup]],Структура_ассортимента[Subgroup],0)),"")</f>
        <v>O</v>
      </c>
      <c r="D13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7" t="str">
        <f>IFERROR(INDEX(Структура_ассортимента[Product group],MATCH(Товары[[#This Row],[SubGroup]],Структура_ассортимента[Subgroup],0)),"")</f>
        <v>WPU_C</v>
      </c>
      <c r="G1388" s="67" t="str">
        <f>IFERROR(INDEX(Структура_ассортимента[Product group name ENG],MATCH(Товары[[#This Row],[SubGroup]],Структура_ассортимента[Subgroup],0)),"")</f>
        <v>Watering, Pumps</v>
      </c>
      <c r="H13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2929</v>
      </c>
      <c r="Q1388" s="39" t="s">
        <v>3416</v>
      </c>
      <c r="R1388" s="34" t="s">
        <v>3407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3417</v>
      </c>
      <c r="X1388" s="34" t="s">
        <v>3418</v>
      </c>
      <c r="Y1388" s="34" t="s">
        <v>3409</v>
      </c>
      <c r="Z1388" s="34">
        <v>10</v>
      </c>
      <c r="AA1388" s="34" t="s">
        <v>5520</v>
      </c>
      <c r="AB1388" s="34" t="s">
        <v>5520</v>
      </c>
      <c r="AC1388" s="34" t="s">
        <v>3586</v>
      </c>
      <c r="AD1388" s="34" t="s">
        <v>3586</v>
      </c>
      <c r="AE1388" s="34" t="s">
        <v>3578</v>
      </c>
      <c r="AF1388" s="34" t="s">
        <v>4218</v>
      </c>
      <c r="AG1388" s="34" t="s">
        <v>3566</v>
      </c>
      <c r="AH1388" s="34" t="s">
        <v>6937</v>
      </c>
      <c r="AL1388" s="34" t="s">
        <v>6936</v>
      </c>
      <c r="AM1388" s="34" t="s">
        <v>7962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7" t="str">
        <f>IFERROR(INDEX(Структура_ассортимента[SuperCategory],MATCH(Товары[[#This Row],[SubGroup]],Структура_ассортимента[Subgroup],0)),"")</f>
        <v>O</v>
      </c>
      <c r="D13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7" t="str">
        <f>IFERROR(INDEX(Структура_ассортимента[Product group],MATCH(Товары[[#This Row],[SubGroup]],Структура_ассортимента[Subgroup],0)),"")</f>
        <v>WPU_C</v>
      </c>
      <c r="G1389" s="67" t="str">
        <f>IFERROR(INDEX(Структура_ассортимента[Product group name ENG],MATCH(Товары[[#This Row],[SubGroup]],Структура_ассортимента[Subgroup],0)),"")</f>
        <v>Watering, Pumps</v>
      </c>
      <c r="H13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2930</v>
      </c>
      <c r="Q1389" s="39" t="s">
        <v>3416</v>
      </c>
      <c r="R1389" s="34" t="s">
        <v>3407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3417</v>
      </c>
      <c r="X1389" s="34" t="s">
        <v>3418</v>
      </c>
      <c r="Y1389" s="34" t="s">
        <v>3409</v>
      </c>
      <c r="Z1389" s="34">
        <v>5</v>
      </c>
      <c r="AA1389" s="34" t="s">
        <v>3594</v>
      </c>
      <c r="AB1389" s="34" t="s">
        <v>3594</v>
      </c>
      <c r="AC1389" s="34" t="s">
        <v>3586</v>
      </c>
      <c r="AD1389" s="34" t="s">
        <v>3586</v>
      </c>
      <c r="AE1389" s="34" t="s">
        <v>4809</v>
      </c>
      <c r="AF1389" s="34" t="s">
        <v>4299</v>
      </c>
      <c r="AG1389" s="34" t="s">
        <v>3566</v>
      </c>
      <c r="AH1389" s="34" t="s">
        <v>6935</v>
      </c>
      <c r="AL1389" s="34" t="s">
        <v>6927</v>
      </c>
      <c r="AM1389" s="34" t="s">
        <v>7962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7" t="str">
        <f>IFERROR(INDEX(Структура_ассортимента[SuperCategory],MATCH(Товары[[#This Row],[SubGroup]],Структура_ассортимента[Subgroup],0)),"")</f>
        <v>O</v>
      </c>
      <c r="D13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7" t="str">
        <f>IFERROR(INDEX(Структура_ассортимента[Product group],MATCH(Товары[[#This Row],[SubGroup]],Структура_ассортимента[Subgroup],0)),"")</f>
        <v>WPU_C</v>
      </c>
      <c r="G1390" s="67" t="str">
        <f>IFERROR(INDEX(Структура_ассортимента[Product group name ENG],MATCH(Товары[[#This Row],[SubGroup]],Структура_ассортимента[Subgroup],0)),"")</f>
        <v>Watering, Pumps</v>
      </c>
      <c r="H13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2931</v>
      </c>
      <c r="Q1390" s="39" t="s">
        <v>3416</v>
      </c>
      <c r="R1390" s="34" t="s">
        <v>3407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3417</v>
      </c>
      <c r="X1390" s="34" t="s">
        <v>3418</v>
      </c>
      <c r="Y1390" s="34" t="s">
        <v>3409</v>
      </c>
      <c r="Z1390" s="34">
        <v>5</v>
      </c>
      <c r="AA1390" s="34" t="s">
        <v>3863</v>
      </c>
      <c r="AB1390" s="34" t="s">
        <v>3957</v>
      </c>
      <c r="AC1390" s="34" t="s">
        <v>3968</v>
      </c>
      <c r="AD1390" s="34" t="s">
        <v>3594</v>
      </c>
      <c r="AE1390" s="34" t="s">
        <v>3964</v>
      </c>
      <c r="AF1390" s="34" t="s">
        <v>4335</v>
      </c>
      <c r="AG1390" s="34" t="s">
        <v>4823</v>
      </c>
      <c r="AH1390" s="34" t="s">
        <v>6214</v>
      </c>
      <c r="AL1390" s="34" t="s">
        <v>6933</v>
      </c>
      <c r="AM1390" s="34" t="s">
        <v>7962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7" t="str">
        <f>IFERROR(INDEX(Структура_ассортимента[SuperCategory],MATCH(Товары[[#This Row],[SubGroup]],Структура_ассортимента[Subgroup],0)),"")</f>
        <v>O</v>
      </c>
      <c r="D13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7" t="str">
        <f>IFERROR(INDEX(Структура_ассортимента[Product group],MATCH(Товары[[#This Row],[SubGroup]],Структура_ассортимента[Subgroup],0)),"")</f>
        <v>WPU_C</v>
      </c>
      <c r="G1391" s="67" t="str">
        <f>IFERROR(INDEX(Структура_ассортимента[Product group name ENG],MATCH(Товары[[#This Row],[SubGroup]],Структура_ассортимента[Subgroup],0)),"")</f>
        <v>Watering, Pumps</v>
      </c>
      <c r="H139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2932</v>
      </c>
      <c r="Q1391" s="39" t="s">
        <v>3416</v>
      </c>
      <c r="R1391" s="34" t="s">
        <v>3407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3417</v>
      </c>
      <c r="X1391" s="34" t="s">
        <v>3418</v>
      </c>
      <c r="Y1391" s="34" t="s">
        <v>3409</v>
      </c>
      <c r="Z1391" s="34">
        <v>10</v>
      </c>
      <c r="AA1391" s="34" t="s">
        <v>5512</v>
      </c>
      <c r="AB1391" s="34" t="s">
        <v>5512</v>
      </c>
      <c r="AC1391" s="34" t="s">
        <v>3520</v>
      </c>
      <c r="AD1391" s="34" t="s">
        <v>3520</v>
      </c>
      <c r="AE1391" s="34" t="s">
        <v>4809</v>
      </c>
      <c r="AF1391" s="34" t="s">
        <v>4299</v>
      </c>
      <c r="AG1391" s="34" t="s">
        <v>4098</v>
      </c>
      <c r="AH1391" s="34" t="s">
        <v>6938</v>
      </c>
      <c r="AL1391" s="34" t="s">
        <v>6936</v>
      </c>
      <c r="AM1391" s="34" t="s">
        <v>7962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7" t="str">
        <f>IFERROR(INDEX(Структура_ассортимента[SuperCategory],MATCH(Товары[[#This Row],[SubGroup]],Структура_ассортимента[Subgroup],0)),"")</f>
        <v>O</v>
      </c>
      <c r="D13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7" t="str">
        <f>IFERROR(INDEX(Структура_ассортимента[Product group],MATCH(Товары[[#This Row],[SubGroup]],Структура_ассортимента[Subgroup],0)),"")</f>
        <v>WPU_C</v>
      </c>
      <c r="G1392" s="67" t="str">
        <f>IFERROR(INDEX(Структура_ассортимента[Product group name ENG],MATCH(Товары[[#This Row],[SubGroup]],Структура_ассортимента[Subgroup],0)),"")</f>
        <v>Watering, Pumps</v>
      </c>
      <c r="H139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2933</v>
      </c>
      <c r="Q1392" s="39" t="s">
        <v>3416</v>
      </c>
      <c r="R1392" s="34" t="s">
        <v>3407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3417</v>
      </c>
      <c r="X1392" s="34" t="s">
        <v>3418</v>
      </c>
      <c r="Y1392" s="34" t="s">
        <v>3409</v>
      </c>
      <c r="Z1392" s="34">
        <v>10</v>
      </c>
      <c r="AA1392" s="34" t="s">
        <v>3521</v>
      </c>
      <c r="AB1392" s="34" t="s">
        <v>3521</v>
      </c>
      <c r="AC1392" s="34" t="s">
        <v>6319</v>
      </c>
      <c r="AD1392" s="34" t="s">
        <v>6319</v>
      </c>
      <c r="AE1392" s="34" t="s">
        <v>4809</v>
      </c>
      <c r="AF1392" s="34" t="s">
        <v>4299</v>
      </c>
      <c r="AG1392" s="34" t="s">
        <v>3566</v>
      </c>
      <c r="AH1392" s="34" t="s">
        <v>6935</v>
      </c>
      <c r="AL1392" s="34" t="s">
        <v>6936</v>
      </c>
      <c r="AM1392" s="34" t="s">
        <v>7962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7" t="str">
        <f>IFERROR(INDEX(Структура_ассортимента[SuperCategory],MATCH(Товары[[#This Row],[SubGroup]],Структура_ассортимента[Subgroup],0)),"")</f>
        <v>O</v>
      </c>
      <c r="D13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7" t="str">
        <f>IFERROR(INDEX(Структура_ассортимента[Product group],MATCH(Товары[[#This Row],[SubGroup]],Структура_ассортимента[Subgroup],0)),"")</f>
        <v>WPU_C</v>
      </c>
      <c r="G1393" s="67" t="str">
        <f>IFERROR(INDEX(Структура_ассортимента[Product group name ENG],MATCH(Товары[[#This Row],[SubGroup]],Структура_ассортимента[Subgroup],0)),"")</f>
        <v>Watering, Pumps</v>
      </c>
      <c r="H139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2934</v>
      </c>
      <c r="Q1393" s="39" t="s">
        <v>3416</v>
      </c>
      <c r="R1393" s="34" t="s">
        <v>3407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3417</v>
      </c>
      <c r="X1393" s="34" t="s">
        <v>3418</v>
      </c>
      <c r="Y1393" s="34" t="s">
        <v>3409</v>
      </c>
      <c r="Z1393" s="34">
        <v>5</v>
      </c>
      <c r="AA1393" s="34" t="s">
        <v>3655</v>
      </c>
      <c r="AB1393" s="34" t="s">
        <v>3655</v>
      </c>
      <c r="AC1393" s="34" t="s">
        <v>3586</v>
      </c>
      <c r="AD1393" s="34" t="s">
        <v>3586</v>
      </c>
      <c r="AE1393" s="34" t="s">
        <v>4809</v>
      </c>
      <c r="AF1393" s="34" t="s">
        <v>4299</v>
      </c>
      <c r="AG1393" s="34" t="s">
        <v>3566</v>
      </c>
      <c r="AH1393" s="34" t="s">
        <v>6935</v>
      </c>
      <c r="AL1393" s="34" t="s">
        <v>6927</v>
      </c>
      <c r="AM1393" s="34" t="s">
        <v>7962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7" t="str">
        <f>IFERROR(INDEX(Структура_ассортимента[SuperCategory],MATCH(Товары[[#This Row],[SubGroup]],Структура_ассортимента[Subgroup],0)),"")</f>
        <v>O</v>
      </c>
      <c r="D13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7" t="str">
        <f>IFERROR(INDEX(Структура_ассортимента[Product group],MATCH(Товары[[#This Row],[SubGroup]],Структура_ассортимента[Subgroup],0)),"")</f>
        <v>WPU_C</v>
      </c>
      <c r="G1394" s="67" t="str">
        <f>IFERROR(INDEX(Структура_ассортимента[Product group name ENG],MATCH(Товары[[#This Row],[SubGroup]],Структура_ассортимента[Subgroup],0)),"")</f>
        <v>Watering, Pumps</v>
      </c>
      <c r="H139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2935</v>
      </c>
      <c r="Q1394" s="39" t="s">
        <v>3416</v>
      </c>
      <c r="R1394" s="34" t="s">
        <v>3407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3417</v>
      </c>
      <c r="X1394" s="34" t="s">
        <v>3418</v>
      </c>
      <c r="Y1394" s="34" t="s">
        <v>3409</v>
      </c>
      <c r="Z1394" s="34">
        <v>5</v>
      </c>
      <c r="AA1394" s="34" t="s">
        <v>6939</v>
      </c>
      <c r="AB1394" s="34" t="s">
        <v>6939</v>
      </c>
      <c r="AC1394" s="34" t="s">
        <v>3596</v>
      </c>
      <c r="AD1394" s="34" t="s">
        <v>3596</v>
      </c>
      <c r="AE1394" s="34" t="s">
        <v>3578</v>
      </c>
      <c r="AF1394" s="34" t="s">
        <v>4218</v>
      </c>
      <c r="AG1394" s="34" t="s">
        <v>4339</v>
      </c>
      <c r="AH1394" s="34" t="s">
        <v>6940</v>
      </c>
      <c r="AL1394" s="34" t="s">
        <v>6927</v>
      </c>
      <c r="AM1394" s="34" t="s">
        <v>7962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7" t="str">
        <f>IFERROR(INDEX(Структура_ассортимента[SuperCategory],MATCH(Товары[[#This Row],[SubGroup]],Структура_ассортимента[Subgroup],0)),"")</f>
        <v>O</v>
      </c>
      <c r="D13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7" t="str">
        <f>IFERROR(INDEX(Структура_ассортимента[Product group],MATCH(Товары[[#This Row],[SubGroup]],Структура_ассортимента[Subgroup],0)),"")</f>
        <v>WPU_C</v>
      </c>
      <c r="G1395" s="67" t="str">
        <f>IFERROR(INDEX(Структура_ассортимента[Product group name ENG],MATCH(Товары[[#This Row],[SubGroup]],Структура_ассортимента[Subgroup],0)),"")</f>
        <v>Watering, Pumps</v>
      </c>
      <c r="H139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2936</v>
      </c>
      <c r="Q1395" s="39" t="s">
        <v>3416</v>
      </c>
      <c r="R1395" s="34" t="s">
        <v>3407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3417</v>
      </c>
      <c r="X1395" s="34" t="s">
        <v>3418</v>
      </c>
      <c r="Y1395" s="34" t="s">
        <v>3409</v>
      </c>
      <c r="Z1395" s="34">
        <v>5</v>
      </c>
      <c r="AA1395" s="34" t="s">
        <v>6941</v>
      </c>
      <c r="AB1395" s="34" t="s">
        <v>6941</v>
      </c>
      <c r="AC1395" s="34" t="s">
        <v>3795</v>
      </c>
      <c r="AD1395" s="34" t="s">
        <v>3795</v>
      </c>
      <c r="AE1395" s="34" t="s">
        <v>3667</v>
      </c>
      <c r="AF1395" s="34" t="s">
        <v>4269</v>
      </c>
      <c r="AG1395" s="34" t="s">
        <v>4299</v>
      </c>
      <c r="AH1395" s="34" t="s">
        <v>6446</v>
      </c>
      <c r="AL1395" s="34" t="s">
        <v>6933</v>
      </c>
      <c r="AM1395" s="34" t="s">
        <v>7962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7" t="str">
        <f>IFERROR(INDEX(Структура_ассортимента[SuperCategory],MATCH(Товары[[#This Row],[SubGroup]],Структура_ассортимента[Subgroup],0)),"")</f>
        <v>O</v>
      </c>
      <c r="D13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7" t="str">
        <f>IFERROR(INDEX(Структура_ассортимента[Product group],MATCH(Товары[[#This Row],[SubGroup]],Структура_ассортимента[Subgroup],0)),"")</f>
        <v>WPU_C</v>
      </c>
      <c r="G1396" s="67" t="str">
        <f>IFERROR(INDEX(Структура_ассортимента[Product group name ENG],MATCH(Товары[[#This Row],[SubGroup]],Структура_ассортимента[Subgroup],0)),"")</f>
        <v>Watering, Pumps</v>
      </c>
      <c r="H139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2937</v>
      </c>
      <c r="Q1396" s="39" t="s">
        <v>3416</v>
      </c>
      <c r="R1396" s="34" t="s">
        <v>3407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3417</v>
      </c>
      <c r="X1396" s="34" t="s">
        <v>3418</v>
      </c>
      <c r="Y1396" s="34" t="s">
        <v>3409</v>
      </c>
      <c r="Z1396" s="34">
        <v>5</v>
      </c>
      <c r="AA1396" s="34" t="s">
        <v>6902</v>
      </c>
      <c r="AB1396" s="34" t="s">
        <v>6942</v>
      </c>
      <c r="AC1396" s="34" t="s">
        <v>4686</v>
      </c>
      <c r="AD1396" s="34" t="s">
        <v>4019</v>
      </c>
      <c r="AE1396" s="34" t="s">
        <v>4416</v>
      </c>
      <c r="AF1396" s="34" t="s">
        <v>4809</v>
      </c>
      <c r="AG1396" s="34" t="s">
        <v>4299</v>
      </c>
      <c r="AH1396" s="34" t="s">
        <v>6943</v>
      </c>
      <c r="AL1396" s="34" t="s">
        <v>6944</v>
      </c>
      <c r="AM1396" s="34" t="s">
        <v>7962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7" t="str">
        <f>IFERROR(INDEX(Структура_ассортимента[SuperCategory],MATCH(Товары[[#This Row],[SubGroup]],Структура_ассортимента[Subgroup],0)),"")</f>
        <v>O</v>
      </c>
      <c r="D13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7" t="str">
        <f>IFERROR(INDEX(Структура_ассортимента[Product group],MATCH(Товары[[#This Row],[SubGroup]],Структура_ассортимента[Subgroup],0)),"")</f>
        <v>WPU_C</v>
      </c>
      <c r="G1397" s="67" t="str">
        <f>IFERROR(INDEX(Структура_ассортимента[Product group name ENG],MATCH(Товары[[#This Row],[SubGroup]],Структура_ассортимента[Subgroup],0)),"")</f>
        <v>Watering, Pumps</v>
      </c>
      <c r="H139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2938</v>
      </c>
      <c r="Q1397" s="39" t="s">
        <v>3416</v>
      </c>
      <c r="R1397" s="34" t="s">
        <v>3407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3417</v>
      </c>
      <c r="X1397" s="34" t="s">
        <v>3418</v>
      </c>
      <c r="Y1397" s="34" t="s">
        <v>3409</v>
      </c>
      <c r="Z1397" s="34">
        <v>5</v>
      </c>
      <c r="AA1397" s="34" t="s">
        <v>4756</v>
      </c>
      <c r="AB1397" s="34" t="s">
        <v>4756</v>
      </c>
      <c r="AC1397" s="34" t="s">
        <v>4007</v>
      </c>
      <c r="AD1397" s="34" t="s">
        <v>4007</v>
      </c>
      <c r="AE1397" s="34" t="s">
        <v>4059</v>
      </c>
      <c r="AF1397" s="34" t="s">
        <v>3578</v>
      </c>
      <c r="AG1397" s="34" t="s">
        <v>4218</v>
      </c>
      <c r="AH1397" s="34" t="s">
        <v>6945</v>
      </c>
      <c r="AL1397" s="34" t="s">
        <v>6944</v>
      </c>
      <c r="AM1397" s="34" t="s">
        <v>7962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7" t="str">
        <f>IFERROR(INDEX(Структура_ассортимента[SuperCategory],MATCH(Товары[[#This Row],[SubGroup]],Структура_ассортимента[Subgroup],0)),"")</f>
        <v>O</v>
      </c>
      <c r="D13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7" t="str">
        <f>IFERROR(INDEX(Структура_ассортимента[Product group],MATCH(Товары[[#This Row],[SubGroup]],Структура_ассортимента[Subgroup],0)),"")</f>
        <v>WPU_C</v>
      </c>
      <c r="G1398" s="67" t="str">
        <f>IFERROR(INDEX(Структура_ассортимента[Product group name ENG],MATCH(Товары[[#This Row],[SubGroup]],Структура_ассортимента[Subgroup],0)),"")</f>
        <v>Watering, Pumps</v>
      </c>
      <c r="H139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2939</v>
      </c>
      <c r="Q1398" s="39" t="s">
        <v>3416</v>
      </c>
      <c r="R1398" s="34" t="s">
        <v>3407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3417</v>
      </c>
      <c r="X1398" s="34" t="s">
        <v>3418</v>
      </c>
      <c r="Y1398" s="34" t="s">
        <v>3409</v>
      </c>
      <c r="Z1398" s="34">
        <v>3</v>
      </c>
      <c r="AA1398" s="34" t="s">
        <v>4267</v>
      </c>
      <c r="AB1398" s="34" t="s">
        <v>4267</v>
      </c>
      <c r="AC1398" s="34" t="s">
        <v>4794</v>
      </c>
      <c r="AD1398" s="34" t="s">
        <v>4794</v>
      </c>
      <c r="AE1398" s="34" t="s">
        <v>4500</v>
      </c>
      <c r="AF1398" s="34" t="s">
        <v>4809</v>
      </c>
      <c r="AG1398" s="34" t="s">
        <v>4299</v>
      </c>
      <c r="AH1398" s="34" t="s">
        <v>6946</v>
      </c>
      <c r="AL1398" s="34" t="s">
        <v>5150</v>
      </c>
      <c r="AM1398" s="34" t="s">
        <v>7962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7" t="str">
        <f>IFERROR(INDEX(Структура_ассортимента[SuperCategory],MATCH(Товары[[#This Row],[SubGroup]],Структура_ассортимента[Subgroup],0)),"")</f>
        <v>O</v>
      </c>
      <c r="D13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7" t="str">
        <f>IFERROR(INDEX(Структура_ассортимента[Product group],MATCH(Товары[[#This Row],[SubGroup]],Структура_ассортимента[Subgroup],0)),"")</f>
        <v>WPU_C</v>
      </c>
      <c r="G1399" s="67" t="str">
        <f>IFERROR(INDEX(Структура_ассортимента[Product group name ENG],MATCH(Товары[[#This Row],[SubGroup]],Структура_ассортимента[Subgroup],0)),"")</f>
        <v>Watering, Pumps</v>
      </c>
      <c r="H139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2940</v>
      </c>
      <c r="Q1399" s="39" t="s">
        <v>3416</v>
      </c>
      <c r="R1399" s="34" t="s">
        <v>3407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3417</v>
      </c>
      <c r="X1399" s="34" t="s">
        <v>3418</v>
      </c>
      <c r="Y1399" s="34" t="s">
        <v>3409</v>
      </c>
      <c r="Z1399" s="34">
        <v>3</v>
      </c>
      <c r="AA1399" s="34" t="s">
        <v>5945</v>
      </c>
      <c r="AB1399" s="34" t="s">
        <v>5945</v>
      </c>
      <c r="AC1399" s="34" t="s">
        <v>4019</v>
      </c>
      <c r="AD1399" s="34" t="s">
        <v>4019</v>
      </c>
      <c r="AE1399" s="34" t="s">
        <v>3491</v>
      </c>
      <c r="AF1399" s="34" t="s">
        <v>4809</v>
      </c>
      <c r="AG1399" s="34" t="s">
        <v>4299</v>
      </c>
      <c r="AH1399" s="34" t="s">
        <v>6947</v>
      </c>
      <c r="AL1399" s="34" t="s">
        <v>5150</v>
      </c>
      <c r="AM1399" s="34" t="s">
        <v>7962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7" t="str">
        <f>IFERROR(INDEX(Структура_ассортимента[SuperCategory],MATCH(Товары[[#This Row],[SubGroup]],Структура_ассортимента[Subgroup],0)),"")</f>
        <v>O</v>
      </c>
      <c r="D14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7" t="str">
        <f>IFERROR(INDEX(Структура_ассортимента[Product group],MATCH(Товары[[#This Row],[SubGroup]],Структура_ассортимента[Subgroup],0)),"")</f>
        <v>WPU_C</v>
      </c>
      <c r="G1400" s="67" t="str">
        <f>IFERROR(INDEX(Структура_ассортимента[Product group name ENG],MATCH(Товары[[#This Row],[SubGroup]],Структура_ассортимента[Subgroup],0)),"")</f>
        <v>Watering, Pumps</v>
      </c>
      <c r="H140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2941</v>
      </c>
      <c r="Q1400" s="39" t="s">
        <v>3416</v>
      </c>
      <c r="R1400" s="34" t="s">
        <v>3407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3417</v>
      </c>
      <c r="X1400" s="34" t="s">
        <v>3418</v>
      </c>
      <c r="Y1400" s="34" t="s">
        <v>3409</v>
      </c>
      <c r="Z1400" s="34">
        <v>3</v>
      </c>
      <c r="AA1400" s="34" t="s">
        <v>5885</v>
      </c>
      <c r="AB1400" s="34" t="s">
        <v>5885</v>
      </c>
      <c r="AC1400" s="34" t="s">
        <v>4256</v>
      </c>
      <c r="AD1400" s="34" t="s">
        <v>4256</v>
      </c>
      <c r="AE1400" s="34" t="s">
        <v>3458</v>
      </c>
      <c r="AF1400" s="34" t="s">
        <v>4809</v>
      </c>
      <c r="AG1400" s="34" t="s">
        <v>4299</v>
      </c>
      <c r="AH1400" s="34" t="s">
        <v>6948</v>
      </c>
      <c r="AL1400" s="34" t="s">
        <v>5523</v>
      </c>
      <c r="AM1400" s="34" t="s">
        <v>7962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7" t="str">
        <f>IFERROR(INDEX(Структура_ассортимента[SuperCategory],MATCH(Товары[[#This Row],[SubGroup]],Структура_ассортимента[Subgroup],0)),"")</f>
        <v>O</v>
      </c>
      <c r="D14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7" t="str">
        <f>IFERROR(INDEX(Структура_ассортимента[Product group],MATCH(Товары[[#This Row],[SubGroup]],Структура_ассортимента[Subgroup],0)),"")</f>
        <v>WPU_C</v>
      </c>
      <c r="G1401" s="67" t="str">
        <f>IFERROR(INDEX(Структура_ассортимента[Product group name ENG],MATCH(Товары[[#This Row],[SubGroup]],Структура_ассортимента[Subgroup],0)),"")</f>
        <v>Watering, Pumps</v>
      </c>
      <c r="H140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2942</v>
      </c>
      <c r="Q1401" s="39" t="s">
        <v>3416</v>
      </c>
      <c r="R1401" s="34" t="s">
        <v>3407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3417</v>
      </c>
      <c r="X1401" s="34" t="s">
        <v>3418</v>
      </c>
      <c r="Y1401" s="34" t="s">
        <v>3409</v>
      </c>
      <c r="Z1401" s="34">
        <v>10</v>
      </c>
      <c r="AA1401" s="34" t="s">
        <v>6132</v>
      </c>
      <c r="AB1401" s="34" t="s">
        <v>6132</v>
      </c>
      <c r="AC1401" s="34" t="s">
        <v>3962</v>
      </c>
      <c r="AD1401" s="34" t="s">
        <v>3962</v>
      </c>
      <c r="AE1401" s="34" t="s">
        <v>4587</v>
      </c>
      <c r="AF1401" s="34" t="s">
        <v>4048</v>
      </c>
      <c r="AG1401" s="34" t="s">
        <v>4048</v>
      </c>
      <c r="AH1401" s="34" t="s">
        <v>6949</v>
      </c>
      <c r="AL1401" s="34" t="s">
        <v>6371</v>
      </c>
      <c r="AM1401" s="34" t="s">
        <v>7962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7" t="str">
        <f>IFERROR(INDEX(Структура_ассортимента[SuperCategory],MATCH(Товары[[#This Row],[SubGroup]],Структура_ассортимента[Subgroup],0)),"")</f>
        <v>O</v>
      </c>
      <c r="D14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7" t="str">
        <f>IFERROR(INDEX(Структура_ассортимента[Product group],MATCH(Товары[[#This Row],[SubGroup]],Структура_ассортимента[Subgroup],0)),"")</f>
        <v>WPU_C</v>
      </c>
      <c r="G1402" s="67" t="str">
        <f>IFERROR(INDEX(Структура_ассортимента[Product group name ENG],MATCH(Товары[[#This Row],[SubGroup]],Структура_ассортимента[Subgroup],0)),"")</f>
        <v>Watering, Pumps</v>
      </c>
      <c r="H140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2943</v>
      </c>
      <c r="Q1402" s="39" t="s">
        <v>3416</v>
      </c>
      <c r="R1402" s="34" t="s">
        <v>3407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3417</v>
      </c>
      <c r="X1402" s="34" t="s">
        <v>3418</v>
      </c>
      <c r="Y1402" s="34" t="s">
        <v>3409</v>
      </c>
      <c r="Z1402" s="34">
        <v>5</v>
      </c>
      <c r="AA1402" s="34" t="s">
        <v>3784</v>
      </c>
      <c r="AB1402" s="34" t="s">
        <v>3784</v>
      </c>
      <c r="AC1402" s="34" t="s">
        <v>3537</v>
      </c>
      <c r="AD1402" s="34" t="s">
        <v>3537</v>
      </c>
      <c r="AE1402" s="34" t="s">
        <v>4051</v>
      </c>
      <c r="AF1402" s="34" t="s">
        <v>4048</v>
      </c>
      <c r="AG1402" s="34" t="s">
        <v>4088</v>
      </c>
      <c r="AH1402" s="34" t="s">
        <v>6950</v>
      </c>
      <c r="AL1402" s="34" t="s">
        <v>6927</v>
      </c>
      <c r="AM1402" s="34" t="s">
        <v>7962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7" t="str">
        <f>IFERROR(INDEX(Структура_ассортимента[SuperCategory],MATCH(Товары[[#This Row],[SubGroup]],Структура_ассортимента[Subgroup],0)),"")</f>
        <v>O</v>
      </c>
      <c r="D14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7" t="str">
        <f>IFERROR(INDEX(Структура_ассортимента[Product group],MATCH(Товары[[#This Row],[SubGroup]],Структура_ассортимента[Subgroup],0)),"")</f>
        <v>WPU_C</v>
      </c>
      <c r="G1403" s="67" t="str">
        <f>IFERROR(INDEX(Структура_ассортимента[Product group name ENG],MATCH(Товары[[#This Row],[SubGroup]],Структура_ассортимента[Subgroup],0)),"")</f>
        <v>Watering, Pumps</v>
      </c>
      <c r="H140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2944</v>
      </c>
      <c r="Q1403" s="39" t="s">
        <v>3416</v>
      </c>
      <c r="R1403" s="34" t="s">
        <v>3407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3417</v>
      </c>
      <c r="X1403" s="34" t="s">
        <v>3418</v>
      </c>
      <c r="Y1403" s="34" t="s">
        <v>3409</v>
      </c>
      <c r="Z1403" s="34">
        <v>5</v>
      </c>
      <c r="AA1403" s="34" t="s">
        <v>6951</v>
      </c>
      <c r="AB1403" s="34" t="s">
        <v>6951</v>
      </c>
      <c r="AC1403" s="34" t="s">
        <v>3968</v>
      </c>
      <c r="AD1403" s="34" t="s">
        <v>3968</v>
      </c>
      <c r="AE1403" s="34" t="s">
        <v>4202</v>
      </c>
      <c r="AF1403" s="34" t="s">
        <v>4098</v>
      </c>
      <c r="AG1403" s="34" t="s">
        <v>4098</v>
      </c>
      <c r="AH1403" s="34" t="s">
        <v>6952</v>
      </c>
      <c r="AL1403" s="34" t="s">
        <v>6927</v>
      </c>
      <c r="AM1403" s="34" t="s">
        <v>7962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7" t="str">
        <f>IFERROR(INDEX(Структура_ассортимента[SuperCategory],MATCH(Товары[[#This Row],[SubGroup]],Структура_ассортимента[Subgroup],0)),"")</f>
        <v>O</v>
      </c>
      <c r="D14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7" t="str">
        <f>IFERROR(INDEX(Структура_ассортимента[Product group],MATCH(Товары[[#This Row],[SubGroup]],Структура_ассортимента[Subgroup],0)),"")</f>
        <v>WPU_C</v>
      </c>
      <c r="G1404" s="67" t="str">
        <f>IFERROR(INDEX(Структура_ассортимента[Product group name ENG],MATCH(Товары[[#This Row],[SubGroup]],Структура_ассортимента[Subgroup],0)),"")</f>
        <v>Watering, Pumps</v>
      </c>
      <c r="H140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2945</v>
      </c>
      <c r="Q1404" s="39" t="s">
        <v>3416</v>
      </c>
      <c r="R1404" s="34" t="s">
        <v>3407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3417</v>
      </c>
      <c r="X1404" s="34" t="s">
        <v>3418</v>
      </c>
      <c r="Y1404" s="34" t="s">
        <v>3409</v>
      </c>
      <c r="Z1404" s="34">
        <v>5</v>
      </c>
      <c r="AA1404" s="34" t="s">
        <v>5500</v>
      </c>
      <c r="AB1404" s="34" t="s">
        <v>5500</v>
      </c>
      <c r="AC1404" s="34" t="s">
        <v>5495</v>
      </c>
      <c r="AD1404" s="34" t="s">
        <v>5495</v>
      </c>
      <c r="AE1404" s="34" t="s">
        <v>4048</v>
      </c>
      <c r="AF1404" s="34" t="s">
        <v>4218</v>
      </c>
      <c r="AG1404" s="34" t="s">
        <v>4339</v>
      </c>
      <c r="AH1404" s="34" t="s">
        <v>6937</v>
      </c>
      <c r="AL1404" s="34" t="s">
        <v>6927</v>
      </c>
      <c r="AM1404" s="34" t="s">
        <v>7962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7" t="str">
        <f>IFERROR(INDEX(Структура_ассортимента[SuperCategory],MATCH(Товары[[#This Row],[SubGroup]],Структура_ассортимента[Subgroup],0)),"")</f>
        <v>O</v>
      </c>
      <c r="D14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7" t="str">
        <f>IFERROR(INDEX(Структура_ассортимента[Product group],MATCH(Товары[[#This Row],[SubGroup]],Структура_ассортимента[Subgroup],0)),"")</f>
        <v>WPU_C</v>
      </c>
      <c r="G1405" s="67" t="str">
        <f>IFERROR(INDEX(Структура_ассортимента[Product group name ENG],MATCH(Товары[[#This Row],[SubGroup]],Структура_ассортимента[Subgroup],0)),"")</f>
        <v>Watering, Pumps</v>
      </c>
      <c r="H140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2946</v>
      </c>
      <c r="Q1405" s="39" t="s">
        <v>3416</v>
      </c>
      <c r="R1405" s="34" t="s">
        <v>3407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3417</v>
      </c>
      <c r="X1405" s="34" t="s">
        <v>3418</v>
      </c>
      <c r="Y1405" s="34" t="s">
        <v>3409</v>
      </c>
      <c r="Z1405" s="34">
        <v>10</v>
      </c>
      <c r="AA1405" s="34" t="s">
        <v>5496</v>
      </c>
      <c r="AB1405" s="34" t="s">
        <v>5496</v>
      </c>
      <c r="AC1405" s="34" t="s">
        <v>5755</v>
      </c>
      <c r="AD1405" s="34" t="s">
        <v>5755</v>
      </c>
      <c r="AE1405" s="34" t="s">
        <v>4335</v>
      </c>
      <c r="AF1405" s="34" t="s">
        <v>4647</v>
      </c>
      <c r="AG1405" s="34" t="s">
        <v>4101</v>
      </c>
      <c r="AH1405" s="34" t="s">
        <v>6953</v>
      </c>
      <c r="AL1405" s="34" t="s">
        <v>6954</v>
      </c>
      <c r="AM1405" s="34" t="s">
        <v>7962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7" t="str">
        <f>IFERROR(INDEX(Структура_ассортимента[SuperCategory],MATCH(Товары[[#This Row],[SubGroup]],Структура_ассортимента[Subgroup],0)),"")</f>
        <v>O</v>
      </c>
      <c r="D14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7" t="str">
        <f>IFERROR(INDEX(Структура_ассортимента[Product group],MATCH(Товары[[#This Row],[SubGroup]],Структура_ассортимента[Subgroup],0)),"")</f>
        <v>WPU_C</v>
      </c>
      <c r="G1406" s="67" t="str">
        <f>IFERROR(INDEX(Структура_ассортимента[Product group name ENG],MATCH(Товары[[#This Row],[SubGroup]],Структура_ассортимента[Subgroup],0)),"")</f>
        <v>Watering, Pumps</v>
      </c>
      <c r="H140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2947</v>
      </c>
      <c r="Q1406" s="39" t="s">
        <v>3416</v>
      </c>
      <c r="R1406" s="34" t="s">
        <v>3407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3417</v>
      </c>
      <c r="X1406" s="34" t="s">
        <v>3418</v>
      </c>
      <c r="Y1406" s="34" t="s">
        <v>3409</v>
      </c>
      <c r="Z1406" s="34">
        <v>10</v>
      </c>
      <c r="AA1406" s="34" t="s">
        <v>5511</v>
      </c>
      <c r="AB1406" s="34" t="s">
        <v>5511</v>
      </c>
      <c r="AC1406" s="34" t="s">
        <v>6451</v>
      </c>
      <c r="AD1406" s="34" t="s">
        <v>6451</v>
      </c>
      <c r="AE1406" s="34" t="s">
        <v>4106</v>
      </c>
      <c r="AF1406" s="34" t="s">
        <v>3798</v>
      </c>
      <c r="AG1406" s="34" t="s">
        <v>4098</v>
      </c>
      <c r="AH1406" s="34" t="s">
        <v>6955</v>
      </c>
      <c r="AL1406" s="34" t="s">
        <v>6936</v>
      </c>
      <c r="AM1406" s="34" t="s">
        <v>7962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7" t="str">
        <f>IFERROR(INDEX(Структура_ассортимента[SuperCategory],MATCH(Товары[[#This Row],[SubGroup]],Структура_ассортимента[Subgroup],0)),"")</f>
        <v>O</v>
      </c>
      <c r="D14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7" t="str">
        <f>IFERROR(INDEX(Структура_ассортимента[Product group],MATCH(Товары[[#This Row],[SubGroup]],Структура_ассортимента[Subgroup],0)),"")</f>
        <v>WPU_C</v>
      </c>
      <c r="G1407" s="67" t="str">
        <f>IFERROR(INDEX(Структура_ассортимента[Product group name ENG],MATCH(Товары[[#This Row],[SubGroup]],Структура_ассортимента[Subgroup],0)),"")</f>
        <v>Watering, Pumps</v>
      </c>
      <c r="H140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2948</v>
      </c>
      <c r="Q1407" s="39" t="s">
        <v>3416</v>
      </c>
      <c r="R1407" s="34" t="s">
        <v>3407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3417</v>
      </c>
      <c r="X1407" s="34" t="s">
        <v>3418</v>
      </c>
      <c r="Y1407" s="34" t="s">
        <v>3409</v>
      </c>
      <c r="Z1407" s="34">
        <v>5</v>
      </c>
      <c r="AA1407" s="34" t="s">
        <v>3521</v>
      </c>
      <c r="AB1407" s="34" t="s">
        <v>3521</v>
      </c>
      <c r="AC1407" s="34" t="s">
        <v>5512</v>
      </c>
      <c r="AD1407" s="34" t="s">
        <v>5512</v>
      </c>
      <c r="AE1407" s="34" t="s">
        <v>4106</v>
      </c>
      <c r="AF1407" s="34" t="s">
        <v>4330</v>
      </c>
      <c r="AG1407" s="34" t="s">
        <v>3566</v>
      </c>
      <c r="AH1407" s="34" t="s">
        <v>6370</v>
      </c>
      <c r="AL1407" s="34" t="s">
        <v>6927</v>
      </c>
      <c r="AM1407" s="34" t="s">
        <v>7962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7" t="str">
        <f>IFERROR(INDEX(Структура_ассортимента[SuperCategory],MATCH(Товары[[#This Row],[SubGroup]],Структура_ассортимента[Subgroup],0)),"")</f>
        <v>O</v>
      </c>
      <c r="D14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7" t="str">
        <f>IFERROR(INDEX(Структура_ассортимента[Product group],MATCH(Товары[[#This Row],[SubGroup]],Структура_ассортимента[Subgroup],0)),"")</f>
        <v>WPU_C</v>
      </c>
      <c r="G1408" s="67" t="str">
        <f>IFERROR(INDEX(Структура_ассортимента[Product group name ENG],MATCH(Товары[[#This Row],[SubGroup]],Структура_ассортимента[Subgroup],0)),"")</f>
        <v>Watering, Pumps</v>
      </c>
      <c r="H140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2949</v>
      </c>
      <c r="Q1408" s="39" t="s">
        <v>3416</v>
      </c>
      <c r="R1408" s="34" t="s">
        <v>3407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3417</v>
      </c>
      <c r="X1408" s="34" t="s">
        <v>3418</v>
      </c>
      <c r="Y1408" s="34" t="s">
        <v>3409</v>
      </c>
      <c r="Z1408" s="34">
        <v>10</v>
      </c>
      <c r="AA1408" s="34" t="s">
        <v>5495</v>
      </c>
      <c r="AB1408" s="34" t="s">
        <v>3520</v>
      </c>
      <c r="AC1408" s="34" t="s">
        <v>3646</v>
      </c>
      <c r="AD1408" s="34" t="s">
        <v>3646</v>
      </c>
      <c r="AE1408" s="34" t="s">
        <v>4106</v>
      </c>
      <c r="AF1408" s="34" t="s">
        <v>4335</v>
      </c>
      <c r="AG1408" s="34" t="s">
        <v>4098</v>
      </c>
      <c r="AH1408" s="34" t="s">
        <v>6956</v>
      </c>
      <c r="AL1408" s="34" t="s">
        <v>6954</v>
      </c>
      <c r="AM1408" s="34" t="s">
        <v>7962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7" t="str">
        <f>IFERROR(INDEX(Структура_ассортимента[SuperCategory],MATCH(Товары[[#This Row],[SubGroup]],Структура_ассортимента[Subgroup],0)),"")</f>
        <v>O</v>
      </c>
      <c r="D14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7" t="str">
        <f>IFERROR(INDEX(Структура_ассортимента[Product group],MATCH(Товары[[#This Row],[SubGroup]],Структура_ассортимента[Subgroup],0)),"")</f>
        <v>WPU_C</v>
      </c>
      <c r="G1409" s="67" t="str">
        <f>IFERROR(INDEX(Структура_ассортимента[Product group name ENG],MATCH(Товары[[#This Row],[SubGroup]],Структура_ассортимента[Subgroup],0)),"")</f>
        <v>Watering, Pumps</v>
      </c>
      <c r="H140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2950</v>
      </c>
      <c r="Q1409" s="39" t="s">
        <v>3416</v>
      </c>
      <c r="R1409" s="34" t="s">
        <v>3407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3417</v>
      </c>
      <c r="X1409" s="34" t="s">
        <v>3418</v>
      </c>
      <c r="Y1409" s="34" t="s">
        <v>3409</v>
      </c>
      <c r="Z1409" s="34">
        <v>10</v>
      </c>
      <c r="AA1409" s="34" t="s">
        <v>6393</v>
      </c>
      <c r="AB1409" s="34" t="s">
        <v>6393</v>
      </c>
      <c r="AC1409" s="34" t="s">
        <v>6957</v>
      </c>
      <c r="AD1409" s="34" t="s">
        <v>6957</v>
      </c>
      <c r="AE1409" s="34" t="s">
        <v>4335</v>
      </c>
      <c r="AF1409" s="34" t="s">
        <v>4642</v>
      </c>
      <c r="AG1409" s="34" t="s">
        <v>4101</v>
      </c>
      <c r="AH1409" s="34" t="s">
        <v>6358</v>
      </c>
      <c r="AL1409" s="34" t="s">
        <v>6954</v>
      </c>
      <c r="AM1409" s="34" t="s">
        <v>7962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7" t="str">
        <f>IFERROR(INDEX(Структура_ассортимента[SuperCategory],MATCH(Товары[[#This Row],[SubGroup]],Структура_ассортимента[Subgroup],0)),"")</f>
        <v>O</v>
      </c>
      <c r="D14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7" t="str">
        <f>IFERROR(INDEX(Структура_ассортимента[Product group],MATCH(Товары[[#This Row],[SubGroup]],Структура_ассортимента[Subgroup],0)),"")</f>
        <v>WPU_C</v>
      </c>
      <c r="G1410" s="67" t="str">
        <f>IFERROR(INDEX(Структура_ассортимента[Product group name ENG],MATCH(Товары[[#This Row],[SubGroup]],Структура_ассортимента[Subgroup],0)),"")</f>
        <v>Watering, Pumps</v>
      </c>
      <c r="H141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2951</v>
      </c>
      <c r="Q1410" s="39" t="s">
        <v>3416</v>
      </c>
      <c r="R1410" s="34" t="s">
        <v>3407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3417</v>
      </c>
      <c r="X1410" s="34" t="s">
        <v>3418</v>
      </c>
      <c r="Y1410" s="34" t="s">
        <v>3409</v>
      </c>
      <c r="Z1410" s="34">
        <v>10</v>
      </c>
      <c r="AA1410" s="34" t="s">
        <v>3647</v>
      </c>
      <c r="AB1410" s="34" t="s">
        <v>3647</v>
      </c>
      <c r="AC1410" s="34" t="s">
        <v>6322</v>
      </c>
      <c r="AD1410" s="34" t="s">
        <v>6322</v>
      </c>
      <c r="AE1410" s="34" t="s">
        <v>4098</v>
      </c>
      <c r="AF1410" s="34" t="s">
        <v>4993</v>
      </c>
      <c r="AG1410" s="34" t="s">
        <v>4993</v>
      </c>
      <c r="AH1410" s="34" t="s">
        <v>6958</v>
      </c>
      <c r="AL1410" s="34" t="s">
        <v>6954</v>
      </c>
      <c r="AM1410" s="34" t="s">
        <v>7962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7" t="str">
        <f>IFERROR(INDEX(Структура_ассортимента[SuperCategory],MATCH(Товары[[#This Row],[SubGroup]],Структура_ассортимента[Subgroup],0)),"")</f>
        <v>O</v>
      </c>
      <c r="D14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7" t="str">
        <f>IFERROR(INDEX(Структура_ассортимента[Product group],MATCH(Товары[[#This Row],[SubGroup]],Структура_ассортимента[Subgroup],0)),"")</f>
        <v>WPU_C</v>
      </c>
      <c r="G1411" s="67" t="str">
        <f>IFERROR(INDEX(Структура_ассортимента[Product group name ENG],MATCH(Товары[[#This Row],[SubGroup]],Структура_ассортимента[Subgroup],0)),"")</f>
        <v>Watering, Pumps</v>
      </c>
      <c r="H141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2952</v>
      </c>
      <c r="Q1411" s="39" t="s">
        <v>3416</v>
      </c>
      <c r="R1411" s="34" t="s">
        <v>3407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3417</v>
      </c>
      <c r="X1411" s="34" t="s">
        <v>3418</v>
      </c>
      <c r="Y1411" s="34" t="s">
        <v>3409</v>
      </c>
      <c r="Z1411" s="34">
        <v>10</v>
      </c>
      <c r="AA1411" s="34" t="s">
        <v>5469</v>
      </c>
      <c r="AB1411" s="34" t="s">
        <v>6337</v>
      </c>
      <c r="AC1411" s="34" t="s">
        <v>3647</v>
      </c>
      <c r="AD1411" s="34" t="s">
        <v>3647</v>
      </c>
      <c r="AE1411" s="34" t="s">
        <v>3566</v>
      </c>
      <c r="AF1411" s="34" t="s">
        <v>3799</v>
      </c>
      <c r="AG1411" s="34" t="s">
        <v>3799</v>
      </c>
      <c r="AH1411" s="34" t="s">
        <v>6959</v>
      </c>
      <c r="AL1411" s="34" t="s">
        <v>6954</v>
      </c>
      <c r="AM1411" s="34" t="s">
        <v>7962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7" t="str">
        <f>IFERROR(INDEX(Структура_ассортимента[SuperCategory],MATCH(Товары[[#This Row],[SubGroup]],Структура_ассортимента[Subgroup],0)),"")</f>
        <v>O</v>
      </c>
      <c r="D14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7" t="str">
        <f>IFERROR(INDEX(Структура_ассортимента[Product group],MATCH(Товары[[#This Row],[SubGroup]],Структура_ассортимента[Subgroup],0)),"")</f>
        <v>WPU_C</v>
      </c>
      <c r="G1412" s="67" t="str">
        <f>IFERROR(INDEX(Структура_ассортимента[Product group name ENG],MATCH(Товары[[#This Row],[SubGroup]],Структура_ассортимента[Subgroup],0)),"")</f>
        <v>Watering, Pumps</v>
      </c>
      <c r="H141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2953</v>
      </c>
      <c r="Q1412" s="39" t="s">
        <v>3416</v>
      </c>
      <c r="R1412" s="34" t="s">
        <v>3407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3417</v>
      </c>
      <c r="X1412" s="34" t="s">
        <v>3418</v>
      </c>
      <c r="Y1412" s="34" t="s">
        <v>3409</v>
      </c>
      <c r="Z1412" s="34">
        <v>10</v>
      </c>
      <c r="AA1412" s="34" t="s">
        <v>6461</v>
      </c>
      <c r="AB1412" s="34" t="s">
        <v>6461</v>
      </c>
      <c r="AC1412" s="34" t="s">
        <v>3643</v>
      </c>
      <c r="AD1412" s="34" t="s">
        <v>3643</v>
      </c>
      <c r="AE1412" s="34" t="s">
        <v>4647</v>
      </c>
      <c r="AF1412" s="34" t="s">
        <v>4127</v>
      </c>
      <c r="AG1412" s="34" t="s">
        <v>4127</v>
      </c>
      <c r="AH1412" s="34" t="s">
        <v>6960</v>
      </c>
      <c r="AL1412" s="34" t="s">
        <v>6954</v>
      </c>
      <c r="AM1412" s="34" t="s">
        <v>7962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7" t="str">
        <f>IFERROR(INDEX(Структура_ассортимента[SuperCategory],MATCH(Товары[[#This Row],[SubGroup]],Структура_ассортимента[Subgroup],0)),"")</f>
        <v>O</v>
      </c>
      <c r="D14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7" t="str">
        <f>IFERROR(INDEX(Структура_ассортимента[Product group],MATCH(Товары[[#This Row],[SubGroup]],Структура_ассортимента[Subgroup],0)),"")</f>
        <v>WPU_C</v>
      </c>
      <c r="G1413" s="67" t="str">
        <f>IFERROR(INDEX(Структура_ассортимента[Product group name ENG],MATCH(Товары[[#This Row],[SubGroup]],Структура_ассортимента[Subgroup],0)),"")</f>
        <v>Watering, Pumps</v>
      </c>
      <c r="H141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2954</v>
      </c>
      <c r="Q1413" s="39" t="s">
        <v>3416</v>
      </c>
      <c r="R1413" s="34" t="s">
        <v>3407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3417</v>
      </c>
      <c r="X1413" s="34" t="s">
        <v>3418</v>
      </c>
      <c r="Y1413" s="34" t="s">
        <v>3409</v>
      </c>
      <c r="Z1413" s="34">
        <v>5</v>
      </c>
      <c r="AA1413" s="34" t="s">
        <v>5915</v>
      </c>
      <c r="AB1413" s="34" t="s">
        <v>5915</v>
      </c>
      <c r="AC1413" s="34" t="s">
        <v>3586</v>
      </c>
      <c r="AD1413" s="34" t="s">
        <v>3586</v>
      </c>
      <c r="AE1413" s="34" t="s">
        <v>4028</v>
      </c>
      <c r="AF1413" s="34" t="s">
        <v>4992</v>
      </c>
      <c r="AG1413" s="34" t="s">
        <v>3539</v>
      </c>
      <c r="AH1413" s="34" t="s">
        <v>6926</v>
      </c>
      <c r="AL1413" s="34" t="s">
        <v>6927</v>
      </c>
      <c r="AM1413" s="34" t="s">
        <v>7962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7" t="str">
        <f>IFERROR(INDEX(Структура_ассортимента[SuperCategory],MATCH(Товары[[#This Row],[SubGroup]],Структура_ассортимента[Subgroup],0)),"")</f>
        <v>O</v>
      </c>
      <c r="D14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7" t="str">
        <f>IFERROR(INDEX(Структура_ассортимента[Product group],MATCH(Товары[[#This Row],[SubGroup]],Структура_ассортимента[Subgroup],0)),"")</f>
        <v>WPU_C</v>
      </c>
      <c r="G1414" s="67" t="str">
        <f>IFERROR(INDEX(Структура_ассортимента[Product group name ENG],MATCH(Товары[[#This Row],[SubGroup]],Структура_ассортимента[Subgroup],0)),"")</f>
        <v>Watering, Pumps</v>
      </c>
      <c r="H141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2955</v>
      </c>
      <c r="Q1414" s="39" t="s">
        <v>3416</v>
      </c>
      <c r="R1414" s="34" t="s">
        <v>3407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3417</v>
      </c>
      <c r="X1414" s="34" t="s">
        <v>3418</v>
      </c>
      <c r="Y1414" s="34" t="s">
        <v>3409</v>
      </c>
      <c r="Z1414" s="34">
        <v>5</v>
      </c>
      <c r="AA1414" s="34" t="s">
        <v>3968</v>
      </c>
      <c r="AB1414" s="34" t="s">
        <v>3968</v>
      </c>
      <c r="AC1414" s="34" t="s">
        <v>3543</v>
      </c>
      <c r="AD1414" s="34" t="s">
        <v>3543</v>
      </c>
      <c r="AE1414" s="34" t="s">
        <v>4202</v>
      </c>
      <c r="AF1414" s="34" t="s">
        <v>4074</v>
      </c>
      <c r="AG1414" s="34" t="s">
        <v>4098</v>
      </c>
      <c r="AH1414" s="34" t="s">
        <v>6961</v>
      </c>
      <c r="AL1414" s="34" t="s">
        <v>6927</v>
      </c>
      <c r="AM1414" s="34" t="s">
        <v>7962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7" t="str">
        <f>IFERROR(INDEX(Структура_ассортимента[SuperCategory],MATCH(Товары[[#This Row],[SubGroup]],Структура_ассортимента[Subgroup],0)),"")</f>
        <v>O</v>
      </c>
      <c r="D14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7" t="str">
        <f>IFERROR(INDEX(Структура_ассортимента[Product group],MATCH(Товары[[#This Row],[SubGroup]],Структура_ассортимента[Subgroup],0)),"")</f>
        <v>WPU_C</v>
      </c>
      <c r="G1415" s="67" t="str">
        <f>IFERROR(INDEX(Структура_ассортимента[Product group name ENG],MATCH(Товары[[#This Row],[SubGroup]],Структура_ассортимента[Subgroup],0)),"")</f>
        <v>Watering, Pumps</v>
      </c>
      <c r="H141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2956</v>
      </c>
      <c r="Q1415" s="39" t="s">
        <v>3416</v>
      </c>
      <c r="R1415" s="34" t="s">
        <v>3407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3417</v>
      </c>
      <c r="X1415" s="34" t="s">
        <v>3418</v>
      </c>
      <c r="Y1415" s="34" t="s">
        <v>3409</v>
      </c>
      <c r="Z1415" s="34">
        <v>5</v>
      </c>
      <c r="AA1415" s="34" t="s">
        <v>3538</v>
      </c>
      <c r="AB1415" s="34" t="s">
        <v>3538</v>
      </c>
      <c r="AC1415" s="34" t="s">
        <v>3537</v>
      </c>
      <c r="AD1415" s="34" t="s">
        <v>3537</v>
      </c>
      <c r="AE1415" s="34" t="s">
        <v>5480</v>
      </c>
      <c r="AF1415" s="34" t="s">
        <v>4288</v>
      </c>
      <c r="AG1415" s="34" t="s">
        <v>4288</v>
      </c>
      <c r="AH1415" s="34" t="s">
        <v>6950</v>
      </c>
      <c r="AL1415" s="34" t="s">
        <v>6927</v>
      </c>
      <c r="AM1415" s="34" t="s">
        <v>7962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7" t="str">
        <f>IFERROR(INDEX(Структура_ассортимента[SuperCategory],MATCH(Товары[[#This Row],[SubGroup]],Структура_ассортимента[Subgroup],0)),"")</f>
        <v>O</v>
      </c>
      <c r="D14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7" t="str">
        <f>IFERROR(INDEX(Структура_ассортимента[Product group],MATCH(Товары[[#This Row],[SubGroup]],Структура_ассортимента[Subgroup],0)),"")</f>
        <v>WPU_C</v>
      </c>
      <c r="G1416" s="67" t="str">
        <f>IFERROR(INDEX(Структура_ассортимента[Product group name ENG],MATCH(Товары[[#This Row],[SubGroup]],Структура_ассортимента[Subgroup],0)),"")</f>
        <v>Watering, Pumps</v>
      </c>
      <c r="H141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2957</v>
      </c>
      <c r="Q1416" s="39" t="s">
        <v>3416</v>
      </c>
      <c r="R1416" s="34" t="s">
        <v>3407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3417</v>
      </c>
      <c r="X1416" s="34" t="s">
        <v>3418</v>
      </c>
      <c r="Y1416" s="34" t="s">
        <v>3409</v>
      </c>
      <c r="Z1416" s="34">
        <v>5</v>
      </c>
      <c r="AA1416" s="34" t="s">
        <v>6962</v>
      </c>
      <c r="AB1416" s="34" t="s">
        <v>6962</v>
      </c>
      <c r="AC1416" s="34" t="s">
        <v>3537</v>
      </c>
      <c r="AD1416" s="34" t="s">
        <v>3537</v>
      </c>
      <c r="AE1416" s="34" t="s">
        <v>3443</v>
      </c>
      <c r="AF1416" s="34" t="s">
        <v>4273</v>
      </c>
      <c r="AG1416" s="34" t="s">
        <v>4273</v>
      </c>
      <c r="AH1416" s="34" t="s">
        <v>6963</v>
      </c>
      <c r="AL1416" s="34" t="s">
        <v>6933</v>
      </c>
      <c r="AM1416" s="34" t="s">
        <v>7962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7" t="str">
        <f>IFERROR(INDEX(Структура_ассортимента[SuperCategory],MATCH(Товары[[#This Row],[SubGroup]],Структура_ассортимента[Subgroup],0)),"")</f>
        <v>O</v>
      </c>
      <c r="D14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7" t="str">
        <f>IFERROR(INDEX(Структура_ассортимента[Product group],MATCH(Товары[[#This Row],[SubGroup]],Структура_ассортимента[Subgroup],0)),"")</f>
        <v>WPU_C</v>
      </c>
      <c r="G1417" s="67" t="str">
        <f>IFERROR(INDEX(Структура_ассортимента[Product group name ENG],MATCH(Товары[[#This Row],[SubGroup]],Структура_ассортимента[Subgroup],0)),"")</f>
        <v>Watering, Pumps</v>
      </c>
      <c r="H141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2958</v>
      </c>
      <c r="Q1417" s="39" t="s">
        <v>3416</v>
      </c>
      <c r="R1417" s="34" t="s">
        <v>3407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3417</v>
      </c>
      <c r="X1417" s="34" t="s">
        <v>3418</v>
      </c>
      <c r="Y1417" s="34" t="s">
        <v>3409</v>
      </c>
      <c r="Z1417" s="34">
        <v>10</v>
      </c>
      <c r="AA1417" s="34" t="s">
        <v>6964</v>
      </c>
      <c r="AB1417" s="34" t="s">
        <v>6964</v>
      </c>
      <c r="AC1417" s="34" t="s">
        <v>3647</v>
      </c>
      <c r="AD1417" s="34" t="s">
        <v>3647</v>
      </c>
      <c r="AE1417" s="34" t="s">
        <v>3621</v>
      </c>
      <c r="AF1417" s="34" t="s">
        <v>3675</v>
      </c>
      <c r="AG1417" s="34" t="s">
        <v>3675</v>
      </c>
      <c r="AH1417" s="34" t="s">
        <v>6965</v>
      </c>
      <c r="AL1417" s="34" t="s">
        <v>6954</v>
      </c>
      <c r="AM1417" s="34" t="s">
        <v>7962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7" t="str">
        <f>IFERROR(INDEX(Структура_ассортимента[SuperCategory],MATCH(Товары[[#This Row],[SubGroup]],Структура_ассортимента[Subgroup],0)),"")</f>
        <v>O</v>
      </c>
      <c r="D14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7" t="str">
        <f>IFERROR(INDEX(Структура_ассортимента[Product group],MATCH(Товары[[#This Row],[SubGroup]],Структура_ассортимента[Subgroup],0)),"")</f>
        <v>WPU_C</v>
      </c>
      <c r="G1418" s="67" t="str">
        <f>IFERROR(INDEX(Структура_ассортимента[Product group name ENG],MATCH(Товары[[#This Row],[SubGroup]],Структура_ассортимента[Subgroup],0)),"")</f>
        <v>Watering, Pumps</v>
      </c>
      <c r="H141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2959</v>
      </c>
      <c r="Q1418" s="39" t="s">
        <v>3416</v>
      </c>
      <c r="R1418" s="34" t="s">
        <v>3407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3417</v>
      </c>
      <c r="X1418" s="34" t="s">
        <v>3418</v>
      </c>
      <c r="Y1418" s="34" t="s">
        <v>3409</v>
      </c>
      <c r="Z1418" s="34">
        <v>10</v>
      </c>
      <c r="AA1418" s="34" t="s">
        <v>6385</v>
      </c>
      <c r="AB1418" s="34" t="s">
        <v>6385</v>
      </c>
      <c r="AC1418" s="34" t="s">
        <v>5496</v>
      </c>
      <c r="AD1418" s="34" t="s">
        <v>5496</v>
      </c>
      <c r="AE1418" s="34" t="s">
        <v>3621</v>
      </c>
      <c r="AF1418" s="34" t="s">
        <v>3545</v>
      </c>
      <c r="AG1418" s="34" t="s">
        <v>3545</v>
      </c>
      <c r="AH1418" s="34" t="s">
        <v>6966</v>
      </c>
      <c r="AL1418" s="34" t="s">
        <v>6954</v>
      </c>
      <c r="AM1418" s="34" t="s">
        <v>7962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7" t="str">
        <f>IFERROR(INDEX(Структура_ассортимента[SuperCategory],MATCH(Товары[[#This Row],[SubGroup]],Структура_ассортимента[Subgroup],0)),"")</f>
        <v>O</v>
      </c>
      <c r="D14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7" t="str">
        <f>IFERROR(INDEX(Структура_ассортимента[Product group],MATCH(Товары[[#This Row],[SubGroup]],Структура_ассортимента[Subgroup],0)),"")</f>
        <v>WPU_C</v>
      </c>
      <c r="G1419" s="67" t="str">
        <f>IFERROR(INDEX(Структура_ассортимента[Product group name ENG],MATCH(Товары[[#This Row],[SubGroup]],Структура_ассортимента[Subgroup],0)),"")</f>
        <v>Watering, Pumps</v>
      </c>
      <c r="H141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2960</v>
      </c>
      <c r="Q1419" s="39" t="s">
        <v>3416</v>
      </c>
      <c r="R1419" s="34" t="s">
        <v>3407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3417</v>
      </c>
      <c r="X1419" s="34" t="s">
        <v>3418</v>
      </c>
      <c r="Y1419" s="34" t="s">
        <v>3409</v>
      </c>
      <c r="Z1419" s="34">
        <v>5</v>
      </c>
      <c r="AA1419" s="34" t="s">
        <v>3520</v>
      </c>
      <c r="AB1419" s="34" t="s">
        <v>3520</v>
      </c>
      <c r="AC1419" s="34" t="s">
        <v>6397</v>
      </c>
      <c r="AD1419" s="34" t="s">
        <v>6397</v>
      </c>
      <c r="AE1419" s="34" t="s">
        <v>4048</v>
      </c>
      <c r="AF1419" s="34" t="s">
        <v>3668</v>
      </c>
      <c r="AG1419" s="34" t="s">
        <v>3668</v>
      </c>
      <c r="AH1419" s="34" t="s">
        <v>6967</v>
      </c>
      <c r="AL1419" s="34" t="s">
        <v>6927</v>
      </c>
      <c r="AM1419" s="34" t="s">
        <v>7962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7" t="str">
        <f>IFERROR(INDEX(Структура_ассортимента[SuperCategory],MATCH(Товары[[#This Row],[SubGroup]],Структура_ассортимента[Subgroup],0)),"")</f>
        <v>O</v>
      </c>
      <c r="D14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7" t="str">
        <f>IFERROR(INDEX(Структура_ассортимента[Product group],MATCH(Товары[[#This Row],[SubGroup]],Структура_ассортимента[Subgroup],0)),"")</f>
        <v>WPU_C</v>
      </c>
      <c r="G1420" s="67" t="str">
        <f>IFERROR(INDEX(Структура_ассортимента[Product group name ENG],MATCH(Товары[[#This Row],[SubGroup]],Структура_ассортимента[Subgroup],0)),"")</f>
        <v>Watering, Pumps</v>
      </c>
      <c r="H142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2961</v>
      </c>
      <c r="Q1420" s="39" t="s">
        <v>3416</v>
      </c>
      <c r="R1420" s="34" t="s">
        <v>3407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3417</v>
      </c>
      <c r="X1420" s="34" t="s">
        <v>3418</v>
      </c>
      <c r="Y1420" s="34" t="s">
        <v>3409</v>
      </c>
      <c r="Z1420" s="34">
        <v>5</v>
      </c>
      <c r="AA1420" s="34" t="s">
        <v>5895</v>
      </c>
      <c r="AB1420" s="34" t="s">
        <v>5895</v>
      </c>
      <c r="AC1420" s="34" t="s">
        <v>3957</v>
      </c>
      <c r="AD1420" s="34" t="s">
        <v>3957</v>
      </c>
      <c r="AE1420" s="34" t="s">
        <v>4028</v>
      </c>
      <c r="AF1420" s="34" t="s">
        <v>4127</v>
      </c>
      <c r="AG1420" s="34" t="s">
        <v>4127</v>
      </c>
      <c r="AH1420" s="34" t="s">
        <v>6968</v>
      </c>
      <c r="AL1420" s="34" t="s">
        <v>6927</v>
      </c>
      <c r="AM1420" s="34" t="s">
        <v>7962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7" t="str">
        <f>IFERROR(INDEX(Структура_ассортимента[SuperCategory],MATCH(Товары[[#This Row],[SubGroup]],Структура_ассортимента[Subgroup],0)),"")</f>
        <v>O</v>
      </c>
      <c r="D14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7" t="str">
        <f>IFERROR(INDEX(Структура_ассортимента[Product group],MATCH(Товары[[#This Row],[SubGroup]],Структура_ассортимента[Subgroup],0)),"")</f>
        <v>WPU_C</v>
      </c>
      <c r="G1421" s="67" t="str">
        <f>IFERROR(INDEX(Структура_ассортимента[Product group name ENG],MATCH(Товары[[#This Row],[SubGroup]],Структура_ассортимента[Subgroup],0)),"")</f>
        <v>Watering, Pumps</v>
      </c>
      <c r="H142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2962</v>
      </c>
      <c r="Q1421" s="39" t="s">
        <v>3416</v>
      </c>
      <c r="R1421" s="34" t="s">
        <v>3407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3417</v>
      </c>
      <c r="X1421" s="34" t="s">
        <v>3418</v>
      </c>
      <c r="Y1421" s="34" t="s">
        <v>3409</v>
      </c>
      <c r="Z1421" s="34">
        <v>5</v>
      </c>
      <c r="AA1421" s="34" t="s">
        <v>6969</v>
      </c>
      <c r="AB1421" s="34" t="s">
        <v>6969</v>
      </c>
      <c r="AC1421" s="34" t="s">
        <v>3968</v>
      </c>
      <c r="AD1421" s="34" t="s">
        <v>3968</v>
      </c>
      <c r="AE1421" s="34" t="s">
        <v>3667</v>
      </c>
      <c r="AF1421" s="34" t="s">
        <v>4339</v>
      </c>
      <c r="AG1421" s="34" t="s">
        <v>4339</v>
      </c>
      <c r="AH1421" s="34" t="s">
        <v>6970</v>
      </c>
      <c r="AL1421" s="34" t="s">
        <v>6933</v>
      </c>
      <c r="AM1421" s="34" t="s">
        <v>7962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7" t="str">
        <f>IFERROR(INDEX(Структура_ассортимента[SuperCategory],MATCH(Товары[[#This Row],[SubGroup]],Структура_ассортимента[Subgroup],0)),"")</f>
        <v>O</v>
      </c>
      <c r="D14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7" t="str">
        <f>IFERROR(INDEX(Структура_ассортимента[Product group],MATCH(Товары[[#This Row],[SubGroup]],Структура_ассортимента[Subgroup],0)),"")</f>
        <v>WPU_C</v>
      </c>
      <c r="G1422" s="67" t="str">
        <f>IFERROR(INDEX(Структура_ассортимента[Product group name ENG],MATCH(Товары[[#This Row],[SubGroup]],Структура_ассортимента[Subgroup],0)),"")</f>
        <v>Watering, Pumps</v>
      </c>
      <c r="H142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2963</v>
      </c>
      <c r="Q1422" s="39" t="s">
        <v>3416</v>
      </c>
      <c r="R1422" s="34" t="s">
        <v>3407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3417</v>
      </c>
      <c r="X1422" s="34" t="s">
        <v>3418</v>
      </c>
      <c r="Y1422" s="34" t="s">
        <v>3409</v>
      </c>
      <c r="Z1422" s="34">
        <v>3</v>
      </c>
      <c r="AA1422" s="34" t="s">
        <v>6942</v>
      </c>
      <c r="AB1422" s="34" t="s">
        <v>6942</v>
      </c>
      <c r="AC1422" s="34" t="s">
        <v>4267</v>
      </c>
      <c r="AD1422" s="34" t="s">
        <v>4267</v>
      </c>
      <c r="AE1422" s="34" t="s">
        <v>4548</v>
      </c>
      <c r="AF1422" s="34" t="s">
        <v>3578</v>
      </c>
      <c r="AG1422" s="34" t="s">
        <v>3578</v>
      </c>
      <c r="AH1422" s="34" t="s">
        <v>6971</v>
      </c>
      <c r="AL1422" s="34" t="s">
        <v>5150</v>
      </c>
      <c r="AM1422" s="34" t="s">
        <v>7962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7" t="str">
        <f>IFERROR(INDEX(Структура_ассортимента[SuperCategory],MATCH(Товары[[#This Row],[SubGroup]],Структура_ассортимента[Subgroup],0)),"")</f>
        <v>O</v>
      </c>
      <c r="D14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7" t="str">
        <f>IFERROR(INDEX(Структура_ассортимента[Product group],MATCH(Товары[[#This Row],[SubGroup]],Структура_ассортимента[Subgroup],0)),"")</f>
        <v>WPU_C</v>
      </c>
      <c r="G1423" s="67" t="str">
        <f>IFERROR(INDEX(Структура_ассортимента[Product group name ENG],MATCH(Товары[[#This Row],[SubGroup]],Структура_ассортимента[Subgroup],0)),"")</f>
        <v>Watering, Pumps</v>
      </c>
      <c r="H142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2964</v>
      </c>
      <c r="Q1423" s="39" t="s">
        <v>3416</v>
      </c>
      <c r="R1423" s="34" t="s">
        <v>3407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3417</v>
      </c>
      <c r="X1423" s="34" t="s">
        <v>3418</v>
      </c>
      <c r="Y1423" s="34" t="s">
        <v>3409</v>
      </c>
      <c r="Z1423" s="34">
        <v>5</v>
      </c>
      <c r="AA1423" s="34" t="s">
        <v>6972</v>
      </c>
      <c r="AB1423" s="34" t="s">
        <v>3608</v>
      </c>
      <c r="AC1423" s="34" t="s">
        <v>3967</v>
      </c>
      <c r="AD1423" s="34" t="s">
        <v>3595</v>
      </c>
      <c r="AE1423" s="34" t="s">
        <v>3424</v>
      </c>
      <c r="AF1423" s="34" t="s">
        <v>4218</v>
      </c>
      <c r="AG1423" s="34" t="s">
        <v>4218</v>
      </c>
      <c r="AH1423" s="34" t="s">
        <v>6973</v>
      </c>
      <c r="AL1423" s="34" t="s">
        <v>6944</v>
      </c>
      <c r="AM1423" s="34" t="s">
        <v>7962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7" t="str">
        <f>IFERROR(INDEX(Структура_ассортимента[SuperCategory],MATCH(Товары[[#This Row],[SubGroup]],Структура_ассортимента[Subgroup],0)),"")</f>
        <v>O</v>
      </c>
      <c r="D14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7" t="str">
        <f>IFERROR(INDEX(Структура_ассортимента[Product group],MATCH(Товары[[#This Row],[SubGroup]],Структура_ассортимента[Subgroup],0)),"")</f>
        <v>WPU_C</v>
      </c>
      <c r="G1424" s="67" t="str">
        <f>IFERROR(INDEX(Структура_ассортимента[Product group name ENG],MATCH(Товары[[#This Row],[SubGroup]],Структура_ассортимента[Subgroup],0)),"")</f>
        <v>Watering, Pumps</v>
      </c>
      <c r="H142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2965</v>
      </c>
      <c r="Q1424" s="39" t="s">
        <v>3416</v>
      </c>
      <c r="R1424" s="34" t="s">
        <v>3407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3417</v>
      </c>
      <c r="X1424" s="34" t="s">
        <v>3418</v>
      </c>
      <c r="Y1424" s="34" t="s">
        <v>3409</v>
      </c>
      <c r="Z1424" s="34">
        <v>5</v>
      </c>
      <c r="AA1424" s="34" t="s">
        <v>3869</v>
      </c>
      <c r="AB1424" s="34" t="s">
        <v>3967</v>
      </c>
      <c r="AC1424" s="34" t="s">
        <v>3673</v>
      </c>
      <c r="AD1424" s="34" t="s">
        <v>3595</v>
      </c>
      <c r="AE1424" s="34" t="s">
        <v>6368</v>
      </c>
      <c r="AF1424" s="34" t="s">
        <v>4085</v>
      </c>
      <c r="AG1424" s="34" t="s">
        <v>4085</v>
      </c>
      <c r="AH1424" s="34" t="s">
        <v>6955</v>
      </c>
      <c r="AL1424" s="34" t="s">
        <v>6933</v>
      </c>
      <c r="AM1424" s="34" t="s">
        <v>7962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7" t="str">
        <f>IFERROR(INDEX(Структура_ассортимента[SuperCategory],MATCH(Товары[[#This Row],[SubGroup]],Структура_ассортимента[Subgroup],0)),"")</f>
        <v>O</v>
      </c>
      <c r="D14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7" t="str">
        <f>IFERROR(INDEX(Структура_ассортимента[Product group],MATCH(Товары[[#This Row],[SubGroup]],Структура_ассортимента[Subgroup],0)),"")</f>
        <v>WPU_C</v>
      </c>
      <c r="G1425" s="67" t="str">
        <f>IFERROR(INDEX(Структура_ассортимента[Product group name ENG],MATCH(Товары[[#This Row],[SubGroup]],Структура_ассортимента[Subgroup],0)),"")</f>
        <v>Watering, Pumps</v>
      </c>
      <c r="H142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2966</v>
      </c>
      <c r="Q1425" s="39" t="s">
        <v>3416</v>
      </c>
      <c r="R1425" s="34" t="s">
        <v>3407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3417</v>
      </c>
      <c r="X1425" s="34" t="s">
        <v>3418</v>
      </c>
      <c r="Y1425" s="34" t="s">
        <v>3409</v>
      </c>
      <c r="Z1425" s="34">
        <v>3</v>
      </c>
      <c r="AA1425" s="34" t="s">
        <v>4369</v>
      </c>
      <c r="AB1425" s="34" t="s">
        <v>4369</v>
      </c>
      <c r="AC1425" s="34" t="s">
        <v>6691</v>
      </c>
      <c r="AD1425" s="34" t="s">
        <v>6691</v>
      </c>
      <c r="AE1425" s="34" t="s">
        <v>4191</v>
      </c>
      <c r="AF1425" s="34" t="s">
        <v>3964</v>
      </c>
      <c r="AG1425" s="34" t="s">
        <v>3964</v>
      </c>
      <c r="AH1425" s="34" t="s">
        <v>6974</v>
      </c>
      <c r="AL1425" s="34" t="s">
        <v>5523</v>
      </c>
      <c r="AM1425" s="34" t="s">
        <v>7962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7" t="str">
        <f>IFERROR(INDEX(Структура_ассортимента[SuperCategory],MATCH(Товары[[#This Row],[SubGroup]],Структура_ассортимента[Subgroup],0)),"")</f>
        <v>O</v>
      </c>
      <c r="D14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7" t="str">
        <f>IFERROR(INDEX(Структура_ассортимента[Product group],MATCH(Товары[[#This Row],[SubGroup]],Структура_ассортимента[Subgroup],0)),"")</f>
        <v>WPU_C</v>
      </c>
      <c r="G1426" s="67" t="str">
        <f>IFERROR(INDEX(Структура_ассортимента[Product group name ENG],MATCH(Товары[[#This Row],[SubGroup]],Структура_ассортимента[Subgroup],0)),"")</f>
        <v>Watering, Pumps</v>
      </c>
      <c r="H142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2967</v>
      </c>
      <c r="Q1426" s="39" t="s">
        <v>3416</v>
      </c>
      <c r="R1426" s="34" t="s">
        <v>3407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3417</v>
      </c>
      <c r="X1426" s="34" t="s">
        <v>3418</v>
      </c>
      <c r="Y1426" s="34" t="s">
        <v>3409</v>
      </c>
      <c r="Z1426" s="34">
        <v>5</v>
      </c>
      <c r="AA1426" s="34" t="s">
        <v>4342</v>
      </c>
      <c r="AB1426" s="34" t="s">
        <v>4342</v>
      </c>
      <c r="AC1426" s="34" t="s">
        <v>4008</v>
      </c>
      <c r="AD1426" s="34" t="s">
        <v>4008</v>
      </c>
      <c r="AE1426" s="34" t="s">
        <v>3578</v>
      </c>
      <c r="AF1426" s="34" t="s">
        <v>5015</v>
      </c>
      <c r="AG1426" s="34" t="s">
        <v>5015</v>
      </c>
      <c r="AH1426" s="34" t="s">
        <v>6975</v>
      </c>
      <c r="AL1426" s="34" t="s">
        <v>6944</v>
      </c>
      <c r="AM1426" s="34" t="s">
        <v>7962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7" t="str">
        <f>IFERROR(INDEX(Структура_ассортимента[SuperCategory],MATCH(Товары[[#This Row],[SubGroup]],Структура_ассортимента[Subgroup],0)),"")</f>
        <v>O</v>
      </c>
      <c r="D14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7" t="str">
        <f>IFERROR(INDEX(Структура_ассортимента[Product group],MATCH(Товары[[#This Row],[SubGroup]],Структура_ассортимента[Subgroup],0)),"")</f>
        <v>WPU_C</v>
      </c>
      <c r="G1427" s="67" t="str">
        <f>IFERROR(INDEX(Структура_ассортимента[Product group name ENG],MATCH(Товары[[#This Row],[SubGroup]],Структура_ассортимента[Subgroup],0)),"")</f>
        <v>Watering, Pumps</v>
      </c>
      <c r="H142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2968</v>
      </c>
      <c r="Q1427" s="39" t="s">
        <v>3519</v>
      </c>
      <c r="R1427" s="34" t="s">
        <v>3407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3417</v>
      </c>
      <c r="X1427" s="34" t="s">
        <v>3418</v>
      </c>
      <c r="Y1427" s="34" t="s">
        <v>3409</v>
      </c>
      <c r="Z1427" s="34">
        <v>5</v>
      </c>
      <c r="AA1427" s="34" t="s">
        <v>3664</v>
      </c>
      <c r="AB1427" s="34" t="s">
        <v>3664</v>
      </c>
      <c r="AC1427" s="34" t="s">
        <v>6357</v>
      </c>
      <c r="AD1427" s="34" t="s">
        <v>6357</v>
      </c>
      <c r="AE1427" s="34" t="s">
        <v>5149</v>
      </c>
      <c r="AF1427" s="34" t="s">
        <v>3566</v>
      </c>
      <c r="AG1427" s="34" t="s">
        <v>3566</v>
      </c>
      <c r="AH1427" s="34" t="s">
        <v>6976</v>
      </c>
      <c r="AL1427" s="34">
        <v>3240</v>
      </c>
      <c r="AM1427" s="34" t="s">
        <v>7962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7" t="str">
        <f>IFERROR(INDEX(Структура_ассортимента[SuperCategory],MATCH(Товары[[#This Row],[SubGroup]],Структура_ассортимента[Subgroup],0)),"")</f>
        <v>O</v>
      </c>
      <c r="D14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7" t="str">
        <f>IFERROR(INDEX(Структура_ассортимента[Product group],MATCH(Товары[[#This Row],[SubGroup]],Структура_ассортимента[Subgroup],0)),"")</f>
        <v>WPU_C</v>
      </c>
      <c r="G1428" s="67" t="str">
        <f>IFERROR(INDEX(Структура_ассортимента[Product group name ENG],MATCH(Товары[[#This Row],[SubGroup]],Структура_ассортимента[Subgroup],0)),"")</f>
        <v>Watering, Pumps</v>
      </c>
      <c r="H142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2969</v>
      </c>
      <c r="Q1428" s="39" t="s">
        <v>3519</v>
      </c>
      <c r="R1428" s="34" t="s">
        <v>3407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3417</v>
      </c>
      <c r="X1428" s="34" t="s">
        <v>3418</v>
      </c>
      <c r="Y1428" s="34" t="s">
        <v>3409</v>
      </c>
      <c r="Z1428" s="34">
        <v>5</v>
      </c>
      <c r="AA1428" s="34" t="s">
        <v>6379</v>
      </c>
      <c r="AB1428" s="34" t="s">
        <v>6379</v>
      </c>
      <c r="AC1428" s="34" t="s">
        <v>6382</v>
      </c>
      <c r="AD1428" s="34" t="s">
        <v>6382</v>
      </c>
      <c r="AE1428" s="34" t="s">
        <v>4051</v>
      </c>
      <c r="AF1428" s="34" t="s">
        <v>4335</v>
      </c>
      <c r="AG1428" s="34" t="s">
        <v>4335</v>
      </c>
      <c r="AH1428" s="34" t="s">
        <v>5531</v>
      </c>
      <c r="AL1428" s="34">
        <v>1680</v>
      </c>
      <c r="AM1428" s="34" t="s">
        <v>7962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7" t="str">
        <f>IFERROR(INDEX(Структура_ассортимента[SuperCategory],MATCH(Товары[[#This Row],[SubGroup]],Структура_ассортимента[Subgroup],0)),"")</f>
        <v>O</v>
      </c>
      <c r="D14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7" t="str">
        <f>IFERROR(INDEX(Структура_ассортимента[Product group],MATCH(Товары[[#This Row],[SubGroup]],Структура_ассортимента[Subgroup],0)),"")</f>
        <v>WPU_C</v>
      </c>
      <c r="G1429" s="67" t="str">
        <f>IFERROR(INDEX(Структура_ассортимента[Product group name ENG],MATCH(Товары[[#This Row],[SubGroup]],Структура_ассортимента[Subgroup],0)),"")</f>
        <v>Watering, Pumps</v>
      </c>
      <c r="H142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2970</v>
      </c>
      <c r="Q1429" s="39" t="s">
        <v>3519</v>
      </c>
      <c r="R1429" s="34" t="s">
        <v>3407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3417</v>
      </c>
      <c r="X1429" s="34" t="s">
        <v>3418</v>
      </c>
      <c r="Y1429" s="34" t="s">
        <v>3409</v>
      </c>
      <c r="Z1429" s="34">
        <v>5</v>
      </c>
      <c r="AA1429" s="34" t="s">
        <v>5514</v>
      </c>
      <c r="AB1429" s="34" t="s">
        <v>5514</v>
      </c>
      <c r="AC1429" s="34" t="s">
        <v>5470</v>
      </c>
      <c r="AD1429" s="34" t="s">
        <v>5470</v>
      </c>
      <c r="AE1429" s="34" t="s">
        <v>4202</v>
      </c>
      <c r="AF1429" s="34" t="s">
        <v>4048</v>
      </c>
      <c r="AG1429" s="34" t="s">
        <v>4048</v>
      </c>
      <c r="AH1429" s="34" t="s">
        <v>6977</v>
      </c>
      <c r="AL1429" s="34">
        <v>1680</v>
      </c>
      <c r="AM1429" s="34" t="s">
        <v>7962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7" t="str">
        <f>IFERROR(INDEX(Структура_ассортимента[SuperCategory],MATCH(Товары[[#This Row],[SubGroup]],Структура_ассортимента[Subgroup],0)),"")</f>
        <v>O</v>
      </c>
      <c r="D14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7" t="str">
        <f>IFERROR(INDEX(Структура_ассортимента[Product group],MATCH(Товары[[#This Row],[SubGroup]],Структура_ассортимента[Subgroup],0)),"")</f>
        <v>WPU_C</v>
      </c>
      <c r="G1430" s="67" t="str">
        <f>IFERROR(INDEX(Структура_ассортимента[Product group name ENG],MATCH(Товары[[#This Row],[SubGroup]],Структура_ассортимента[Subgroup],0)),"")</f>
        <v>Watering, Pumps</v>
      </c>
      <c r="H143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2971</v>
      </c>
      <c r="Q1430" s="39" t="s">
        <v>3416</v>
      </c>
      <c r="R1430" s="34" t="s">
        <v>3407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3417</v>
      </c>
      <c r="X1430" s="34" t="s">
        <v>3418</v>
      </c>
      <c r="Y1430" s="34" t="s">
        <v>3409</v>
      </c>
      <c r="Z1430" s="34">
        <v>5</v>
      </c>
      <c r="AA1430" s="34" t="s">
        <v>5495</v>
      </c>
      <c r="AB1430" s="34" t="s">
        <v>5495</v>
      </c>
      <c r="AC1430" s="34" t="s">
        <v>5470</v>
      </c>
      <c r="AD1430" s="34" t="s">
        <v>5470</v>
      </c>
      <c r="AE1430" s="34" t="s">
        <v>4339</v>
      </c>
      <c r="AF1430" s="34" t="s">
        <v>3539</v>
      </c>
      <c r="AG1430" s="34" t="s">
        <v>3539</v>
      </c>
      <c r="AH1430" s="34" t="s">
        <v>6960</v>
      </c>
      <c r="AL1430" s="34" t="s">
        <v>6927</v>
      </c>
      <c r="AM1430" s="34" t="s">
        <v>7962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7" t="str">
        <f>IFERROR(INDEX(Структура_ассортимента[SuperCategory],MATCH(Товары[[#This Row],[SubGroup]],Структура_ассортимента[Subgroup],0)),"")</f>
        <v>O</v>
      </c>
      <c r="D14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7" t="str">
        <f>IFERROR(INDEX(Структура_ассортимента[Product group],MATCH(Товары[[#This Row],[SubGroup]],Структура_ассортимента[Subgroup],0)),"")</f>
        <v>WPU_C</v>
      </c>
      <c r="G1431" s="67" t="str">
        <f>IFERROR(INDEX(Структура_ассортимента[Product group name ENG],MATCH(Товары[[#This Row],[SubGroup]],Структура_ассортимента[Subgroup],0)),"")</f>
        <v>Watering, Pumps</v>
      </c>
      <c r="H143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2972</v>
      </c>
      <c r="Q1431" s="39" t="s">
        <v>3416</v>
      </c>
      <c r="R1431" s="34" t="s">
        <v>3407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3417</v>
      </c>
      <c r="X1431" s="34" t="s">
        <v>3418</v>
      </c>
      <c r="Y1431" s="34" t="s">
        <v>3409</v>
      </c>
      <c r="Z1431" s="34">
        <v>5</v>
      </c>
      <c r="AA1431" s="34" t="s">
        <v>5520</v>
      </c>
      <c r="AB1431" s="34" t="s">
        <v>5520</v>
      </c>
      <c r="AC1431" s="34" t="s">
        <v>5915</v>
      </c>
      <c r="AD1431" s="34" t="s">
        <v>5915</v>
      </c>
      <c r="AE1431" s="34" t="s">
        <v>4048</v>
      </c>
      <c r="AF1431" s="34" t="s">
        <v>4642</v>
      </c>
      <c r="AG1431" s="34" t="s">
        <v>4642</v>
      </c>
      <c r="AH1431" s="34" t="s">
        <v>6320</v>
      </c>
      <c r="AL1431" s="34" t="s">
        <v>6927</v>
      </c>
      <c r="AM1431" s="34" t="s">
        <v>7962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7" t="str">
        <f>IFERROR(INDEX(Структура_ассортимента[SuperCategory],MATCH(Товары[[#This Row],[SubGroup]],Структура_ассортимента[Subgroup],0)),"")</f>
        <v>O</v>
      </c>
      <c r="D14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7" t="str">
        <f>IFERROR(INDEX(Структура_ассортимента[Product group],MATCH(Товары[[#This Row],[SubGroup]],Структура_ассортимента[Subgroup],0)),"")</f>
        <v>WPU_C</v>
      </c>
      <c r="G1432" s="67" t="str">
        <f>IFERROR(INDEX(Структура_ассортимента[Product group name ENG],MATCH(Товары[[#This Row],[SubGroup]],Структура_ассортимента[Subgroup],0)),"")</f>
        <v>Watering, Pumps</v>
      </c>
      <c r="H143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2973</v>
      </c>
      <c r="Q1432" s="39" t="s">
        <v>3416</v>
      </c>
      <c r="R1432" s="34" t="s">
        <v>3407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3417</v>
      </c>
      <c r="X1432" s="34" t="s">
        <v>3418</v>
      </c>
      <c r="Y1432" s="34" t="s">
        <v>3409</v>
      </c>
      <c r="Z1432" s="34">
        <v>3</v>
      </c>
      <c r="AA1432" s="34" t="s">
        <v>3588</v>
      </c>
      <c r="AB1432" s="34" t="s">
        <v>3588</v>
      </c>
      <c r="AC1432" s="34" t="s">
        <v>3587</v>
      </c>
      <c r="AD1432" s="34" t="s">
        <v>3587</v>
      </c>
      <c r="AE1432" s="34" t="s">
        <v>3621</v>
      </c>
      <c r="AF1432" s="34" t="s">
        <v>4335</v>
      </c>
      <c r="AG1432" s="34" t="s">
        <v>4335</v>
      </c>
      <c r="AH1432" s="34" t="s">
        <v>6978</v>
      </c>
      <c r="AL1432" s="34" t="s">
        <v>6979</v>
      </c>
      <c r="AM1432" s="34" t="s">
        <v>7962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7" t="str">
        <f>IFERROR(INDEX(Структура_ассортимента[SuperCategory],MATCH(Товары[[#This Row],[SubGroup]],Структура_ассортимента[Subgroup],0)),"")</f>
        <v>O</v>
      </c>
      <c r="D14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7" t="str">
        <f>IFERROR(INDEX(Структура_ассортимента[Product group],MATCH(Товары[[#This Row],[SubGroup]],Структура_ассортимента[Subgroup],0)),"")</f>
        <v>WPU_C</v>
      </c>
      <c r="G1433" s="67" t="str">
        <f>IFERROR(INDEX(Структура_ассортимента[Product group name ENG],MATCH(Товары[[#This Row],[SubGroup]],Структура_ассортимента[Subgroup],0)),"")</f>
        <v>Watering, Pumps</v>
      </c>
      <c r="H143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2974</v>
      </c>
      <c r="Q1433" s="39" t="s">
        <v>3416</v>
      </c>
      <c r="R1433" s="34" t="s">
        <v>3407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3417</v>
      </c>
      <c r="X1433" s="34" t="s">
        <v>3418</v>
      </c>
      <c r="Y1433" s="34" t="s">
        <v>3409</v>
      </c>
      <c r="Z1433" s="34">
        <v>5</v>
      </c>
      <c r="AA1433" s="34" t="s">
        <v>5500</v>
      </c>
      <c r="AB1433" s="34" t="s">
        <v>5500</v>
      </c>
      <c r="AC1433" s="34" t="s">
        <v>5495</v>
      </c>
      <c r="AD1433" s="34" t="s">
        <v>5495</v>
      </c>
      <c r="AE1433" s="34" t="s">
        <v>4127</v>
      </c>
      <c r="AF1433" s="34" t="s">
        <v>4127</v>
      </c>
      <c r="AG1433" s="34" t="s">
        <v>4993</v>
      </c>
      <c r="AH1433" s="34" t="s">
        <v>6980</v>
      </c>
      <c r="AL1433" s="34" t="s">
        <v>6927</v>
      </c>
      <c r="AM1433" s="34" t="s">
        <v>7962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7" t="str">
        <f>IFERROR(INDEX(Структура_ассортимента[SuperCategory],MATCH(Товары[[#This Row],[SubGroup]],Структура_ассортимента[Subgroup],0)),"")</f>
        <v>O</v>
      </c>
      <c r="D14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7" t="str">
        <f>IFERROR(INDEX(Структура_ассортимента[Product group],MATCH(Товары[[#This Row],[SubGroup]],Структура_ассортимента[Subgroup],0)),"")</f>
        <v>WPU_C</v>
      </c>
      <c r="G1434" s="67" t="str">
        <f>IFERROR(INDEX(Структура_ассортимента[Product group name ENG],MATCH(Товары[[#This Row],[SubGroup]],Структура_ассортимента[Subgroup],0)),"")</f>
        <v>Watering, Pumps</v>
      </c>
      <c r="H143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2975</v>
      </c>
      <c r="Q1434" s="39" t="s">
        <v>3416</v>
      </c>
      <c r="R1434" s="34" t="s">
        <v>3407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3417</v>
      </c>
      <c r="X1434" s="34" t="s">
        <v>3418</v>
      </c>
      <c r="Y1434" s="34" t="s">
        <v>3409</v>
      </c>
      <c r="Z1434" s="34">
        <v>5</v>
      </c>
      <c r="AA1434" s="34" t="s">
        <v>6362</v>
      </c>
      <c r="AB1434" s="34" t="s">
        <v>6362</v>
      </c>
      <c r="AC1434" s="34" t="s">
        <v>5516</v>
      </c>
      <c r="AD1434" s="34" t="s">
        <v>5516</v>
      </c>
      <c r="AE1434" s="34" t="s">
        <v>4288</v>
      </c>
      <c r="AF1434" s="34" t="s">
        <v>3798</v>
      </c>
      <c r="AG1434" s="34" t="s">
        <v>3798</v>
      </c>
      <c r="AH1434" s="34" t="s">
        <v>6981</v>
      </c>
      <c r="AL1434" s="34" t="s">
        <v>6927</v>
      </c>
      <c r="AM1434" s="34" t="s">
        <v>7962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7" t="str">
        <f>IFERROR(INDEX(Структура_ассортимента[SuperCategory],MATCH(Товары[[#This Row],[SubGroup]],Структура_ассортимента[Subgroup],0)),"")</f>
        <v>O</v>
      </c>
      <c r="D14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7" t="str">
        <f>IFERROR(INDEX(Структура_ассортимента[Product group],MATCH(Товары[[#This Row],[SubGroup]],Структура_ассортимента[Subgroup],0)),"")</f>
        <v>WPU_C</v>
      </c>
      <c r="G1435" s="67" t="str">
        <f>IFERROR(INDEX(Структура_ассортимента[Product group name ENG],MATCH(Товары[[#This Row],[SubGroup]],Структура_ассортимента[Subgroup],0)),"")</f>
        <v>Watering, Pumps</v>
      </c>
      <c r="H143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2976</v>
      </c>
      <c r="Q1435" s="39" t="s">
        <v>3416</v>
      </c>
      <c r="R1435" s="34" t="s">
        <v>3407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3417</v>
      </c>
      <c r="X1435" s="34" t="s">
        <v>3418</v>
      </c>
      <c r="Y1435" s="34" t="s">
        <v>3409</v>
      </c>
      <c r="Z1435" s="34">
        <v>5</v>
      </c>
      <c r="AA1435" s="34" t="s">
        <v>6451</v>
      </c>
      <c r="AB1435" s="34" t="s">
        <v>6451</v>
      </c>
      <c r="AC1435" s="34" t="s">
        <v>3584</v>
      </c>
      <c r="AD1435" s="34" t="s">
        <v>3584</v>
      </c>
      <c r="AE1435" s="34" t="s">
        <v>4088</v>
      </c>
      <c r="AF1435" s="34" t="s">
        <v>4088</v>
      </c>
      <c r="AG1435" s="34" t="s">
        <v>3791</v>
      </c>
      <c r="AH1435" s="34" t="s">
        <v>6456</v>
      </c>
      <c r="AL1435" s="34" t="s">
        <v>6927</v>
      </c>
      <c r="AM1435" s="34" t="s">
        <v>7962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7" t="str">
        <f>IFERROR(INDEX(Структура_ассортимента[SuperCategory],MATCH(Товары[[#This Row],[SubGroup]],Структура_ассортимента[Subgroup],0)),"")</f>
        <v>O</v>
      </c>
      <c r="D14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7" t="str">
        <f>IFERROR(INDEX(Структура_ассортимента[Product group],MATCH(Товары[[#This Row],[SubGroup]],Структура_ассортимента[Subgroup],0)),"")</f>
        <v>WPU_C</v>
      </c>
      <c r="G1436" s="67" t="str">
        <f>IFERROR(INDEX(Структура_ассортимента[Product group name ENG],MATCH(Товары[[#This Row],[SubGroup]],Структура_ассортимента[Subgroup],0)),"")</f>
        <v>Watering, Pumps</v>
      </c>
      <c r="H143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2977</v>
      </c>
      <c r="Q1436" s="39" t="s">
        <v>3416</v>
      </c>
      <c r="R1436" s="34" t="s">
        <v>3407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3417</v>
      </c>
      <c r="X1436" s="34" t="s">
        <v>3418</v>
      </c>
      <c r="Y1436" s="34" t="s">
        <v>3409</v>
      </c>
      <c r="Z1436" s="34">
        <v>5</v>
      </c>
      <c r="AA1436" s="34" t="s">
        <v>6930</v>
      </c>
      <c r="AB1436" s="34" t="s">
        <v>6930</v>
      </c>
      <c r="AC1436" s="34" t="s">
        <v>3594</v>
      </c>
      <c r="AD1436" s="34" t="s">
        <v>3594</v>
      </c>
      <c r="AE1436" s="34" t="s">
        <v>4085</v>
      </c>
      <c r="AF1436" s="34" t="s">
        <v>4085</v>
      </c>
      <c r="AG1436" s="34" t="s">
        <v>4101</v>
      </c>
      <c r="AH1436" s="34" t="s">
        <v>6982</v>
      </c>
      <c r="AL1436" s="34" t="s">
        <v>6927</v>
      </c>
      <c r="AM1436" s="34" t="s">
        <v>7962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7" t="str">
        <f>IFERROR(INDEX(Структура_ассортимента[SuperCategory],MATCH(Товары[[#This Row],[SubGroup]],Структура_ассортимента[Subgroup],0)),"")</f>
        <v>O</v>
      </c>
      <c r="D14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7" t="str">
        <f>IFERROR(INDEX(Структура_ассортимента[Product group],MATCH(Товары[[#This Row],[SubGroup]],Структура_ассортимента[Subgroup],0)),"")</f>
        <v>WPU_C</v>
      </c>
      <c r="G1437" s="67" t="str">
        <f>IFERROR(INDEX(Структура_ассортимента[Product group name ENG],MATCH(Товары[[#This Row],[SubGroup]],Структура_ассортимента[Subgroup],0)),"")</f>
        <v>Watering, Pumps</v>
      </c>
      <c r="H143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2978</v>
      </c>
      <c r="Q1437" s="39" t="s">
        <v>3416</v>
      </c>
      <c r="R1437" s="34" t="s">
        <v>3407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3417</v>
      </c>
      <c r="X1437" s="34" t="s">
        <v>3418</v>
      </c>
      <c r="Y1437" s="34" t="s">
        <v>3409</v>
      </c>
      <c r="Z1437" s="34">
        <v>5</v>
      </c>
      <c r="AA1437" s="34" t="s">
        <v>5511</v>
      </c>
      <c r="AB1437" s="34" t="s">
        <v>5511</v>
      </c>
      <c r="AC1437" s="34" t="s">
        <v>3581</v>
      </c>
      <c r="AD1437" s="34" t="s">
        <v>3581</v>
      </c>
      <c r="AE1437" s="34" t="s">
        <v>3798</v>
      </c>
      <c r="AF1437" s="34" t="s">
        <v>3798</v>
      </c>
      <c r="AG1437" s="34" t="s">
        <v>3799</v>
      </c>
      <c r="AH1437" s="34" t="s">
        <v>6983</v>
      </c>
      <c r="AL1437" s="34" t="s">
        <v>6927</v>
      </c>
      <c r="AM1437" s="34" t="s">
        <v>7962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7" t="str">
        <f>IFERROR(INDEX(Структура_ассортимента[SuperCategory],MATCH(Товары[[#This Row],[SubGroup]],Структура_ассортимента[Subgroup],0)),"")</f>
        <v>O</v>
      </c>
      <c r="D14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7" t="str">
        <f>IFERROR(INDEX(Структура_ассортимента[Product group],MATCH(Товары[[#This Row],[SubGroup]],Структура_ассортимента[Subgroup],0)),"")</f>
        <v>WPU_C</v>
      </c>
      <c r="G1438" s="67" t="str">
        <f>IFERROR(INDEX(Структура_ассортимента[Product group name ENG],MATCH(Товары[[#This Row],[SubGroup]],Структура_ассортимента[Subgroup],0)),"")</f>
        <v>Watering, Pumps</v>
      </c>
      <c r="H143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2979</v>
      </c>
      <c r="Q1438" s="39" t="s">
        <v>3416</v>
      </c>
      <c r="R1438" s="34" t="s">
        <v>3407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3417</v>
      </c>
      <c r="X1438" s="34" t="s">
        <v>3418</v>
      </c>
      <c r="Y1438" s="34" t="s">
        <v>3409</v>
      </c>
      <c r="Z1438" s="34">
        <v>5</v>
      </c>
      <c r="AA1438" s="34" t="s">
        <v>5507</v>
      </c>
      <c r="AB1438" s="34" t="s">
        <v>5507</v>
      </c>
      <c r="AC1438" s="34" t="s">
        <v>5940</v>
      </c>
      <c r="AD1438" s="34" t="s">
        <v>5940</v>
      </c>
      <c r="AE1438" s="34" t="s">
        <v>4647</v>
      </c>
      <c r="AF1438" s="34" t="s">
        <v>4647</v>
      </c>
      <c r="AG1438" s="34" t="s">
        <v>3668</v>
      </c>
      <c r="AH1438" s="34" t="s">
        <v>6967</v>
      </c>
      <c r="AL1438" s="34" t="s">
        <v>6927</v>
      </c>
      <c r="AM1438" s="34" t="s">
        <v>7962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7" t="str">
        <f>IFERROR(INDEX(Структура_ассортимента[SuperCategory],MATCH(Товары[[#This Row],[SubGroup]],Структура_ассортимента[Subgroup],0)),"")</f>
        <v>O</v>
      </c>
      <c r="D14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7" t="str">
        <f>IFERROR(INDEX(Структура_ассортимента[Product group],MATCH(Товары[[#This Row],[SubGroup]],Структура_ассортимента[Subgroup],0)),"")</f>
        <v>WPU_C</v>
      </c>
      <c r="G1439" s="67" t="str">
        <f>IFERROR(INDEX(Структура_ассортимента[Product group name ENG],MATCH(Товары[[#This Row],[SubGroup]],Структура_ассортимента[Subgroup],0)),"")</f>
        <v>Watering, Pumps</v>
      </c>
      <c r="H143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2980</v>
      </c>
      <c r="Q1439" s="39" t="s">
        <v>3416</v>
      </c>
      <c r="R1439" s="34" t="s">
        <v>3407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3417</v>
      </c>
      <c r="X1439" s="34" t="s">
        <v>3418</v>
      </c>
      <c r="Y1439" s="34" t="s">
        <v>3409</v>
      </c>
      <c r="Z1439" s="34">
        <v>5</v>
      </c>
      <c r="AA1439" s="34" t="s">
        <v>3537</v>
      </c>
      <c r="AB1439" s="34" t="s">
        <v>3537</v>
      </c>
      <c r="AC1439" s="34" t="s">
        <v>6480</v>
      </c>
      <c r="AD1439" s="34" t="s">
        <v>6480</v>
      </c>
      <c r="AE1439" s="34" t="s">
        <v>4647</v>
      </c>
      <c r="AF1439" s="34" t="s">
        <v>4647</v>
      </c>
      <c r="AG1439" s="34" t="s">
        <v>3668</v>
      </c>
      <c r="AH1439" s="34" t="s">
        <v>6967</v>
      </c>
      <c r="AL1439" s="34" t="s">
        <v>6927</v>
      </c>
      <c r="AM1439" s="34" t="s">
        <v>7962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7" t="str">
        <f>IFERROR(INDEX(Структура_ассортимента[SuperCategory],MATCH(Товары[[#This Row],[SubGroup]],Структура_ассортимента[Subgroup],0)),"")</f>
        <v>O</v>
      </c>
      <c r="D14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7" t="str">
        <f>IFERROR(INDEX(Структура_ассортимента[Product group],MATCH(Товары[[#This Row],[SubGroup]],Структура_ассортимента[Subgroup],0)),"")</f>
        <v>WPU_C</v>
      </c>
      <c r="G1440" s="67" t="str">
        <f>IFERROR(INDEX(Структура_ассортимента[Product group name ENG],MATCH(Товары[[#This Row],[SubGroup]],Структура_ассортимента[Subgroup],0)),"")</f>
        <v>Watering, Pumps</v>
      </c>
      <c r="H144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2981</v>
      </c>
      <c r="Q1440" s="39" t="s">
        <v>3416</v>
      </c>
      <c r="R1440" s="34" t="s">
        <v>3407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3417</v>
      </c>
      <c r="X1440" s="34" t="s">
        <v>3418</v>
      </c>
      <c r="Y1440" s="34" t="s">
        <v>3409</v>
      </c>
      <c r="Z1440" s="34">
        <v>5</v>
      </c>
      <c r="AA1440" s="34" t="s">
        <v>6461</v>
      </c>
      <c r="AB1440" s="34" t="s">
        <v>6461</v>
      </c>
      <c r="AC1440" s="34" t="s">
        <v>6338</v>
      </c>
      <c r="AD1440" s="34" t="s">
        <v>6338</v>
      </c>
      <c r="AE1440" s="34" t="s">
        <v>4288</v>
      </c>
      <c r="AF1440" s="34" t="s">
        <v>4288</v>
      </c>
      <c r="AG1440" s="34" t="s">
        <v>4273</v>
      </c>
      <c r="AH1440" s="34" t="s">
        <v>6980</v>
      </c>
      <c r="AL1440" s="34" t="s">
        <v>6927</v>
      </c>
      <c r="AM1440" s="34" t="s">
        <v>7962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7" t="str">
        <f>IFERROR(INDEX(Структура_ассортимента[SuperCategory],MATCH(Товары[[#This Row],[SubGroup]],Структура_ассортимента[Subgroup],0)),"")</f>
        <v>O</v>
      </c>
      <c r="D14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7" t="str">
        <f>IFERROR(INDEX(Структура_ассортимента[Product group],MATCH(Товары[[#This Row],[SubGroup]],Структура_ассортимента[Subgroup],0)),"")</f>
        <v>WPU_C</v>
      </c>
      <c r="G1441" s="67" t="str">
        <f>IFERROR(INDEX(Структура_ассортимента[Product group name ENG],MATCH(Товары[[#This Row],[SubGroup]],Структура_ассортимента[Subgroup],0)),"")</f>
        <v>Watering, Pumps</v>
      </c>
      <c r="H144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2982</v>
      </c>
      <c r="Q1441" s="39" t="s">
        <v>3416</v>
      </c>
      <c r="R1441" s="34" t="s">
        <v>3407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3417</v>
      </c>
      <c r="X1441" s="34" t="s">
        <v>3418</v>
      </c>
      <c r="Y1441" s="34" t="s">
        <v>3409</v>
      </c>
      <c r="Z1441" s="34">
        <v>5</v>
      </c>
      <c r="AA1441" s="34" t="s">
        <v>6451</v>
      </c>
      <c r="AB1441" s="34" t="s">
        <v>6451</v>
      </c>
      <c r="AC1441" s="34" t="s">
        <v>3584</v>
      </c>
      <c r="AD1441" s="34" t="s">
        <v>3584</v>
      </c>
      <c r="AE1441" s="34" t="s">
        <v>4642</v>
      </c>
      <c r="AF1441" s="34" t="s">
        <v>4088</v>
      </c>
      <c r="AG1441" s="34" t="s">
        <v>3978</v>
      </c>
      <c r="AH1441" s="34" t="s">
        <v>6980</v>
      </c>
      <c r="AL1441" s="34" t="s">
        <v>6927</v>
      </c>
      <c r="AM1441" s="34" t="s">
        <v>7962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7" t="str">
        <f>IFERROR(INDEX(Структура_ассортимента[SuperCategory],MATCH(Товары[[#This Row],[SubGroup]],Структура_ассортимента[Subgroup],0)),"")</f>
        <v>O</v>
      </c>
      <c r="D14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7" t="str">
        <f>IFERROR(INDEX(Структура_ассортимента[Product group],MATCH(Товары[[#This Row],[SubGroup]],Структура_ассортимента[Subgroup],0)),"")</f>
        <v>WPU_C</v>
      </c>
      <c r="G1442" s="67" t="str">
        <f>IFERROR(INDEX(Структура_ассортимента[Product group name ENG],MATCH(Товары[[#This Row],[SubGroup]],Структура_ассортимента[Subgroup],0)),"")</f>
        <v>Watering, Pumps</v>
      </c>
      <c r="H144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2983</v>
      </c>
      <c r="Q1442" s="39" t="s">
        <v>3416</v>
      </c>
      <c r="R1442" s="34" t="s">
        <v>3407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3417</v>
      </c>
      <c r="X1442" s="34" t="s">
        <v>3418</v>
      </c>
      <c r="Y1442" s="34" t="s">
        <v>3409</v>
      </c>
      <c r="Z1442" s="34">
        <v>5</v>
      </c>
      <c r="AA1442" s="34" t="s">
        <v>6984</v>
      </c>
      <c r="AB1442" s="34" t="s">
        <v>6984</v>
      </c>
      <c r="AC1442" s="34" t="s">
        <v>3543</v>
      </c>
      <c r="AD1442" s="34" t="s">
        <v>3543</v>
      </c>
      <c r="AE1442" s="34" t="s">
        <v>4330</v>
      </c>
      <c r="AF1442" s="34" t="s">
        <v>4330</v>
      </c>
      <c r="AG1442" s="34" t="s">
        <v>6418</v>
      </c>
      <c r="AH1442" s="34" t="s">
        <v>6985</v>
      </c>
      <c r="AL1442" s="34" t="s">
        <v>6927</v>
      </c>
      <c r="AM1442" s="34" t="s">
        <v>7962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7" t="str">
        <f>IFERROR(INDEX(Структура_ассортимента[SuperCategory],MATCH(Товары[[#This Row],[SubGroup]],Структура_ассортимента[Subgroup],0)),"")</f>
        <v>O</v>
      </c>
      <c r="D14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7" t="str">
        <f>IFERROR(INDEX(Структура_ассортимента[Product group],MATCH(Товары[[#This Row],[SubGroup]],Структура_ассортимента[Subgroup],0)),"")</f>
        <v>WPU_C</v>
      </c>
      <c r="G1443" s="67" t="str">
        <f>IFERROR(INDEX(Структура_ассортимента[Product group name ENG],MATCH(Товары[[#This Row],[SubGroup]],Структура_ассортимента[Subgroup],0)),"")</f>
        <v>Watering, Pumps</v>
      </c>
      <c r="H144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2984</v>
      </c>
      <c r="Q1443" s="39" t="s">
        <v>3416</v>
      </c>
      <c r="R1443" s="34" t="s">
        <v>3407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3417</v>
      </c>
      <c r="X1443" s="34" t="s">
        <v>3418</v>
      </c>
      <c r="Y1443" s="34" t="s">
        <v>3409</v>
      </c>
      <c r="Z1443" s="34">
        <v>5</v>
      </c>
      <c r="AA1443" s="34" t="s">
        <v>6986</v>
      </c>
      <c r="AB1443" s="34" t="s">
        <v>6986</v>
      </c>
      <c r="AC1443" s="34" t="s">
        <v>3543</v>
      </c>
      <c r="AD1443" s="34" t="s">
        <v>3543</v>
      </c>
      <c r="AE1443" s="34" t="s">
        <v>5149</v>
      </c>
      <c r="AF1443" s="34" t="s">
        <v>5149</v>
      </c>
      <c r="AG1443" s="34" t="s">
        <v>6418</v>
      </c>
      <c r="AH1443" s="34" t="s">
        <v>6987</v>
      </c>
      <c r="AL1443" s="34" t="s">
        <v>6927</v>
      </c>
      <c r="AM1443" s="34" t="s">
        <v>7962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7" t="str">
        <f>IFERROR(INDEX(Структура_ассортимента[SuperCategory],MATCH(Товары[[#This Row],[SubGroup]],Структура_ассортимента[Subgroup],0)),"")</f>
        <v>O</v>
      </c>
      <c r="D14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7" t="str">
        <f>IFERROR(INDEX(Структура_ассортимента[Product group],MATCH(Товары[[#This Row],[SubGroup]],Структура_ассортимента[Subgroup],0)),"")</f>
        <v>WPU_C</v>
      </c>
      <c r="G1444" s="67" t="str">
        <f>IFERROR(INDEX(Структура_ассортимента[Product group name ENG],MATCH(Товары[[#This Row],[SubGroup]],Структура_ассортимента[Subgroup],0)),"")</f>
        <v>Watering, Pumps</v>
      </c>
      <c r="H144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2985</v>
      </c>
      <c r="Q1444" s="39" t="s">
        <v>3416</v>
      </c>
      <c r="R1444" s="34" t="s">
        <v>3407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3417</v>
      </c>
      <c r="X1444" s="34" t="s">
        <v>3418</v>
      </c>
      <c r="Y1444" s="34" t="s">
        <v>3409</v>
      </c>
      <c r="Z1444" s="34">
        <v>5</v>
      </c>
      <c r="AA1444" s="34" t="s">
        <v>6469</v>
      </c>
      <c r="AB1444" s="34" t="s">
        <v>6469</v>
      </c>
      <c r="AC1444" s="34" t="s">
        <v>3537</v>
      </c>
      <c r="AD1444" s="34" t="s">
        <v>3537</v>
      </c>
      <c r="AE1444" s="34" t="s">
        <v>4218</v>
      </c>
      <c r="AF1444" s="34" t="s">
        <v>4098</v>
      </c>
      <c r="AG1444" s="34" t="s">
        <v>4098</v>
      </c>
      <c r="AH1444" s="34" t="s">
        <v>6988</v>
      </c>
      <c r="AL1444" s="34" t="s">
        <v>6927</v>
      </c>
      <c r="AM1444" s="34" t="s">
        <v>7962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7" t="str">
        <f>IFERROR(INDEX(Структура_ассортимента[SuperCategory],MATCH(Товары[[#This Row],[SubGroup]],Структура_ассортимента[Subgroup],0)),"")</f>
        <v>O</v>
      </c>
      <c r="D14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7" t="str">
        <f>IFERROR(INDEX(Структура_ассортимента[Product group],MATCH(Товары[[#This Row],[SubGroup]],Структура_ассортимента[Subgroup],0)),"")</f>
        <v>WPU_C</v>
      </c>
      <c r="G1445" s="67" t="str">
        <f>IFERROR(INDEX(Структура_ассортимента[Product group name ENG],MATCH(Товары[[#This Row],[SubGroup]],Структура_ассортимента[Subgroup],0)),"")</f>
        <v>Watering, Pumps</v>
      </c>
      <c r="H144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2986</v>
      </c>
      <c r="Q1445" s="39" t="s">
        <v>3416</v>
      </c>
      <c r="R1445" s="34" t="s">
        <v>3407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3417</v>
      </c>
      <c r="X1445" s="34" t="s">
        <v>3418</v>
      </c>
      <c r="Y1445" s="34" t="s">
        <v>3409</v>
      </c>
      <c r="Z1445" s="34">
        <v>5</v>
      </c>
      <c r="AA1445" s="34" t="s">
        <v>6989</v>
      </c>
      <c r="AB1445" s="34" t="s">
        <v>6989</v>
      </c>
      <c r="AC1445" s="34" t="s">
        <v>3595</v>
      </c>
      <c r="AD1445" s="34" t="s">
        <v>3595</v>
      </c>
      <c r="AE1445" s="34" t="s">
        <v>4048</v>
      </c>
      <c r="AF1445" s="34" t="s">
        <v>4048</v>
      </c>
      <c r="AG1445" s="34" t="s">
        <v>4823</v>
      </c>
      <c r="AH1445" s="34" t="s">
        <v>6990</v>
      </c>
      <c r="AL1445" s="34" t="s">
        <v>6933</v>
      </c>
      <c r="AM1445" s="34" t="s">
        <v>7962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7" t="str">
        <f>IFERROR(INDEX(Структура_ассортимента[SuperCategory],MATCH(Товары[[#This Row],[SubGroup]],Структура_ассортимента[Subgroup],0)),"")</f>
        <v>O</v>
      </c>
      <c r="D14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7" t="str">
        <f>IFERROR(INDEX(Структура_ассортимента[Product group],MATCH(Товары[[#This Row],[SubGroup]],Структура_ассортимента[Subgroup],0)),"")</f>
        <v>WPU_C</v>
      </c>
      <c r="G1446" s="67" t="str">
        <f>IFERROR(INDEX(Структура_ассортимента[Product group name ENG],MATCH(Товары[[#This Row],[SubGroup]],Структура_ассортимента[Subgroup],0)),"")</f>
        <v>Watering, Pumps</v>
      </c>
      <c r="H144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2987</v>
      </c>
      <c r="Q1446" s="39" t="s">
        <v>3416</v>
      </c>
      <c r="R1446" s="34" t="s">
        <v>3407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3417</v>
      </c>
      <c r="X1446" s="34" t="s">
        <v>3418</v>
      </c>
      <c r="Y1446" s="34" t="s">
        <v>3409</v>
      </c>
      <c r="Z1446" s="34">
        <v>5</v>
      </c>
      <c r="AA1446" s="34" t="s">
        <v>4008</v>
      </c>
      <c r="AB1446" s="34" t="s">
        <v>4008</v>
      </c>
      <c r="AC1446" s="34" t="s">
        <v>4267</v>
      </c>
      <c r="AD1446" s="34" t="s">
        <v>4267</v>
      </c>
      <c r="AE1446" s="34" t="s">
        <v>4191</v>
      </c>
      <c r="AF1446" s="34" t="s">
        <v>4330</v>
      </c>
      <c r="AG1446" s="34" t="s">
        <v>4330</v>
      </c>
      <c r="AH1446" s="34" t="s">
        <v>6991</v>
      </c>
      <c r="AL1446" s="34" t="s">
        <v>6944</v>
      </c>
      <c r="AM1446" s="34" t="s">
        <v>7962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7" t="str">
        <f>IFERROR(INDEX(Структура_ассортимента[SuperCategory],MATCH(Товары[[#This Row],[SubGroup]],Структура_ассортимента[Subgroup],0)),"")</f>
        <v>O</v>
      </c>
      <c r="D14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7" t="str">
        <f>IFERROR(INDEX(Структура_ассортимента[Product group],MATCH(Товары[[#This Row],[SubGroup]],Структура_ассортимента[Subgroup],0)),"")</f>
        <v>WPU_C</v>
      </c>
      <c r="G1447" s="67" t="str">
        <f>IFERROR(INDEX(Структура_ассортимента[Product group name ENG],MATCH(Товары[[#This Row],[SubGroup]],Структура_ассортимента[Subgroup],0)),"")</f>
        <v>Watering, Pumps</v>
      </c>
      <c r="H144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2988</v>
      </c>
      <c r="Q1447" s="39" t="s">
        <v>3416</v>
      </c>
      <c r="R1447" s="34" t="s">
        <v>3407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3417</v>
      </c>
      <c r="X1447" s="34" t="s">
        <v>3418</v>
      </c>
      <c r="Y1447" s="34" t="s">
        <v>3409</v>
      </c>
      <c r="Z1447" s="34">
        <v>5</v>
      </c>
      <c r="AA1447" s="34" t="s">
        <v>6969</v>
      </c>
      <c r="AB1447" s="34" t="s">
        <v>6969</v>
      </c>
      <c r="AC1447" s="34" t="s">
        <v>3587</v>
      </c>
      <c r="AD1447" s="34" t="s">
        <v>3587</v>
      </c>
      <c r="AE1447" s="34" t="s">
        <v>4106</v>
      </c>
      <c r="AF1447" s="34" t="s">
        <v>4048</v>
      </c>
      <c r="AG1447" s="34" t="s">
        <v>4647</v>
      </c>
      <c r="AH1447" s="34" t="s">
        <v>5515</v>
      </c>
      <c r="AL1447" s="34" t="s">
        <v>6933</v>
      </c>
      <c r="AM1447" s="34" t="s">
        <v>7962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7" t="str">
        <f>IFERROR(INDEX(Структура_ассортимента[SuperCategory],MATCH(Товары[[#This Row],[SubGroup]],Структура_ассортимента[Subgroup],0)),"")</f>
        <v>O</v>
      </c>
      <c r="D14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7" t="str">
        <f>IFERROR(INDEX(Структура_ассортимента[Product group],MATCH(Товары[[#This Row],[SubGroup]],Структура_ассортимента[Subgroup],0)),"")</f>
        <v>WPU_C</v>
      </c>
      <c r="G1448" s="67" t="str">
        <f>IFERROR(INDEX(Структура_ассортимента[Product group name ENG],MATCH(Товары[[#This Row],[SubGroup]],Структура_ассортимента[Subgroup],0)),"")</f>
        <v>Watering, Pumps</v>
      </c>
      <c r="H144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2989</v>
      </c>
      <c r="Q1448" s="39" t="s">
        <v>3416</v>
      </c>
      <c r="R1448" s="34" t="s">
        <v>3407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3417</v>
      </c>
      <c r="X1448" s="34" t="s">
        <v>3418</v>
      </c>
      <c r="Y1448" s="34" t="s">
        <v>3409</v>
      </c>
      <c r="Z1448" s="34">
        <v>5</v>
      </c>
      <c r="AA1448" s="34" t="s">
        <v>3795</v>
      </c>
      <c r="AB1448" s="34" t="s">
        <v>3795</v>
      </c>
      <c r="AC1448" s="34" t="s">
        <v>3673</v>
      </c>
      <c r="AD1448" s="34" t="s">
        <v>3673</v>
      </c>
      <c r="AE1448" s="34" t="s">
        <v>4413</v>
      </c>
      <c r="AF1448" s="34" t="s">
        <v>4413</v>
      </c>
      <c r="AG1448" s="34" t="s">
        <v>3798</v>
      </c>
      <c r="AH1448" s="34" t="s">
        <v>4999</v>
      </c>
      <c r="AL1448" s="34" t="s">
        <v>6944</v>
      </c>
      <c r="AM1448" s="34" t="s">
        <v>7962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7" t="str">
        <f>IFERROR(INDEX(Структура_ассортимента[SuperCategory],MATCH(Товары[[#This Row],[SubGroup]],Структура_ассортимента[Subgroup],0)),"")</f>
        <v>O</v>
      </c>
      <c r="D14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7" t="str">
        <f>IFERROR(INDEX(Структура_ассортимента[Product group],MATCH(Товары[[#This Row],[SubGroup]],Структура_ассортимента[Subgroup],0)),"")</f>
        <v>WPU_C</v>
      </c>
      <c r="G1449" s="67" t="str">
        <f>IFERROR(INDEX(Структура_ассортимента[Product group name ENG],MATCH(Товары[[#This Row],[SubGroup]],Структура_ассортимента[Subgroup],0)),"")</f>
        <v>Watering, Pumps</v>
      </c>
      <c r="H144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2990</v>
      </c>
      <c r="Q1449" s="39" t="s">
        <v>3416</v>
      </c>
      <c r="R1449" s="34" t="s">
        <v>3407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3417</v>
      </c>
      <c r="X1449" s="34" t="s">
        <v>3418</v>
      </c>
      <c r="Y1449" s="34" t="s">
        <v>3409</v>
      </c>
      <c r="Z1449" s="34">
        <v>5</v>
      </c>
      <c r="AA1449" s="34" t="s">
        <v>6992</v>
      </c>
      <c r="AB1449" s="34" t="s">
        <v>3558</v>
      </c>
      <c r="AC1449" s="34" t="s">
        <v>4364</v>
      </c>
      <c r="AD1449" s="34" t="s">
        <v>3874</v>
      </c>
      <c r="AE1449" s="34" t="s">
        <v>4191</v>
      </c>
      <c r="AF1449" s="34" t="s">
        <v>4335</v>
      </c>
      <c r="AG1449" s="34" t="s">
        <v>4335</v>
      </c>
      <c r="AH1449" s="34" t="s">
        <v>6387</v>
      </c>
      <c r="AL1449" s="34" t="s">
        <v>6944</v>
      </c>
      <c r="AM1449" s="34" t="s">
        <v>7962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7" t="str">
        <f>IFERROR(INDEX(Структура_ассортимента[SuperCategory],MATCH(Товары[[#This Row],[SubGroup]],Структура_ассортимента[Subgroup],0)),"")</f>
        <v>O</v>
      </c>
      <c r="D14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7" t="str">
        <f>IFERROR(INDEX(Структура_ассортимента[Product group],MATCH(Товары[[#This Row],[SubGroup]],Структура_ассортимента[Subgroup],0)),"")</f>
        <v>WPU_C</v>
      </c>
      <c r="G1450" s="67" t="str">
        <f>IFERROR(INDEX(Структура_ассортимента[Product group name ENG],MATCH(Товары[[#This Row],[SubGroup]],Структура_ассортимента[Subgroup],0)),"")</f>
        <v>Watering, Pumps</v>
      </c>
      <c r="H145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2991</v>
      </c>
      <c r="Q1450" s="39" t="s">
        <v>3416</v>
      </c>
      <c r="R1450" s="34" t="s">
        <v>3407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3417</v>
      </c>
      <c r="X1450" s="34" t="s">
        <v>3418</v>
      </c>
      <c r="Y1450" s="34" t="s">
        <v>3409</v>
      </c>
      <c r="Z1450" s="34">
        <v>20</v>
      </c>
      <c r="AA1450" s="34" t="s">
        <v>6423</v>
      </c>
      <c r="AB1450" s="34" t="s">
        <v>6423</v>
      </c>
      <c r="AC1450" s="34" t="s">
        <v>3670</v>
      </c>
      <c r="AD1450" s="34" t="s">
        <v>3670</v>
      </c>
      <c r="AE1450" s="34" t="s">
        <v>3539</v>
      </c>
      <c r="AF1450" s="34" t="s">
        <v>3668</v>
      </c>
      <c r="AG1450" s="34" t="s">
        <v>3668</v>
      </c>
      <c r="AH1450" s="34" t="s">
        <v>6993</v>
      </c>
      <c r="AL1450" s="34" t="s">
        <v>6994</v>
      </c>
      <c r="AM1450" s="34" t="s">
        <v>7962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7" t="str">
        <f>IFERROR(INDEX(Структура_ассортимента[SuperCategory],MATCH(Товары[[#This Row],[SubGroup]],Структура_ассортимента[Subgroup],0)),"")</f>
        <v>O</v>
      </c>
      <c r="D14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7" t="str">
        <f>IFERROR(INDEX(Структура_ассортимента[Product group],MATCH(Товары[[#This Row],[SubGroup]],Структура_ассортимента[Subgroup],0)),"")</f>
        <v>WPU_C</v>
      </c>
      <c r="G1451" s="67" t="str">
        <f>IFERROR(INDEX(Структура_ассортимента[Product group name ENG],MATCH(Товары[[#This Row],[SubGroup]],Структура_ассортимента[Subgroup],0)),"")</f>
        <v>Watering, Pumps</v>
      </c>
      <c r="H145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2992</v>
      </c>
      <c r="Q1451" s="39" t="s">
        <v>3416</v>
      </c>
      <c r="R1451" s="34" t="s">
        <v>3407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3417</v>
      </c>
      <c r="X1451" s="34" t="s">
        <v>3418</v>
      </c>
      <c r="Y1451" s="34" t="s">
        <v>3409</v>
      </c>
      <c r="Z1451" s="34">
        <v>20</v>
      </c>
      <c r="AA1451" s="34" t="s">
        <v>6379</v>
      </c>
      <c r="AB1451" s="34" t="s">
        <v>6379</v>
      </c>
      <c r="AC1451" s="34" t="s">
        <v>6423</v>
      </c>
      <c r="AD1451" s="34" t="s">
        <v>6423</v>
      </c>
      <c r="AE1451" s="34" t="s">
        <v>4127</v>
      </c>
      <c r="AF1451" s="34" t="s">
        <v>6418</v>
      </c>
      <c r="AG1451" s="34" t="s">
        <v>5817</v>
      </c>
      <c r="AH1451" s="34" t="s">
        <v>6995</v>
      </c>
      <c r="AL1451" s="34" t="s">
        <v>6994</v>
      </c>
      <c r="AM1451" s="34" t="s">
        <v>7962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7" t="str">
        <f>IFERROR(INDEX(Структура_ассортимента[SuperCategory],MATCH(Товары[[#This Row],[SubGroup]],Структура_ассортимента[Subgroup],0)),"")</f>
        <v>O</v>
      </c>
      <c r="D14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7" t="str">
        <f>IFERROR(INDEX(Структура_ассортимента[Product group],MATCH(Товары[[#This Row],[SubGroup]],Структура_ассортимента[Subgroup],0)),"")</f>
        <v>WPU_C</v>
      </c>
      <c r="G1452" s="67" t="str">
        <f>IFERROR(INDEX(Структура_ассортимента[Product group name ENG],MATCH(Товары[[#This Row],[SubGroup]],Структура_ассортимента[Subgroup],0)),"")</f>
        <v>Watering, Pumps</v>
      </c>
      <c r="H145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2993</v>
      </c>
      <c r="Q1452" s="39" t="s">
        <v>3416</v>
      </c>
      <c r="R1452" s="34" t="s">
        <v>3407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3417</v>
      </c>
      <c r="X1452" s="34" t="s">
        <v>3418</v>
      </c>
      <c r="Y1452" s="34" t="s">
        <v>3409</v>
      </c>
      <c r="Z1452" s="34">
        <v>20</v>
      </c>
      <c r="AA1452" s="34" t="s">
        <v>6338</v>
      </c>
      <c r="AB1452" s="34" t="s">
        <v>6338</v>
      </c>
      <c r="AC1452" s="34" t="s">
        <v>5514</v>
      </c>
      <c r="AD1452" s="34" t="s">
        <v>5514</v>
      </c>
      <c r="AE1452" s="34" t="s">
        <v>5015</v>
      </c>
      <c r="AF1452" s="34" t="s">
        <v>4647</v>
      </c>
      <c r="AG1452" s="34" t="s">
        <v>3613</v>
      </c>
      <c r="AH1452" s="34" t="s">
        <v>6996</v>
      </c>
      <c r="AL1452" s="34" t="s">
        <v>6413</v>
      </c>
      <c r="AM1452" s="34" t="s">
        <v>7962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7" t="str">
        <f>IFERROR(INDEX(Структура_ассортимента[SuperCategory],MATCH(Товары[[#This Row],[SubGroup]],Структура_ассортимента[Subgroup],0)),"")</f>
        <v>O</v>
      </c>
      <c r="D14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7" t="str">
        <f>IFERROR(INDEX(Структура_ассортимента[Product group],MATCH(Товары[[#This Row],[SubGroup]],Структура_ассортимента[Subgroup],0)),"")</f>
        <v>WPU_C</v>
      </c>
      <c r="G1453" s="67" t="str">
        <f>IFERROR(INDEX(Структура_ассортимента[Product group name ENG],MATCH(Товары[[#This Row],[SubGroup]],Структура_ассортимента[Subgroup],0)),"")</f>
        <v>Watering, Pumps</v>
      </c>
      <c r="H145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2994</v>
      </c>
      <c r="Q1453" s="39" t="s">
        <v>3416</v>
      </c>
      <c r="R1453" s="34" t="s">
        <v>3407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3417</v>
      </c>
      <c r="X1453" s="34" t="s">
        <v>3418</v>
      </c>
      <c r="Y1453" s="34" t="s">
        <v>3409</v>
      </c>
      <c r="Z1453" s="34">
        <v>5</v>
      </c>
      <c r="AA1453" s="34" t="s">
        <v>5518</v>
      </c>
      <c r="AB1453" s="34" t="s">
        <v>5518</v>
      </c>
      <c r="AC1453" s="34" t="s">
        <v>3584</v>
      </c>
      <c r="AD1453" s="34" t="s">
        <v>3584</v>
      </c>
      <c r="AE1453" s="34" t="s">
        <v>3443</v>
      </c>
      <c r="AF1453" s="34" t="s">
        <v>4513</v>
      </c>
      <c r="AG1453" s="34" t="s">
        <v>5817</v>
      </c>
      <c r="AH1453" s="34" t="s">
        <v>6515</v>
      </c>
      <c r="AL1453" s="34" t="s">
        <v>6997</v>
      </c>
      <c r="AM1453" s="34" t="s">
        <v>7962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7" t="str">
        <f>IFERROR(INDEX(Структура_ассортимента[SuperCategory],MATCH(Товары[[#This Row],[SubGroup]],Структура_ассортимента[Subgroup],0)),"")</f>
        <v>O</v>
      </c>
      <c r="D14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7" t="str">
        <f>IFERROR(INDEX(Структура_ассортимента[Product group],MATCH(Товары[[#This Row],[SubGroup]],Структура_ассортимента[Subgroup],0)),"")</f>
        <v>WPU_C</v>
      </c>
      <c r="G1454" s="67" t="str">
        <f>IFERROR(INDEX(Структура_ассортимента[Product group name ENG],MATCH(Товары[[#This Row],[SubGroup]],Структура_ассортимента[Subgroup],0)),"")</f>
        <v>Watering, Pumps</v>
      </c>
      <c r="H145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2995</v>
      </c>
      <c r="Q1454" s="39" t="s">
        <v>3416</v>
      </c>
      <c r="R1454" s="34" t="s">
        <v>3407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3417</v>
      </c>
      <c r="X1454" s="34" t="s">
        <v>3418</v>
      </c>
      <c r="Y1454" s="34" t="s">
        <v>3409</v>
      </c>
      <c r="Z1454" s="34">
        <v>10</v>
      </c>
      <c r="AA1454" s="34" t="s">
        <v>6385</v>
      </c>
      <c r="AB1454" s="34" t="s">
        <v>6385</v>
      </c>
      <c r="AC1454" s="34" t="s">
        <v>5496</v>
      </c>
      <c r="AD1454" s="34" t="s">
        <v>5496</v>
      </c>
      <c r="AE1454" s="34" t="s">
        <v>5149</v>
      </c>
      <c r="AF1454" s="34" t="s">
        <v>4218</v>
      </c>
      <c r="AG1454" s="34" t="s">
        <v>3799</v>
      </c>
      <c r="AH1454" s="34" t="s">
        <v>6410</v>
      </c>
      <c r="AL1454" s="34" t="s">
        <v>6388</v>
      </c>
      <c r="AM1454" s="34" t="s">
        <v>7962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7" t="str">
        <f>IFERROR(INDEX(Структура_ассортимента[SuperCategory],MATCH(Товары[[#This Row],[SubGroup]],Структура_ассортимента[Subgroup],0)),"")</f>
        <v>O</v>
      </c>
      <c r="D14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7" t="str">
        <f>IFERROR(INDEX(Структура_ассортимента[Product group],MATCH(Товары[[#This Row],[SubGroup]],Структура_ассортимента[Subgroup],0)),"")</f>
        <v>WPU_C</v>
      </c>
      <c r="G1455" s="67" t="str">
        <f>IFERROR(INDEX(Структура_ассортимента[Product group name ENG],MATCH(Товары[[#This Row],[SubGroup]],Структура_ассортимента[Subgroup],0)),"")</f>
        <v>Watering, Pumps</v>
      </c>
      <c r="H145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2996</v>
      </c>
      <c r="Q1455" s="39" t="s">
        <v>3416</v>
      </c>
      <c r="R1455" s="34" t="s">
        <v>3407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3417</v>
      </c>
      <c r="X1455" s="34" t="s">
        <v>3418</v>
      </c>
      <c r="Y1455" s="34" t="s">
        <v>3409</v>
      </c>
      <c r="Z1455" s="34">
        <v>10</v>
      </c>
      <c r="AA1455" s="34" t="s">
        <v>5495</v>
      </c>
      <c r="AB1455" s="34" t="s">
        <v>5495</v>
      </c>
      <c r="AC1455" s="34" t="s">
        <v>5470</v>
      </c>
      <c r="AD1455" s="34" t="s">
        <v>5470</v>
      </c>
      <c r="AE1455" s="34" t="s">
        <v>4335</v>
      </c>
      <c r="AF1455" s="34" t="s">
        <v>4335</v>
      </c>
      <c r="AG1455" s="34" t="s">
        <v>3675</v>
      </c>
      <c r="AH1455" s="34" t="s">
        <v>6959</v>
      </c>
      <c r="AL1455" s="34" t="s">
        <v>6388</v>
      </c>
      <c r="AM1455" s="34" t="s">
        <v>7962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7" t="str">
        <f>IFERROR(INDEX(Структура_ассортимента[SuperCategory],MATCH(Товары[[#This Row],[SubGroup]],Структура_ассортимента[Subgroup],0)),"")</f>
        <v>O</v>
      </c>
      <c r="D14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7" t="str">
        <f>IFERROR(INDEX(Структура_ассортимента[Product group],MATCH(Товары[[#This Row],[SubGroup]],Структура_ассортимента[Subgroup],0)),"")</f>
        <v>WPU_C</v>
      </c>
      <c r="G1456" s="67" t="str">
        <f>IFERROR(INDEX(Структура_ассортимента[Product group name ENG],MATCH(Товары[[#This Row],[SubGroup]],Структура_ассортимента[Subgroup],0)),"")</f>
        <v>Watering, Pumps</v>
      </c>
      <c r="H145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2997</v>
      </c>
      <c r="Q1456" s="39" t="s">
        <v>3416</v>
      </c>
      <c r="R1456" s="34" t="s">
        <v>3407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3417</v>
      </c>
      <c r="X1456" s="34" t="s">
        <v>3418</v>
      </c>
      <c r="Y1456" s="34" t="s">
        <v>3409</v>
      </c>
      <c r="Z1456" s="34">
        <v>5</v>
      </c>
      <c r="AA1456" s="34" t="s">
        <v>6957</v>
      </c>
      <c r="AB1456" s="34" t="s">
        <v>6957</v>
      </c>
      <c r="AC1456" s="34" t="s">
        <v>3646</v>
      </c>
      <c r="AD1456" s="34" t="s">
        <v>3646</v>
      </c>
      <c r="AE1456" s="34" t="s">
        <v>3428</v>
      </c>
      <c r="AF1456" s="34" t="s">
        <v>4028</v>
      </c>
      <c r="AG1456" s="34" t="s">
        <v>3978</v>
      </c>
      <c r="AH1456" s="34" t="s">
        <v>6214</v>
      </c>
      <c r="AL1456" s="34" t="s">
        <v>6997</v>
      </c>
      <c r="AM1456" s="34" t="s">
        <v>7962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7" t="str">
        <f>IFERROR(INDEX(Структура_ассортимента[SuperCategory],MATCH(Товары[[#This Row],[SubGroup]],Структура_ассортимента[Subgroup],0)),"")</f>
        <v>O</v>
      </c>
      <c r="D14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7" t="str">
        <f>IFERROR(INDEX(Структура_ассортимента[Product group],MATCH(Товары[[#This Row],[SubGroup]],Структура_ассортимента[Subgroup],0)),"")</f>
        <v>WPU_C</v>
      </c>
      <c r="G1457" s="67" t="str">
        <f>IFERROR(INDEX(Структура_ассортимента[Product group name ENG],MATCH(Товары[[#This Row],[SubGroup]],Структура_ассортимента[Subgroup],0)),"")</f>
        <v>Watering, Pumps</v>
      </c>
      <c r="H145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2998</v>
      </c>
      <c r="Q1457" s="39" t="s">
        <v>3416</v>
      </c>
      <c r="R1457" s="34" t="s">
        <v>3407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3417</v>
      </c>
      <c r="X1457" s="34" t="s">
        <v>3418</v>
      </c>
      <c r="Y1457" s="34" t="s">
        <v>3409</v>
      </c>
      <c r="Z1457" s="34">
        <v>20</v>
      </c>
      <c r="AA1457" s="34" t="s">
        <v>3678</v>
      </c>
      <c r="AB1457" s="34" t="s">
        <v>3678</v>
      </c>
      <c r="AC1457" s="34" t="s">
        <v>6420</v>
      </c>
      <c r="AD1457" s="34" t="s">
        <v>6420</v>
      </c>
      <c r="AE1457" s="34" t="s">
        <v>3545</v>
      </c>
      <c r="AF1457" s="34" t="s">
        <v>5912</v>
      </c>
      <c r="AG1457" s="34" t="s">
        <v>5912</v>
      </c>
      <c r="AH1457" s="34" t="s">
        <v>6998</v>
      </c>
      <c r="AL1457" s="34" t="s">
        <v>6994</v>
      </c>
      <c r="AM1457" s="34" t="s">
        <v>7962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7" t="str">
        <f>IFERROR(INDEX(Структура_ассортимента[SuperCategory],MATCH(Товары[[#This Row],[SubGroup]],Структура_ассортимента[Subgroup],0)),"")</f>
        <v>O</v>
      </c>
      <c r="D14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7" t="str">
        <f>IFERROR(INDEX(Структура_ассортимента[Product group],MATCH(Товары[[#This Row],[SubGroup]],Структура_ассортимента[Subgroup],0)),"")</f>
        <v>WPU_C</v>
      </c>
      <c r="G1458" s="67" t="str">
        <f>IFERROR(INDEX(Структура_ассортимента[Product group name ENG],MATCH(Товары[[#This Row],[SubGroup]],Структура_ассортимента[Subgroup],0)),"")</f>
        <v>Watering, Pumps</v>
      </c>
      <c r="H14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2999</v>
      </c>
      <c r="Q1458" s="39" t="s">
        <v>3416</v>
      </c>
      <c r="R1458" s="34" t="s">
        <v>3407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3417</v>
      </c>
      <c r="X1458" s="34" t="s">
        <v>3418</v>
      </c>
      <c r="Y1458" s="34" t="s">
        <v>3409</v>
      </c>
      <c r="Z1458" s="34">
        <v>10</v>
      </c>
      <c r="AA1458" s="34" t="s">
        <v>6951</v>
      </c>
      <c r="AB1458" s="34" t="s">
        <v>6951</v>
      </c>
      <c r="AC1458" s="34" t="s">
        <v>3863</v>
      </c>
      <c r="AD1458" s="34" t="s">
        <v>3863</v>
      </c>
      <c r="AE1458" s="34" t="s">
        <v>3578</v>
      </c>
      <c r="AF1458" s="34" t="s">
        <v>3539</v>
      </c>
      <c r="AG1458" s="34" t="s">
        <v>3539</v>
      </c>
      <c r="AH1458" s="34" t="s">
        <v>6516</v>
      </c>
      <c r="AL1458" s="34" t="s">
        <v>6371</v>
      </c>
      <c r="AM1458" s="34" t="s">
        <v>7962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7" t="str">
        <f>IFERROR(INDEX(Структура_ассортимента[SuperCategory],MATCH(Товары[[#This Row],[SubGroup]],Структура_ассортимента[Subgroup],0)),"")</f>
        <v>O</v>
      </c>
      <c r="D14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7" t="str">
        <f>IFERROR(INDEX(Структура_ассортимента[Product group],MATCH(Товары[[#This Row],[SubGroup]],Структура_ассортимента[Subgroup],0)),"")</f>
        <v>WPU_C</v>
      </c>
      <c r="G1459" s="67" t="str">
        <f>IFERROR(INDEX(Структура_ассортимента[Product group name ENG],MATCH(Товары[[#This Row],[SubGroup]],Структура_ассортимента[Subgroup],0)),"")</f>
        <v>Watering, Pumps</v>
      </c>
      <c r="H14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3000</v>
      </c>
      <c r="Q1459" s="39" t="s">
        <v>3416</v>
      </c>
      <c r="R1459" s="34" t="s">
        <v>3407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3417</v>
      </c>
      <c r="X1459" s="34" t="s">
        <v>3418</v>
      </c>
      <c r="Y1459" s="34" t="s">
        <v>3409</v>
      </c>
      <c r="Z1459" s="34">
        <v>10</v>
      </c>
      <c r="AA1459" s="34" t="s">
        <v>6999</v>
      </c>
      <c r="AB1459" s="34" t="s">
        <v>6999</v>
      </c>
      <c r="AC1459" s="34" t="s">
        <v>3982</v>
      </c>
      <c r="AD1459" s="34" t="s">
        <v>3982</v>
      </c>
      <c r="AE1459" s="34" t="s">
        <v>4191</v>
      </c>
      <c r="AF1459" s="34" t="s">
        <v>4127</v>
      </c>
      <c r="AG1459" s="34" t="s">
        <v>3799</v>
      </c>
      <c r="AH1459" s="34" t="s">
        <v>7000</v>
      </c>
      <c r="AL1459" s="34" t="s">
        <v>6371</v>
      </c>
      <c r="AM1459" s="34" t="s">
        <v>7962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7" t="str">
        <f>IFERROR(INDEX(Структура_ассортимента[SuperCategory],MATCH(Товары[[#This Row],[SubGroup]],Структура_ассортимента[Subgroup],0)),"")</f>
        <v>O</v>
      </c>
      <c r="D14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7" t="str">
        <f>IFERROR(INDEX(Структура_ассортимента[Product group],MATCH(Товары[[#This Row],[SubGroup]],Структура_ассортимента[Subgroup],0)),"")</f>
        <v>WPU_C</v>
      </c>
      <c r="G1460" s="67" t="str">
        <f>IFERROR(INDEX(Структура_ассортимента[Product group name ENG],MATCH(Товары[[#This Row],[SubGroup]],Структура_ассортимента[Subgroup],0)),"")</f>
        <v>Watering, Pumps</v>
      </c>
      <c r="H14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3001</v>
      </c>
      <c r="Q1460" s="39" t="s">
        <v>3416</v>
      </c>
      <c r="R1460" s="34" t="s">
        <v>3407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3417</v>
      </c>
      <c r="X1460" s="34" t="s">
        <v>3418</v>
      </c>
      <c r="Y1460" s="34" t="s">
        <v>3409</v>
      </c>
      <c r="Z1460" s="34">
        <v>10</v>
      </c>
      <c r="AA1460" s="34" t="s">
        <v>3601</v>
      </c>
      <c r="AB1460" s="34" t="s">
        <v>3601</v>
      </c>
      <c r="AC1460" s="34" t="s">
        <v>5948</v>
      </c>
      <c r="AD1460" s="34" t="s">
        <v>5948</v>
      </c>
      <c r="AE1460" s="34" t="s">
        <v>4020</v>
      </c>
      <c r="AF1460" s="34" t="s">
        <v>4339</v>
      </c>
      <c r="AG1460" s="34" t="s">
        <v>4098</v>
      </c>
      <c r="AH1460" s="34" t="s">
        <v>6950</v>
      </c>
      <c r="AL1460" s="34" t="s">
        <v>6371</v>
      </c>
      <c r="AM1460" s="34" t="s">
        <v>7962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7" t="str">
        <f>IFERROR(INDEX(Структура_ассортимента[SuperCategory],MATCH(Товары[[#This Row],[SubGroup]],Структура_ассортимента[Subgroup],0)),"")</f>
        <v>O</v>
      </c>
      <c r="D14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7" t="str">
        <f>IFERROR(INDEX(Структура_ассортимента[Product group],MATCH(Товары[[#This Row],[SubGroup]],Структура_ассортимента[Subgroup],0)),"")</f>
        <v>WPU_C</v>
      </c>
      <c r="G1461" s="67" t="str">
        <f>IFERROR(INDEX(Структура_ассортимента[Product group name ENG],MATCH(Товары[[#This Row],[SubGroup]],Структура_ассортимента[Subgroup],0)),"")</f>
        <v>Watering, Pumps</v>
      </c>
      <c r="H14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3002</v>
      </c>
      <c r="Q1461" s="39" t="s">
        <v>3416</v>
      </c>
      <c r="R1461" s="34" t="s">
        <v>3407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3410</v>
      </c>
      <c r="X1461" s="34" t="s">
        <v>3446</v>
      </c>
      <c r="Y1461" s="34" t="s">
        <v>3409</v>
      </c>
      <c r="Z1461" s="34">
        <v>10</v>
      </c>
      <c r="AA1461" s="34" t="s">
        <v>6379</v>
      </c>
      <c r="AB1461" s="34" t="s">
        <v>6379</v>
      </c>
      <c r="AC1461" s="34" t="s">
        <v>6423</v>
      </c>
      <c r="AD1461" s="34" t="s">
        <v>6423</v>
      </c>
      <c r="AE1461" s="34" t="s">
        <v>3560</v>
      </c>
      <c r="AF1461" s="34" t="s">
        <v>3443</v>
      </c>
      <c r="AG1461" s="34" t="s">
        <v>3545</v>
      </c>
      <c r="AH1461" s="34" t="s">
        <v>3665</v>
      </c>
      <c r="AL1461" s="34" t="s">
        <v>3677</v>
      </c>
      <c r="AM1461" s="34" t="s">
        <v>7962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7" t="str">
        <f>IFERROR(INDEX(Структура_ассортимента[SuperCategory],MATCH(Товары[[#This Row],[SubGroup]],Структура_ассортимента[Subgroup],0)),"")</f>
        <v>O</v>
      </c>
      <c r="D14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7" t="str">
        <f>IFERROR(INDEX(Структура_ассортимента[Product group],MATCH(Товары[[#This Row],[SubGroup]],Структура_ассортимента[Subgroup],0)),"")</f>
        <v>WPU_C</v>
      </c>
      <c r="G1462" s="67" t="str">
        <f>IFERROR(INDEX(Структура_ассортимента[Product group name ENG],MATCH(Товары[[#This Row],[SubGroup]],Структура_ассортимента[Subgroup],0)),"")</f>
        <v>Watering, Pumps</v>
      </c>
      <c r="H14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3003</v>
      </c>
      <c r="Q1462" s="39" t="s">
        <v>3416</v>
      </c>
      <c r="R1462" s="34" t="s">
        <v>3407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3417</v>
      </c>
      <c r="X1462" s="34" t="s">
        <v>3418</v>
      </c>
      <c r="Y1462" s="34" t="s">
        <v>3409</v>
      </c>
      <c r="Z1462" s="34">
        <v>5</v>
      </c>
      <c r="AA1462" s="34" t="s">
        <v>3795</v>
      </c>
      <c r="AB1462" s="34" t="s">
        <v>3795</v>
      </c>
      <c r="AC1462" s="34" t="s">
        <v>4384</v>
      </c>
      <c r="AD1462" s="34" t="s">
        <v>4384</v>
      </c>
      <c r="AE1462" s="34" t="s">
        <v>4248</v>
      </c>
      <c r="AF1462" s="34" t="s">
        <v>5791</v>
      </c>
      <c r="AG1462" s="34" t="s">
        <v>5791</v>
      </c>
      <c r="AH1462" s="34" t="s">
        <v>7001</v>
      </c>
      <c r="AL1462" s="34" t="s">
        <v>6933</v>
      </c>
      <c r="AM1462" s="34" t="s">
        <v>7962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7" t="str">
        <f>IFERROR(INDEX(Структура_ассортимента[SuperCategory],MATCH(Товары[[#This Row],[SubGroup]],Структура_ассортимента[Subgroup],0)),"")</f>
        <v>O</v>
      </c>
      <c r="D14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7" t="str">
        <f>IFERROR(INDEX(Структура_ассортимента[Product group],MATCH(Товары[[#This Row],[SubGroup]],Структура_ассортимента[Subgroup],0)),"")</f>
        <v>WPU_C</v>
      </c>
      <c r="G1463" s="67" t="str">
        <f>IFERROR(INDEX(Структура_ассортимента[Product group name ENG],MATCH(Товары[[#This Row],[SubGroup]],Структура_ассортимента[Subgroup],0)),"")</f>
        <v>Watering, Pumps</v>
      </c>
      <c r="H146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3004</v>
      </c>
      <c r="Q1463" s="39" t="s">
        <v>3416</v>
      </c>
      <c r="R1463" s="34" t="s">
        <v>3407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3417</v>
      </c>
      <c r="X1463" s="34" t="s">
        <v>3418</v>
      </c>
      <c r="Y1463" s="34" t="s">
        <v>3409</v>
      </c>
      <c r="Z1463" s="34">
        <v>3</v>
      </c>
      <c r="AA1463" s="34" t="s">
        <v>4806</v>
      </c>
      <c r="AB1463" s="34" t="s">
        <v>4806</v>
      </c>
      <c r="AC1463" s="34" t="s">
        <v>4047</v>
      </c>
      <c r="AD1463" s="34" t="s">
        <v>4047</v>
      </c>
      <c r="AE1463" s="34" t="s">
        <v>3753</v>
      </c>
      <c r="AF1463" s="34" t="s">
        <v>4218</v>
      </c>
      <c r="AG1463" s="34" t="s">
        <v>4647</v>
      </c>
      <c r="AH1463" s="34" t="s">
        <v>6931</v>
      </c>
      <c r="AL1463" s="34" t="s">
        <v>5150</v>
      </c>
      <c r="AM1463" s="34" t="s">
        <v>7962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7" t="str">
        <f>IFERROR(INDEX(Структура_ассортимента[SuperCategory],MATCH(Товары[[#This Row],[SubGroup]],Структура_ассортимента[Subgroup],0)),"")</f>
        <v>O</v>
      </c>
      <c r="D14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7" t="str">
        <f>IFERROR(INDEX(Структура_ассортимента[Product group],MATCH(Товары[[#This Row],[SubGroup]],Структура_ассортимента[Subgroup],0)),"")</f>
        <v>WPU_C</v>
      </c>
      <c r="G1464" s="67" t="str">
        <f>IFERROR(INDEX(Структура_ассортимента[Product group name ENG],MATCH(Товары[[#This Row],[SubGroup]],Структура_ассортимента[Subgroup],0)),"")</f>
        <v>Watering, Pumps</v>
      </c>
      <c r="H146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3005</v>
      </c>
      <c r="Q1464" s="39" t="s">
        <v>3416</v>
      </c>
      <c r="R1464" s="34" t="s">
        <v>3407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3417</v>
      </c>
      <c r="X1464" s="34" t="s">
        <v>3418</v>
      </c>
      <c r="Y1464" s="34" t="s">
        <v>3409</v>
      </c>
      <c r="Z1464" s="34">
        <v>3</v>
      </c>
      <c r="AA1464" s="34" t="s">
        <v>4386</v>
      </c>
      <c r="AB1464" s="34" t="s">
        <v>4386</v>
      </c>
      <c r="AC1464" s="34" t="s">
        <v>4632</v>
      </c>
      <c r="AD1464" s="34" t="s">
        <v>4632</v>
      </c>
      <c r="AE1464" s="34" t="s">
        <v>3565</v>
      </c>
      <c r="AF1464" s="34" t="s">
        <v>4269</v>
      </c>
      <c r="AG1464" s="34" t="s">
        <v>4269</v>
      </c>
      <c r="AH1464" s="34" t="s">
        <v>7002</v>
      </c>
      <c r="AL1464" s="34" t="s">
        <v>5523</v>
      </c>
      <c r="AM1464" s="34" t="s">
        <v>7962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7" t="str">
        <f>IFERROR(INDEX(Структура_ассортимента[SuperCategory],MATCH(Товары[[#This Row],[SubGroup]],Структура_ассортимента[Subgroup],0)),"")</f>
        <v>O</v>
      </c>
      <c r="D14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7" t="str">
        <f>IFERROR(INDEX(Структура_ассортимента[Product group],MATCH(Товары[[#This Row],[SubGroup]],Структура_ассортимента[Subgroup],0)),"")</f>
        <v>WPU_C</v>
      </c>
      <c r="G1465" s="67" t="str">
        <f>IFERROR(INDEX(Структура_ассортимента[Product group name ENG],MATCH(Товары[[#This Row],[SubGroup]],Структура_ассортимента[Subgroup],0)),"")</f>
        <v>Watering, Pumps</v>
      </c>
      <c r="H146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3006</v>
      </c>
      <c r="Q1465" s="39" t="s">
        <v>3416</v>
      </c>
      <c r="R1465" s="34" t="s">
        <v>3407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3417</v>
      </c>
      <c r="X1465" s="34" t="s">
        <v>3418</v>
      </c>
      <c r="Y1465" s="34" t="s">
        <v>3409</v>
      </c>
      <c r="Z1465" s="34">
        <v>5</v>
      </c>
      <c r="AA1465" s="34" t="s">
        <v>4026</v>
      </c>
      <c r="AB1465" s="34" t="s">
        <v>4026</v>
      </c>
      <c r="AC1465" s="34" t="s">
        <v>4854</v>
      </c>
      <c r="AD1465" s="34" t="s">
        <v>4854</v>
      </c>
      <c r="AE1465" s="34" t="s">
        <v>4338</v>
      </c>
      <c r="AF1465" s="34" t="s">
        <v>5508</v>
      </c>
      <c r="AG1465" s="34" t="s">
        <v>4273</v>
      </c>
      <c r="AH1465" s="34" t="s">
        <v>6434</v>
      </c>
      <c r="AI1465" s="34" t="s">
        <v>5508</v>
      </c>
      <c r="AJ1465" s="34" t="s">
        <v>3443</v>
      </c>
      <c r="AK1465" s="34" t="s">
        <v>3539</v>
      </c>
      <c r="AL1465" s="34" t="s">
        <v>6944</v>
      </c>
      <c r="AM1465" s="34" t="s">
        <v>7962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7" t="str">
        <f>IFERROR(INDEX(Структура_ассортимента[SuperCategory],MATCH(Товары[[#This Row],[SubGroup]],Структура_ассортимента[Subgroup],0)),"")</f>
        <v>O</v>
      </c>
      <c r="D14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7" t="str">
        <f>IFERROR(INDEX(Структура_ассортимента[Product group],MATCH(Товары[[#This Row],[SubGroup]],Структура_ассортимента[Subgroup],0)),"")</f>
        <v>WPU_C</v>
      </c>
      <c r="G1466" s="67" t="str">
        <f>IFERROR(INDEX(Структура_ассортимента[Product group name ENG],MATCH(Товары[[#This Row],[SubGroup]],Структура_ассортимента[Subgroup],0)),"")</f>
        <v>Watering, Pumps</v>
      </c>
      <c r="H146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3007</v>
      </c>
      <c r="Q1466" s="39" t="s">
        <v>3416</v>
      </c>
      <c r="R1466" s="34" t="s">
        <v>3407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3417</v>
      </c>
      <c r="X1466" s="34" t="s">
        <v>3418</v>
      </c>
      <c r="Y1466" s="34" t="s">
        <v>3409</v>
      </c>
      <c r="Z1466" s="34">
        <v>5</v>
      </c>
      <c r="AA1466" s="34" t="s">
        <v>4505</v>
      </c>
      <c r="AB1466" s="34" t="s">
        <v>4003</v>
      </c>
      <c r="AC1466" s="34" t="s">
        <v>4492</v>
      </c>
      <c r="AD1466" s="34" t="s">
        <v>3796</v>
      </c>
      <c r="AE1466" s="34" t="s">
        <v>5240</v>
      </c>
      <c r="AF1466" s="34" t="s">
        <v>3870</v>
      </c>
      <c r="AG1466" s="34" t="s">
        <v>4085</v>
      </c>
      <c r="AH1466" s="34" t="s">
        <v>7003</v>
      </c>
      <c r="AL1466" s="34" t="s">
        <v>6548</v>
      </c>
      <c r="AM1466" s="34" t="s">
        <v>7962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7" t="str">
        <f>IFERROR(INDEX(Структура_ассортимента[SuperCategory],MATCH(Товары[[#This Row],[SubGroup]],Структура_ассортимента[Subgroup],0)),"")</f>
        <v>O</v>
      </c>
      <c r="D14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7" t="str">
        <f>IFERROR(INDEX(Структура_ассортимента[Product group],MATCH(Товары[[#This Row],[SubGroup]],Структура_ассортимента[Subgroup],0)),"")</f>
        <v>WPU_C</v>
      </c>
      <c r="G1467" s="67" t="str">
        <f>IFERROR(INDEX(Структура_ассортимента[Product group name ENG],MATCH(Товары[[#This Row],[SubGroup]],Структура_ассортимента[Subgroup],0)),"")</f>
        <v>Watering, Pumps</v>
      </c>
      <c r="H146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3008</v>
      </c>
      <c r="Q1467" s="39" t="s">
        <v>3416</v>
      </c>
      <c r="R1467" s="34" t="s">
        <v>3407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3417</v>
      </c>
      <c r="X1467" s="34" t="s">
        <v>3418</v>
      </c>
      <c r="Y1467" s="34" t="s">
        <v>3409</v>
      </c>
      <c r="Z1467" s="34">
        <v>5</v>
      </c>
      <c r="AA1467" s="34" t="s">
        <v>3869</v>
      </c>
      <c r="AB1467" s="34" t="s">
        <v>3869</v>
      </c>
      <c r="AC1467" s="34" t="s">
        <v>3595</v>
      </c>
      <c r="AD1467" s="34" t="s">
        <v>3595</v>
      </c>
      <c r="AE1467" s="34" t="s">
        <v>3433</v>
      </c>
      <c r="AF1467" s="34" t="s">
        <v>3578</v>
      </c>
      <c r="AG1467" s="34" t="s">
        <v>3539</v>
      </c>
      <c r="AH1467" s="34" t="s">
        <v>7004</v>
      </c>
      <c r="AL1467" s="34" t="s">
        <v>6933</v>
      </c>
      <c r="AM1467" s="34" t="s">
        <v>7962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7" t="str">
        <f>IFERROR(INDEX(Структура_ассортимента[SuperCategory],MATCH(Товары[[#This Row],[SubGroup]],Структура_ассортимента[Subgroup],0)),"")</f>
        <v>O</v>
      </c>
      <c r="D14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7" t="str">
        <f>IFERROR(INDEX(Структура_ассортимента[Product group],MATCH(Товары[[#This Row],[SubGroup]],Структура_ассортимента[Subgroup],0)),"")</f>
        <v>WPU_C</v>
      </c>
      <c r="G1468" s="67" t="str">
        <f>IFERROR(INDEX(Структура_ассортимента[Product group name ENG],MATCH(Товары[[#This Row],[SubGroup]],Структура_ассортимента[Subgroup],0)),"")</f>
        <v>Watering, Pumps</v>
      </c>
      <c r="H146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3009</v>
      </c>
      <c r="Q1468" s="39" t="s">
        <v>3416</v>
      </c>
      <c r="R1468" s="34" t="s">
        <v>3407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3417</v>
      </c>
      <c r="X1468" s="34" t="s">
        <v>3418</v>
      </c>
      <c r="Y1468" s="34" t="s">
        <v>3409</v>
      </c>
      <c r="Z1468" s="34">
        <v>5</v>
      </c>
      <c r="AA1468" s="34" t="s">
        <v>4267</v>
      </c>
      <c r="AB1468" s="34" t="s">
        <v>4267</v>
      </c>
      <c r="AC1468" s="34" t="s">
        <v>3796</v>
      </c>
      <c r="AD1468" s="34" t="s">
        <v>3796</v>
      </c>
      <c r="AE1468" s="34" t="s">
        <v>4338</v>
      </c>
      <c r="AF1468" s="34" t="s">
        <v>5547</v>
      </c>
      <c r="AG1468" s="34" t="s">
        <v>4085</v>
      </c>
      <c r="AH1468" s="34" t="s">
        <v>7005</v>
      </c>
      <c r="AL1468" s="34" t="s">
        <v>6944</v>
      </c>
      <c r="AM1468" s="34" t="s">
        <v>7962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7" t="str">
        <f>IFERROR(INDEX(Структура_ассортимента[SuperCategory],MATCH(Товары[[#This Row],[SubGroup]],Структура_ассортимента[Subgroup],0)),"")</f>
        <v>O</v>
      </c>
      <c r="D14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7" t="str">
        <f>IFERROR(INDEX(Структура_ассортимента[Product group],MATCH(Товары[[#This Row],[SubGroup]],Структура_ассортимента[Subgroup],0)),"")</f>
        <v>WPU_C</v>
      </c>
      <c r="G1469" s="67" t="str">
        <f>IFERROR(INDEX(Структура_ассортимента[Product group name ENG],MATCH(Товары[[#This Row],[SubGroup]],Структура_ассортимента[Subgroup],0)),"")</f>
        <v>Watering, Pumps</v>
      </c>
      <c r="H146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3010</v>
      </c>
      <c r="Q1469" s="39" t="s">
        <v>3416</v>
      </c>
      <c r="R1469" s="34" t="s">
        <v>3407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3417</v>
      </c>
      <c r="X1469" s="34" t="s">
        <v>3418</v>
      </c>
      <c r="Y1469" s="34" t="s">
        <v>3409</v>
      </c>
      <c r="Z1469" s="34">
        <v>3</v>
      </c>
      <c r="AA1469" s="34" t="s">
        <v>7006</v>
      </c>
      <c r="AB1469" s="34" t="s">
        <v>7006</v>
      </c>
      <c r="AC1469" s="34" t="s">
        <v>4256</v>
      </c>
      <c r="AD1469" s="34" t="s">
        <v>4256</v>
      </c>
      <c r="AE1469" s="34" t="s">
        <v>5240</v>
      </c>
      <c r="AF1469" s="34" t="s">
        <v>4847</v>
      </c>
      <c r="AG1469" s="34" t="s">
        <v>4992</v>
      </c>
      <c r="AH1469" s="34" t="s">
        <v>7007</v>
      </c>
      <c r="AL1469" s="34" t="s">
        <v>5523</v>
      </c>
      <c r="AM1469" s="34" t="s">
        <v>7962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7" t="str">
        <f>IFERROR(INDEX(Структура_ассортимента[SuperCategory],MATCH(Товары[[#This Row],[SubGroup]],Структура_ассортимента[Subgroup],0)),"")</f>
        <v>O</v>
      </c>
      <c r="D14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7" t="str">
        <f>IFERROR(INDEX(Структура_ассортимента[Product group],MATCH(Товары[[#This Row],[SubGroup]],Структура_ассортимента[Subgroup],0)),"")</f>
        <v>WPU_C</v>
      </c>
      <c r="G1470" s="67" t="str">
        <f>IFERROR(INDEX(Структура_ассортимента[Product group name ENG],MATCH(Товары[[#This Row],[SubGroup]],Структура_ассортимента[Subgroup],0)),"")</f>
        <v>Watering, Pumps</v>
      </c>
      <c r="H147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3011</v>
      </c>
      <c r="Q1470" s="39" t="s">
        <v>3416</v>
      </c>
      <c r="R1470" s="34" t="s">
        <v>3407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3417</v>
      </c>
      <c r="X1470" s="34" t="s">
        <v>3418</v>
      </c>
      <c r="Y1470" s="34" t="s">
        <v>3409</v>
      </c>
      <c r="Z1470" s="34">
        <v>5</v>
      </c>
      <c r="AA1470" s="34" t="s">
        <v>4047</v>
      </c>
      <c r="AB1470" s="34" t="s">
        <v>7008</v>
      </c>
      <c r="AC1470" s="34" t="s">
        <v>4014</v>
      </c>
      <c r="AD1470" s="34" t="s">
        <v>5948</v>
      </c>
      <c r="AE1470" s="34" t="s">
        <v>4338</v>
      </c>
      <c r="AF1470" s="34" t="s">
        <v>5508</v>
      </c>
      <c r="AG1470" s="34" t="s">
        <v>4273</v>
      </c>
      <c r="AH1470" s="34" t="s">
        <v>6434</v>
      </c>
      <c r="AL1470" s="34" t="s">
        <v>6944</v>
      </c>
      <c r="AM1470" s="34" t="s">
        <v>7962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7" t="str">
        <f>IFERROR(INDEX(Структура_ассортимента[SuperCategory],MATCH(Товары[[#This Row],[SubGroup]],Структура_ассортимента[Subgroup],0)),"")</f>
        <v>O</v>
      </c>
      <c r="D14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7" t="str">
        <f>IFERROR(INDEX(Структура_ассортимента[Product group],MATCH(Товары[[#This Row],[SubGroup]],Структура_ассортимента[Subgroup],0)),"")</f>
        <v>WPU_C</v>
      </c>
      <c r="G1471" s="67" t="str">
        <f>IFERROR(INDEX(Структура_ассортимента[Product group name ENG],MATCH(Товары[[#This Row],[SubGroup]],Структура_ассортимента[Subgroup],0)),"")</f>
        <v>Watering, Pumps</v>
      </c>
      <c r="H147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3012</v>
      </c>
      <c r="Q1471" s="39" t="s">
        <v>3416</v>
      </c>
      <c r="R1471" s="34" t="s">
        <v>3407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3417</v>
      </c>
      <c r="X1471" s="34" t="s">
        <v>3418</v>
      </c>
      <c r="Y1471" s="34" t="s">
        <v>3409</v>
      </c>
      <c r="Z1471" s="34">
        <v>5</v>
      </c>
      <c r="AA1471" s="34" t="s">
        <v>4806</v>
      </c>
      <c r="AB1471" s="34" t="s">
        <v>4806</v>
      </c>
      <c r="AC1471" s="34" t="s">
        <v>4047</v>
      </c>
      <c r="AD1471" s="34" t="s">
        <v>4047</v>
      </c>
      <c r="AE1471" s="34" t="s">
        <v>5240</v>
      </c>
      <c r="AF1471" s="34" t="s">
        <v>3870</v>
      </c>
      <c r="AG1471" s="34" t="s">
        <v>4085</v>
      </c>
      <c r="AH1471" s="34" t="s">
        <v>7003</v>
      </c>
      <c r="AL1471" s="34" t="s">
        <v>6548</v>
      </c>
      <c r="AM1471" s="34" t="s">
        <v>7962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7" t="str">
        <f>IFERROR(INDEX(Структура_ассортимента[SuperCategory],MATCH(Товары[[#This Row],[SubGroup]],Структура_ассортимента[Subgroup],0)),"")</f>
        <v>O</v>
      </c>
      <c r="D14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7" t="str">
        <f>IFERROR(INDEX(Структура_ассортимента[Product group],MATCH(Товары[[#This Row],[SubGroup]],Структура_ассортимента[Subgroup],0)),"")</f>
        <v>WPU_C</v>
      </c>
      <c r="G1472" s="67" t="str">
        <f>IFERROR(INDEX(Структура_ассортимента[Product group name ENG],MATCH(Товары[[#This Row],[SubGroup]],Структура_ассортимента[Subgroup],0)),"")</f>
        <v>Watering, Pumps</v>
      </c>
      <c r="H147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3013</v>
      </c>
      <c r="Q1472" s="39" t="s">
        <v>3416</v>
      </c>
      <c r="R1472" s="34" t="s">
        <v>3407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3417</v>
      </c>
      <c r="X1472" s="34" t="s">
        <v>3774</v>
      </c>
      <c r="Y1472" s="34" t="s">
        <v>5848</v>
      </c>
      <c r="Z1472" s="34">
        <v>200</v>
      </c>
      <c r="AA1472" s="34" t="s">
        <v>3670</v>
      </c>
      <c r="AB1472" s="34" t="s">
        <v>3670</v>
      </c>
      <c r="AC1472" s="34" t="s">
        <v>3670</v>
      </c>
      <c r="AD1472" s="34" t="s">
        <v>3670</v>
      </c>
      <c r="AE1472" s="34" t="s">
        <v>3623</v>
      </c>
      <c r="AF1472" s="34" t="s">
        <v>3523</v>
      </c>
      <c r="AG1472" s="34" t="s">
        <v>3523</v>
      </c>
      <c r="AH1472" s="34" t="s">
        <v>7009</v>
      </c>
      <c r="AL1472" s="34" t="s">
        <v>7010</v>
      </c>
      <c r="AM1472" s="34" t="s">
        <v>7962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7" t="str">
        <f>IFERROR(INDEX(Структура_ассортимента[SuperCategory],MATCH(Товары[[#This Row],[SubGroup]],Структура_ассортимента[Subgroup],0)),"")</f>
        <v>O</v>
      </c>
      <c r="D14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7" t="str">
        <f>IFERROR(INDEX(Структура_ассортимента[Product group],MATCH(Товары[[#This Row],[SubGroup]],Структура_ассортимента[Subgroup],0)),"")</f>
        <v>WPU_C</v>
      </c>
      <c r="G1473" s="67" t="str">
        <f>IFERROR(INDEX(Структура_ассортимента[Product group name ENG],MATCH(Товары[[#This Row],[SubGroup]],Структура_ассортимента[Subgroup],0)),"")</f>
        <v>Watering, Pumps</v>
      </c>
      <c r="H147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3014</v>
      </c>
      <c r="Q1473" s="39" t="s">
        <v>3416</v>
      </c>
      <c r="R1473" s="34" t="s">
        <v>3407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3417</v>
      </c>
      <c r="X1473" s="34" t="s">
        <v>3774</v>
      </c>
      <c r="Y1473" s="34" t="s">
        <v>5848</v>
      </c>
      <c r="Z1473" s="34">
        <v>100</v>
      </c>
      <c r="AA1473" s="34" t="s">
        <v>6325</v>
      </c>
      <c r="AB1473" s="34" t="s">
        <v>6325</v>
      </c>
      <c r="AC1473" s="34" t="s">
        <v>6325</v>
      </c>
      <c r="AD1473" s="34" t="s">
        <v>6325</v>
      </c>
      <c r="AE1473" s="34" t="s">
        <v>3623</v>
      </c>
      <c r="AF1473" s="34" t="s">
        <v>7011</v>
      </c>
      <c r="AG1473" s="34" t="s">
        <v>7011</v>
      </c>
      <c r="AH1473" s="34" t="s">
        <v>7012</v>
      </c>
      <c r="AL1473" s="34" t="s">
        <v>7013</v>
      </c>
      <c r="AM1473" s="34" t="s">
        <v>7962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7" t="str">
        <f>IFERROR(INDEX(Структура_ассортимента[SuperCategory],MATCH(Товары[[#This Row],[SubGroup]],Структура_ассортимента[Subgroup],0)),"")</f>
        <v>O</v>
      </c>
      <c r="D14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7" t="str">
        <f>IFERROR(INDEX(Структура_ассортимента[Product group],MATCH(Товары[[#This Row],[SubGroup]],Структура_ассортимента[Subgroup],0)),"")</f>
        <v>WPU_C</v>
      </c>
      <c r="G1474" s="67" t="str">
        <f>IFERROR(INDEX(Структура_ассортимента[Product group name ENG],MATCH(Товары[[#This Row],[SubGroup]],Структура_ассортимента[Subgroup],0)),"")</f>
        <v>Watering, Pumps</v>
      </c>
      <c r="H147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3015</v>
      </c>
      <c r="Q1474" s="39" t="s">
        <v>3416</v>
      </c>
      <c r="R1474" s="34" t="s">
        <v>3407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3417</v>
      </c>
      <c r="X1474" s="34" t="s">
        <v>3774</v>
      </c>
      <c r="Y1474" s="34" t="s">
        <v>5848</v>
      </c>
      <c r="Z1474" s="34">
        <v>80</v>
      </c>
      <c r="AA1474" s="34" t="s">
        <v>3528</v>
      </c>
      <c r="AB1474" s="34" t="s">
        <v>3528</v>
      </c>
      <c r="AC1474" s="34" t="s">
        <v>3528</v>
      </c>
      <c r="AD1474" s="34" t="s">
        <v>3528</v>
      </c>
      <c r="AE1474" s="34" t="s">
        <v>3623</v>
      </c>
      <c r="AF1474" s="34" t="s">
        <v>4056</v>
      </c>
      <c r="AG1474" s="34" t="s">
        <v>4056</v>
      </c>
      <c r="AH1474" s="34" t="s">
        <v>7014</v>
      </c>
      <c r="AL1474" s="34" t="s">
        <v>7015</v>
      </c>
      <c r="AM1474" s="34" t="s">
        <v>7962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7" t="str">
        <f>IFERROR(INDEX(Структура_ассортимента[SuperCategory],MATCH(Товары[[#This Row],[SubGroup]],Структура_ассортимента[Subgroup],0)),"")</f>
        <v>O</v>
      </c>
      <c r="D14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7" t="str">
        <f>IFERROR(INDEX(Структура_ассортимента[Product group],MATCH(Товары[[#This Row],[SubGroup]],Структура_ассортимента[Subgroup],0)),"")</f>
        <v>WPU_C</v>
      </c>
      <c r="G1475" s="67" t="str">
        <f>IFERROR(INDEX(Структура_ассортимента[Product group name ENG],MATCH(Товары[[#This Row],[SubGroup]],Структура_ассортимента[Subgroup],0)),"")</f>
        <v>Watering, Pumps</v>
      </c>
      <c r="H147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3016</v>
      </c>
      <c r="Q1475" s="39" t="s">
        <v>3416</v>
      </c>
      <c r="R1475" s="34" t="s">
        <v>3407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3417</v>
      </c>
      <c r="X1475" s="34" t="s">
        <v>3774</v>
      </c>
      <c r="Y1475" s="34" t="s">
        <v>5848</v>
      </c>
      <c r="Z1475" s="34">
        <v>50</v>
      </c>
      <c r="AA1475" s="34" t="s">
        <v>7016</v>
      </c>
      <c r="AB1475" s="34" t="s">
        <v>7016</v>
      </c>
      <c r="AC1475" s="34" t="s">
        <v>3873</v>
      </c>
      <c r="AD1475" s="34" t="s">
        <v>3873</v>
      </c>
      <c r="AE1475" s="34" t="s">
        <v>3623</v>
      </c>
      <c r="AF1475" s="34" t="s">
        <v>3545</v>
      </c>
      <c r="AG1475" s="34" t="s">
        <v>3545</v>
      </c>
      <c r="AH1475" s="34" t="s">
        <v>6149</v>
      </c>
      <c r="AL1475" s="34" t="s">
        <v>7017</v>
      </c>
      <c r="AM1475" s="34" t="s">
        <v>7962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7" t="str">
        <f>IFERROR(INDEX(Структура_ассортимента[SuperCategory],MATCH(Товары[[#This Row],[SubGroup]],Структура_ассортимента[Subgroup],0)),"")</f>
        <v>O</v>
      </c>
      <c r="D14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7" t="str">
        <f>IFERROR(INDEX(Структура_ассортимента[Product group],MATCH(Товары[[#This Row],[SubGroup]],Структура_ассортимента[Subgroup],0)),"")</f>
        <v>WPU_C</v>
      </c>
      <c r="G1476" s="67" t="str">
        <f>IFERROR(INDEX(Структура_ассортимента[Product group name ENG],MATCH(Товары[[#This Row],[SubGroup]],Структура_ассортимента[Subgroup],0)),"")</f>
        <v>Watering, Pumps</v>
      </c>
      <c r="H147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3017</v>
      </c>
      <c r="Q1476" s="39" t="s">
        <v>3416</v>
      </c>
      <c r="R1476" s="34" t="s">
        <v>3407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3417</v>
      </c>
      <c r="X1476" s="34" t="s">
        <v>3774</v>
      </c>
      <c r="Y1476" s="34" t="s">
        <v>5848</v>
      </c>
      <c r="Z1476" s="34">
        <v>50</v>
      </c>
      <c r="AA1476" s="34" t="s">
        <v>3957</v>
      </c>
      <c r="AB1476" s="34" t="s">
        <v>3957</v>
      </c>
      <c r="AC1476" s="34" t="s">
        <v>3957</v>
      </c>
      <c r="AD1476" s="34" t="s">
        <v>3957</v>
      </c>
      <c r="AE1476" s="34" t="s">
        <v>3623</v>
      </c>
      <c r="AF1476" s="34" t="s">
        <v>3545</v>
      </c>
      <c r="AG1476" s="34" t="s">
        <v>3545</v>
      </c>
      <c r="AH1476" s="34" t="s">
        <v>6149</v>
      </c>
      <c r="AL1476" s="34" t="s">
        <v>4060</v>
      </c>
      <c r="AM1476" s="34" t="s">
        <v>7962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7" t="str">
        <f>IFERROR(INDEX(Структура_ассортимента[SuperCategory],MATCH(Товары[[#This Row],[SubGroup]],Структура_ассортимента[Subgroup],0)),"")</f>
        <v>O</v>
      </c>
      <c r="D14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7" t="str">
        <f>IFERROR(INDEX(Структура_ассортимента[Product group],MATCH(Товары[[#This Row],[SubGroup]],Структура_ассортимента[Subgroup],0)),"")</f>
        <v>WPU_C</v>
      </c>
      <c r="G1477" s="67" t="str">
        <f>IFERROR(INDEX(Структура_ассортимента[Product group name ENG],MATCH(Товары[[#This Row],[SubGroup]],Структура_ассортимента[Subgroup],0)),"")</f>
        <v>Watering, Pumps</v>
      </c>
      <c r="H147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3018</v>
      </c>
      <c r="Q1477" s="39" t="s">
        <v>3416</v>
      </c>
      <c r="R1477" s="34" t="s">
        <v>3407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3417</v>
      </c>
      <c r="X1477" s="34" t="s">
        <v>3774</v>
      </c>
      <c r="Y1477" s="34" t="s">
        <v>5848</v>
      </c>
      <c r="Z1477" s="34">
        <v>50</v>
      </c>
      <c r="AA1477" s="34" t="s">
        <v>3784</v>
      </c>
      <c r="AB1477" s="34" t="s">
        <v>3784</v>
      </c>
      <c r="AC1477" s="34" t="s">
        <v>6986</v>
      </c>
      <c r="AD1477" s="34" t="s">
        <v>6986</v>
      </c>
      <c r="AE1477" s="34" t="s">
        <v>3623</v>
      </c>
      <c r="AF1477" s="34" t="s">
        <v>3675</v>
      </c>
      <c r="AG1477" s="34" t="s">
        <v>3675</v>
      </c>
      <c r="AH1477" s="34" t="s">
        <v>6991</v>
      </c>
      <c r="AL1477" s="34" t="s">
        <v>6098</v>
      </c>
      <c r="AM1477" s="34" t="s">
        <v>7962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7" t="str">
        <f>IFERROR(INDEX(Структура_ассортимента[SuperCategory],MATCH(Товары[[#This Row],[SubGroup]],Структура_ассортимента[Subgroup],0)),"")</f>
        <v>O</v>
      </c>
      <c r="D14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7" t="str">
        <f>IFERROR(INDEX(Структура_ассортимента[Product group],MATCH(Товары[[#This Row],[SubGroup]],Структура_ассортимента[Subgroup],0)),"")</f>
        <v>WPU_C</v>
      </c>
      <c r="G1478" s="67" t="str">
        <f>IFERROR(INDEX(Структура_ассортимента[Product group name ENG],MATCH(Товары[[#This Row],[SubGroup]],Структура_ассортимента[Subgroup],0)),"")</f>
        <v>Watering, Pumps</v>
      </c>
      <c r="H147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3019</v>
      </c>
      <c r="Q1478" s="39" t="s">
        <v>3416</v>
      </c>
      <c r="R1478" s="34" t="s">
        <v>3407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3417</v>
      </c>
      <c r="X1478" s="34" t="s">
        <v>3774</v>
      </c>
      <c r="Y1478" s="34" t="s">
        <v>5848</v>
      </c>
      <c r="Z1478" s="34">
        <v>50</v>
      </c>
      <c r="AA1478" s="34" t="s">
        <v>3869</v>
      </c>
      <c r="AB1478" s="34" t="s">
        <v>3869</v>
      </c>
      <c r="AC1478" s="34" t="s">
        <v>3869</v>
      </c>
      <c r="AD1478" s="34" t="s">
        <v>3869</v>
      </c>
      <c r="AE1478" s="34" t="s">
        <v>3623</v>
      </c>
      <c r="AF1478" s="34" t="s">
        <v>5916</v>
      </c>
      <c r="AG1478" s="34" t="s">
        <v>5916</v>
      </c>
      <c r="AH1478" s="34" t="s">
        <v>7018</v>
      </c>
      <c r="AL1478" s="34" t="s">
        <v>6098</v>
      </c>
      <c r="AM1478" s="34" t="s">
        <v>7962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7" t="str">
        <f>IFERROR(INDEX(Структура_ассортимента[SuperCategory],MATCH(Товары[[#This Row],[SubGroup]],Структура_ассортимента[Subgroup],0)),"")</f>
        <v>O</v>
      </c>
      <c r="D14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7" t="str">
        <f>IFERROR(INDEX(Структура_ассортимента[Product group],MATCH(Товары[[#This Row],[SubGroup]],Структура_ассортимента[Subgroup],0)),"")</f>
        <v>WPU_C</v>
      </c>
      <c r="G1479" s="67" t="str">
        <f>IFERROR(INDEX(Структура_ассортимента[Product group name ENG],MATCH(Товары[[#This Row],[SubGroup]],Структура_ассортимента[Subgroup],0)),"")</f>
        <v>Watering, Pumps</v>
      </c>
      <c r="H147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3020</v>
      </c>
      <c r="Q1479" s="39" t="s">
        <v>3416</v>
      </c>
      <c r="R1479" s="34" t="s">
        <v>3407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3417</v>
      </c>
      <c r="X1479" s="34" t="s">
        <v>3774</v>
      </c>
      <c r="Y1479" s="34" t="s">
        <v>5848</v>
      </c>
      <c r="Z1479" s="34">
        <v>40</v>
      </c>
      <c r="AA1479" s="34" t="s">
        <v>4014</v>
      </c>
      <c r="AB1479" s="34" t="s">
        <v>4014</v>
      </c>
      <c r="AC1479" s="34" t="s">
        <v>4014</v>
      </c>
      <c r="AD1479" s="34" t="s">
        <v>4014</v>
      </c>
      <c r="AE1479" s="34" t="s">
        <v>3623</v>
      </c>
      <c r="AF1479" s="34" t="s">
        <v>6439</v>
      </c>
      <c r="AG1479" s="34" t="s">
        <v>6439</v>
      </c>
      <c r="AH1479" s="34" t="s">
        <v>7019</v>
      </c>
      <c r="AL1479" s="34" t="s">
        <v>4043</v>
      </c>
      <c r="AM1479" s="34" t="s">
        <v>7962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7" t="str">
        <f>IFERROR(INDEX(Структура_ассортимента[SuperCategory],MATCH(Товары[[#This Row],[SubGroup]],Структура_ассортимента[Subgroup],0)),"")</f>
        <v>O</v>
      </c>
      <c r="D14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7" t="str">
        <f>IFERROR(INDEX(Структура_ассортимента[Product group],MATCH(Товары[[#This Row],[SubGroup]],Структура_ассортимента[Subgroup],0)),"")</f>
        <v>WPU_C</v>
      </c>
      <c r="G1480" s="67" t="str">
        <f>IFERROR(INDEX(Структура_ассортимента[Product group name ENG],MATCH(Товары[[#This Row],[SubGroup]],Структура_ассортимента[Subgroup],0)),"")</f>
        <v>Watering, Pumps</v>
      </c>
      <c r="H148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3021</v>
      </c>
      <c r="Q1480" s="39" t="s">
        <v>3416</v>
      </c>
      <c r="R1480" s="34" t="s">
        <v>3407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3417</v>
      </c>
      <c r="X1480" s="34" t="s">
        <v>3774</v>
      </c>
      <c r="Y1480" s="34" t="s">
        <v>5848</v>
      </c>
      <c r="Z1480" s="34">
        <v>25</v>
      </c>
      <c r="AA1480" s="34" t="s">
        <v>4632</v>
      </c>
      <c r="AB1480" s="34" t="s">
        <v>4632</v>
      </c>
      <c r="AC1480" s="34" t="s">
        <v>4632</v>
      </c>
      <c r="AD1480" s="34" t="s">
        <v>4632</v>
      </c>
      <c r="AE1480" s="34" t="s">
        <v>3623</v>
      </c>
      <c r="AF1480" s="34" t="s">
        <v>4098</v>
      </c>
      <c r="AG1480" s="34" t="s">
        <v>4098</v>
      </c>
      <c r="AH1480" s="34" t="s">
        <v>7020</v>
      </c>
      <c r="AL1480" s="34" t="s">
        <v>4783</v>
      </c>
      <c r="AM1480" s="34" t="s">
        <v>7962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7" t="str">
        <f>IFERROR(INDEX(Структура_ассортимента[SuperCategory],MATCH(Товары[[#This Row],[SubGroup]],Структура_ассортимента[Subgroup],0)),"")</f>
        <v>O</v>
      </c>
      <c r="D14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7" t="str">
        <f>IFERROR(INDEX(Структура_ассортимента[Product group],MATCH(Товары[[#This Row],[SubGroup]],Структура_ассортимента[Subgroup],0)),"")</f>
        <v>WPU_C</v>
      </c>
      <c r="G1481" s="67" t="str">
        <f>IFERROR(INDEX(Структура_ассортимента[Product group name ENG],MATCH(Товары[[#This Row],[SubGroup]],Структура_ассортимента[Subgroup],0)),"")</f>
        <v>Watering, Pumps</v>
      </c>
      <c r="H148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3022</v>
      </c>
      <c r="Q1481" s="39" t="s">
        <v>3416</v>
      </c>
      <c r="R1481" s="34" t="s">
        <v>3407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3417</v>
      </c>
      <c r="X1481" s="34" t="s">
        <v>3774</v>
      </c>
      <c r="Y1481" s="34" t="s">
        <v>5848</v>
      </c>
      <c r="Z1481" s="34">
        <v>25</v>
      </c>
      <c r="AA1481" s="34" t="s">
        <v>5097</v>
      </c>
      <c r="AB1481" s="34" t="s">
        <v>5097</v>
      </c>
      <c r="AC1481" s="34" t="s">
        <v>5097</v>
      </c>
      <c r="AD1481" s="34" t="s">
        <v>5097</v>
      </c>
      <c r="AE1481" s="34" t="s">
        <v>3424</v>
      </c>
      <c r="AF1481" s="34" t="s">
        <v>4127</v>
      </c>
      <c r="AG1481" s="34" t="s">
        <v>4127</v>
      </c>
      <c r="AH1481" s="34" t="s">
        <v>6950</v>
      </c>
      <c r="AL1481" s="34" t="s">
        <v>7021</v>
      </c>
      <c r="AM1481" s="34" t="s">
        <v>7962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7" t="str">
        <f>IFERROR(INDEX(Структура_ассортимента[SuperCategory],MATCH(Товары[[#This Row],[SubGroup]],Структура_ассортимента[Subgroup],0)),"")</f>
        <v>O</v>
      </c>
      <c r="D14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7" t="str">
        <f>IFERROR(INDEX(Структура_ассортимента[Product group],MATCH(Товары[[#This Row],[SubGroup]],Структура_ассортимента[Subgroup],0)),"")</f>
        <v>WPU_C</v>
      </c>
      <c r="G1482" s="67" t="str">
        <f>IFERROR(INDEX(Структура_ассортимента[Product group name ENG],MATCH(Товары[[#This Row],[SubGroup]],Структура_ассортимента[Subgroup],0)),"")</f>
        <v>Watering, Pumps</v>
      </c>
      <c r="H148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3023</v>
      </c>
      <c r="O1482" s="37" t="s">
        <v>7022</v>
      </c>
      <c r="P1482" s="37" t="s">
        <v>7023</v>
      </c>
      <c r="Q1482" s="39" t="s">
        <v>3416</v>
      </c>
      <c r="R1482" s="34" t="s">
        <v>3407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3417</v>
      </c>
      <c r="X1482" s="34" t="s">
        <v>3774</v>
      </c>
      <c r="Y1482" s="34" t="s">
        <v>5848</v>
      </c>
      <c r="Z1482" s="34">
        <v>50</v>
      </c>
      <c r="AA1482" s="34" t="s">
        <v>3968</v>
      </c>
      <c r="AB1482" s="34" t="s">
        <v>3968</v>
      </c>
      <c r="AC1482" s="34" t="s">
        <v>3968</v>
      </c>
      <c r="AD1482" s="34" t="s">
        <v>3968</v>
      </c>
      <c r="AE1482" s="34" t="s">
        <v>3623</v>
      </c>
      <c r="AF1482" s="34" t="s">
        <v>3545</v>
      </c>
      <c r="AG1482" s="34" t="s">
        <v>3545</v>
      </c>
      <c r="AH1482" s="34" t="s">
        <v>6149</v>
      </c>
      <c r="AL1482" s="34" t="s">
        <v>7024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7" t="str">
        <f>IFERROR(INDEX(Структура_ассортимента[SuperCategory],MATCH(Товары[[#This Row],[SubGroup]],Структура_ассортимента[Subgroup],0)),"")</f>
        <v>O</v>
      </c>
      <c r="D14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7" t="str">
        <f>IFERROR(INDEX(Структура_ассортимента[Product group],MATCH(Товары[[#This Row],[SubGroup]],Структура_ассортимента[Subgroup],0)),"")</f>
        <v>WPU_C</v>
      </c>
      <c r="G1483" s="67" t="str">
        <f>IFERROR(INDEX(Структура_ассортимента[Product group name ENG],MATCH(Товары[[#This Row],[SubGroup]],Структура_ассортимента[Subgroup],0)),"")</f>
        <v>Watering, Pumps</v>
      </c>
      <c r="H1483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3024</v>
      </c>
      <c r="O1483" s="37" t="s">
        <v>7025</v>
      </c>
      <c r="P1483" s="37" t="s">
        <v>7026</v>
      </c>
      <c r="Q1483" s="39" t="s">
        <v>3416</v>
      </c>
      <c r="R1483" s="34" t="s">
        <v>3407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3417</v>
      </c>
      <c r="X1483" s="34" t="s">
        <v>3774</v>
      </c>
      <c r="Y1483" s="34" t="s">
        <v>5848</v>
      </c>
      <c r="Z1483" s="34">
        <v>50</v>
      </c>
      <c r="AA1483" s="34" t="s">
        <v>6588</v>
      </c>
      <c r="AB1483" s="34" t="s">
        <v>6588</v>
      </c>
      <c r="AC1483" s="34" t="s">
        <v>6588</v>
      </c>
      <c r="AD1483" s="34" t="s">
        <v>6588</v>
      </c>
      <c r="AE1483" s="34" t="s">
        <v>3623</v>
      </c>
      <c r="AF1483" s="34" t="s">
        <v>4056</v>
      </c>
      <c r="AG1483" s="34" t="s">
        <v>4056</v>
      </c>
      <c r="AH1483" s="34" t="s">
        <v>7014</v>
      </c>
      <c r="AL1483" s="34" t="s">
        <v>7024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7" t="str">
        <f>IFERROR(INDEX(Структура_ассортимента[SuperCategory],MATCH(Товары[[#This Row],[SubGroup]],Структура_ассортимента[Subgroup],0)),"")</f>
        <v>O</v>
      </c>
      <c r="D14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7" t="str">
        <f>IFERROR(INDEX(Структура_ассортимента[Product group],MATCH(Товары[[#This Row],[SubGroup]],Структура_ассортимента[Subgroup],0)),"")</f>
        <v>WPU_C</v>
      </c>
      <c r="G1484" s="67" t="str">
        <f>IFERROR(INDEX(Структура_ассортимента[Product group name ENG],MATCH(Товары[[#This Row],[SubGroup]],Структура_ассортимента[Subgroup],0)),"")</f>
        <v>Watering, Pumps</v>
      </c>
      <c r="H1484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3025</v>
      </c>
      <c r="O1484" s="37" t="s">
        <v>7027</v>
      </c>
      <c r="P1484" s="37" t="s">
        <v>7028</v>
      </c>
      <c r="Q1484" s="39" t="s">
        <v>3416</v>
      </c>
      <c r="R1484" s="34" t="s">
        <v>3407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3417</v>
      </c>
      <c r="X1484" s="34" t="s">
        <v>3774</v>
      </c>
      <c r="Y1484" s="34" t="s">
        <v>5848</v>
      </c>
      <c r="Z1484" s="34">
        <v>40</v>
      </c>
      <c r="AA1484" s="34" t="s">
        <v>3595</v>
      </c>
      <c r="AB1484" s="34" t="s">
        <v>3595</v>
      </c>
      <c r="AC1484" s="34" t="s">
        <v>3595</v>
      </c>
      <c r="AD1484" s="34" t="s">
        <v>3595</v>
      </c>
      <c r="AE1484" s="34" t="s">
        <v>3623</v>
      </c>
      <c r="AF1484" s="34" t="s">
        <v>3539</v>
      </c>
      <c r="AG1484" s="34" t="s">
        <v>3539</v>
      </c>
      <c r="AH1484" s="34" t="s">
        <v>5797</v>
      </c>
      <c r="AL1484" s="34" t="s">
        <v>7029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7" t="str">
        <f>IFERROR(INDEX(Структура_ассортимента[SuperCategory],MATCH(Товары[[#This Row],[SubGroup]],Структура_ассортимента[Subgroup],0)),"")</f>
        <v>O</v>
      </c>
      <c r="D14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7" t="str">
        <f>IFERROR(INDEX(Структура_ассортимента[Product group],MATCH(Товары[[#This Row],[SubGroup]],Структура_ассортимента[Subgroup],0)),"")</f>
        <v>WPU_C</v>
      </c>
      <c r="G1485" s="67" t="str">
        <f>IFERROR(INDEX(Структура_ассортимента[Product group name ENG],MATCH(Товары[[#This Row],[SubGroup]],Структура_ассортимента[Subgroup],0)),"")</f>
        <v>Watering, Pumps</v>
      </c>
      <c r="H1485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3026</v>
      </c>
      <c r="O1485" s="37" t="s">
        <v>7030</v>
      </c>
      <c r="P1485" s="37" t="s">
        <v>7031</v>
      </c>
      <c r="Q1485" s="39" t="s">
        <v>3416</v>
      </c>
      <c r="R1485" s="34" t="s">
        <v>3407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3417</v>
      </c>
      <c r="X1485" s="34" t="s">
        <v>3774</v>
      </c>
      <c r="Y1485" s="34" t="s">
        <v>5848</v>
      </c>
      <c r="Z1485" s="34">
        <v>50</v>
      </c>
      <c r="AA1485" s="34" t="s">
        <v>7032</v>
      </c>
      <c r="AB1485" s="34" t="s">
        <v>7032</v>
      </c>
      <c r="AC1485" s="34" t="s">
        <v>3595</v>
      </c>
      <c r="AD1485" s="34" t="s">
        <v>3595</v>
      </c>
      <c r="AE1485" s="34" t="s">
        <v>3623</v>
      </c>
      <c r="AF1485" s="34" t="s">
        <v>3523</v>
      </c>
      <c r="AG1485" s="34" t="s">
        <v>3523</v>
      </c>
      <c r="AH1485" s="34" t="s">
        <v>6214</v>
      </c>
      <c r="AL1485" s="34" t="s">
        <v>6098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7" t="str">
        <f>IFERROR(INDEX(Структура_ассортимента[SuperCategory],MATCH(Товары[[#This Row],[SubGroup]],Структура_ассортимента[Subgroup],0)),"")</f>
        <v>O</v>
      </c>
      <c r="D14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7" t="str">
        <f>IFERROR(INDEX(Структура_ассортимента[Product group],MATCH(Товары[[#This Row],[SubGroup]],Структура_ассортимента[Subgroup],0)),"")</f>
        <v>WPU_C</v>
      </c>
      <c r="G1486" s="67" t="str">
        <f>IFERROR(INDEX(Структура_ассортимента[Product group name ENG],MATCH(Товары[[#This Row],[SubGroup]],Структура_ассортимента[Subgroup],0)),"")</f>
        <v>Watering, Pumps</v>
      </c>
      <c r="H1486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3027</v>
      </c>
      <c r="O1486" s="37" t="s">
        <v>7033</v>
      </c>
      <c r="P1486" s="37" t="s">
        <v>7034</v>
      </c>
      <c r="Q1486" s="39" t="s">
        <v>3416</v>
      </c>
      <c r="R1486" s="34" t="s">
        <v>3407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3417</v>
      </c>
      <c r="X1486" s="34" t="s">
        <v>3774</v>
      </c>
      <c r="Y1486" s="34" t="s">
        <v>5848</v>
      </c>
      <c r="Z1486" s="34">
        <v>50</v>
      </c>
      <c r="AA1486" s="34" t="s">
        <v>3796</v>
      </c>
      <c r="AB1486" s="34" t="s">
        <v>3796</v>
      </c>
      <c r="AC1486" s="34" t="s">
        <v>7035</v>
      </c>
      <c r="AD1486" s="34" t="s">
        <v>7035</v>
      </c>
      <c r="AE1486" s="34" t="s">
        <v>3623</v>
      </c>
      <c r="AF1486" s="34" t="s">
        <v>5916</v>
      </c>
      <c r="AG1486" s="34" t="s">
        <v>5916</v>
      </c>
      <c r="AH1486" s="34" t="s">
        <v>7018</v>
      </c>
      <c r="AL1486" s="34" t="s">
        <v>6150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7" t="str">
        <f>IFERROR(INDEX(Структура_ассортимента[SuperCategory],MATCH(Товары[[#This Row],[SubGroup]],Структура_ассортимента[Subgroup],0)),"")</f>
        <v>O</v>
      </c>
      <c r="D14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7" t="str">
        <f>IFERROR(INDEX(Структура_ассортимента[Product group],MATCH(Товары[[#This Row],[SubGroup]],Структура_ассортимента[Subgroup],0)),"")</f>
        <v>WPU_C</v>
      </c>
      <c r="G1487" s="67" t="str">
        <f>IFERROR(INDEX(Структура_ассортимента[Product group name ENG],MATCH(Товары[[#This Row],[SubGroup]],Структура_ассортимента[Subgroup],0)),"")</f>
        <v>Watering, Pumps</v>
      </c>
      <c r="H1487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3028</v>
      </c>
      <c r="O1487" s="37" t="s">
        <v>7036</v>
      </c>
      <c r="P1487" s="37" t="s">
        <v>7037</v>
      </c>
      <c r="Q1487" s="39" t="s">
        <v>3416</v>
      </c>
      <c r="R1487" s="34" t="s">
        <v>3407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3417</v>
      </c>
      <c r="X1487" s="34" t="s">
        <v>3774</v>
      </c>
      <c r="Y1487" s="34" t="s">
        <v>5848</v>
      </c>
      <c r="Z1487" s="34">
        <v>200</v>
      </c>
      <c r="AA1487" s="34" t="s">
        <v>6322</v>
      </c>
      <c r="AB1487" s="34" t="s">
        <v>6322</v>
      </c>
      <c r="AC1487" s="34" t="s">
        <v>6322</v>
      </c>
      <c r="AD1487" s="34" t="s">
        <v>6322</v>
      </c>
      <c r="AE1487" s="34" t="s">
        <v>3529</v>
      </c>
      <c r="AF1487" s="34" t="s">
        <v>3659</v>
      </c>
      <c r="AG1487" s="34" t="s">
        <v>3675</v>
      </c>
      <c r="AH1487" s="34" t="s">
        <v>7012</v>
      </c>
      <c r="AL1487" s="34" t="s">
        <v>7010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7" t="str">
        <f>IFERROR(INDEX(Структура_ассортимента[SuperCategory],MATCH(Товары[[#This Row],[SubGroup]],Структура_ассортимента[Subgroup],0)),"")</f>
        <v>O</v>
      </c>
      <c r="D14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7" t="str">
        <f>IFERROR(INDEX(Структура_ассортимента[Product group],MATCH(Товары[[#This Row],[SubGroup]],Структура_ассортимента[Subgroup],0)),"")</f>
        <v>WPU_C</v>
      </c>
      <c r="G1488" s="67" t="str">
        <f>IFERROR(INDEX(Структура_ассортимента[Product group name ENG],MATCH(Товары[[#This Row],[SubGroup]],Структура_ассортимента[Subgroup],0)),"")</f>
        <v>Watering, Pumps</v>
      </c>
      <c r="H148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3029</v>
      </c>
      <c r="O1488" s="37" t="s">
        <v>7038</v>
      </c>
      <c r="P1488" s="37" t="s">
        <v>7039</v>
      </c>
      <c r="Q1488" s="39" t="s">
        <v>3416</v>
      </c>
      <c r="R1488" s="34" t="s">
        <v>3407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3417</v>
      </c>
      <c r="X1488" s="34" t="s">
        <v>3774</v>
      </c>
      <c r="Y1488" s="34" t="s">
        <v>5848</v>
      </c>
      <c r="Z1488" s="34">
        <v>100</v>
      </c>
      <c r="AA1488" s="34" t="s">
        <v>5500</v>
      </c>
      <c r="AB1488" s="34" t="s">
        <v>5500</v>
      </c>
      <c r="AC1488" s="34" t="s">
        <v>5500</v>
      </c>
      <c r="AD1488" s="34" t="s">
        <v>5500</v>
      </c>
      <c r="AE1488" s="34" t="s">
        <v>3623</v>
      </c>
      <c r="AF1488" s="34" t="s">
        <v>3530</v>
      </c>
      <c r="AG1488" s="34" t="s">
        <v>3530</v>
      </c>
      <c r="AH1488" s="34" t="s">
        <v>7040</v>
      </c>
      <c r="AL1488" s="34" t="s">
        <v>7013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7" t="str">
        <f>IFERROR(INDEX(Структура_ассортимента[SuperCategory],MATCH(Товары[[#This Row],[SubGroup]],Структура_ассортимента[Subgroup],0)),"")</f>
        <v>O</v>
      </c>
      <c r="D14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7" t="str">
        <f>IFERROR(INDEX(Структура_ассортимента[Product group],MATCH(Товары[[#This Row],[SubGroup]],Структура_ассортимента[Subgroup],0)),"")</f>
        <v>WPU_C</v>
      </c>
      <c r="G1489" s="67" t="str">
        <f>IFERROR(INDEX(Структура_ассортимента[Product group name ENG],MATCH(Товары[[#This Row],[SubGroup]],Структура_ассортимента[Subgroup],0)),"")</f>
        <v>Watering, Pumps</v>
      </c>
      <c r="H148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3030</v>
      </c>
      <c r="O1489" s="37" t="s">
        <v>7041</v>
      </c>
      <c r="P1489" s="37" t="s">
        <v>7042</v>
      </c>
      <c r="Q1489" s="39" t="s">
        <v>3416</v>
      </c>
      <c r="R1489" s="34" t="s">
        <v>3407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3417</v>
      </c>
      <c r="X1489" s="34" t="s">
        <v>3774</v>
      </c>
      <c r="Y1489" s="34" t="s">
        <v>5848</v>
      </c>
      <c r="Z1489" s="34">
        <v>80</v>
      </c>
      <c r="AA1489" s="34" t="s">
        <v>3528</v>
      </c>
      <c r="AB1489" s="34" t="s">
        <v>3528</v>
      </c>
      <c r="AC1489" s="34" t="s">
        <v>3528</v>
      </c>
      <c r="AD1489" s="34" t="s">
        <v>3528</v>
      </c>
      <c r="AE1489" s="34" t="s">
        <v>3523</v>
      </c>
      <c r="AF1489" s="34" t="s">
        <v>3523</v>
      </c>
      <c r="AG1489" s="34" t="s">
        <v>3523</v>
      </c>
      <c r="AH1489" s="34" t="s">
        <v>6470</v>
      </c>
      <c r="AL1489" s="34" t="s">
        <v>7015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7" t="str">
        <f>IFERROR(INDEX(Структура_ассортимента[SuperCategory],MATCH(Товары[[#This Row],[SubGroup]],Структура_ассортимента[Subgroup],0)),"")</f>
        <v>O</v>
      </c>
      <c r="D14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7" t="str">
        <f>IFERROR(INDEX(Структура_ассортимента[Product group],MATCH(Товары[[#This Row],[SubGroup]],Структура_ассортимента[Subgroup],0)),"")</f>
        <v>WPU_C</v>
      </c>
      <c r="G1490" s="67" t="str">
        <f>IFERROR(INDEX(Структура_ассортимента[Product group name ENG],MATCH(Товары[[#This Row],[SubGroup]],Структура_ассортимента[Subgroup],0)),"")</f>
        <v>Watering, Pumps</v>
      </c>
      <c r="H149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3031</v>
      </c>
      <c r="O1490" s="37" t="s">
        <v>7043</v>
      </c>
      <c r="P1490" s="37" t="s">
        <v>7044</v>
      </c>
      <c r="Q1490" s="39" t="s">
        <v>3416</v>
      </c>
      <c r="R1490" s="34" t="s">
        <v>3407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3417</v>
      </c>
      <c r="X1490" s="34" t="s">
        <v>3774</v>
      </c>
      <c r="Y1490" s="34" t="s">
        <v>5848</v>
      </c>
      <c r="Z1490" s="34">
        <v>50</v>
      </c>
      <c r="AA1490" s="34" t="s">
        <v>3538</v>
      </c>
      <c r="AB1490" s="34" t="s">
        <v>3538</v>
      </c>
      <c r="AC1490" s="34" t="s">
        <v>3538</v>
      </c>
      <c r="AD1490" s="34" t="s">
        <v>3538</v>
      </c>
      <c r="AE1490" s="34" t="s">
        <v>3457</v>
      </c>
      <c r="AF1490" s="34" t="s">
        <v>5919</v>
      </c>
      <c r="AG1490" s="34" t="s">
        <v>4101</v>
      </c>
      <c r="AH1490" s="34" t="s">
        <v>7045</v>
      </c>
      <c r="AL1490" s="34" t="s">
        <v>7024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7" t="str">
        <f>IFERROR(INDEX(Структура_ассортимента[SuperCategory],MATCH(Товары[[#This Row],[SubGroup]],Структура_ассортимента[Subgroup],0)),"")</f>
        <v>O</v>
      </c>
      <c r="D14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7" t="str">
        <f>IFERROR(INDEX(Структура_ассортимента[Product group],MATCH(Товары[[#This Row],[SubGroup]],Структура_ассортимента[Subgroup],0)),"")</f>
        <v>WPU_C</v>
      </c>
      <c r="G1491" s="67" t="str">
        <f>IFERROR(INDEX(Структура_ассортимента[Product group name ENG],MATCH(Товары[[#This Row],[SubGroup]],Структура_ассортимента[Subgroup],0)),"")</f>
        <v>Watering, Pumps</v>
      </c>
      <c r="H149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3032</v>
      </c>
      <c r="Q1491" s="39" t="s">
        <v>3416</v>
      </c>
      <c r="R1491" s="34" t="s">
        <v>3407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3410</v>
      </c>
      <c r="X1491" s="34" t="s">
        <v>3446</v>
      </c>
      <c r="Y1491" s="34" t="s">
        <v>3409</v>
      </c>
      <c r="Z1491" s="34">
        <v>1</v>
      </c>
      <c r="AA1491" s="34" t="s">
        <v>4463</v>
      </c>
      <c r="AB1491" s="34" t="s">
        <v>4463</v>
      </c>
      <c r="AC1491" s="34" t="s">
        <v>3440</v>
      </c>
      <c r="AD1491" s="34" t="s">
        <v>3440</v>
      </c>
      <c r="AE1491" s="34" t="s">
        <v>3589</v>
      </c>
      <c r="AF1491" s="34" t="s">
        <v>3589</v>
      </c>
      <c r="AG1491" s="34" t="s">
        <v>4526</v>
      </c>
      <c r="AH1491" s="34" t="s">
        <v>4896</v>
      </c>
      <c r="AL1491" s="34" t="s">
        <v>3697</v>
      </c>
      <c r="AM1491" s="34" t="s">
        <v>7962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7" t="str">
        <f>IFERROR(INDEX(Структура_ассортимента[SuperCategory],MATCH(Товары[[#This Row],[SubGroup]],Структура_ассортимента[Subgroup],0)),"")</f>
        <v>O</v>
      </c>
      <c r="D14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7" t="str">
        <f>IFERROR(INDEX(Структура_ассортимента[Product group],MATCH(Товары[[#This Row],[SubGroup]],Структура_ассортимента[Subgroup],0)),"")</f>
        <v>WPU_C</v>
      </c>
      <c r="G1492" s="67" t="str">
        <f>IFERROR(INDEX(Структура_ассортимента[Product group name ENG],MATCH(Товары[[#This Row],[SubGroup]],Структура_ассортимента[Subgroup],0)),"")</f>
        <v>Watering, Pumps</v>
      </c>
      <c r="H149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3033</v>
      </c>
      <c r="O1492" s="37" t="s">
        <v>7046</v>
      </c>
      <c r="P1492" s="37" t="s">
        <v>7047</v>
      </c>
      <c r="Q1492" s="39" t="s">
        <v>3416</v>
      </c>
      <c r="R1492" s="34" t="s">
        <v>3407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3413</v>
      </c>
      <c r="X1492" s="34" t="s">
        <v>3418</v>
      </c>
      <c r="Y1492" s="34" t="s">
        <v>3409</v>
      </c>
      <c r="Z1492" s="34">
        <v>2</v>
      </c>
      <c r="AA1492" s="34" t="s">
        <v>4505</v>
      </c>
      <c r="AB1492" s="34" t="s">
        <v>4443</v>
      </c>
      <c r="AC1492" s="34" t="s">
        <v>4631</v>
      </c>
      <c r="AD1492" s="34" t="s">
        <v>4256</v>
      </c>
      <c r="AE1492" s="34" t="s">
        <v>3822</v>
      </c>
      <c r="AF1492" s="34" t="s">
        <v>3822</v>
      </c>
      <c r="AG1492" s="34" t="s">
        <v>3575</v>
      </c>
      <c r="AH1492" s="34" t="s">
        <v>7048</v>
      </c>
      <c r="AI1492" s="34" t="s">
        <v>3822</v>
      </c>
      <c r="AJ1492" s="34" t="s">
        <v>3575</v>
      </c>
      <c r="AK1492" s="34" t="s">
        <v>3822</v>
      </c>
      <c r="AL1492" s="34" t="s">
        <v>4169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7" t="str">
        <f>IFERROR(INDEX(Структура_ассортимента[SuperCategory],MATCH(Товары[[#This Row],[SubGroup]],Структура_ассортимента[Subgroup],0)),"")</f>
        <v>O</v>
      </c>
      <c r="D14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7" t="str">
        <f>IFERROR(INDEX(Структура_ассортимента[Product group],MATCH(Товары[[#This Row],[SubGroup]],Структура_ассортимента[Subgroup],0)),"")</f>
        <v>WPU_C</v>
      </c>
      <c r="G1493" s="67" t="str">
        <f>IFERROR(INDEX(Структура_ассортимента[Product group name ENG],MATCH(Товары[[#This Row],[SubGroup]],Структура_ассортимента[Subgroup],0)),"")</f>
        <v>Watering, Pumps</v>
      </c>
      <c r="H149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3034</v>
      </c>
      <c r="O1493" s="37" t="s">
        <v>7049</v>
      </c>
      <c r="P1493" s="37" t="s">
        <v>7050</v>
      </c>
      <c r="Q1493" s="39" t="s">
        <v>3416</v>
      </c>
      <c r="R1493" s="34" t="s">
        <v>3407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3410</v>
      </c>
      <c r="X1493" s="34" t="s">
        <v>3446</v>
      </c>
      <c r="Y1493" s="34" t="s">
        <v>3409</v>
      </c>
      <c r="Z1493" s="34">
        <v>1</v>
      </c>
      <c r="AA1493" s="34" t="s">
        <v>5380</v>
      </c>
      <c r="AB1493" s="34" t="s">
        <v>5380</v>
      </c>
      <c r="AC1493" s="34" t="s">
        <v>4078</v>
      </c>
      <c r="AD1493" s="34" t="s">
        <v>4078</v>
      </c>
      <c r="AE1493" s="34" t="s">
        <v>3551</v>
      </c>
      <c r="AF1493" s="34" t="s">
        <v>3551</v>
      </c>
      <c r="AG1493" s="34" t="s">
        <v>3778</v>
      </c>
      <c r="AH1493" s="34" t="s">
        <v>7051</v>
      </c>
      <c r="AL1493" s="34" t="s">
        <v>5309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7" t="str">
        <f>IFERROR(INDEX(Структура_ассортимента[SuperCategory],MATCH(Товары[[#This Row],[SubGroup]],Структура_ассортимента[Subgroup],0)),"")</f>
        <v>O</v>
      </c>
      <c r="D14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7" t="str">
        <f>IFERROR(INDEX(Структура_ассортимента[Product group],MATCH(Товары[[#This Row],[SubGroup]],Структура_ассортимента[Subgroup],0)),"")</f>
        <v>WPU_C</v>
      </c>
      <c r="G1494" s="67" t="str">
        <f>IFERROR(INDEX(Структура_ассортимента[Product group name ENG],MATCH(Товары[[#This Row],[SubGroup]],Структура_ассортимента[Subgroup],0)),"")</f>
        <v>Watering, Pumps</v>
      </c>
      <c r="H149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3035</v>
      </c>
      <c r="O1494" s="37" t="s">
        <v>7052</v>
      </c>
      <c r="P1494" s="37" t="s">
        <v>7053</v>
      </c>
      <c r="Q1494" s="39" t="s">
        <v>3416</v>
      </c>
      <c r="R1494" s="34" t="s">
        <v>3407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3417</v>
      </c>
      <c r="X1494" s="34" t="s">
        <v>3418</v>
      </c>
      <c r="Y1494" s="34" t="s">
        <v>3409</v>
      </c>
      <c r="Z1494" s="34">
        <v>1</v>
      </c>
      <c r="AA1494" s="34" t="s">
        <v>7054</v>
      </c>
      <c r="AB1494" s="34" t="s">
        <v>7054</v>
      </c>
      <c r="AC1494" s="34" t="s">
        <v>7055</v>
      </c>
      <c r="AD1494" s="34" t="s">
        <v>7055</v>
      </c>
      <c r="AE1494" s="34" t="s">
        <v>3854</v>
      </c>
      <c r="AF1494" s="34" t="s">
        <v>3787</v>
      </c>
      <c r="AG1494" s="34" t="s">
        <v>4190</v>
      </c>
      <c r="AH1494" s="34" t="s">
        <v>7056</v>
      </c>
      <c r="AI1494" s="34" t="s">
        <v>3575</v>
      </c>
      <c r="AJ1494" s="34" t="s">
        <v>4084</v>
      </c>
      <c r="AK1494" s="34" t="s">
        <v>3575</v>
      </c>
      <c r="AL1494" s="34" t="s">
        <v>7057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7" t="str">
        <f>IFERROR(INDEX(Структура_ассортимента[SuperCategory],MATCH(Товары[[#This Row],[SubGroup]],Структура_ассортимента[Subgroup],0)),"")</f>
        <v>O</v>
      </c>
      <c r="D14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7" t="str">
        <f>IFERROR(INDEX(Структура_ассортимента[Product group],MATCH(Товары[[#This Row],[SubGroup]],Структура_ассортимента[Subgroup],0)),"")</f>
        <v>WPU_C</v>
      </c>
      <c r="G1495" s="67" t="str">
        <f>IFERROR(INDEX(Структура_ассортимента[Product group name ENG],MATCH(Товары[[#This Row],[SubGroup]],Структура_ассортимента[Subgroup],0)),"")</f>
        <v>Watering, Pumps</v>
      </c>
      <c r="H149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3036</v>
      </c>
      <c r="O1495" s="37" t="s">
        <v>7058</v>
      </c>
      <c r="P1495" s="37" t="s">
        <v>7059</v>
      </c>
      <c r="Q1495" s="39" t="s">
        <v>3416</v>
      </c>
      <c r="R1495" s="34" t="s">
        <v>3407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3417</v>
      </c>
      <c r="X1495" s="34" t="s">
        <v>3418</v>
      </c>
      <c r="Y1495" s="34" t="s">
        <v>3409</v>
      </c>
      <c r="Z1495" s="34">
        <v>1</v>
      </c>
      <c r="AA1495" s="34" t="s">
        <v>7060</v>
      </c>
      <c r="AB1495" s="34" t="s">
        <v>7060</v>
      </c>
      <c r="AC1495" s="34" t="s">
        <v>5712</v>
      </c>
      <c r="AD1495" s="34" t="s">
        <v>5712</v>
      </c>
      <c r="AE1495" s="34" t="s">
        <v>4225</v>
      </c>
      <c r="AF1495" s="34" t="s">
        <v>3693</v>
      </c>
      <c r="AG1495" s="34" t="s">
        <v>4325</v>
      </c>
      <c r="AH1495" s="34" t="s">
        <v>7061</v>
      </c>
      <c r="AI1495" s="34" t="s">
        <v>4139</v>
      </c>
      <c r="AJ1495" s="34" t="s">
        <v>4401</v>
      </c>
      <c r="AK1495" s="34" t="s">
        <v>4139</v>
      </c>
      <c r="AL1495" s="34" t="s">
        <v>3709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7" t="str">
        <f>IFERROR(INDEX(Структура_ассортимента[SuperCategory],MATCH(Товары[[#This Row],[SubGroup]],Структура_ассортимента[Subgroup],0)),"")</f>
        <v>O</v>
      </c>
      <c r="D14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7" t="str">
        <f>IFERROR(INDEX(Структура_ассортимента[Product group],MATCH(Товары[[#This Row],[SubGroup]],Структура_ассортимента[Subgroup],0)),"")</f>
        <v>WPU_C</v>
      </c>
      <c r="G1496" s="67" t="str">
        <f>IFERROR(INDEX(Структура_ассортимента[Product group name ENG],MATCH(Товары[[#This Row],[SubGroup]],Структура_ассортимента[Subgroup],0)),"")</f>
        <v>Watering, Pumps</v>
      </c>
      <c r="H149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3037</v>
      </c>
      <c r="Q1496" s="39" t="s">
        <v>3416</v>
      </c>
      <c r="R1496" s="34" t="s">
        <v>3407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3410</v>
      </c>
      <c r="X1496" s="34" t="s">
        <v>3446</v>
      </c>
      <c r="Y1496" s="34" t="s">
        <v>3409</v>
      </c>
      <c r="Z1496" s="34">
        <v>5</v>
      </c>
      <c r="AA1496" s="34" t="s">
        <v>4806</v>
      </c>
      <c r="AB1496" s="34" t="s">
        <v>4284</v>
      </c>
      <c r="AC1496" s="34" t="s">
        <v>4267</v>
      </c>
      <c r="AD1496" s="34" t="s">
        <v>4267</v>
      </c>
      <c r="AE1496" s="34" t="s">
        <v>3809</v>
      </c>
      <c r="AF1496" s="34" t="s">
        <v>6648</v>
      </c>
      <c r="AG1496" s="34" t="s">
        <v>4191</v>
      </c>
      <c r="AH1496" s="34" t="s">
        <v>7062</v>
      </c>
      <c r="AL1496" s="34" t="s">
        <v>7063</v>
      </c>
      <c r="AM1496" s="34" t="s">
        <v>7962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7" t="str">
        <f>IFERROR(INDEX(Структура_ассортимента[SuperCategory],MATCH(Товары[[#This Row],[SubGroup]],Структура_ассортимента[Subgroup],0)),"")</f>
        <v>O</v>
      </c>
      <c r="D14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7" t="str">
        <f>IFERROR(INDEX(Структура_ассортимента[Product group],MATCH(Товары[[#This Row],[SubGroup]],Структура_ассортимента[Subgroup],0)),"")</f>
        <v>WPU_C</v>
      </c>
      <c r="G1497" s="67" t="str">
        <f>IFERROR(INDEX(Структура_ассортимента[Product group name ENG],MATCH(Товары[[#This Row],[SubGroup]],Структура_ассортимента[Subgroup],0)),"")</f>
        <v>Watering, Pumps</v>
      </c>
      <c r="H149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3038</v>
      </c>
      <c r="O1497" s="37" t="s">
        <v>7064</v>
      </c>
      <c r="P1497" s="37" t="s">
        <v>7065</v>
      </c>
      <c r="Q1497" s="39" t="s">
        <v>3416</v>
      </c>
      <c r="R1497" s="34" t="s">
        <v>3407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3417</v>
      </c>
      <c r="X1497" s="34" t="s">
        <v>3418</v>
      </c>
      <c r="Y1497" s="34" t="s">
        <v>3409</v>
      </c>
      <c r="Z1497" s="34">
        <v>1</v>
      </c>
      <c r="AA1497" s="34" t="s">
        <v>7066</v>
      </c>
      <c r="AB1497" s="34" t="s">
        <v>7066</v>
      </c>
      <c r="AC1497" s="34" t="s">
        <v>7067</v>
      </c>
      <c r="AD1497" s="34" t="s">
        <v>7067</v>
      </c>
      <c r="AE1497" s="34" t="s">
        <v>3884</v>
      </c>
      <c r="AF1497" s="34" t="s">
        <v>3693</v>
      </c>
      <c r="AG1497" s="34" t="s">
        <v>4325</v>
      </c>
      <c r="AH1497" s="34" t="s">
        <v>7068</v>
      </c>
      <c r="AI1497" s="34" t="s">
        <v>4139</v>
      </c>
      <c r="AJ1497" s="34" t="s">
        <v>4401</v>
      </c>
      <c r="AK1497" s="34" t="s">
        <v>4139</v>
      </c>
      <c r="AL1497" s="34" t="s">
        <v>3709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7" t="str">
        <f>IFERROR(INDEX(Структура_ассортимента[SuperCategory],MATCH(Товары[[#This Row],[SubGroup]],Структура_ассортимента[Subgroup],0)),"")</f>
        <v>O</v>
      </c>
      <c r="D14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7" t="str">
        <f>IFERROR(INDEX(Структура_ассортимента[Product group],MATCH(Товары[[#This Row],[SubGroup]],Структура_ассортимента[Subgroup],0)),"")</f>
        <v>WPU_C</v>
      </c>
      <c r="G1498" s="67" t="str">
        <f>IFERROR(INDEX(Структура_ассортимента[Product group name ENG],MATCH(Товары[[#This Row],[SubGroup]],Структура_ассортимента[Subgroup],0)),"")</f>
        <v>Watering, Pumps</v>
      </c>
      <c r="H149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3039</v>
      </c>
      <c r="Q1498" s="39" t="s">
        <v>3416</v>
      </c>
      <c r="R1498" s="34" t="s">
        <v>3407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3417</v>
      </c>
      <c r="X1498" s="34" t="s">
        <v>3418</v>
      </c>
      <c r="Y1498" s="34" t="s">
        <v>3409</v>
      </c>
      <c r="Z1498" s="34">
        <v>1</v>
      </c>
      <c r="AA1498" s="34" t="s">
        <v>7069</v>
      </c>
      <c r="AB1498" s="34" t="s">
        <v>7069</v>
      </c>
      <c r="AC1498" s="34" t="s">
        <v>5632</v>
      </c>
      <c r="AD1498" s="34" t="s">
        <v>5632</v>
      </c>
      <c r="AE1498" s="34" t="s">
        <v>5306</v>
      </c>
      <c r="AF1498" s="34" t="s">
        <v>3693</v>
      </c>
      <c r="AG1498" s="34" t="s">
        <v>4325</v>
      </c>
      <c r="AH1498" s="34" t="s">
        <v>7070</v>
      </c>
      <c r="AI1498" s="34" t="s">
        <v>4139</v>
      </c>
      <c r="AJ1498" s="34" t="s">
        <v>7071</v>
      </c>
      <c r="AK1498" s="34" t="s">
        <v>4139</v>
      </c>
      <c r="AL1498" s="34" t="s">
        <v>6784</v>
      </c>
      <c r="AM1498" s="34" t="s">
        <v>7962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7" t="str">
        <f>IFERROR(INDEX(Структура_ассортимента[SuperCategory],MATCH(Товары[[#This Row],[SubGroup]],Структура_ассортимента[Subgroup],0)),"")</f>
        <v>O</v>
      </c>
      <c r="D14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7" t="str">
        <f>IFERROR(INDEX(Структура_ассортимента[Product group],MATCH(Товары[[#This Row],[SubGroup]],Структура_ассортимента[Subgroup],0)),"")</f>
        <v>WPU_C</v>
      </c>
      <c r="G1499" s="67" t="str">
        <f>IFERROR(INDEX(Структура_ассортимента[Product group name ENG],MATCH(Товары[[#This Row],[SubGroup]],Структура_ассортимента[Subgroup],0)),"")</f>
        <v>Watering, Pumps</v>
      </c>
      <c r="H149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3040</v>
      </c>
      <c r="Q1499" s="39" t="s">
        <v>3519</v>
      </c>
      <c r="R1499" s="34" t="s">
        <v>3407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3410</v>
      </c>
      <c r="X1499" s="34" t="s">
        <v>3418</v>
      </c>
      <c r="Y1499" s="34" t="s">
        <v>3409</v>
      </c>
      <c r="Z1499" s="34">
        <v>1</v>
      </c>
      <c r="AB1499" s="34" t="s">
        <v>7072</v>
      </c>
      <c r="AD1499" s="34" t="s">
        <v>7073</v>
      </c>
      <c r="AE1499" s="34" t="s">
        <v>3884</v>
      </c>
      <c r="AF1499" s="34" t="s">
        <v>4859</v>
      </c>
      <c r="AG1499" s="34" t="s">
        <v>7074</v>
      </c>
      <c r="AH1499" s="34" t="s">
        <v>7075</v>
      </c>
      <c r="AL1499" s="34" t="s">
        <v>5106</v>
      </c>
      <c r="AM1499" s="34" t="s">
        <v>7962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7" t="str">
        <f>IFERROR(INDEX(Структура_ассортимента[SuperCategory],MATCH(Товары[[#This Row],[SubGroup]],Структура_ассортимента[Subgroup],0)),"")</f>
        <v>O</v>
      </c>
      <c r="D150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7" t="str">
        <f>IFERROR(INDEX(Структура_ассортимента[Product group],MATCH(Товары[[#This Row],[SubGroup]],Структура_ассортимента[Subgroup],0)),"")</f>
        <v>WPU_C</v>
      </c>
      <c r="G1500" s="67" t="str">
        <f>IFERROR(INDEX(Структура_ассортимента[Product group name ENG],MATCH(Товары[[#This Row],[SubGroup]],Структура_ассортимента[Subgroup],0)),"")</f>
        <v>Watering, Pumps</v>
      </c>
      <c r="H150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3041</v>
      </c>
      <c r="O1500" s="37" t="s">
        <v>7076</v>
      </c>
      <c r="P1500" s="37" t="s">
        <v>7077</v>
      </c>
      <c r="Q1500" s="39" t="s">
        <v>3519</v>
      </c>
      <c r="R1500" s="34" t="s">
        <v>3407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3413</v>
      </c>
      <c r="X1500" s="34" t="s">
        <v>3418</v>
      </c>
      <c r="Y1500" s="34" t="s">
        <v>3409</v>
      </c>
      <c r="Z1500" s="34">
        <v>1</v>
      </c>
      <c r="AA1500" s="34">
        <v>4700</v>
      </c>
      <c r="AB1500" s="34" t="s">
        <v>5420</v>
      </c>
      <c r="AC1500" s="34">
        <v>4000</v>
      </c>
      <c r="AD1500" s="34" t="s">
        <v>7078</v>
      </c>
      <c r="AE1500" s="34" t="s">
        <v>4176</v>
      </c>
      <c r="AF1500" s="34" t="s">
        <v>4124</v>
      </c>
      <c r="AG1500" s="34" t="s">
        <v>4377</v>
      </c>
      <c r="AH1500" s="34" t="s">
        <v>7079</v>
      </c>
      <c r="AL1500" s="34" t="s">
        <v>7080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7" t="str">
        <f>IFERROR(INDEX(Структура_ассортимента[SuperCategory],MATCH(Товары[[#This Row],[SubGroup]],Структура_ассортимента[Subgroup],0)),"")</f>
        <v>O</v>
      </c>
      <c r="D150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7" t="str">
        <f>IFERROR(INDEX(Структура_ассортимента[Product group],MATCH(Товары[[#This Row],[SubGroup]],Структура_ассортимента[Subgroup],0)),"")</f>
        <v>WPU_C</v>
      </c>
      <c r="G1501" s="67" t="str">
        <f>IFERROR(INDEX(Структура_ассортимента[Product group name ENG],MATCH(Товары[[#This Row],[SubGroup]],Структура_ассортимента[Subgroup],0)),"")</f>
        <v>Watering, Pumps</v>
      </c>
      <c r="H150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3042</v>
      </c>
      <c r="Q1501" s="39" t="s">
        <v>3519</v>
      </c>
      <c r="R1501" s="34" t="s">
        <v>3407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3410</v>
      </c>
      <c r="X1501" s="34" t="s">
        <v>3418</v>
      </c>
      <c r="Y1501" s="34" t="s">
        <v>3409</v>
      </c>
      <c r="Z1501" s="34">
        <v>1</v>
      </c>
      <c r="AB1501" s="34" t="s">
        <v>7081</v>
      </c>
      <c r="AD1501" s="34" t="s">
        <v>7073</v>
      </c>
      <c r="AE1501" s="34" t="s">
        <v>7082</v>
      </c>
      <c r="AF1501" s="34" t="s">
        <v>4225</v>
      </c>
      <c r="AG1501" s="34" t="s">
        <v>3554</v>
      </c>
      <c r="AH1501" s="34" t="s">
        <v>7083</v>
      </c>
      <c r="AL1501" s="34" t="s">
        <v>5106</v>
      </c>
      <c r="AM1501" s="34" t="s">
        <v>7962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7" t="str">
        <f>IFERROR(INDEX(Структура_ассортимента[SuperCategory],MATCH(Товары[[#This Row],[SubGroup]],Структура_ассортимента[Subgroup],0)),"")</f>
        <v>O</v>
      </c>
      <c r="D150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7" t="str">
        <f>IFERROR(INDEX(Структура_ассортимента[Product group],MATCH(Товары[[#This Row],[SubGroup]],Структура_ассортимента[Subgroup],0)),"")</f>
        <v>WPU_C</v>
      </c>
      <c r="G1502" s="67" t="str">
        <f>IFERROR(INDEX(Структура_ассортимента[Product group name ENG],MATCH(Товары[[#This Row],[SubGroup]],Структура_ассортимента[Subgroup],0)),"")</f>
        <v>Watering, Pumps</v>
      </c>
      <c r="H150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3043</v>
      </c>
      <c r="O1502" s="37" t="s">
        <v>7084</v>
      </c>
      <c r="P1502" s="37" t="s">
        <v>7085</v>
      </c>
      <c r="Q1502" s="39" t="s">
        <v>3416</v>
      </c>
      <c r="R1502" s="34" t="s">
        <v>3407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3417</v>
      </c>
      <c r="X1502" s="34" t="s">
        <v>3418</v>
      </c>
      <c r="Y1502" s="34" t="s">
        <v>3409</v>
      </c>
      <c r="Z1502" s="34">
        <v>1</v>
      </c>
      <c r="AA1502" s="34" t="s">
        <v>7086</v>
      </c>
      <c r="AB1502" s="34" t="s">
        <v>7086</v>
      </c>
      <c r="AC1502" s="34" t="s">
        <v>6789</v>
      </c>
      <c r="AD1502" s="34" t="s">
        <v>6789</v>
      </c>
      <c r="AE1502" s="34" t="s">
        <v>3551</v>
      </c>
      <c r="AF1502" s="34" t="s">
        <v>3610</v>
      </c>
      <c r="AG1502" s="34" t="s">
        <v>4041</v>
      </c>
      <c r="AH1502" s="34" t="s">
        <v>7087</v>
      </c>
      <c r="AI1502" s="34" t="s">
        <v>4758</v>
      </c>
      <c r="AJ1502" s="34" t="s">
        <v>3522</v>
      </c>
      <c r="AK1502" s="34" t="s">
        <v>4124</v>
      </c>
      <c r="AL1502" s="34" t="s">
        <v>5231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7" t="str">
        <f>IFERROR(INDEX(Структура_ассортимента[SuperCategory],MATCH(Товары[[#This Row],[SubGroup]],Структура_ассортимента[Subgroup],0)),"")</f>
        <v>O</v>
      </c>
      <c r="D150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7" t="str">
        <f>IFERROR(INDEX(Структура_ассортимента[Product group],MATCH(Товары[[#This Row],[SubGroup]],Структура_ассортимента[Subgroup],0)),"")</f>
        <v>WPU_C</v>
      </c>
      <c r="G1503" s="67" t="str">
        <f>IFERROR(INDEX(Структура_ассортимента[Product group name ENG],MATCH(Товары[[#This Row],[SubGroup]],Структура_ассортимента[Subgroup],0)),"")</f>
        <v>Watering, Pumps</v>
      </c>
      <c r="H150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3044</v>
      </c>
      <c r="O1503" s="37" t="s">
        <v>7088</v>
      </c>
      <c r="P1503" s="37" t="s">
        <v>7089</v>
      </c>
      <c r="Q1503" s="39" t="s">
        <v>3416</v>
      </c>
      <c r="R1503" s="34" t="s">
        <v>3407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3417</v>
      </c>
      <c r="X1503" s="34" t="s">
        <v>3418</v>
      </c>
      <c r="Y1503" s="34" t="s">
        <v>3409</v>
      </c>
      <c r="Z1503" s="34">
        <v>1</v>
      </c>
      <c r="AA1503" s="34" t="s">
        <v>6867</v>
      </c>
      <c r="AB1503" s="34" t="s">
        <v>6867</v>
      </c>
      <c r="AC1503" s="34" t="s">
        <v>6832</v>
      </c>
      <c r="AD1503" s="34" t="s">
        <v>6832</v>
      </c>
      <c r="AE1503" s="34" t="s">
        <v>3551</v>
      </c>
      <c r="AF1503" s="34" t="s">
        <v>3610</v>
      </c>
      <c r="AG1503" s="34" t="s">
        <v>4041</v>
      </c>
      <c r="AH1503" s="34" t="s">
        <v>7087</v>
      </c>
      <c r="AI1503" s="34" t="s">
        <v>4758</v>
      </c>
      <c r="AJ1503" s="34" t="s">
        <v>3522</v>
      </c>
      <c r="AK1503" s="34" t="s">
        <v>4124</v>
      </c>
      <c r="AL1503" s="34" t="s">
        <v>5231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7" t="str">
        <f>IFERROR(INDEX(Структура_ассортимента[SuperCategory],MATCH(Товары[[#This Row],[SubGroup]],Структура_ассортимента[Subgroup],0)),"")</f>
        <v>O</v>
      </c>
      <c r="D150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7" t="str">
        <f>IFERROR(INDEX(Структура_ассортимента[Product group],MATCH(Товары[[#This Row],[SubGroup]],Структура_ассортимента[Subgroup],0)),"")</f>
        <v>WPU_C</v>
      </c>
      <c r="G1504" s="67" t="str">
        <f>IFERROR(INDEX(Структура_ассортимента[Product group name ENG],MATCH(Товары[[#This Row],[SubGroup]],Структура_ассортимента[Subgroup],0)),"")</f>
        <v>Watering, Pumps</v>
      </c>
      <c r="H150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3045</v>
      </c>
      <c r="Q1504" s="39" t="s">
        <v>3416</v>
      </c>
      <c r="R1504" s="34" t="s">
        <v>3407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3410</v>
      </c>
      <c r="X1504" s="34" t="s">
        <v>3418</v>
      </c>
      <c r="Y1504" s="34" t="s">
        <v>3409</v>
      </c>
      <c r="Z1504" s="34">
        <v>1</v>
      </c>
      <c r="AB1504" s="34" t="s">
        <v>6867</v>
      </c>
      <c r="AD1504" s="34" t="s">
        <v>6832</v>
      </c>
      <c r="AE1504" s="34" t="s">
        <v>3551</v>
      </c>
      <c r="AF1504" s="34" t="s">
        <v>3610</v>
      </c>
      <c r="AG1504" s="34" t="s">
        <v>4041</v>
      </c>
      <c r="AH1504" s="34" t="s">
        <v>7087</v>
      </c>
      <c r="AI1504" s="34" t="s">
        <v>4758</v>
      </c>
      <c r="AJ1504" s="34" t="s">
        <v>3522</v>
      </c>
      <c r="AK1504" s="34" t="s">
        <v>4124</v>
      </c>
      <c r="AL1504" s="34" t="s">
        <v>5231</v>
      </c>
      <c r="AM1504" s="34" t="s">
        <v>7962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7" t="str">
        <f>IFERROR(INDEX(Структура_ассортимента[SuperCategory],MATCH(Товары[[#This Row],[SubGroup]],Структура_ассортимента[Subgroup],0)),"")</f>
        <v>O</v>
      </c>
      <c r="D150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7" t="str">
        <f>IFERROR(INDEX(Структура_ассортимента[Product group],MATCH(Товары[[#This Row],[SubGroup]],Структура_ассортимента[Subgroup],0)),"")</f>
        <v>WPU_C</v>
      </c>
      <c r="G1505" s="67" t="str">
        <f>IFERROR(INDEX(Структура_ассортимента[Product group name ENG],MATCH(Товары[[#This Row],[SubGroup]],Структура_ассортимента[Subgroup],0)),"")</f>
        <v>Watering, Pumps</v>
      </c>
      <c r="H1505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3046</v>
      </c>
      <c r="O1505" s="37" t="s">
        <v>7090</v>
      </c>
      <c r="P1505" s="37" t="s">
        <v>7091</v>
      </c>
      <c r="Q1505" s="39" t="s">
        <v>3416</v>
      </c>
      <c r="R1505" s="34" t="s">
        <v>3407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3410</v>
      </c>
      <c r="X1505" s="34" t="s">
        <v>3446</v>
      </c>
      <c r="Y1505" s="34" t="s">
        <v>3409</v>
      </c>
      <c r="Z1505" s="34">
        <v>1</v>
      </c>
      <c r="AA1505" s="34" t="s">
        <v>7092</v>
      </c>
      <c r="AB1505" s="34" t="s">
        <v>7093</v>
      </c>
      <c r="AC1505" s="34" t="s">
        <v>7094</v>
      </c>
      <c r="AD1505" s="34" t="s">
        <v>5712</v>
      </c>
      <c r="AE1505" s="34" t="s">
        <v>6910</v>
      </c>
      <c r="AF1505" s="34" t="s">
        <v>6622</v>
      </c>
      <c r="AG1505" s="34" t="s">
        <v>5684</v>
      </c>
      <c r="AH1505" s="34" t="s">
        <v>6911</v>
      </c>
      <c r="AI1505" s="34" t="s">
        <v>4758</v>
      </c>
      <c r="AJ1505" s="34" t="s">
        <v>3522</v>
      </c>
      <c r="AK1505" s="34" t="s">
        <v>4124</v>
      </c>
      <c r="AL1505" s="34" t="s">
        <v>3484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7" t="str">
        <f>IFERROR(INDEX(Структура_ассортимента[SuperCategory],MATCH(Товары[[#This Row],[SubGroup]],Структура_ассортимента[Subgroup],0)),"")</f>
        <v>O</v>
      </c>
      <c r="D150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7" t="str">
        <f>IFERROR(INDEX(Структура_ассортимента[Product group],MATCH(Товары[[#This Row],[SubGroup]],Структура_ассортимента[Subgroup],0)),"")</f>
        <v>WPU_C</v>
      </c>
      <c r="G1506" s="67" t="str">
        <f>IFERROR(INDEX(Структура_ассортимента[Product group name ENG],MATCH(Товары[[#This Row],[SubGroup]],Структура_ассортимента[Subgroup],0)),"")</f>
        <v>Watering, Pumps</v>
      </c>
      <c r="H150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3047</v>
      </c>
      <c r="Q1506" s="39" t="s">
        <v>3416</v>
      </c>
      <c r="R1506" s="34" t="s">
        <v>3407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3410</v>
      </c>
      <c r="X1506" s="34" t="s">
        <v>3446</v>
      </c>
      <c r="Y1506" s="34" t="s">
        <v>3409</v>
      </c>
      <c r="Z1506" s="34">
        <v>1</v>
      </c>
      <c r="AA1506" s="34" t="s">
        <v>7092</v>
      </c>
      <c r="AB1506" s="34" t="s">
        <v>7092</v>
      </c>
      <c r="AC1506" s="34" t="s">
        <v>7094</v>
      </c>
      <c r="AD1506" s="34" t="s">
        <v>7094</v>
      </c>
      <c r="AE1506" s="34" t="s">
        <v>6910</v>
      </c>
      <c r="AF1506" s="34" t="s">
        <v>6622</v>
      </c>
      <c r="AG1506" s="34" t="s">
        <v>5684</v>
      </c>
      <c r="AH1506" s="34" t="s">
        <v>6911</v>
      </c>
      <c r="AI1506" s="34" t="s">
        <v>4758</v>
      </c>
      <c r="AJ1506" s="34" t="s">
        <v>3522</v>
      </c>
      <c r="AK1506" s="34" t="s">
        <v>4124</v>
      </c>
      <c r="AL1506" s="34" t="s">
        <v>3484</v>
      </c>
      <c r="AM1506" s="34" t="s">
        <v>7962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7" t="str">
        <f>IFERROR(INDEX(Структура_ассортимента[SuperCategory],MATCH(Товары[[#This Row],[SubGroup]],Структура_ассортимента[Subgroup],0)),"")</f>
        <v>O</v>
      </c>
      <c r="D150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7" t="str">
        <f>IFERROR(INDEX(Структура_ассортимента[Product group],MATCH(Товары[[#This Row],[SubGroup]],Структура_ассортимента[Subgroup],0)),"")</f>
        <v>WPU_C</v>
      </c>
      <c r="G1507" s="67" t="str">
        <f>IFERROR(INDEX(Структура_ассортимента[Product group name ENG],MATCH(Товары[[#This Row],[SubGroup]],Структура_ассортимента[Subgroup],0)),"")</f>
        <v>Watering, Pumps</v>
      </c>
      <c r="H1507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3048</v>
      </c>
      <c r="Q1507" s="39" t="s">
        <v>3416</v>
      </c>
      <c r="R1507" s="34" t="s">
        <v>3407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3417</v>
      </c>
      <c r="X1507" s="34" t="s">
        <v>3774</v>
      </c>
      <c r="Y1507" s="34" t="s">
        <v>5848</v>
      </c>
      <c r="Z1507" s="34">
        <v>25</v>
      </c>
      <c r="AA1507" s="34" t="s">
        <v>7095</v>
      </c>
      <c r="AB1507" s="34" t="s">
        <v>7095</v>
      </c>
      <c r="AC1507" s="34" t="s">
        <v>4658</v>
      </c>
      <c r="AD1507" s="34" t="s">
        <v>4658</v>
      </c>
      <c r="AE1507" s="34" t="s">
        <v>3623</v>
      </c>
      <c r="AF1507" s="34" t="s">
        <v>4048</v>
      </c>
      <c r="AG1507" s="34" t="s">
        <v>4048</v>
      </c>
      <c r="AH1507" s="34" t="s">
        <v>7096</v>
      </c>
      <c r="AL1507" s="34" t="s">
        <v>4169</v>
      </c>
      <c r="AM1507" s="34" t="s">
        <v>7962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7" t="str">
        <f>IFERROR(INDEX(Структура_ассортимента[SuperCategory],MATCH(Товары[[#This Row],[SubGroup]],Структура_ассортимента[Subgroup],0)),"")</f>
        <v>O</v>
      </c>
      <c r="D150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7" t="str">
        <f>IFERROR(INDEX(Структура_ассортимента[Product group],MATCH(Товары[[#This Row],[SubGroup]],Структура_ассортимента[Subgroup],0)),"")</f>
        <v>WPU_C</v>
      </c>
      <c r="G1508" s="67" t="str">
        <f>IFERROR(INDEX(Структура_ассортимента[Product group name ENG],MATCH(Товары[[#This Row],[SubGroup]],Структура_ассортимента[Subgroup],0)),"")</f>
        <v>Watering, Pumps</v>
      </c>
      <c r="H1508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3049</v>
      </c>
      <c r="O1508" s="37" t="s">
        <v>7097</v>
      </c>
      <c r="P1508" s="37" t="s">
        <v>7098</v>
      </c>
      <c r="Q1508" s="39" t="s">
        <v>3416</v>
      </c>
      <c r="R1508" s="34" t="s">
        <v>3407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3410</v>
      </c>
      <c r="X1508" s="34" t="s">
        <v>3446</v>
      </c>
      <c r="Y1508" s="34" t="s">
        <v>3409</v>
      </c>
      <c r="Z1508" s="34">
        <v>6</v>
      </c>
      <c r="AA1508" s="34" t="s">
        <v>6397</v>
      </c>
      <c r="AB1508" s="34" t="s">
        <v>6397</v>
      </c>
      <c r="AC1508" s="34" t="s">
        <v>6522</v>
      </c>
      <c r="AD1508" s="34" t="s">
        <v>6522</v>
      </c>
      <c r="AE1508" s="34" t="s">
        <v>3560</v>
      </c>
      <c r="AF1508" s="34" t="s">
        <v>3443</v>
      </c>
      <c r="AG1508" s="34" t="s">
        <v>4647</v>
      </c>
      <c r="AH1508" s="34" t="s">
        <v>7099</v>
      </c>
      <c r="AL1508" s="34" t="s">
        <v>6473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7" t="str">
        <f>IFERROR(INDEX(Структура_ассортимента[SuperCategory],MATCH(Товары[[#This Row],[SubGroup]],Структура_ассортимента[Subgroup],0)),"")</f>
        <v>O</v>
      </c>
      <c r="D150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7" t="str">
        <f>IFERROR(INDEX(Структура_ассортимента[Product group],MATCH(Товары[[#This Row],[SubGroup]],Структура_ассортимента[Subgroup],0)),"")</f>
        <v>WPU_C</v>
      </c>
      <c r="G1509" s="67" t="str">
        <f>IFERROR(INDEX(Структура_ассортимента[Product group name ENG],MATCH(Товары[[#This Row],[SubGroup]],Структура_ассортимента[Subgroup],0)),"")</f>
        <v>Watering, Pumps</v>
      </c>
      <c r="H150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3050</v>
      </c>
      <c r="O1509" s="37" t="s">
        <v>7100</v>
      </c>
      <c r="P1509" s="37" t="s">
        <v>7101</v>
      </c>
      <c r="Q1509" s="39" t="s">
        <v>3416</v>
      </c>
      <c r="R1509" s="34" t="s">
        <v>3407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3410</v>
      </c>
      <c r="X1509" s="34" t="s">
        <v>3446</v>
      </c>
      <c r="Y1509" s="34" t="s">
        <v>3409</v>
      </c>
      <c r="Z1509" s="34">
        <v>6</v>
      </c>
      <c r="AA1509" s="34" t="s">
        <v>3520</v>
      </c>
      <c r="AB1509" s="34" t="s">
        <v>3520</v>
      </c>
      <c r="AC1509" s="34" t="s">
        <v>5518</v>
      </c>
      <c r="AD1509" s="34" t="s">
        <v>5518</v>
      </c>
      <c r="AE1509" s="34" t="s">
        <v>4202</v>
      </c>
      <c r="AF1509" s="34" t="s">
        <v>3621</v>
      </c>
      <c r="AG1509" s="34" t="s">
        <v>4335</v>
      </c>
      <c r="AH1509" s="34" t="s">
        <v>7099</v>
      </c>
      <c r="AL1509" s="34" t="s">
        <v>6473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7" t="str">
        <f>IFERROR(INDEX(Структура_ассортимента[SuperCategory],MATCH(Товары[[#This Row],[SubGroup]],Структура_ассортимента[Subgroup],0)),"")</f>
        <v>O</v>
      </c>
      <c r="D151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7" t="str">
        <f>IFERROR(INDEX(Структура_ассортимента[Product group],MATCH(Товары[[#This Row],[SubGroup]],Структура_ассортимента[Subgroup],0)),"")</f>
        <v>WPU_C</v>
      </c>
      <c r="G1510" s="67" t="str">
        <f>IFERROR(INDEX(Структура_ассортимента[Product group name ENG],MATCH(Товары[[#This Row],[SubGroup]],Структура_ассортимента[Subgroup],0)),"")</f>
        <v>Watering, Pumps</v>
      </c>
      <c r="H151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3051</v>
      </c>
      <c r="O1510" s="37" t="s">
        <v>7102</v>
      </c>
      <c r="P1510" s="37" t="s">
        <v>7103</v>
      </c>
      <c r="Q1510" s="39" t="s">
        <v>3416</v>
      </c>
      <c r="R1510" s="34" t="s">
        <v>3407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3410</v>
      </c>
      <c r="X1510" s="34" t="s">
        <v>3446</v>
      </c>
      <c r="Y1510" s="34" t="s">
        <v>3409</v>
      </c>
      <c r="Z1510" s="34">
        <v>4</v>
      </c>
      <c r="AA1510" s="34" t="s">
        <v>3863</v>
      </c>
      <c r="AB1510" s="34" t="s">
        <v>3863</v>
      </c>
      <c r="AC1510" s="34" t="s">
        <v>7104</v>
      </c>
      <c r="AD1510" s="34" t="s">
        <v>7104</v>
      </c>
      <c r="AE1510" s="34" t="s">
        <v>4258</v>
      </c>
      <c r="AF1510" s="34" t="s">
        <v>3798</v>
      </c>
      <c r="AG1510" s="34" t="s">
        <v>3667</v>
      </c>
      <c r="AH1510" s="34" t="s">
        <v>7105</v>
      </c>
      <c r="AL1510" s="34" t="s">
        <v>6474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7" t="str">
        <f>IFERROR(INDEX(Структура_ассортимента[SuperCategory],MATCH(Товары[[#This Row],[SubGroup]],Структура_ассортимента[Subgroup],0)),"")</f>
        <v>O</v>
      </c>
      <c r="D151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7" t="str">
        <f>IFERROR(INDEX(Структура_ассортимента[Product group],MATCH(Товары[[#This Row],[SubGroup]],Структура_ассортимента[Subgroup],0)),"")</f>
        <v>WPU_C</v>
      </c>
      <c r="G1511" s="67" t="str">
        <f>IFERROR(INDEX(Структура_ассортимента[Product group name ENG],MATCH(Товары[[#This Row],[SubGroup]],Структура_ассортимента[Subgroup],0)),"")</f>
        <v>Watering, Pumps</v>
      </c>
      <c r="H151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3052</v>
      </c>
      <c r="O1511" s="37" t="s">
        <v>7102</v>
      </c>
      <c r="P1511" s="37" t="s">
        <v>7106</v>
      </c>
      <c r="Q1511" s="39" t="s">
        <v>3416</v>
      </c>
      <c r="R1511" s="34" t="s">
        <v>3407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3410</v>
      </c>
      <c r="X1511" s="34" t="s">
        <v>3446</v>
      </c>
      <c r="Y1511" s="34" t="s">
        <v>3409</v>
      </c>
      <c r="Z1511" s="34">
        <v>4</v>
      </c>
      <c r="AA1511" s="34" t="s">
        <v>7107</v>
      </c>
      <c r="AB1511" s="34" t="s">
        <v>7107</v>
      </c>
      <c r="AC1511" s="34" t="s">
        <v>3863</v>
      </c>
      <c r="AD1511" s="34" t="s">
        <v>3863</v>
      </c>
      <c r="AE1511" s="34" t="s">
        <v>4258</v>
      </c>
      <c r="AF1511" s="34" t="s">
        <v>3798</v>
      </c>
      <c r="AG1511" s="34" t="s">
        <v>4499</v>
      </c>
      <c r="AH1511" s="34" t="s">
        <v>7108</v>
      </c>
      <c r="AL1511" s="34" t="s">
        <v>5100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7" t="str">
        <f>IFERROR(INDEX(Структура_ассортимента[SuperCategory],MATCH(Товары[[#This Row],[SubGroup]],Структура_ассортимента[Subgroup],0)),"")</f>
        <v>O</v>
      </c>
      <c r="D151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7" t="str">
        <f>IFERROR(INDEX(Структура_ассортимента[Product group],MATCH(Товары[[#This Row],[SubGroup]],Структура_ассортимента[Subgroup],0)),"")</f>
        <v>WPU_C</v>
      </c>
      <c r="G1512" s="67" t="str">
        <f>IFERROR(INDEX(Структура_ассортимента[Product group name ENG],MATCH(Товары[[#This Row],[SubGroup]],Структура_ассортимента[Subgroup],0)),"")</f>
        <v>Watering, Pumps</v>
      </c>
      <c r="H151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3053</v>
      </c>
      <c r="Q1512" s="39" t="s">
        <v>3416</v>
      </c>
      <c r="R1512" s="34" t="s">
        <v>3407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3410</v>
      </c>
      <c r="X1512" s="34" t="s">
        <v>3446</v>
      </c>
      <c r="Y1512" s="34" t="s">
        <v>3409</v>
      </c>
      <c r="Z1512" s="34">
        <v>4</v>
      </c>
      <c r="AA1512" s="34" t="s">
        <v>4047</v>
      </c>
      <c r="AB1512" s="34" t="s">
        <v>3795</v>
      </c>
      <c r="AC1512" s="34" t="s">
        <v>4786</v>
      </c>
      <c r="AD1512" s="34" t="s">
        <v>3869</v>
      </c>
      <c r="AE1512" s="34" t="s">
        <v>3443</v>
      </c>
      <c r="AF1512" s="34" t="s">
        <v>3733</v>
      </c>
      <c r="AG1512" s="34" t="s">
        <v>4074</v>
      </c>
      <c r="AH1512" s="34" t="s">
        <v>5941</v>
      </c>
      <c r="AL1512" s="34" t="s">
        <v>7109</v>
      </c>
      <c r="AM1512" s="34" t="s">
        <v>7962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7" t="str">
        <f>IFERROR(INDEX(Структура_ассортимента[SuperCategory],MATCH(Товары[[#This Row],[SubGroup]],Структура_ассортимента[Subgroup],0)),"")</f>
        <v>O</v>
      </c>
      <c r="D151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7" t="str">
        <f>IFERROR(INDEX(Структура_ассортимента[Product group],MATCH(Товары[[#This Row],[SubGroup]],Структура_ассортимента[Subgroup],0)),"")</f>
        <v>WPU_C</v>
      </c>
      <c r="G1513" s="67" t="str">
        <f>IFERROR(INDEX(Структура_ассортимента[Product group name ENG],MATCH(Товары[[#This Row],[SubGroup]],Структура_ассортимента[Subgroup],0)),"")</f>
        <v>Watering, Pumps</v>
      </c>
      <c r="H151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3054</v>
      </c>
      <c r="O1513" s="37" t="s">
        <v>7110</v>
      </c>
      <c r="P1513" s="37" t="s">
        <v>7111</v>
      </c>
      <c r="Q1513" s="39" t="s">
        <v>3416</v>
      </c>
      <c r="R1513" s="34" t="s">
        <v>3407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3410</v>
      </c>
      <c r="X1513" s="34" t="s">
        <v>3446</v>
      </c>
      <c r="Y1513" s="34" t="s">
        <v>3409</v>
      </c>
      <c r="Z1513" s="34">
        <v>4</v>
      </c>
      <c r="AA1513" s="34" t="s">
        <v>4650</v>
      </c>
      <c r="AB1513" s="34" t="s">
        <v>4650</v>
      </c>
      <c r="AC1513" s="34" t="s">
        <v>4046</v>
      </c>
      <c r="AD1513" s="34" t="s">
        <v>4046</v>
      </c>
      <c r="AE1513" s="34" t="s">
        <v>3522</v>
      </c>
      <c r="AF1513" s="34" t="s">
        <v>3631</v>
      </c>
      <c r="AG1513" s="34" t="s">
        <v>4048</v>
      </c>
      <c r="AH1513" s="34" t="s">
        <v>7112</v>
      </c>
      <c r="AL1513" s="34" t="s">
        <v>4770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7" t="str">
        <f>IFERROR(INDEX(Структура_ассортимента[SuperCategory],MATCH(Товары[[#This Row],[SubGroup]],Структура_ассортимента[Subgroup],0)),"")</f>
        <v>O</v>
      </c>
      <c r="D151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7" t="str">
        <f>IFERROR(INDEX(Структура_ассортимента[Product group],MATCH(Товары[[#This Row],[SubGroup]],Структура_ассортимента[Subgroup],0)),"")</f>
        <v>WPU_C</v>
      </c>
      <c r="G1514" s="67" t="str">
        <f>IFERROR(INDEX(Структура_ассортимента[Product group name ENG],MATCH(Товары[[#This Row],[SubGroup]],Структура_ассортимента[Subgroup],0)),"")</f>
        <v>Watering, Pumps</v>
      </c>
      <c r="H151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3055</v>
      </c>
      <c r="O1514" s="37" t="s">
        <v>7113</v>
      </c>
      <c r="P1514" s="37" t="s">
        <v>7114</v>
      </c>
      <c r="Q1514" s="39" t="s">
        <v>3416</v>
      </c>
      <c r="R1514" s="34" t="s">
        <v>3407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3417</v>
      </c>
      <c r="X1514" s="34" t="s">
        <v>3774</v>
      </c>
      <c r="Y1514" s="34" t="s">
        <v>3409</v>
      </c>
      <c r="Z1514" s="34">
        <v>2</v>
      </c>
      <c r="AA1514" s="34" t="s">
        <v>7115</v>
      </c>
      <c r="AB1514" s="34" t="s">
        <v>7115</v>
      </c>
      <c r="AC1514" s="34" t="s">
        <v>3766</v>
      </c>
      <c r="AD1514" s="34" t="s">
        <v>3766</v>
      </c>
      <c r="AE1514" s="34" t="s">
        <v>5876</v>
      </c>
      <c r="AF1514" s="34" t="s">
        <v>3423</v>
      </c>
      <c r="AG1514" s="34" t="s">
        <v>3423</v>
      </c>
      <c r="AH1514" s="34" t="s">
        <v>7116</v>
      </c>
      <c r="AI1514" s="34" t="s">
        <v>3835</v>
      </c>
      <c r="AJ1514" s="34" t="s">
        <v>4069</v>
      </c>
      <c r="AK1514" s="34" t="s">
        <v>3427</v>
      </c>
      <c r="AL1514" s="34" t="s">
        <v>3460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7" t="str">
        <f>IFERROR(INDEX(Структура_ассортимента[SuperCategory],MATCH(Товары[[#This Row],[SubGroup]],Структура_ассортимента[Subgroup],0)),"")</f>
        <v>O</v>
      </c>
      <c r="D151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7" t="str">
        <f>IFERROR(INDEX(Структура_ассортимента[Product group],MATCH(Товары[[#This Row],[SubGroup]],Структура_ассортимента[Subgroup],0)),"")</f>
        <v>WPU_C</v>
      </c>
      <c r="G1515" s="67" t="str">
        <f>IFERROR(INDEX(Структура_ассортимента[Product group name ENG],MATCH(Товары[[#This Row],[SubGroup]],Структура_ассортимента[Subgroup],0)),"")</f>
        <v>Watering, Pumps</v>
      </c>
      <c r="H151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3056</v>
      </c>
      <c r="O1515" s="37" t="s">
        <v>7117</v>
      </c>
      <c r="P1515" s="37" t="s">
        <v>7118</v>
      </c>
      <c r="Q1515" s="39" t="s">
        <v>3416</v>
      </c>
      <c r="R1515" s="34" t="s">
        <v>3407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3417</v>
      </c>
      <c r="X1515" s="34" t="s">
        <v>3774</v>
      </c>
      <c r="Y1515" s="34" t="s">
        <v>3409</v>
      </c>
      <c r="Z1515" s="34">
        <v>2</v>
      </c>
      <c r="AA1515" s="34" t="s">
        <v>4692</v>
      </c>
      <c r="AB1515" s="34" t="s">
        <v>4692</v>
      </c>
      <c r="AC1515" s="34" t="s">
        <v>7119</v>
      </c>
      <c r="AD1515" s="34" t="s">
        <v>7119</v>
      </c>
      <c r="AE1515" s="34" t="s">
        <v>3693</v>
      </c>
      <c r="AF1515" s="34" t="s">
        <v>3423</v>
      </c>
      <c r="AG1515" s="34" t="s">
        <v>3423</v>
      </c>
      <c r="AH1515" s="34" t="s">
        <v>7120</v>
      </c>
      <c r="AI1515" s="34" t="s">
        <v>3835</v>
      </c>
      <c r="AJ1515" s="34" t="s">
        <v>3787</v>
      </c>
      <c r="AK1515" s="34" t="s">
        <v>3427</v>
      </c>
      <c r="AL1515" s="34" t="s">
        <v>7121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7" t="str">
        <f>IFERROR(INDEX(Структура_ассортимента[SuperCategory],MATCH(Товары[[#This Row],[SubGroup]],Структура_ассортимента[Subgroup],0)),"")</f>
        <v>O</v>
      </c>
      <c r="D151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7" t="str">
        <f>IFERROR(INDEX(Структура_ассортимента[Product group],MATCH(Товары[[#This Row],[SubGroup]],Структура_ассортимента[Subgroup],0)),"")</f>
        <v>WPU_C</v>
      </c>
      <c r="G1516" s="67" t="str">
        <f>IFERROR(INDEX(Структура_ассортимента[Product group name ENG],MATCH(Товары[[#This Row],[SubGroup]],Структура_ассортимента[Subgroup],0)),"")</f>
        <v>Watering, Pumps</v>
      </c>
      <c r="H1516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3057</v>
      </c>
      <c r="O1516" s="37" t="s">
        <v>7122</v>
      </c>
      <c r="P1516" s="37" t="s">
        <v>7123</v>
      </c>
      <c r="Q1516" s="39" t="s">
        <v>3416</v>
      </c>
      <c r="R1516" s="34" t="s">
        <v>3407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3417</v>
      </c>
      <c r="X1516" s="34" t="s">
        <v>3418</v>
      </c>
      <c r="Y1516" s="34" t="s">
        <v>3409</v>
      </c>
      <c r="Z1516" s="34">
        <v>1</v>
      </c>
      <c r="AA1516" s="34" t="s">
        <v>7124</v>
      </c>
      <c r="AB1516" s="34" t="s">
        <v>7124</v>
      </c>
      <c r="AC1516" s="34" t="s">
        <v>6870</v>
      </c>
      <c r="AD1516" s="34" t="s">
        <v>6870</v>
      </c>
      <c r="AE1516" s="34" t="s">
        <v>4280</v>
      </c>
      <c r="AF1516" s="34" t="s">
        <v>4895</v>
      </c>
      <c r="AG1516" s="34" t="s">
        <v>4377</v>
      </c>
      <c r="AH1516" s="34" t="s">
        <v>7125</v>
      </c>
      <c r="AI1516" s="34" t="s">
        <v>4324</v>
      </c>
      <c r="AJ1516" s="34" t="s">
        <v>4915</v>
      </c>
      <c r="AK1516" s="34" t="s">
        <v>4176</v>
      </c>
      <c r="AL1516" s="34" t="s">
        <v>3484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7" t="str">
        <f>IFERROR(INDEX(Структура_ассортимента[SuperCategory],MATCH(Товары[[#This Row],[SubGroup]],Структура_ассортимента[Subgroup],0)),"")</f>
        <v>O</v>
      </c>
      <c r="D151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7" t="str">
        <f>IFERROR(INDEX(Структура_ассортимента[Product group],MATCH(Товары[[#This Row],[SubGroup]],Структура_ассортимента[Subgroup],0)),"")</f>
        <v>WPU_C</v>
      </c>
      <c r="G1517" s="67" t="str">
        <f>IFERROR(INDEX(Структура_ассортимента[Product group name ENG],MATCH(Товары[[#This Row],[SubGroup]],Структура_ассортимента[Subgroup],0)),"")</f>
        <v>Watering, Pumps</v>
      </c>
      <c r="H151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3058</v>
      </c>
      <c r="O1517" s="37" t="s">
        <v>7126</v>
      </c>
      <c r="P1517" s="37" t="s">
        <v>7127</v>
      </c>
      <c r="Q1517" s="39" t="s">
        <v>3416</v>
      </c>
      <c r="R1517" s="34" t="s">
        <v>3407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3417</v>
      </c>
      <c r="X1517" s="34" t="s">
        <v>3418</v>
      </c>
      <c r="Y1517" s="34" t="s">
        <v>3409</v>
      </c>
      <c r="Z1517" s="34">
        <v>1</v>
      </c>
      <c r="AA1517" s="34" t="s">
        <v>7128</v>
      </c>
      <c r="AB1517" s="34" t="s">
        <v>7128</v>
      </c>
      <c r="AC1517" s="34" t="s">
        <v>7129</v>
      </c>
      <c r="AD1517" s="34" t="s">
        <v>7129</v>
      </c>
      <c r="AE1517" s="34" t="s">
        <v>4280</v>
      </c>
      <c r="AF1517" s="34" t="s">
        <v>4895</v>
      </c>
      <c r="AG1517" s="34" t="s">
        <v>4377</v>
      </c>
      <c r="AH1517" s="34" t="s">
        <v>7125</v>
      </c>
      <c r="AI1517" s="34" t="s">
        <v>4324</v>
      </c>
      <c r="AJ1517" s="34" t="s">
        <v>4915</v>
      </c>
      <c r="AK1517" s="34" t="s">
        <v>4176</v>
      </c>
      <c r="AL1517" s="34" t="s">
        <v>3484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7" t="str">
        <f>IFERROR(INDEX(Структура_ассортимента[SuperCategory],MATCH(Товары[[#This Row],[SubGroup]],Структура_ассортимента[Subgroup],0)),"")</f>
        <v>O</v>
      </c>
      <c r="D151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7" t="str">
        <f>IFERROR(INDEX(Структура_ассортимента[Product group],MATCH(Товары[[#This Row],[SubGroup]],Структура_ассортимента[Subgroup],0)),"")</f>
        <v>WPU_C</v>
      </c>
      <c r="G1518" s="67" t="str">
        <f>IFERROR(INDEX(Структура_ассортимента[Product group name ENG],MATCH(Товары[[#This Row],[SubGroup]],Структура_ассортимента[Subgroup],0)),"")</f>
        <v>Watering, Pumps</v>
      </c>
      <c r="H151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3059</v>
      </c>
      <c r="O1518" s="37" t="s">
        <v>7130</v>
      </c>
      <c r="P1518" s="37" t="s">
        <v>7131</v>
      </c>
      <c r="Q1518" s="39" t="s">
        <v>3416</v>
      </c>
      <c r="R1518" s="34" t="s">
        <v>3407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3417</v>
      </c>
      <c r="X1518" s="34" t="s">
        <v>3418</v>
      </c>
      <c r="Y1518" s="34" t="s">
        <v>3409</v>
      </c>
      <c r="Z1518" s="34">
        <v>1</v>
      </c>
      <c r="AA1518" s="34" t="s">
        <v>7132</v>
      </c>
      <c r="AB1518" s="34" t="s">
        <v>7132</v>
      </c>
      <c r="AC1518" s="34" t="s">
        <v>5720</v>
      </c>
      <c r="AD1518" s="34" t="s">
        <v>5720</v>
      </c>
      <c r="AE1518" s="34" t="s">
        <v>4287</v>
      </c>
      <c r="AF1518" s="34" t="s">
        <v>4895</v>
      </c>
      <c r="AG1518" s="34" t="s">
        <v>4377</v>
      </c>
      <c r="AH1518" s="34" t="s">
        <v>7133</v>
      </c>
      <c r="AI1518" s="34" t="s">
        <v>4090</v>
      </c>
      <c r="AJ1518" s="34" t="s">
        <v>4915</v>
      </c>
      <c r="AK1518" s="34" t="s">
        <v>4176</v>
      </c>
      <c r="AL1518" s="34" t="s">
        <v>3484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7" t="str">
        <f>IFERROR(INDEX(Структура_ассортимента[SuperCategory],MATCH(Товары[[#This Row],[SubGroup]],Структура_ассортимента[Subgroup],0)),"")</f>
        <v>O</v>
      </c>
      <c r="D151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7" t="str">
        <f>IFERROR(INDEX(Структура_ассортимента[Product group],MATCH(Товары[[#This Row],[SubGroup]],Структура_ассортимента[Subgroup],0)),"")</f>
        <v>WPU_C</v>
      </c>
      <c r="G1519" s="67" t="str">
        <f>IFERROR(INDEX(Структура_ассортимента[Product group name ENG],MATCH(Товары[[#This Row],[SubGroup]],Структура_ассортимента[Subgroup],0)),"")</f>
        <v>Watering, Pumps</v>
      </c>
      <c r="H1519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3060</v>
      </c>
      <c r="O1519" s="37" t="s">
        <v>7134</v>
      </c>
      <c r="P1519" s="37" t="s">
        <v>7135</v>
      </c>
      <c r="Q1519" s="39" t="s">
        <v>3416</v>
      </c>
      <c r="R1519" s="34" t="s">
        <v>3407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3417</v>
      </c>
      <c r="X1519" s="34" t="s">
        <v>3774</v>
      </c>
      <c r="Y1519" s="34" t="s">
        <v>3409</v>
      </c>
      <c r="Z1519" s="34">
        <v>2</v>
      </c>
      <c r="AA1519" s="34" t="s">
        <v>6251</v>
      </c>
      <c r="AB1519" s="34" t="s">
        <v>6251</v>
      </c>
      <c r="AC1519" s="34" t="s">
        <v>7136</v>
      </c>
      <c r="AD1519" s="34" t="s">
        <v>7136</v>
      </c>
      <c r="AE1519" s="34" t="s">
        <v>4041</v>
      </c>
      <c r="AF1519" s="34" t="s">
        <v>3811</v>
      </c>
      <c r="AG1519" s="34" t="s">
        <v>4366</v>
      </c>
      <c r="AH1519" s="34" t="s">
        <v>7137</v>
      </c>
      <c r="AL1519" s="34" t="s">
        <v>4173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7" t="str">
        <f>IFERROR(INDEX(Структура_ассортимента[SuperCategory],MATCH(Товары[[#This Row],[SubGroup]],Структура_ассортимента[Subgroup],0)),"")</f>
        <v>O</v>
      </c>
      <c r="D152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7" t="str">
        <f>IFERROR(INDEX(Структура_ассортимента[Product group],MATCH(Товары[[#This Row],[SubGroup]],Структура_ассортимента[Subgroup],0)),"")</f>
        <v>WPU_C</v>
      </c>
      <c r="G1520" s="67" t="str">
        <f>IFERROR(INDEX(Структура_ассортимента[Product group name ENG],MATCH(Товары[[#This Row],[SubGroup]],Структура_ассортимента[Subgroup],0)),"")</f>
        <v>Watering, Pumps</v>
      </c>
      <c r="H152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3061</v>
      </c>
      <c r="O1520" s="37" t="s">
        <v>7138</v>
      </c>
      <c r="P1520" s="37" t="s">
        <v>7139</v>
      </c>
      <c r="Q1520" s="39" t="s">
        <v>3416</v>
      </c>
      <c r="R1520" s="34" t="s">
        <v>3407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3410</v>
      </c>
      <c r="X1520" s="34" t="s">
        <v>3446</v>
      </c>
      <c r="Y1520" s="34" t="s">
        <v>3409</v>
      </c>
      <c r="Z1520" s="34">
        <v>6</v>
      </c>
      <c r="AA1520" s="34" t="s">
        <v>3520</v>
      </c>
      <c r="AB1520" s="34" t="s">
        <v>3520</v>
      </c>
      <c r="AC1520" s="34" t="s">
        <v>5500</v>
      </c>
      <c r="AD1520" s="34" t="s">
        <v>5500</v>
      </c>
      <c r="AE1520" s="34" t="s">
        <v>4416</v>
      </c>
      <c r="AF1520" s="34" t="s">
        <v>4526</v>
      </c>
      <c r="AG1520" s="34" t="s">
        <v>4299</v>
      </c>
      <c r="AH1520" s="34" t="s">
        <v>6350</v>
      </c>
      <c r="AL1520" s="34" t="s">
        <v>6473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7" t="str">
        <f>IFERROR(INDEX(Структура_ассортимента[SuperCategory],MATCH(Товары[[#This Row],[SubGroup]],Структура_ассортимента[Subgroup],0)),"")</f>
        <v>O</v>
      </c>
      <c r="D152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7" t="str">
        <f>IFERROR(INDEX(Структура_ассортимента[Product group],MATCH(Товары[[#This Row],[SubGroup]],Структура_ассортимента[Subgroup],0)),"")</f>
        <v>WPU_C</v>
      </c>
      <c r="G1521" s="67" t="str">
        <f>IFERROR(INDEX(Структура_ассортимента[Product group name ENG],MATCH(Товары[[#This Row],[SubGroup]],Структура_ассортимента[Subgroup],0)),"")</f>
        <v>Watering, Pumps</v>
      </c>
      <c r="H1521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3062</v>
      </c>
      <c r="O1521" s="37" t="s">
        <v>7140</v>
      </c>
      <c r="P1521" s="37" t="s">
        <v>7141</v>
      </c>
      <c r="Q1521" s="39" t="s">
        <v>3416</v>
      </c>
      <c r="R1521" s="34" t="s">
        <v>3407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3410</v>
      </c>
      <c r="X1521" s="34" t="s">
        <v>3446</v>
      </c>
      <c r="Y1521" s="34" t="s">
        <v>3409</v>
      </c>
      <c r="Z1521" s="34">
        <v>6</v>
      </c>
      <c r="AA1521" s="34" t="s">
        <v>5500</v>
      </c>
      <c r="AB1521" s="34" t="s">
        <v>5500</v>
      </c>
      <c r="AC1521" s="34" t="s">
        <v>5495</v>
      </c>
      <c r="AD1521" s="34" t="s">
        <v>5495</v>
      </c>
      <c r="AE1521" s="34" t="s">
        <v>4526</v>
      </c>
      <c r="AF1521" s="34" t="s">
        <v>4006</v>
      </c>
      <c r="AG1521" s="34" t="s">
        <v>4299</v>
      </c>
      <c r="AH1521" s="34" t="s">
        <v>5517</v>
      </c>
      <c r="AL1521" s="34" t="s">
        <v>6473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7" t="str">
        <f>IFERROR(INDEX(Структура_ассортимента[SuperCategory],MATCH(Товары[[#This Row],[SubGroup]],Структура_ассортимента[Subgroup],0)),"")</f>
        <v>O</v>
      </c>
      <c r="D152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7" t="str">
        <f>IFERROR(INDEX(Структура_ассортимента[Product group],MATCH(Товары[[#This Row],[SubGroup]],Структура_ассортимента[Subgroup],0)),"")</f>
        <v>WPU_C</v>
      </c>
      <c r="G1522" s="67" t="str">
        <f>IFERROR(INDEX(Структура_ассортимента[Product group name ENG],MATCH(Товары[[#This Row],[SubGroup]],Структура_ассортимента[Subgroup],0)),"")</f>
        <v>Watering, Pumps</v>
      </c>
      <c r="H152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3063</v>
      </c>
      <c r="O1522" s="37" t="s">
        <v>7142</v>
      </c>
      <c r="P1522" s="37" t="s">
        <v>7143</v>
      </c>
      <c r="Q1522" s="39" t="s">
        <v>3416</v>
      </c>
      <c r="R1522" s="34" t="s">
        <v>3407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3410</v>
      </c>
      <c r="X1522" s="34" t="s">
        <v>3446</v>
      </c>
      <c r="Y1522" s="34" t="s">
        <v>3409</v>
      </c>
      <c r="Z1522" s="34">
        <v>6</v>
      </c>
      <c r="AA1522" s="34" t="s">
        <v>6383</v>
      </c>
      <c r="AB1522" s="34" t="s">
        <v>6383</v>
      </c>
      <c r="AC1522" s="34" t="s">
        <v>6964</v>
      </c>
      <c r="AD1522" s="34" t="s">
        <v>6964</v>
      </c>
      <c r="AE1522" s="34" t="s">
        <v>4873</v>
      </c>
      <c r="AF1522" s="34" t="s">
        <v>4048</v>
      </c>
      <c r="AG1522" s="34" t="s">
        <v>3798</v>
      </c>
      <c r="AH1522" s="34" t="s">
        <v>6932</v>
      </c>
      <c r="AI1522" s="34" t="s">
        <v>4299</v>
      </c>
      <c r="AJ1522" s="34" t="s">
        <v>4647</v>
      </c>
      <c r="AK1522" s="34" t="s">
        <v>4335</v>
      </c>
      <c r="AL1522" s="34" t="s">
        <v>7144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7" t="str">
        <f>IFERROR(INDEX(Структура_ассортимента[SuperCategory],MATCH(Товары[[#This Row],[SubGroup]],Структура_ассортимента[Subgroup],0)),"")</f>
        <v>O</v>
      </c>
      <c r="D152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7" t="str">
        <f>IFERROR(INDEX(Структура_ассортимента[Product group],MATCH(Товары[[#This Row],[SubGroup]],Структура_ассортимента[Subgroup],0)),"")</f>
        <v>WPU_C</v>
      </c>
      <c r="G1523" s="67" t="str">
        <f>IFERROR(INDEX(Структура_ассортимента[Product group name ENG],MATCH(Товары[[#This Row],[SubGroup]],Структура_ассортимента[Subgroup],0)),"")</f>
        <v>Watering, Pumps</v>
      </c>
      <c r="H1523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3064</v>
      </c>
      <c r="Q1523" s="39" t="s">
        <v>3416</v>
      </c>
      <c r="R1523" s="34" t="s">
        <v>3407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3410</v>
      </c>
      <c r="X1523" s="34" t="s">
        <v>3446</v>
      </c>
      <c r="Y1523" s="34" t="s">
        <v>3409</v>
      </c>
      <c r="Z1523" s="34">
        <v>6</v>
      </c>
      <c r="AA1523" s="34" t="s">
        <v>5918</v>
      </c>
      <c r="AB1523" s="34" t="s">
        <v>5918</v>
      </c>
      <c r="AC1523" s="34" t="s">
        <v>5470</v>
      </c>
      <c r="AD1523" s="34" t="s">
        <v>5470</v>
      </c>
      <c r="AE1523" s="34" t="s">
        <v>3866</v>
      </c>
      <c r="AF1523" s="34" t="s">
        <v>4499</v>
      </c>
      <c r="AG1523" s="34" t="s">
        <v>4299</v>
      </c>
      <c r="AH1523" s="34" t="s">
        <v>7145</v>
      </c>
      <c r="AL1523" s="34" t="s">
        <v>6473</v>
      </c>
      <c r="AM1523" s="34" t="s">
        <v>7962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7" t="str">
        <f>IFERROR(INDEX(Структура_ассортимента[SuperCategory],MATCH(Товары[[#This Row],[SubGroup]],Структура_ассортимента[Subgroup],0)),"")</f>
        <v>O</v>
      </c>
      <c r="D152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7" t="str">
        <f>IFERROR(INDEX(Структура_ассортимента[Product group],MATCH(Товары[[#This Row],[SubGroup]],Структура_ассортимента[Subgroup],0)),"")</f>
        <v>WPU_C</v>
      </c>
      <c r="G1524" s="67" t="str">
        <f>IFERROR(INDEX(Структура_ассортимента[Product group name ENG],MATCH(Товары[[#This Row],[SubGroup]],Структура_ассортимента[Subgroup],0)),"")</f>
        <v>Watering, Pumps</v>
      </c>
      <c r="H152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3065</v>
      </c>
      <c r="O1524" s="37" t="s">
        <v>7146</v>
      </c>
      <c r="P1524" s="37" t="s">
        <v>7147</v>
      </c>
      <c r="Q1524" s="39" t="s">
        <v>3416</v>
      </c>
      <c r="R1524" s="34" t="s">
        <v>3407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3410</v>
      </c>
      <c r="X1524" s="34" t="s">
        <v>3446</v>
      </c>
      <c r="Y1524" s="34" t="s">
        <v>3409</v>
      </c>
      <c r="Z1524" s="34">
        <v>6</v>
      </c>
      <c r="AA1524" s="34" t="s">
        <v>7104</v>
      </c>
      <c r="AB1524" s="34" t="s">
        <v>7104</v>
      </c>
      <c r="AC1524" s="34" t="s">
        <v>3957</v>
      </c>
      <c r="AD1524" s="34" t="s">
        <v>3957</v>
      </c>
      <c r="AE1524" s="34" t="s">
        <v>3565</v>
      </c>
      <c r="AF1524" s="34" t="s">
        <v>4074</v>
      </c>
      <c r="AG1524" s="34" t="s">
        <v>4992</v>
      </c>
      <c r="AH1524" s="34" t="s">
        <v>7148</v>
      </c>
      <c r="AL1524" s="34" t="s">
        <v>7149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7" t="str">
        <f>IFERROR(INDEX(Структура_ассортимента[SuperCategory],MATCH(Товары[[#This Row],[SubGroup]],Структура_ассортимента[Subgroup],0)),"")</f>
        <v>O</v>
      </c>
      <c r="D152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7" t="str">
        <f>IFERROR(INDEX(Структура_ассортимента[Product group],MATCH(Товары[[#This Row],[SubGroup]],Структура_ассортимента[Subgroup],0)),"")</f>
        <v>WPU_C</v>
      </c>
      <c r="G1525" s="67" t="str">
        <f>IFERROR(INDEX(Структура_ассортимента[Product group name ENG],MATCH(Товары[[#This Row],[SubGroup]],Структура_ассортимента[Subgroup],0)),"")</f>
        <v>Watering, Pumps</v>
      </c>
      <c r="H152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3066</v>
      </c>
      <c r="O1525" s="37" t="s">
        <v>7150</v>
      </c>
      <c r="P1525" s="37" t="s">
        <v>7151</v>
      </c>
      <c r="Q1525" s="39" t="s">
        <v>3416</v>
      </c>
      <c r="R1525" s="34" t="s">
        <v>3407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3417</v>
      </c>
      <c r="X1525" s="34" t="s">
        <v>3418</v>
      </c>
      <c r="Y1525" s="34" t="s">
        <v>3409</v>
      </c>
      <c r="Z1525" s="34">
        <v>1</v>
      </c>
      <c r="AA1525" s="34" t="s">
        <v>7152</v>
      </c>
      <c r="AB1525" s="34" t="s">
        <v>7153</v>
      </c>
      <c r="AC1525" s="34" t="s">
        <v>5677</v>
      </c>
      <c r="AD1525" s="34" t="s">
        <v>7154</v>
      </c>
      <c r="AE1525" s="34" t="s">
        <v>7155</v>
      </c>
      <c r="AF1525" s="34" t="s">
        <v>5884</v>
      </c>
      <c r="AG1525" s="34" t="s">
        <v>4231</v>
      </c>
      <c r="AH1525" s="34" t="s">
        <v>7156</v>
      </c>
      <c r="AI1525" s="34" t="s">
        <v>3881</v>
      </c>
      <c r="AJ1525" s="34" t="s">
        <v>3797</v>
      </c>
      <c r="AK1525" s="34" t="s">
        <v>3529</v>
      </c>
      <c r="AL1525" s="34" t="s">
        <v>7157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7" t="str">
        <f>IFERROR(INDEX(Структура_ассортимента[SuperCategory],MATCH(Товары[[#This Row],[SubGroup]],Структура_ассортимента[Subgroup],0)),"")</f>
        <v>O</v>
      </c>
      <c r="D152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7" t="str">
        <f>IFERROR(INDEX(Структура_ассортимента[Product group],MATCH(Товары[[#This Row],[SubGroup]],Структура_ассортимента[Subgroup],0)),"")</f>
        <v>WPU_C</v>
      </c>
      <c r="G1526" s="67" t="str">
        <f>IFERROR(INDEX(Структура_ассортимента[Product group name ENG],MATCH(Товары[[#This Row],[SubGroup]],Структура_ассортимента[Subgroup],0)),"")</f>
        <v>Watering, Pumps</v>
      </c>
      <c r="H152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3067</v>
      </c>
      <c r="O1526" s="37" t="s">
        <v>7158</v>
      </c>
      <c r="P1526" s="37" t="s">
        <v>7159</v>
      </c>
      <c r="Q1526" s="39" t="s">
        <v>3416</v>
      </c>
      <c r="R1526" s="34" t="s">
        <v>3407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3417</v>
      </c>
      <c r="X1526" s="34" t="s">
        <v>3418</v>
      </c>
      <c r="Y1526" s="34" t="s">
        <v>3409</v>
      </c>
      <c r="Z1526" s="34">
        <v>1</v>
      </c>
      <c r="AA1526" s="34" t="s">
        <v>7160</v>
      </c>
      <c r="AB1526" s="34" t="s">
        <v>7161</v>
      </c>
      <c r="AC1526" s="34" t="s">
        <v>5655</v>
      </c>
      <c r="AD1526" s="34" t="s">
        <v>7162</v>
      </c>
      <c r="AE1526" s="34" t="s">
        <v>7155</v>
      </c>
      <c r="AF1526" s="34" t="s">
        <v>5884</v>
      </c>
      <c r="AG1526" s="34" t="s">
        <v>4231</v>
      </c>
      <c r="AH1526" s="34" t="s">
        <v>7156</v>
      </c>
      <c r="AI1526" s="34" t="s">
        <v>3881</v>
      </c>
      <c r="AJ1526" s="34" t="s">
        <v>3797</v>
      </c>
      <c r="AK1526" s="34" t="s">
        <v>3529</v>
      </c>
      <c r="AL1526" s="34" t="s">
        <v>7157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7" t="str">
        <f>IFERROR(INDEX(Структура_ассортимента[SuperCategory],MATCH(Товары[[#This Row],[SubGroup]],Структура_ассортимента[Subgroup],0)),"")</f>
        <v>O</v>
      </c>
      <c r="D152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7" t="str">
        <f>IFERROR(INDEX(Структура_ассортимента[Product group],MATCH(Товары[[#This Row],[SubGroup]],Структура_ассортимента[Subgroup],0)),"")</f>
        <v>WPU_C</v>
      </c>
      <c r="G1527" s="67" t="str">
        <f>IFERROR(INDEX(Структура_ассортимента[Product group name ENG],MATCH(Товары[[#This Row],[SubGroup]],Структура_ассортимента[Subgroup],0)),"")</f>
        <v>Watering, Pumps</v>
      </c>
      <c r="H1527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3068</v>
      </c>
      <c r="O1527" s="37" t="s">
        <v>7163</v>
      </c>
      <c r="P1527" s="37" t="s">
        <v>7164</v>
      </c>
      <c r="Q1527" s="39" t="s">
        <v>3416</v>
      </c>
      <c r="R1527" s="34" t="s">
        <v>3407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3417</v>
      </c>
      <c r="X1527" s="34" t="s">
        <v>3418</v>
      </c>
      <c r="Y1527" s="34" t="s">
        <v>3409</v>
      </c>
      <c r="Z1527" s="34">
        <v>1</v>
      </c>
      <c r="AA1527" s="34" t="s">
        <v>7165</v>
      </c>
      <c r="AB1527" s="34" t="s">
        <v>7166</v>
      </c>
      <c r="AC1527" s="34" t="s">
        <v>7167</v>
      </c>
      <c r="AD1527" s="34" t="s">
        <v>7168</v>
      </c>
      <c r="AE1527" s="34" t="s">
        <v>7155</v>
      </c>
      <c r="AF1527" s="34" t="s">
        <v>5884</v>
      </c>
      <c r="AG1527" s="34" t="s">
        <v>4231</v>
      </c>
      <c r="AH1527" s="34" t="s">
        <v>7156</v>
      </c>
      <c r="AI1527" s="34" t="s">
        <v>3881</v>
      </c>
      <c r="AJ1527" s="34" t="s">
        <v>3797</v>
      </c>
      <c r="AK1527" s="34" t="s">
        <v>3529</v>
      </c>
      <c r="AL1527" s="34" t="s">
        <v>7157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7" t="str">
        <f>IFERROR(INDEX(Структура_ассортимента[SuperCategory],MATCH(Товары[[#This Row],[SubGroup]],Структура_ассортимента[Subgroup],0)),"")</f>
        <v>O</v>
      </c>
      <c r="D152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7" t="str">
        <f>IFERROR(INDEX(Структура_ассортимента[Product group],MATCH(Товары[[#This Row],[SubGroup]],Структура_ассортимента[Subgroup],0)),"")</f>
        <v>WPU_C</v>
      </c>
      <c r="G1528" s="67" t="str">
        <f>IFERROR(INDEX(Структура_ассортимента[Product group name ENG],MATCH(Товары[[#This Row],[SubGroup]],Структура_ассортимента[Subgroup],0)),"")</f>
        <v>Watering, Pumps</v>
      </c>
      <c r="H1528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3069</v>
      </c>
      <c r="O1528" s="37" t="s">
        <v>7169</v>
      </c>
      <c r="P1528" s="37" t="s">
        <v>7170</v>
      </c>
      <c r="Q1528" s="39" t="s">
        <v>3416</v>
      </c>
      <c r="R1528" s="34" t="s">
        <v>3407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3417</v>
      </c>
      <c r="X1528" s="34" t="s">
        <v>3418</v>
      </c>
      <c r="Y1528" s="34" t="s">
        <v>3409</v>
      </c>
      <c r="Z1528" s="34">
        <v>1</v>
      </c>
      <c r="AA1528" s="34" t="s">
        <v>7165</v>
      </c>
      <c r="AB1528" s="34" t="s">
        <v>7171</v>
      </c>
      <c r="AC1528" s="34" t="s">
        <v>7167</v>
      </c>
      <c r="AD1528" s="34" t="s">
        <v>7172</v>
      </c>
      <c r="AE1528" s="34" t="s">
        <v>7155</v>
      </c>
      <c r="AF1528" s="34" t="s">
        <v>5884</v>
      </c>
      <c r="AG1528" s="34" t="s">
        <v>4231</v>
      </c>
      <c r="AH1528" s="34" t="s">
        <v>7156</v>
      </c>
      <c r="AI1528" s="34" t="s">
        <v>3881</v>
      </c>
      <c r="AJ1528" s="34" t="s">
        <v>3797</v>
      </c>
      <c r="AK1528" s="34" t="s">
        <v>3529</v>
      </c>
      <c r="AL1528" s="34" t="s">
        <v>7157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7" t="str">
        <f>IFERROR(INDEX(Структура_ассортимента[SuperCategory],MATCH(Товары[[#This Row],[SubGroup]],Структура_ассортимента[Subgroup],0)),"")</f>
        <v>O</v>
      </c>
      <c r="D152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7" t="str">
        <f>IFERROR(INDEX(Структура_ассортимента[Product group],MATCH(Товары[[#This Row],[SubGroup]],Структура_ассортимента[Subgroup],0)),"")</f>
        <v>WPU_C</v>
      </c>
      <c r="G1529" s="67" t="str">
        <f>IFERROR(INDEX(Структура_ассортимента[Product group name ENG],MATCH(Товары[[#This Row],[SubGroup]],Структура_ассортимента[Subgroup],0)),"")</f>
        <v>Watering, Pumps</v>
      </c>
      <c r="H1529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3070</v>
      </c>
      <c r="O1529" s="37" t="s">
        <v>7173</v>
      </c>
      <c r="P1529" s="37" t="s">
        <v>7174</v>
      </c>
      <c r="Q1529" s="39" t="s">
        <v>3416</v>
      </c>
      <c r="R1529" s="34" t="s">
        <v>3407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3417</v>
      </c>
      <c r="X1529" s="34" t="s">
        <v>3418</v>
      </c>
      <c r="Y1529" s="34" t="s">
        <v>3409</v>
      </c>
      <c r="Z1529" s="34">
        <v>1</v>
      </c>
      <c r="AA1529" s="34" t="s">
        <v>7175</v>
      </c>
      <c r="AB1529" s="34" t="s">
        <v>7176</v>
      </c>
      <c r="AC1529" s="34" t="s">
        <v>7177</v>
      </c>
      <c r="AD1529" s="34" t="s">
        <v>7178</v>
      </c>
      <c r="AE1529" s="34" t="s">
        <v>7179</v>
      </c>
      <c r="AF1529" s="34" t="s">
        <v>7180</v>
      </c>
      <c r="AG1529" s="34" t="s">
        <v>7181</v>
      </c>
      <c r="AH1529" s="34" t="s">
        <v>7182</v>
      </c>
      <c r="AI1529" s="34" t="s">
        <v>4324</v>
      </c>
      <c r="AJ1529" s="34" t="s">
        <v>4915</v>
      </c>
      <c r="AK1529" s="34" t="s">
        <v>4070</v>
      </c>
      <c r="AL1529" s="34" t="s">
        <v>3484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7" t="str">
        <f>IFERROR(INDEX(Структура_ассортимента[SuperCategory],MATCH(Товары[[#This Row],[SubGroup]],Структура_ассортимента[Subgroup],0)),"")</f>
        <v>O</v>
      </c>
      <c r="D153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7" t="str">
        <f>IFERROR(INDEX(Структура_ассортимента[Product group],MATCH(Товары[[#This Row],[SubGroup]],Структура_ассортимента[Subgroup],0)),"")</f>
        <v>WPU_C</v>
      </c>
      <c r="G1530" s="67" t="str">
        <f>IFERROR(INDEX(Структура_ассортимента[Product group name ENG],MATCH(Товары[[#This Row],[SubGroup]],Структура_ассортимента[Subgroup],0)),"")</f>
        <v>Watering, Pumps</v>
      </c>
      <c r="H1530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3071</v>
      </c>
      <c r="Q1530" s="39" t="s">
        <v>3416</v>
      </c>
      <c r="R1530" s="34" t="s">
        <v>3407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3410</v>
      </c>
      <c r="X1530" s="34" t="s">
        <v>3446</v>
      </c>
      <c r="Y1530" s="34" t="s">
        <v>3409</v>
      </c>
      <c r="Z1530" s="34">
        <v>1</v>
      </c>
      <c r="AA1530" s="34" t="s">
        <v>5677</v>
      </c>
      <c r="AB1530" s="34" t="s">
        <v>7183</v>
      </c>
      <c r="AC1530" s="34" t="s">
        <v>7094</v>
      </c>
      <c r="AD1530" s="34" t="s">
        <v>7184</v>
      </c>
      <c r="AE1530" s="34" t="s">
        <v>7179</v>
      </c>
      <c r="AF1530" s="34" t="s">
        <v>7180</v>
      </c>
      <c r="AG1530" s="34" t="s">
        <v>7181</v>
      </c>
      <c r="AH1530" s="34" t="s">
        <v>7182</v>
      </c>
      <c r="AI1530" s="34" t="s">
        <v>4324</v>
      </c>
      <c r="AJ1530" s="34" t="s">
        <v>4915</v>
      </c>
      <c r="AK1530" s="34" t="s">
        <v>4070</v>
      </c>
      <c r="AL1530" s="34" t="s">
        <v>3484</v>
      </c>
      <c r="AM1530" s="34" t="s">
        <v>7962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7" t="str">
        <f>IFERROR(INDEX(Структура_ассортимента[SuperCategory],MATCH(Товары[[#This Row],[SubGroup]],Структура_ассортимента[Subgroup],0)),"")</f>
        <v>O</v>
      </c>
      <c r="D153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7" t="str">
        <f>IFERROR(INDEX(Структура_ассортимента[Product group],MATCH(Товары[[#This Row],[SubGroup]],Структура_ассортимента[Subgroup],0)),"")</f>
        <v>WPU_C</v>
      </c>
      <c r="G1531" s="67" t="str">
        <f>IFERROR(INDEX(Структура_ассортимента[Product group name ENG],MATCH(Товары[[#This Row],[SubGroup]],Структура_ассортимента[Subgroup],0)),"")</f>
        <v>Watering, Pumps</v>
      </c>
      <c r="H153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3072</v>
      </c>
      <c r="O1531" s="37" t="s">
        <v>7185</v>
      </c>
      <c r="P1531" s="37" t="s">
        <v>7186</v>
      </c>
      <c r="Q1531" s="39" t="s">
        <v>3416</v>
      </c>
      <c r="R1531" s="34" t="s">
        <v>3407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3417</v>
      </c>
      <c r="X1531" s="34" t="s">
        <v>3418</v>
      </c>
      <c r="Y1531" s="34" t="s">
        <v>3409</v>
      </c>
      <c r="Z1531" s="34">
        <v>1</v>
      </c>
      <c r="AA1531" s="34" t="s">
        <v>7187</v>
      </c>
      <c r="AB1531" s="34" t="s">
        <v>7188</v>
      </c>
      <c r="AC1531" s="34" t="s">
        <v>5677</v>
      </c>
      <c r="AD1531" s="34" t="s">
        <v>5705</v>
      </c>
      <c r="AE1531" s="34" t="s">
        <v>7179</v>
      </c>
      <c r="AF1531" s="34" t="s">
        <v>7180</v>
      </c>
      <c r="AG1531" s="34" t="s">
        <v>7181</v>
      </c>
      <c r="AH1531" s="34" t="s">
        <v>7182</v>
      </c>
      <c r="AI1531" s="34" t="s">
        <v>4324</v>
      </c>
      <c r="AJ1531" s="34" t="s">
        <v>4915</v>
      </c>
      <c r="AK1531" s="34" t="s">
        <v>4070</v>
      </c>
      <c r="AL1531" s="34" t="s">
        <v>3484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7" t="str">
        <f>IFERROR(INDEX(Структура_ассортимента[SuperCategory],MATCH(Товары[[#This Row],[SubGroup]],Структура_ассортимента[Subgroup],0)),"")</f>
        <v>O</v>
      </c>
      <c r="D153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7" t="str">
        <f>IFERROR(INDEX(Структура_ассортимента[Product group],MATCH(Товары[[#This Row],[SubGroup]],Структура_ассортимента[Subgroup],0)),"")</f>
        <v>WPU_C</v>
      </c>
      <c r="G1532" s="67" t="str">
        <f>IFERROR(INDEX(Структура_ассортимента[Product group name ENG],MATCH(Товары[[#This Row],[SubGroup]],Структура_ассортимента[Subgroup],0)),"")</f>
        <v>Watering, Pumps</v>
      </c>
      <c r="H153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3073</v>
      </c>
      <c r="O1532" s="37" t="s">
        <v>7189</v>
      </c>
      <c r="P1532" s="37" t="s">
        <v>7190</v>
      </c>
      <c r="Q1532" s="39" t="s">
        <v>3416</v>
      </c>
      <c r="R1532" s="34" t="s">
        <v>3407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3417</v>
      </c>
      <c r="X1532" s="34" t="s">
        <v>3418</v>
      </c>
      <c r="Y1532" s="34" t="s">
        <v>3409</v>
      </c>
      <c r="Z1532" s="34">
        <v>1</v>
      </c>
      <c r="AA1532" s="34" t="s">
        <v>7187</v>
      </c>
      <c r="AB1532" s="34" t="s">
        <v>7191</v>
      </c>
      <c r="AC1532" s="34" t="s">
        <v>5677</v>
      </c>
      <c r="AD1532" s="34" t="s">
        <v>7192</v>
      </c>
      <c r="AE1532" s="34" t="s">
        <v>7193</v>
      </c>
      <c r="AF1532" s="34" t="s">
        <v>7180</v>
      </c>
      <c r="AG1532" s="34" t="s">
        <v>7194</v>
      </c>
      <c r="AH1532" s="34" t="s">
        <v>7195</v>
      </c>
      <c r="AI1532" s="34" t="s">
        <v>4090</v>
      </c>
      <c r="AJ1532" s="34" t="s">
        <v>4915</v>
      </c>
      <c r="AK1532" s="34" t="s">
        <v>4070</v>
      </c>
      <c r="AL1532" s="34" t="s">
        <v>3484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7" t="str">
        <f>IFERROR(INDEX(Структура_ассортимента[SuperCategory],MATCH(Товары[[#This Row],[SubGroup]],Структура_ассортимента[Subgroup],0)),"")</f>
        <v>O</v>
      </c>
      <c r="D153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7" t="str">
        <f>IFERROR(INDEX(Структура_ассортимента[Product group],MATCH(Товары[[#This Row],[SubGroup]],Структура_ассортимента[Subgroup],0)),"")</f>
        <v>WPU_C</v>
      </c>
      <c r="G1533" s="67" t="str">
        <f>IFERROR(INDEX(Структура_ассортимента[Product group name ENG],MATCH(Товары[[#This Row],[SubGroup]],Структура_ассортимента[Subgroup],0)),"")</f>
        <v>Watering, Pumps</v>
      </c>
      <c r="H153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3074</v>
      </c>
      <c r="O1533" s="37" t="s">
        <v>7196</v>
      </c>
      <c r="P1533" s="37" t="s">
        <v>7197</v>
      </c>
      <c r="Q1533" s="39" t="s">
        <v>3416</v>
      </c>
      <c r="R1533" s="34" t="s">
        <v>3407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3413</v>
      </c>
      <c r="X1533" s="34" t="s">
        <v>3418</v>
      </c>
      <c r="Y1533" s="34" t="s">
        <v>3409</v>
      </c>
      <c r="Z1533" s="34">
        <v>1</v>
      </c>
      <c r="AA1533" s="34" t="s">
        <v>7198</v>
      </c>
      <c r="AB1533" s="34" t="s">
        <v>7199</v>
      </c>
      <c r="AC1533" s="34" t="s">
        <v>7200</v>
      </c>
      <c r="AD1533" s="34" t="s">
        <v>7201</v>
      </c>
      <c r="AE1533" s="34" t="s">
        <v>3864</v>
      </c>
      <c r="AF1533" s="34" t="s">
        <v>3787</v>
      </c>
      <c r="AG1533" s="34" t="s">
        <v>3441</v>
      </c>
      <c r="AH1533" s="34" t="s">
        <v>7202</v>
      </c>
      <c r="AI1533" s="34" t="s">
        <v>5393</v>
      </c>
      <c r="AJ1533" s="34" t="s">
        <v>7203</v>
      </c>
      <c r="AK1533" s="34" t="s">
        <v>5393</v>
      </c>
      <c r="AL1533" s="34" t="s">
        <v>4081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7" t="str">
        <f>IFERROR(INDEX(Структура_ассортимента[SuperCategory],MATCH(Товары[[#This Row],[SubGroup]],Структура_ассортимента[Subgroup],0)),"")</f>
        <v>O</v>
      </c>
      <c r="D153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7" t="str">
        <f>IFERROR(INDEX(Структура_ассортимента[Product group],MATCH(Товары[[#This Row],[SubGroup]],Структура_ассортимента[Subgroup],0)),"")</f>
        <v>WPU_C</v>
      </c>
      <c r="G1534" s="67" t="str">
        <f>IFERROR(INDEX(Структура_ассортимента[Product group name ENG],MATCH(Товары[[#This Row],[SubGroup]],Структура_ассортимента[Subgroup],0)),"")</f>
        <v>Watering, Pumps</v>
      </c>
      <c r="H1534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3075</v>
      </c>
      <c r="O1534" s="37" t="s">
        <v>7204</v>
      </c>
      <c r="P1534" s="37" t="s">
        <v>7205</v>
      </c>
      <c r="Q1534" s="39" t="s">
        <v>3416</v>
      </c>
      <c r="R1534" s="34" t="s">
        <v>3407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3413</v>
      </c>
      <c r="X1534" s="34" t="s">
        <v>3418</v>
      </c>
      <c r="Y1534" s="34" t="s">
        <v>3409</v>
      </c>
      <c r="Z1534" s="34">
        <v>1</v>
      </c>
      <c r="AA1534" s="34" t="s">
        <v>7206</v>
      </c>
      <c r="AB1534" s="34" t="s">
        <v>7207</v>
      </c>
      <c r="AC1534" s="34" t="s">
        <v>7208</v>
      </c>
      <c r="AD1534" s="34" t="s">
        <v>7206</v>
      </c>
      <c r="AE1534" s="34" t="s">
        <v>3686</v>
      </c>
      <c r="AF1534" s="34" t="s">
        <v>3787</v>
      </c>
      <c r="AG1534" s="34" t="s">
        <v>4614</v>
      </c>
      <c r="AH1534" s="34" t="s">
        <v>7209</v>
      </c>
      <c r="AI1534" s="34" t="s">
        <v>5393</v>
      </c>
      <c r="AJ1534" s="34" t="s">
        <v>4150</v>
      </c>
      <c r="AK1534" s="34" t="s">
        <v>5393</v>
      </c>
      <c r="AL1534" s="34" t="s">
        <v>4741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7" t="str">
        <f>IFERROR(INDEX(Структура_ассортимента[SuperCategory],MATCH(Товары[[#This Row],[SubGroup]],Структура_ассортимента[Subgroup],0)),"")</f>
        <v>O</v>
      </c>
      <c r="D153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7" t="str">
        <f>IFERROR(INDEX(Структура_ассортимента[Product group],MATCH(Товары[[#This Row],[SubGroup]],Структура_ассортимента[Subgroup],0)),"")</f>
        <v>WPU_C</v>
      </c>
      <c r="G1535" s="67" t="str">
        <f>IFERROR(INDEX(Структура_ассортимента[Product group name ENG],MATCH(Товары[[#This Row],[SubGroup]],Структура_ассортимента[Subgroup],0)),"")</f>
        <v>Watering, Pumps</v>
      </c>
      <c r="H1535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3076</v>
      </c>
      <c r="O1535" s="37" t="s">
        <v>7210</v>
      </c>
      <c r="P1535" s="37" t="s">
        <v>7211</v>
      </c>
      <c r="Q1535" s="39" t="s">
        <v>3416</v>
      </c>
      <c r="R1535" s="34" t="s">
        <v>3407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3413</v>
      </c>
      <c r="X1535" s="34" t="s">
        <v>3418</v>
      </c>
      <c r="Y1535" s="34" t="s">
        <v>3409</v>
      </c>
      <c r="Z1535" s="34">
        <v>1</v>
      </c>
      <c r="AA1535" s="34" t="s">
        <v>7212</v>
      </c>
      <c r="AB1535" s="34" t="s">
        <v>7213</v>
      </c>
      <c r="AC1535" s="34" t="s">
        <v>6057</v>
      </c>
      <c r="AD1535" s="34" t="s">
        <v>7214</v>
      </c>
      <c r="AE1535" s="34" t="s">
        <v>3686</v>
      </c>
      <c r="AF1535" s="34" t="s">
        <v>3787</v>
      </c>
      <c r="AG1535" s="34" t="s">
        <v>4449</v>
      </c>
      <c r="AH1535" s="34" t="s">
        <v>7215</v>
      </c>
      <c r="AI1535" s="34" t="s">
        <v>5393</v>
      </c>
      <c r="AJ1535" s="34" t="s">
        <v>3612</v>
      </c>
      <c r="AK1535" s="34" t="s">
        <v>5393</v>
      </c>
      <c r="AL1535" s="34" t="s">
        <v>5980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7" t="str">
        <f>IFERROR(INDEX(Структура_ассортимента[SuperCategory],MATCH(Товары[[#This Row],[SubGroup]],Структура_ассортимента[Subgroup],0)),"")</f>
        <v>O</v>
      </c>
      <c r="D153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7" t="str">
        <f>IFERROR(INDEX(Структура_ассортимента[Product group],MATCH(Товары[[#This Row],[SubGroup]],Структура_ассортимента[Subgroup],0)),"")</f>
        <v>WPU_C</v>
      </c>
      <c r="G1536" s="67" t="str">
        <f>IFERROR(INDEX(Структура_ассортимента[Product group name ENG],MATCH(Товары[[#This Row],[SubGroup]],Структура_ассортимента[Subgroup],0)),"")</f>
        <v>Watering, Pumps</v>
      </c>
      <c r="H1536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3077</v>
      </c>
      <c r="O1536" s="37" t="s">
        <v>7216</v>
      </c>
      <c r="P1536" s="37" t="s">
        <v>7217</v>
      </c>
      <c r="Q1536" s="39" t="s">
        <v>3416</v>
      </c>
      <c r="R1536" s="34" t="s">
        <v>3407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3413</v>
      </c>
      <c r="X1536" s="34" t="s">
        <v>3418</v>
      </c>
      <c r="Y1536" s="34" t="s">
        <v>3409</v>
      </c>
      <c r="Z1536" s="34">
        <v>1</v>
      </c>
      <c r="AA1536" s="34" t="s">
        <v>7218</v>
      </c>
      <c r="AB1536" s="34" t="s">
        <v>7219</v>
      </c>
      <c r="AC1536" s="34" t="s">
        <v>5667</v>
      </c>
      <c r="AD1536" s="34" t="s">
        <v>7220</v>
      </c>
      <c r="AE1536" s="34" t="s">
        <v>3620</v>
      </c>
      <c r="AF1536" s="34" t="s">
        <v>3822</v>
      </c>
      <c r="AG1536" s="34" t="s">
        <v>4154</v>
      </c>
      <c r="AH1536" s="34" t="s">
        <v>7221</v>
      </c>
      <c r="AI1536" s="34" t="s">
        <v>5393</v>
      </c>
      <c r="AJ1536" s="34" t="s">
        <v>6721</v>
      </c>
      <c r="AK1536" s="34" t="s">
        <v>5393</v>
      </c>
      <c r="AL1536" s="34" t="s">
        <v>4188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7" t="str">
        <f>IFERROR(INDEX(Структура_ассортимента[SuperCategory],MATCH(Товары[[#This Row],[SubGroup]],Структура_ассортимента[Subgroup],0)),"")</f>
        <v>O</v>
      </c>
      <c r="D153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7" t="str">
        <f>IFERROR(INDEX(Структура_ассортимента[Product group],MATCH(Товары[[#This Row],[SubGroup]],Структура_ассортимента[Subgroup],0)),"")</f>
        <v>WPU_C</v>
      </c>
      <c r="G1537" s="67" t="str">
        <f>IFERROR(INDEX(Структура_ассортимента[Product group name ENG],MATCH(Товары[[#This Row],[SubGroup]],Структура_ассортимента[Subgroup],0)),"")</f>
        <v>Watering, Pumps</v>
      </c>
      <c r="H153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3078</v>
      </c>
      <c r="O1537" s="37" t="s">
        <v>7222</v>
      </c>
      <c r="P1537" s="37" t="s">
        <v>7223</v>
      </c>
      <c r="Q1537" s="39" t="s">
        <v>3416</v>
      </c>
      <c r="R1537" s="34" t="s">
        <v>3407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3413</v>
      </c>
      <c r="X1537" s="34" t="s">
        <v>3418</v>
      </c>
      <c r="Y1537" s="34" t="s">
        <v>3409</v>
      </c>
      <c r="Z1537" s="34">
        <v>1</v>
      </c>
      <c r="AA1537" s="34" t="s">
        <v>7224</v>
      </c>
      <c r="AB1537" s="34" t="s">
        <v>7225</v>
      </c>
      <c r="AC1537" s="34" t="s">
        <v>7226</v>
      </c>
      <c r="AD1537" s="34" t="s">
        <v>7227</v>
      </c>
      <c r="AE1537" s="34" t="s">
        <v>3620</v>
      </c>
      <c r="AF1537" s="34" t="s">
        <v>3822</v>
      </c>
      <c r="AG1537" s="34" t="s">
        <v>5683</v>
      </c>
      <c r="AH1537" s="34" t="s">
        <v>7221</v>
      </c>
      <c r="AI1537" s="34" t="s">
        <v>5393</v>
      </c>
      <c r="AJ1537" s="34" t="s">
        <v>6721</v>
      </c>
      <c r="AK1537" s="34" t="s">
        <v>5393</v>
      </c>
      <c r="AL1537" s="34" t="s">
        <v>4188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7" t="str">
        <f>IFERROR(INDEX(Структура_ассортимента[SuperCategory],MATCH(Товары[[#This Row],[SubGroup]],Структура_ассортимента[Subgroup],0)),"")</f>
        <v>O</v>
      </c>
      <c r="D153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7" t="str">
        <f>IFERROR(INDEX(Структура_ассортимента[Product group],MATCH(Товары[[#This Row],[SubGroup]],Структура_ассортимента[Subgroup],0)),"")</f>
        <v>WPU_C</v>
      </c>
      <c r="G1538" s="67" t="str">
        <f>IFERROR(INDEX(Структура_ассортимента[Product group name ENG],MATCH(Товары[[#This Row],[SubGroup]],Структура_ассортимента[Subgroup],0)),"")</f>
        <v>Watering, Pumps</v>
      </c>
      <c r="H153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3079</v>
      </c>
      <c r="O1538" s="37" t="s">
        <v>7228</v>
      </c>
      <c r="P1538" s="37" t="s">
        <v>7229</v>
      </c>
      <c r="Q1538" s="39" t="s">
        <v>3416</v>
      </c>
      <c r="R1538" s="34" t="s">
        <v>3407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3413</v>
      </c>
      <c r="X1538" s="34" t="s">
        <v>3418</v>
      </c>
      <c r="Y1538" s="34" t="s">
        <v>3409</v>
      </c>
      <c r="Z1538" s="34">
        <v>1</v>
      </c>
      <c r="AA1538" s="34" t="s">
        <v>5692</v>
      </c>
      <c r="AB1538" s="34" t="s">
        <v>7230</v>
      </c>
      <c r="AC1538" s="34" t="s">
        <v>7231</v>
      </c>
      <c r="AD1538" s="34" t="s">
        <v>5692</v>
      </c>
      <c r="AE1538" s="34" t="s">
        <v>3610</v>
      </c>
      <c r="AF1538" s="34" t="s">
        <v>3744</v>
      </c>
      <c r="AG1538" s="34" t="s">
        <v>4306</v>
      </c>
      <c r="AH1538" s="34" t="s">
        <v>7232</v>
      </c>
      <c r="AI1538" s="34" t="s">
        <v>5393</v>
      </c>
      <c r="AJ1538" s="34" t="s">
        <v>4090</v>
      </c>
      <c r="AK1538" s="34" t="s">
        <v>5393</v>
      </c>
      <c r="AL1538" s="34" t="s">
        <v>3709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7" t="str">
        <f>IFERROR(INDEX(Структура_ассортимента[SuperCategory],MATCH(Товары[[#This Row],[SubGroup]],Структура_ассортимента[Subgroup],0)),"")</f>
        <v>O</v>
      </c>
      <c r="D153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7" t="str">
        <f>IFERROR(INDEX(Структура_ассортимента[Product group],MATCH(Товары[[#This Row],[SubGroup]],Структура_ассортимента[Subgroup],0)),"")</f>
        <v>WPU_C</v>
      </c>
      <c r="G1539" s="67" t="str">
        <f>IFERROR(INDEX(Структура_ассортимента[Product group name ENG],MATCH(Товары[[#This Row],[SubGroup]],Структура_ассортимента[Subgroup],0)),"")</f>
        <v>Watering, Pumps</v>
      </c>
      <c r="H153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3080</v>
      </c>
      <c r="O1539" s="37" t="s">
        <v>7233</v>
      </c>
      <c r="P1539" s="37" t="s">
        <v>7234</v>
      </c>
      <c r="Q1539" s="39" t="s">
        <v>3519</v>
      </c>
      <c r="R1539" s="34" t="s">
        <v>3407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3417</v>
      </c>
      <c r="X1539" s="34" t="s">
        <v>3418</v>
      </c>
      <c r="Y1539" s="34" t="s">
        <v>3409</v>
      </c>
      <c r="Z1539" s="34">
        <v>1</v>
      </c>
      <c r="AA1539" s="34" t="s">
        <v>5368</v>
      </c>
      <c r="AB1539" s="34" t="s">
        <v>5368</v>
      </c>
      <c r="AC1539" s="34" t="s">
        <v>4725</v>
      </c>
      <c r="AD1539" s="34" t="s">
        <v>4725</v>
      </c>
      <c r="AE1539" s="34" t="s">
        <v>4176</v>
      </c>
      <c r="AF1539" s="34" t="s">
        <v>5786</v>
      </c>
      <c r="AG1539" s="34" t="s">
        <v>7235</v>
      </c>
      <c r="AH1539" s="34" t="s">
        <v>7236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7" t="str">
        <f>IFERROR(INDEX(Структура_ассортимента[SuperCategory],MATCH(Товары[[#This Row],[SubGroup]],Структура_ассортимента[Subgroup],0)),"")</f>
        <v>O</v>
      </c>
      <c r="D154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7" t="str">
        <f>IFERROR(INDEX(Структура_ассортимента[Product group],MATCH(Товары[[#This Row],[SubGroup]],Структура_ассортимента[Subgroup],0)),"")</f>
        <v>WPU_C</v>
      </c>
      <c r="G1540" s="67" t="str">
        <f>IFERROR(INDEX(Структура_ассортимента[Product group name ENG],MATCH(Товары[[#This Row],[SubGroup]],Структура_ассортимента[Subgroup],0)),"")</f>
        <v>Watering, Pumps</v>
      </c>
      <c r="H154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3081</v>
      </c>
      <c r="Q1540" s="39" t="s">
        <v>3519</v>
      </c>
      <c r="R1540" s="34" t="s">
        <v>3407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3417</v>
      </c>
      <c r="X1540" s="34" t="s">
        <v>3418</v>
      </c>
      <c r="Y1540" s="34" t="s">
        <v>3409</v>
      </c>
      <c r="Z1540" s="34">
        <v>1</v>
      </c>
      <c r="AA1540" s="34" t="s">
        <v>5427</v>
      </c>
      <c r="AB1540" s="34" t="s">
        <v>5427</v>
      </c>
      <c r="AC1540" s="34" t="s">
        <v>7237</v>
      </c>
      <c r="AD1540" s="34" t="s">
        <v>7237</v>
      </c>
      <c r="AE1540" s="34" t="s">
        <v>3529</v>
      </c>
      <c r="AF1540" s="34" t="s">
        <v>4124</v>
      </c>
      <c r="AG1540" s="34" t="s">
        <v>5773</v>
      </c>
      <c r="AH1540" s="34" t="s">
        <v>7238</v>
      </c>
      <c r="AL1540" s="34">
        <v>36</v>
      </c>
      <c r="AM1540" s="34" t="s">
        <v>7962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7" t="str">
        <f>IFERROR(INDEX(Структура_ассортимента[SuperCategory],MATCH(Товары[[#This Row],[SubGroup]],Структура_ассортимента[Subgroup],0)),"")</f>
        <v>O</v>
      </c>
      <c r="D154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7" t="str">
        <f>IFERROR(INDEX(Структура_ассортимента[Product group],MATCH(Товары[[#This Row],[SubGroup]],Структура_ассортимента[Subgroup],0)),"")</f>
        <v>WPU_C</v>
      </c>
      <c r="G1541" s="67" t="str">
        <f>IFERROR(INDEX(Структура_ассортимента[Product group name ENG],MATCH(Товары[[#This Row],[SubGroup]],Структура_ассортимента[Subgroup],0)),"")</f>
        <v>Watering, Pumps</v>
      </c>
      <c r="H154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3082</v>
      </c>
      <c r="Q1541" s="39" t="s">
        <v>3519</v>
      </c>
      <c r="R1541" s="34" t="s">
        <v>3407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3410</v>
      </c>
      <c r="X1541" s="34" t="s">
        <v>3418</v>
      </c>
      <c r="Y1541" s="34" t="s">
        <v>3409</v>
      </c>
      <c r="Z1541" s="34">
        <v>1</v>
      </c>
      <c r="AA1541" s="34">
        <v>5770</v>
      </c>
      <c r="AB1541" s="34" t="s">
        <v>7239</v>
      </c>
      <c r="AC1541" s="34">
        <v>4805</v>
      </c>
      <c r="AD1541" s="34" t="s">
        <v>7240</v>
      </c>
      <c r="AE1541" s="34" t="s">
        <v>3529</v>
      </c>
      <c r="AF1541" s="34" t="s">
        <v>4124</v>
      </c>
      <c r="AG1541" s="34" t="s">
        <v>5773</v>
      </c>
      <c r="AH1541" s="34" t="s">
        <v>7238</v>
      </c>
      <c r="AL1541" s="34" t="s">
        <v>5309</v>
      </c>
      <c r="AM1541" s="34" t="s">
        <v>7962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7" t="str">
        <f>IFERROR(INDEX(Структура_ассортимента[SuperCategory],MATCH(Товары[[#This Row],[SubGroup]],Структура_ассортимента[Subgroup],0)),"")</f>
        <v>O</v>
      </c>
      <c r="D154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7" t="str">
        <f>IFERROR(INDEX(Структура_ассортимента[Product group],MATCH(Товары[[#This Row],[SubGroup]],Структура_ассортимента[Subgroup],0)),"")</f>
        <v>WPU_C</v>
      </c>
      <c r="G1542" s="67" t="str">
        <f>IFERROR(INDEX(Структура_ассортимента[Product group name ENG],MATCH(Товары[[#This Row],[SubGroup]],Структура_ассортимента[Subgroup],0)),"")</f>
        <v>Watering, Pumps</v>
      </c>
      <c r="H154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3083</v>
      </c>
      <c r="O1542" s="37" t="s">
        <v>7241</v>
      </c>
      <c r="P1542" s="37" t="s">
        <v>7242</v>
      </c>
      <c r="Q1542" s="39" t="s">
        <v>3519</v>
      </c>
      <c r="R1542" s="34" t="s">
        <v>3407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3417</v>
      </c>
      <c r="X1542" s="34" t="s">
        <v>3418</v>
      </c>
      <c r="Y1542" s="34" t="s">
        <v>3409</v>
      </c>
      <c r="Z1542" s="34">
        <v>1</v>
      </c>
      <c r="AA1542" s="34" t="s">
        <v>6795</v>
      </c>
      <c r="AB1542" s="34" t="s">
        <v>6795</v>
      </c>
      <c r="AC1542" s="34" t="s">
        <v>7243</v>
      </c>
      <c r="AD1542" s="34" t="s">
        <v>7243</v>
      </c>
      <c r="AE1542" s="34" t="s">
        <v>7244</v>
      </c>
      <c r="AF1542" s="34" t="s">
        <v>4067</v>
      </c>
      <c r="AG1542" s="34" t="s">
        <v>6581</v>
      </c>
      <c r="AH1542" s="34" t="s">
        <v>7245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7" t="str">
        <f>IFERROR(INDEX(Структура_ассортимента[SuperCategory],MATCH(Товары[[#This Row],[SubGroup]],Структура_ассортимента[Subgroup],0)),"")</f>
        <v>O</v>
      </c>
      <c r="D154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7" t="str">
        <f>IFERROR(INDEX(Структура_ассортимента[Product group],MATCH(Товары[[#This Row],[SubGroup]],Структура_ассортимента[Subgroup],0)),"")</f>
        <v>WPU_C</v>
      </c>
      <c r="G1543" s="67" t="str">
        <f>IFERROR(INDEX(Структура_ассортимента[Product group name ENG],MATCH(Товары[[#This Row],[SubGroup]],Структура_ассортимента[Subgroup],0)),"")</f>
        <v>Watering, Pumps</v>
      </c>
      <c r="H154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3084</v>
      </c>
      <c r="O1543" s="37" t="s">
        <v>7246</v>
      </c>
      <c r="P1543" s="37" t="s">
        <v>7247</v>
      </c>
      <c r="Q1543" s="39" t="s">
        <v>3519</v>
      </c>
      <c r="R1543" s="34" t="s">
        <v>3407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3417</v>
      </c>
      <c r="X1543" s="34" t="s">
        <v>3418</v>
      </c>
      <c r="Y1543" s="34" t="s">
        <v>3409</v>
      </c>
      <c r="Z1543" s="34">
        <v>1</v>
      </c>
      <c r="AA1543" s="34" t="s">
        <v>5624</v>
      </c>
      <c r="AB1543" s="34" t="s">
        <v>5624</v>
      </c>
      <c r="AC1543" s="34" t="s">
        <v>7248</v>
      </c>
      <c r="AD1543" s="34" t="s">
        <v>7248</v>
      </c>
      <c r="AE1543" s="34" t="s">
        <v>3842</v>
      </c>
      <c r="AF1543" s="34" t="s">
        <v>4124</v>
      </c>
      <c r="AG1543" s="34" t="s">
        <v>7249</v>
      </c>
      <c r="AH1543" s="34" t="s">
        <v>7250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7" t="str">
        <f>IFERROR(INDEX(Структура_ассортимента[SuperCategory],MATCH(Товары[[#This Row],[SubGroup]],Структура_ассортимента[Subgroup],0)),"")</f>
        <v>O</v>
      </c>
      <c r="D154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7" t="str">
        <f>IFERROR(INDEX(Структура_ассортимента[Product group],MATCH(Товары[[#This Row],[SubGroup]],Структура_ассортимента[Subgroup],0)),"")</f>
        <v>WPU_C</v>
      </c>
      <c r="G1544" s="67" t="str">
        <f>IFERROR(INDEX(Структура_ассортимента[Product group name ENG],MATCH(Товары[[#This Row],[SubGroup]],Структура_ассортимента[Subgroup],0)),"")</f>
        <v>Watering, Pumps</v>
      </c>
      <c r="H154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3085</v>
      </c>
      <c r="O1544" s="37" t="s">
        <v>7251</v>
      </c>
      <c r="P1544" s="37" t="s">
        <v>7252</v>
      </c>
      <c r="Q1544" s="39" t="s">
        <v>3519</v>
      </c>
      <c r="R1544" s="34" t="s">
        <v>3407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3417</v>
      </c>
      <c r="X1544" s="34" t="s">
        <v>3418</v>
      </c>
      <c r="Y1544" s="34" t="s">
        <v>3409</v>
      </c>
      <c r="Z1544" s="34">
        <v>1</v>
      </c>
      <c r="AA1544" s="34" t="s">
        <v>6140</v>
      </c>
      <c r="AB1544" s="34" t="s">
        <v>6140</v>
      </c>
      <c r="AC1544" s="34" t="s">
        <v>7253</v>
      </c>
      <c r="AD1544" s="34" t="s">
        <v>7253</v>
      </c>
      <c r="AE1544" s="34" t="s">
        <v>3854</v>
      </c>
      <c r="AF1544" s="34" t="s">
        <v>4072</v>
      </c>
      <c r="AG1544" s="34" t="s">
        <v>6673</v>
      </c>
      <c r="AH1544" s="34" t="s">
        <v>7254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7" t="str">
        <f>IFERROR(INDEX(Структура_ассортимента[SuperCategory],MATCH(Товары[[#This Row],[SubGroup]],Структура_ассортимента[Subgroup],0)),"")</f>
        <v>O</v>
      </c>
      <c r="D154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7" t="str">
        <f>IFERROR(INDEX(Структура_ассортимента[Product group],MATCH(Товары[[#This Row],[SubGroup]],Структура_ассортимента[Subgroup],0)),"")</f>
        <v>WPU_C</v>
      </c>
      <c r="G1545" s="67" t="str">
        <f>IFERROR(INDEX(Структура_ассортимента[Product group name ENG],MATCH(Товары[[#This Row],[SubGroup]],Структура_ассортимента[Subgroup],0)),"")</f>
        <v>Watering, Pumps</v>
      </c>
      <c r="H154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3086</v>
      </c>
      <c r="O1545" s="37" t="s">
        <v>7255</v>
      </c>
      <c r="P1545" s="37" t="s">
        <v>7256</v>
      </c>
      <c r="Q1545" s="39" t="s">
        <v>3519</v>
      </c>
      <c r="R1545" s="34" t="s">
        <v>3407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3417</v>
      </c>
      <c r="X1545" s="34" t="s">
        <v>3418</v>
      </c>
      <c r="Y1545" s="34" t="s">
        <v>3409</v>
      </c>
      <c r="Z1545" s="34">
        <v>1</v>
      </c>
      <c r="AA1545" s="34" t="s">
        <v>7257</v>
      </c>
      <c r="AB1545" s="34" t="s">
        <v>7257</v>
      </c>
      <c r="AC1545" s="34" t="s">
        <v>7258</v>
      </c>
      <c r="AD1545" s="34" t="s">
        <v>7258</v>
      </c>
      <c r="AE1545" s="34" t="s">
        <v>5987</v>
      </c>
      <c r="AF1545" s="34" t="s">
        <v>3620</v>
      </c>
      <c r="AG1545" s="34" t="s">
        <v>3490</v>
      </c>
      <c r="AH1545" s="34" t="s">
        <v>7259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7" t="str">
        <f>IFERROR(INDEX(Структура_ассортимента[SuperCategory],MATCH(Товары[[#This Row],[SubGroup]],Структура_ассортимента[Subgroup],0)),"")</f>
        <v>O</v>
      </c>
      <c r="D154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7" t="str">
        <f>IFERROR(INDEX(Структура_ассортимента[Product group],MATCH(Товары[[#This Row],[SubGroup]],Структура_ассортимента[Subgroup],0)),"")</f>
        <v>WPU_C</v>
      </c>
      <c r="G1546" s="67" t="str">
        <f>IFERROR(INDEX(Структура_ассортимента[Product group name ENG],MATCH(Товары[[#This Row],[SubGroup]],Структура_ассортимента[Subgroup],0)),"")</f>
        <v>Watering, Pumps</v>
      </c>
      <c r="H154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3087</v>
      </c>
      <c r="O1546" s="37" t="s">
        <v>7260</v>
      </c>
      <c r="P1546" s="37" t="s">
        <v>7261</v>
      </c>
      <c r="Q1546" s="39" t="s">
        <v>3519</v>
      </c>
      <c r="R1546" s="34" t="s">
        <v>3407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3417</v>
      </c>
      <c r="X1546" s="34" t="s">
        <v>3418</v>
      </c>
      <c r="Y1546" s="34" t="s">
        <v>3409</v>
      </c>
      <c r="Z1546" s="34">
        <v>1</v>
      </c>
      <c r="AA1546" s="34" t="s">
        <v>6795</v>
      </c>
      <c r="AB1546" s="34" t="s">
        <v>6795</v>
      </c>
      <c r="AC1546" s="34" t="s">
        <v>7262</v>
      </c>
      <c r="AD1546" s="34" t="s">
        <v>7262</v>
      </c>
      <c r="AE1546" s="34" t="s">
        <v>5987</v>
      </c>
      <c r="AF1546" s="34" t="s">
        <v>3620</v>
      </c>
      <c r="AG1546" s="34" t="s">
        <v>6622</v>
      </c>
      <c r="AH1546" s="34" t="s">
        <v>7263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7" t="str">
        <f>IFERROR(INDEX(Структура_ассортимента[SuperCategory],MATCH(Товары[[#This Row],[SubGroup]],Структура_ассортимента[Subgroup],0)),"")</f>
        <v>O</v>
      </c>
      <c r="D154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7" t="str">
        <f>IFERROR(INDEX(Структура_ассортимента[Product group],MATCH(Товары[[#This Row],[SubGroup]],Структура_ассортимента[Subgroup],0)),"")</f>
        <v>WPU_C</v>
      </c>
      <c r="G1547" s="67" t="str">
        <f>IFERROR(INDEX(Структура_ассортимента[Product group name ENG],MATCH(Товары[[#This Row],[SubGroup]],Структура_ассортимента[Subgroup],0)),"")</f>
        <v>Watering, Pumps</v>
      </c>
      <c r="H154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3088</v>
      </c>
      <c r="O1547" s="37" t="s">
        <v>7264</v>
      </c>
      <c r="P1547" s="37" t="s">
        <v>7265</v>
      </c>
      <c r="Q1547" s="39" t="s">
        <v>3519</v>
      </c>
      <c r="R1547" s="34" t="s">
        <v>3407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3417</v>
      </c>
      <c r="X1547" s="34" t="s">
        <v>3418</v>
      </c>
      <c r="Y1547" s="34" t="s">
        <v>3409</v>
      </c>
      <c r="Z1547" s="34">
        <v>1</v>
      </c>
      <c r="AA1547" s="34" t="s">
        <v>5624</v>
      </c>
      <c r="AB1547" s="34" t="s">
        <v>5624</v>
      </c>
      <c r="AC1547" s="34" t="s">
        <v>6825</v>
      </c>
      <c r="AD1547" s="34" t="s">
        <v>6825</v>
      </c>
      <c r="AE1547" s="34" t="s">
        <v>4070</v>
      </c>
      <c r="AF1547" s="34" t="s">
        <v>3610</v>
      </c>
      <c r="AG1547" s="34" t="s">
        <v>4208</v>
      </c>
      <c r="AH1547" s="34" t="s">
        <v>7266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7" t="str">
        <f>IFERROR(INDEX(Структура_ассортимента[SuperCategory],MATCH(Товары[[#This Row],[SubGroup]],Структура_ассортимента[Subgroup],0)),"")</f>
        <v>O</v>
      </c>
      <c r="D154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7" t="str">
        <f>IFERROR(INDEX(Структура_ассортимента[Product group],MATCH(Товары[[#This Row],[SubGroup]],Структура_ассортимента[Subgroup],0)),"")</f>
        <v>WPU_C</v>
      </c>
      <c r="G1548" s="67" t="str">
        <f>IFERROR(INDEX(Структура_ассортимента[Product group name ENG],MATCH(Товары[[#This Row],[SubGroup]],Структура_ассортимента[Subgroup],0)),"")</f>
        <v>Watering, Pumps</v>
      </c>
      <c r="H154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3089</v>
      </c>
      <c r="O1548" s="37" t="s">
        <v>7267</v>
      </c>
      <c r="P1548" s="37" t="s">
        <v>7268</v>
      </c>
      <c r="Q1548" s="39" t="s">
        <v>3416</v>
      </c>
      <c r="R1548" s="34" t="s">
        <v>3407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3413</v>
      </c>
      <c r="X1548" s="34" t="s">
        <v>3418</v>
      </c>
      <c r="Y1548" s="34" t="s">
        <v>3409</v>
      </c>
      <c r="Z1548" s="34">
        <v>4</v>
      </c>
      <c r="AA1548" s="34" t="s">
        <v>5303</v>
      </c>
      <c r="AB1548" s="34" t="s">
        <v>7269</v>
      </c>
      <c r="AC1548" s="34" t="s">
        <v>6077</v>
      </c>
      <c r="AD1548" s="34" t="s">
        <v>7270</v>
      </c>
      <c r="AE1548" s="34" t="s">
        <v>5786</v>
      </c>
      <c r="AF1548" s="34" t="s">
        <v>3835</v>
      </c>
      <c r="AG1548" s="34" t="s">
        <v>5773</v>
      </c>
      <c r="AH1548" s="34" t="s">
        <v>7271</v>
      </c>
      <c r="AI1548" s="34" t="s">
        <v>7272</v>
      </c>
      <c r="AJ1548" s="34" t="s">
        <v>7273</v>
      </c>
      <c r="AK1548" s="34" t="s">
        <v>5393</v>
      </c>
      <c r="AL1548" s="34" t="s">
        <v>6603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7" t="str">
        <f>IFERROR(INDEX(Структура_ассортимента[SuperCategory],MATCH(Товары[[#This Row],[SubGroup]],Структура_ассортимента[Subgroup],0)),"")</f>
        <v>O</v>
      </c>
      <c r="D154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7" t="str">
        <f>IFERROR(INDEX(Структура_ассортимента[Product group],MATCH(Товары[[#This Row],[SubGroup]],Структура_ассортимента[Subgroup],0)),"")</f>
        <v>WPU_C</v>
      </c>
      <c r="G1549" s="67" t="str">
        <f>IFERROR(INDEX(Структура_ассортимента[Product group name ENG],MATCH(Товары[[#This Row],[SubGroup]],Структура_ассортимента[Subgroup],0)),"")</f>
        <v>Watering, Pumps</v>
      </c>
      <c r="H154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3090</v>
      </c>
      <c r="O1549" s="37" t="s">
        <v>7274</v>
      </c>
      <c r="P1549" s="37" t="s">
        <v>7275</v>
      </c>
      <c r="Q1549" s="39" t="s">
        <v>3416</v>
      </c>
      <c r="R1549" s="34" t="s">
        <v>3407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3413</v>
      </c>
      <c r="X1549" s="34" t="s">
        <v>3418</v>
      </c>
      <c r="Y1549" s="34" t="s">
        <v>3409</v>
      </c>
      <c r="Z1549" s="34">
        <v>4</v>
      </c>
      <c r="AA1549" s="34" t="s">
        <v>5303</v>
      </c>
      <c r="AB1549" s="34" t="s">
        <v>7276</v>
      </c>
      <c r="AC1549" s="34" t="s">
        <v>6077</v>
      </c>
      <c r="AD1549" s="34" t="s">
        <v>7277</v>
      </c>
      <c r="AE1549" s="34" t="s">
        <v>5786</v>
      </c>
      <c r="AF1549" s="34" t="s">
        <v>3835</v>
      </c>
      <c r="AG1549" s="34" t="s">
        <v>5773</v>
      </c>
      <c r="AH1549" s="34" t="s">
        <v>7271</v>
      </c>
      <c r="AI1549" s="34" t="s">
        <v>7272</v>
      </c>
      <c r="AJ1549" s="34" t="s">
        <v>7273</v>
      </c>
      <c r="AK1549" s="34" t="s">
        <v>5393</v>
      </c>
      <c r="AL1549" s="34" t="s">
        <v>6603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7" t="str">
        <f>IFERROR(INDEX(Структура_ассортимента[SuperCategory],MATCH(Товары[[#This Row],[SubGroup]],Структура_ассортимента[Subgroup],0)),"")</f>
        <v>O</v>
      </c>
      <c r="D155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7" t="str">
        <f>IFERROR(INDEX(Структура_ассортимента[Product group],MATCH(Товары[[#This Row],[SubGroup]],Структура_ассортимента[Subgroup],0)),"")</f>
        <v>WPU_C</v>
      </c>
      <c r="G1550" s="67" t="str">
        <f>IFERROR(INDEX(Структура_ассортимента[Product group name ENG],MATCH(Товары[[#This Row],[SubGroup]],Структура_ассортимента[Subgroup],0)),"")</f>
        <v>Watering, Pumps</v>
      </c>
      <c r="H155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3091</v>
      </c>
      <c r="O1550" s="37" t="s">
        <v>7278</v>
      </c>
      <c r="P1550" s="37" t="s">
        <v>7279</v>
      </c>
      <c r="Q1550" s="39" t="s">
        <v>3416</v>
      </c>
      <c r="R1550" s="34" t="s">
        <v>3407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3413</v>
      </c>
      <c r="X1550" s="34" t="s">
        <v>3418</v>
      </c>
      <c r="Y1550" s="34" t="s">
        <v>3409</v>
      </c>
      <c r="Z1550" s="34">
        <v>4</v>
      </c>
      <c r="AA1550" s="34" t="s">
        <v>5303</v>
      </c>
      <c r="AB1550" s="34" t="s">
        <v>7280</v>
      </c>
      <c r="AC1550" s="34" t="s">
        <v>6077</v>
      </c>
      <c r="AD1550" s="34" t="s">
        <v>7281</v>
      </c>
      <c r="AE1550" s="34" t="s">
        <v>5786</v>
      </c>
      <c r="AF1550" s="34" t="s">
        <v>3835</v>
      </c>
      <c r="AG1550" s="34" t="s">
        <v>5884</v>
      </c>
      <c r="AH1550" s="34" t="s">
        <v>7282</v>
      </c>
      <c r="AI1550" s="34" t="s">
        <v>7272</v>
      </c>
      <c r="AJ1550" s="34" t="s">
        <v>6563</v>
      </c>
      <c r="AK1550" s="34" t="s">
        <v>3761</v>
      </c>
      <c r="AL1550" s="34" t="s">
        <v>4081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7" t="str">
        <f>IFERROR(INDEX(Структура_ассортимента[SuperCategory],MATCH(Товары[[#This Row],[SubGroup]],Структура_ассортимента[Subgroup],0)),"")</f>
        <v>O</v>
      </c>
      <c r="D155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7" t="str">
        <f>IFERROR(INDEX(Структура_ассортимента[Product group],MATCH(Товары[[#This Row],[SubGroup]],Структура_ассортимента[Subgroup],0)),"")</f>
        <v>WPU_C</v>
      </c>
      <c r="G1551" s="67" t="str">
        <f>IFERROR(INDEX(Структура_ассортимента[Product group name ENG],MATCH(Товары[[#This Row],[SubGroup]],Структура_ассортимента[Subgroup],0)),"")</f>
        <v>Watering, Pumps</v>
      </c>
      <c r="H155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3092</v>
      </c>
      <c r="O1551" s="37" t="s">
        <v>7283</v>
      </c>
      <c r="P1551" s="37" t="s">
        <v>7284</v>
      </c>
      <c r="Q1551" s="39" t="s">
        <v>3416</v>
      </c>
      <c r="R1551" s="34" t="s">
        <v>3407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3413</v>
      </c>
      <c r="X1551" s="34" t="s">
        <v>3418</v>
      </c>
      <c r="Y1551" s="34" t="s">
        <v>3409</v>
      </c>
      <c r="Z1551" s="34">
        <v>4</v>
      </c>
      <c r="AA1551" s="34" t="s">
        <v>5303</v>
      </c>
      <c r="AB1551" s="34" t="s">
        <v>7285</v>
      </c>
      <c r="AC1551" s="34" t="s">
        <v>6077</v>
      </c>
      <c r="AD1551" s="34" t="s">
        <v>7286</v>
      </c>
      <c r="AE1551" s="34" t="s">
        <v>5786</v>
      </c>
      <c r="AF1551" s="34" t="s">
        <v>3835</v>
      </c>
      <c r="AG1551" s="34" t="s">
        <v>5884</v>
      </c>
      <c r="AH1551" s="34" t="s">
        <v>7282</v>
      </c>
      <c r="AI1551" s="34" t="s">
        <v>7272</v>
      </c>
      <c r="AJ1551" s="34" t="s">
        <v>6563</v>
      </c>
      <c r="AK1551" s="34" t="s">
        <v>3761</v>
      </c>
      <c r="AL1551" s="34" t="s">
        <v>4081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7" t="str">
        <f>IFERROR(INDEX(Структура_ассортимента[SuperCategory],MATCH(Товары[[#This Row],[SubGroup]],Структура_ассортимента[Subgroup],0)),"")</f>
        <v>O</v>
      </c>
      <c r="D155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7" t="str">
        <f>IFERROR(INDEX(Структура_ассортимента[Product group],MATCH(Товары[[#This Row],[SubGroup]],Структура_ассортимента[Subgroup],0)),"")</f>
        <v>WPU_C</v>
      </c>
      <c r="G1552" s="67" t="str">
        <f>IFERROR(INDEX(Структура_ассортимента[Product group name ENG],MATCH(Товары[[#This Row],[SubGroup]],Структура_ассортимента[Subgroup],0)),"")</f>
        <v>Watering, Pumps</v>
      </c>
      <c r="H1552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3093</v>
      </c>
      <c r="O1552" s="37" t="s">
        <v>7287</v>
      </c>
      <c r="P1552" s="37" t="s">
        <v>7288</v>
      </c>
      <c r="Q1552" s="39" t="s">
        <v>3416</v>
      </c>
      <c r="R1552" s="34" t="s">
        <v>3407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3413</v>
      </c>
      <c r="X1552" s="34" t="s">
        <v>3418</v>
      </c>
      <c r="Y1552" s="34" t="s">
        <v>3409</v>
      </c>
      <c r="Z1552" s="34">
        <v>1</v>
      </c>
      <c r="AA1552" s="34" t="s">
        <v>7289</v>
      </c>
      <c r="AB1552" s="34" t="s">
        <v>7290</v>
      </c>
      <c r="AC1552" s="34" t="s">
        <v>7291</v>
      </c>
      <c r="AD1552" s="34" t="s">
        <v>7292</v>
      </c>
      <c r="AE1552" s="34" t="s">
        <v>4294</v>
      </c>
      <c r="AF1552" s="34" t="s">
        <v>3854</v>
      </c>
      <c r="AG1552" s="34" t="s">
        <v>4176</v>
      </c>
      <c r="AH1552" s="34" t="s">
        <v>7293</v>
      </c>
      <c r="AI1552" s="34" t="s">
        <v>4077</v>
      </c>
      <c r="AJ1552" s="34" t="s">
        <v>4067</v>
      </c>
      <c r="AK1552" s="34" t="s">
        <v>4325</v>
      </c>
      <c r="AL1552" s="34" t="s">
        <v>4380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7" t="str">
        <f>IFERROR(INDEX(Структура_ассортимента[SuperCategory],MATCH(Товары[[#This Row],[SubGroup]],Структура_ассортимента[Subgroup],0)),"")</f>
        <v>O</v>
      </c>
      <c r="D155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7" t="str">
        <f>IFERROR(INDEX(Структура_ассортимента[Product group],MATCH(Товары[[#This Row],[SubGroup]],Структура_ассортимента[Subgroup],0)),"")</f>
        <v>WPU_C</v>
      </c>
      <c r="G1553" s="67" t="str">
        <f>IFERROR(INDEX(Структура_ассортимента[Product group name ENG],MATCH(Товары[[#This Row],[SubGroup]],Структура_ассортимента[Subgroup],0)),"")</f>
        <v>Watering, Pumps</v>
      </c>
      <c r="H1553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3094</v>
      </c>
      <c r="O1553" s="37" t="s">
        <v>7294</v>
      </c>
      <c r="P1553" s="37" t="s">
        <v>7295</v>
      </c>
      <c r="Q1553" s="39" t="s">
        <v>3416</v>
      </c>
      <c r="R1553" s="34" t="s">
        <v>3407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3413</v>
      </c>
      <c r="X1553" s="34" t="s">
        <v>3418</v>
      </c>
      <c r="Y1553" s="34" t="s">
        <v>3409</v>
      </c>
      <c r="Z1553" s="34">
        <v>1</v>
      </c>
      <c r="AA1553" s="34" t="s">
        <v>7296</v>
      </c>
      <c r="AC1553" s="34" t="s">
        <v>7297</v>
      </c>
      <c r="AE1553" s="34" t="s">
        <v>4069</v>
      </c>
      <c r="AF1553" s="34" t="s">
        <v>4449</v>
      </c>
      <c r="AG1553" s="34" t="s">
        <v>4176</v>
      </c>
      <c r="AH1553" s="34" t="s">
        <v>7298</v>
      </c>
      <c r="AI1553" s="34" t="s">
        <v>4077</v>
      </c>
      <c r="AJ1553" s="34" t="s">
        <v>4067</v>
      </c>
      <c r="AK1553" s="34" t="s">
        <v>4325</v>
      </c>
      <c r="AL1553" s="34" t="s">
        <v>3484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7" t="str">
        <f>IFERROR(INDEX(Структура_ассортимента[SuperCategory],MATCH(Товары[[#This Row],[SubGroup]],Структура_ассортимента[Subgroup],0)),"")</f>
        <v>O</v>
      </c>
      <c r="D155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7" t="str">
        <f>IFERROR(INDEX(Структура_ассортимента[Product group],MATCH(Товары[[#This Row],[SubGroup]],Структура_ассортимента[Subgroup],0)),"")</f>
        <v>WPU_C</v>
      </c>
      <c r="G1554" s="67" t="str">
        <f>IFERROR(INDEX(Структура_ассортимента[Product group name ENG],MATCH(Товары[[#This Row],[SubGroup]],Структура_ассортимента[Subgroup],0)),"")</f>
        <v>Watering, Pumps</v>
      </c>
      <c r="H1554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3095</v>
      </c>
      <c r="O1554" s="37" t="s">
        <v>7299</v>
      </c>
      <c r="P1554" s="37" t="s">
        <v>7300</v>
      </c>
      <c r="Q1554" s="39" t="s">
        <v>3416</v>
      </c>
      <c r="R1554" s="34" t="s">
        <v>3407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3413</v>
      </c>
      <c r="X1554" s="34" t="s">
        <v>3418</v>
      </c>
      <c r="Y1554" s="34" t="s">
        <v>3409</v>
      </c>
      <c r="Z1554" s="34">
        <v>1</v>
      </c>
      <c r="AA1554" s="34" t="s">
        <v>6761</v>
      </c>
      <c r="AB1554" s="34" t="s">
        <v>7301</v>
      </c>
      <c r="AC1554" s="34" t="s">
        <v>5588</v>
      </c>
      <c r="AD1554" s="34" t="s">
        <v>7302</v>
      </c>
      <c r="AE1554" s="34" t="s">
        <v>3589</v>
      </c>
      <c r="AF1554" s="34" t="s">
        <v>7303</v>
      </c>
      <c r="AG1554" s="34" t="s">
        <v>4176</v>
      </c>
      <c r="AH1554" s="34" t="s">
        <v>7304</v>
      </c>
      <c r="AI1554" s="34" t="s">
        <v>5595</v>
      </c>
      <c r="AJ1554" s="34" t="s">
        <v>7305</v>
      </c>
      <c r="AK1554" s="34" t="s">
        <v>4325</v>
      </c>
      <c r="AL1554" s="34" t="s">
        <v>4380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7" t="str">
        <f>IFERROR(INDEX(Структура_ассортимента[SuperCategory],MATCH(Товары[[#This Row],[SubGroup]],Структура_ассортимента[Subgroup],0)),"")</f>
        <v>O</v>
      </c>
      <c r="D155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7" t="str">
        <f>IFERROR(INDEX(Структура_ассортимента[Product group],MATCH(Товары[[#This Row],[SubGroup]],Структура_ассортимента[Subgroup],0)),"")</f>
        <v>WPU_C</v>
      </c>
      <c r="G1555" s="67" t="str">
        <f>IFERROR(INDEX(Структура_ассортимента[Product group name ENG],MATCH(Товары[[#This Row],[SubGroup]],Структура_ассортимента[Subgroup],0)),"")</f>
        <v>Watering, Pumps</v>
      </c>
      <c r="H1555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3096</v>
      </c>
      <c r="O1555" s="37" t="s">
        <v>7306</v>
      </c>
      <c r="P1555" s="37" t="s">
        <v>7307</v>
      </c>
      <c r="Q1555" s="39" t="s">
        <v>3416</v>
      </c>
      <c r="R1555" s="34" t="s">
        <v>3407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3413</v>
      </c>
      <c r="X1555" s="34" t="s">
        <v>3418</v>
      </c>
      <c r="Y1555" s="34" t="s">
        <v>3409</v>
      </c>
      <c r="Z1555" s="34">
        <v>1</v>
      </c>
      <c r="AA1555" s="34" t="s">
        <v>7308</v>
      </c>
      <c r="AB1555" s="34" t="s">
        <v>7309</v>
      </c>
      <c r="AC1555" s="34" t="s">
        <v>7310</v>
      </c>
      <c r="AD1555" s="34" t="s">
        <v>7311</v>
      </c>
      <c r="AE1555" s="34" t="s">
        <v>4287</v>
      </c>
      <c r="AF1555" s="34" t="s">
        <v>4297</v>
      </c>
      <c r="AG1555" s="34" t="s">
        <v>4260</v>
      </c>
      <c r="AH1555" s="34" t="s">
        <v>7312</v>
      </c>
      <c r="AI1555" s="34" t="s">
        <v>7313</v>
      </c>
      <c r="AJ1555" s="34" t="s">
        <v>4707</v>
      </c>
      <c r="AK1555" s="34" t="s">
        <v>4062</v>
      </c>
      <c r="AL1555" s="34" t="s">
        <v>3886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7" t="str">
        <f>IFERROR(INDEX(Структура_ассортимента[SuperCategory],MATCH(Товары[[#This Row],[SubGroup]],Структура_ассортимента[Subgroup],0)),"")</f>
        <v>O</v>
      </c>
      <c r="D155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7" t="str">
        <f>IFERROR(INDEX(Структура_ассортимента[Product group],MATCH(Товары[[#This Row],[SubGroup]],Структура_ассортимента[Subgroup],0)),"")</f>
        <v>WPU_C</v>
      </c>
      <c r="G1556" s="67" t="str">
        <f>IFERROR(INDEX(Структура_ассортимента[Product group name ENG],MATCH(Товары[[#This Row],[SubGroup]],Структура_ассортимента[Subgroup],0)),"")</f>
        <v>Watering, Pumps</v>
      </c>
      <c r="H1556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3097</v>
      </c>
      <c r="O1556" s="37" t="s">
        <v>7314</v>
      </c>
      <c r="P1556" s="37" t="s">
        <v>7315</v>
      </c>
      <c r="Q1556" s="39" t="s">
        <v>3416</v>
      </c>
      <c r="R1556" s="34" t="s">
        <v>3407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3413</v>
      </c>
      <c r="X1556" s="34" t="s">
        <v>3418</v>
      </c>
      <c r="Y1556" s="34" t="s">
        <v>3409</v>
      </c>
      <c r="Z1556" s="34">
        <v>1</v>
      </c>
      <c r="AA1556" s="34" t="s">
        <v>5677</v>
      </c>
      <c r="AB1556" s="34" t="s">
        <v>7316</v>
      </c>
      <c r="AC1556" s="34" t="s">
        <v>7317</v>
      </c>
      <c r="AD1556" s="34" t="s">
        <v>7318</v>
      </c>
      <c r="AE1556" s="34" t="s">
        <v>4287</v>
      </c>
      <c r="AF1556" s="34" t="s">
        <v>4297</v>
      </c>
      <c r="AG1556" s="34" t="s">
        <v>4260</v>
      </c>
      <c r="AH1556" s="34" t="s">
        <v>7312</v>
      </c>
      <c r="AI1556" s="34" t="s">
        <v>7313</v>
      </c>
      <c r="AJ1556" s="34" t="s">
        <v>7319</v>
      </c>
      <c r="AK1556" s="34" t="s">
        <v>4062</v>
      </c>
      <c r="AL1556" s="34" t="s">
        <v>3886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7" t="str">
        <f>IFERROR(INDEX(Структура_ассортимента[SuperCategory],MATCH(Товары[[#This Row],[SubGroup]],Структура_ассортимента[Subgroup],0)),"")</f>
        <v>O</v>
      </c>
      <c r="D155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7" t="str">
        <f>IFERROR(INDEX(Структура_ассортимента[Product group],MATCH(Товары[[#This Row],[SubGroup]],Структура_ассортимента[Subgroup],0)),"")</f>
        <v>WPU_C</v>
      </c>
      <c r="G1557" s="67" t="str">
        <f>IFERROR(INDEX(Структура_ассортимента[Product group name ENG],MATCH(Товары[[#This Row],[SubGroup]],Структура_ассортимента[Subgroup],0)),"")</f>
        <v>Watering, Pumps</v>
      </c>
      <c r="H155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3098</v>
      </c>
      <c r="O1557" s="37" t="s">
        <v>7320</v>
      </c>
      <c r="P1557" s="37" t="s">
        <v>7321</v>
      </c>
      <c r="Q1557" s="39" t="s">
        <v>3416</v>
      </c>
      <c r="R1557" s="34" t="s">
        <v>3407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3413</v>
      </c>
      <c r="X1557" s="34" t="s">
        <v>3418</v>
      </c>
      <c r="Y1557" s="34" t="s">
        <v>3409</v>
      </c>
      <c r="Z1557" s="34">
        <v>1</v>
      </c>
      <c r="AA1557" s="34" t="s">
        <v>7322</v>
      </c>
      <c r="AB1557" s="34" t="s">
        <v>7323</v>
      </c>
      <c r="AC1557" s="34" t="s">
        <v>7324</v>
      </c>
      <c r="AD1557" s="34" t="s">
        <v>5601</v>
      </c>
      <c r="AE1557" s="34" t="s">
        <v>6477</v>
      </c>
      <c r="AF1557" s="34" t="s">
        <v>3805</v>
      </c>
      <c r="AG1557" s="34" t="s">
        <v>4538</v>
      </c>
      <c r="AH1557" s="34" t="s">
        <v>7325</v>
      </c>
      <c r="AI1557" s="34" t="s">
        <v>5393</v>
      </c>
      <c r="AJ1557" s="34" t="s">
        <v>6748</v>
      </c>
      <c r="AK1557" s="34" t="s">
        <v>5393</v>
      </c>
      <c r="AL1557" s="34" t="s">
        <v>7326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7" t="str">
        <f>IFERROR(INDEX(Структура_ассортимента[SuperCategory],MATCH(Товары[[#This Row],[SubGroup]],Структура_ассортимента[Subgroup],0)),"")</f>
        <v>O</v>
      </c>
      <c r="D155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7" t="str">
        <f>IFERROR(INDEX(Структура_ассортимента[Product group],MATCH(Товары[[#This Row],[SubGroup]],Структура_ассортимента[Subgroup],0)),"")</f>
        <v>WPU_C</v>
      </c>
      <c r="G1558" s="67" t="str">
        <f>IFERROR(INDEX(Структура_ассортимента[Product group name ENG],MATCH(Товары[[#This Row],[SubGroup]],Структура_ассортимента[Subgroup],0)),"")</f>
        <v>Watering, Pumps</v>
      </c>
      <c r="H1558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3099</v>
      </c>
      <c r="O1558" s="37" t="s">
        <v>7327</v>
      </c>
      <c r="P1558" s="37" t="s">
        <v>7328</v>
      </c>
      <c r="Q1558" s="39" t="s">
        <v>3416</v>
      </c>
      <c r="R1558" s="34" t="s">
        <v>3407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3413</v>
      </c>
      <c r="Y1558" s="34" t="s">
        <v>5848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7" t="str">
        <f>IFERROR(INDEX(Структура_ассортимента[SuperCategory],MATCH(Товары[[#This Row],[SubGroup]],Структура_ассортимента[Subgroup],0)),"")</f>
        <v>O</v>
      </c>
      <c r="D155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7" t="str">
        <f>IFERROR(INDEX(Структура_ассортимента[Product group],MATCH(Товары[[#This Row],[SubGroup]],Структура_ассортимента[Subgroup],0)),"")</f>
        <v>WPU_C</v>
      </c>
      <c r="G1559" s="67" t="str">
        <f>IFERROR(INDEX(Структура_ассортимента[Product group name ENG],MATCH(Товары[[#This Row],[SubGroup]],Структура_ассортимента[Subgroup],0)),"")</f>
        <v>Watering, Pumps</v>
      </c>
      <c r="H1559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3100</v>
      </c>
      <c r="O1559" s="37" t="s">
        <v>7329</v>
      </c>
      <c r="P1559" s="37" t="s">
        <v>7330</v>
      </c>
      <c r="Q1559" s="39" t="s">
        <v>3416</v>
      </c>
      <c r="R1559" s="34" t="s">
        <v>3407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3413</v>
      </c>
      <c r="Y1559" s="34" t="s">
        <v>5848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7" t="str">
        <f>IFERROR(INDEX(Структура_ассортимента[SuperCategory],MATCH(Товары[[#This Row],[SubGroup]],Структура_ассортимента[Subgroup],0)),"")</f>
        <v>O</v>
      </c>
      <c r="D156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7" t="str">
        <f>IFERROR(INDEX(Структура_ассортимента[Product group],MATCH(Товары[[#This Row],[SubGroup]],Структура_ассортимента[Subgroup],0)),"")</f>
        <v>WPU_C</v>
      </c>
      <c r="G1560" s="67" t="str">
        <f>IFERROR(INDEX(Структура_ассортимента[Product group name ENG],MATCH(Товары[[#This Row],[SubGroup]],Структура_ассортимента[Subgroup],0)),"")</f>
        <v>Watering, Pumps</v>
      </c>
      <c r="H1560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3101</v>
      </c>
      <c r="O1560" s="37" t="s">
        <v>7331</v>
      </c>
      <c r="P1560" s="37" t="s">
        <v>7332</v>
      </c>
      <c r="Q1560" s="39" t="s">
        <v>3416</v>
      </c>
      <c r="R1560" s="34" t="s">
        <v>3407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3413</v>
      </c>
      <c r="Y1560" s="34" t="s">
        <v>5848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7" t="str">
        <f>IFERROR(INDEX(Структура_ассортимента[SuperCategory],MATCH(Товары[[#This Row],[SubGroup]],Структура_ассортимента[Subgroup],0)),"")</f>
        <v>O</v>
      </c>
      <c r="D156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7" t="str">
        <f>IFERROR(INDEX(Структура_ассортимента[Product group],MATCH(Товары[[#This Row],[SubGroup]],Структура_ассортимента[Subgroup],0)),"")</f>
        <v>WPU_C</v>
      </c>
      <c r="G1561" s="67" t="str">
        <f>IFERROR(INDEX(Структура_ассортимента[Product group name ENG],MATCH(Товары[[#This Row],[SubGroup]],Структура_ассортимента[Subgroup],0)),"")</f>
        <v>Watering, Pumps</v>
      </c>
      <c r="H1561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3102</v>
      </c>
      <c r="O1561" s="37" t="s">
        <v>7333</v>
      </c>
      <c r="P1561" s="37" t="s">
        <v>7334</v>
      </c>
      <c r="Q1561" s="39" t="s">
        <v>3416</v>
      </c>
      <c r="R1561" s="34" t="s">
        <v>3407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3413</v>
      </c>
      <c r="Y1561" s="34" t="s">
        <v>5848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7" t="str">
        <f>IFERROR(INDEX(Структура_ассортимента[SuperCategory],MATCH(Товары[[#This Row],[SubGroup]],Структура_ассортимента[Subgroup],0)),"")</f>
        <v>O</v>
      </c>
      <c r="D156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7" t="str">
        <f>IFERROR(INDEX(Структура_ассортимента[Product group],MATCH(Товары[[#This Row],[SubGroup]],Структура_ассортимента[Subgroup],0)),"")</f>
        <v>WPU_C</v>
      </c>
      <c r="G1562" s="67" t="str">
        <f>IFERROR(INDEX(Структура_ассортимента[Product group name ENG],MATCH(Товары[[#This Row],[SubGroup]],Структура_ассортимента[Subgroup],0)),"")</f>
        <v>Watering, Pumps</v>
      </c>
      <c r="H1562" s="67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3103</v>
      </c>
      <c r="O1562" s="37" t="s">
        <v>7335</v>
      </c>
      <c r="P1562" s="37" t="s">
        <v>7336</v>
      </c>
      <c r="Q1562" s="39" t="s">
        <v>3416</v>
      </c>
      <c r="R1562" s="34" t="s">
        <v>3407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3413</v>
      </c>
      <c r="Y1562" s="34" t="s">
        <v>3409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7" t="str">
        <f>IFERROR(INDEX(Структура_ассортимента[SuperCategory],MATCH(Товары[[#This Row],[SubGroup]],Структура_ассортимента[Subgroup],0)),"")</f>
        <v>O</v>
      </c>
      <c r="D156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7" t="str">
        <f>IFERROR(INDEX(Структура_ассортимента[Product group],MATCH(Товары[[#This Row],[SubGroup]],Структура_ассортимента[Subgroup],0)),"")</f>
        <v>WPU_C</v>
      </c>
      <c r="G1563" s="67" t="str">
        <f>IFERROR(INDEX(Структура_ассортимента[Product group name ENG],MATCH(Товары[[#This Row],[SubGroup]],Структура_ассортимента[Subgroup],0)),"")</f>
        <v>Watering, Pumps</v>
      </c>
      <c r="H1563" s="67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3104</v>
      </c>
      <c r="Q1563" s="39" t="s">
        <v>3416</v>
      </c>
      <c r="R1563" s="34" t="s">
        <v>3407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3413</v>
      </c>
      <c r="X1563" s="34" t="s">
        <v>3418</v>
      </c>
      <c r="Y1563" s="34" t="s">
        <v>3409</v>
      </c>
      <c r="Z1563" s="34">
        <v>1</v>
      </c>
      <c r="AA1563" s="34" t="s">
        <v>5632</v>
      </c>
      <c r="AC1563" s="34" t="s">
        <v>7337</v>
      </c>
      <c r="AE1563" s="34" t="s">
        <v>4287</v>
      </c>
      <c r="AF1563" s="34" t="s">
        <v>4297</v>
      </c>
      <c r="AG1563" s="34" t="s">
        <v>4260</v>
      </c>
      <c r="AH1563" s="34" t="s">
        <v>7312</v>
      </c>
      <c r="AI1563" s="34" t="s">
        <v>7313</v>
      </c>
      <c r="AJ1563" s="34" t="s">
        <v>4707</v>
      </c>
      <c r="AK1563" s="34" t="s">
        <v>4062</v>
      </c>
      <c r="AL1563" s="34" t="s">
        <v>3886</v>
      </c>
      <c r="AM1563" s="34" t="s">
        <v>7962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7" t="str">
        <f>IFERROR(INDEX(Структура_ассортимента[SuperCategory],MATCH(Товары[[#This Row],[SubGroup]],Структура_ассортимента[Subgroup],0)),"")</f>
        <v>O</v>
      </c>
      <c r="D156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7" t="str">
        <f>IFERROR(INDEX(Структура_ассортимента[Product group],MATCH(Товары[[#This Row],[SubGroup]],Структура_ассортимента[Subgroup],0)),"")</f>
        <v>WPU_C</v>
      </c>
      <c r="G1564" s="67" t="str">
        <f>IFERROR(INDEX(Структура_ассортимента[Product group name ENG],MATCH(Товары[[#This Row],[SubGroup]],Структура_ассортимента[Subgroup],0)),"")</f>
        <v>Watering, Pumps</v>
      </c>
      <c r="H156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3105</v>
      </c>
      <c r="O1564" s="37" t="s">
        <v>7338</v>
      </c>
      <c r="P1564" s="37" t="s">
        <v>7339</v>
      </c>
      <c r="Q1564" s="39" t="s">
        <v>3416</v>
      </c>
      <c r="R1564" s="34" t="s">
        <v>3407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3413</v>
      </c>
      <c r="X1564" s="34" t="s">
        <v>3418</v>
      </c>
      <c r="Y1564" s="34" t="s">
        <v>3409</v>
      </c>
      <c r="Z1564" s="34">
        <v>1</v>
      </c>
      <c r="AA1564" s="34" t="s">
        <v>6140</v>
      </c>
      <c r="AC1564" s="34" t="s">
        <v>6077</v>
      </c>
      <c r="AE1564" s="34" t="s">
        <v>3854</v>
      </c>
      <c r="AF1564" s="34" t="s">
        <v>4027</v>
      </c>
      <c r="AG1564" s="34" t="s">
        <v>4909</v>
      </c>
      <c r="AI1564" s="34" t="s">
        <v>4983</v>
      </c>
      <c r="AJ1564" s="34" t="s">
        <v>6648</v>
      </c>
      <c r="AK1564" s="34" t="s">
        <v>7340</v>
      </c>
      <c r="AL1564" s="34" t="s">
        <v>4741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7" t="str">
        <f>IFERROR(INDEX(Структура_ассортимента[SuperCategory],MATCH(Товары[[#This Row],[SubGroup]],Структура_ассортимента[Subgroup],0)),"")</f>
        <v>O</v>
      </c>
      <c r="D156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7" t="str">
        <f>IFERROR(INDEX(Структура_ассортимента[Product group],MATCH(Товары[[#This Row],[SubGroup]],Структура_ассортимента[Subgroup],0)),"")</f>
        <v>WPU_C</v>
      </c>
      <c r="G1565" s="67" t="str">
        <f>IFERROR(INDEX(Структура_ассортимента[Product group name ENG],MATCH(Товары[[#This Row],[SubGroup]],Структура_ассортимента[Subgroup],0)),"")</f>
        <v>Watering, Pumps</v>
      </c>
      <c r="H156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3106</v>
      </c>
      <c r="O1565" s="37" t="s">
        <v>7341</v>
      </c>
      <c r="P1565" s="37" t="s">
        <v>7342</v>
      </c>
      <c r="Q1565" s="39" t="s">
        <v>3416</v>
      </c>
      <c r="R1565" s="34" t="s">
        <v>3407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3413</v>
      </c>
      <c r="X1565" s="34" t="s">
        <v>3418</v>
      </c>
      <c r="Y1565" s="34" t="s">
        <v>3409</v>
      </c>
      <c r="Z1565" s="34">
        <v>1</v>
      </c>
      <c r="AA1565" s="34" t="s">
        <v>5368</v>
      </c>
      <c r="AC1565" s="34" t="s">
        <v>7343</v>
      </c>
      <c r="AE1565" s="34" t="s">
        <v>6563</v>
      </c>
      <c r="AF1565" s="34" t="s">
        <v>4027</v>
      </c>
      <c r="AG1565" s="34" t="s">
        <v>7344</v>
      </c>
      <c r="AI1565" s="34" t="s">
        <v>4983</v>
      </c>
      <c r="AJ1565" s="34" t="s">
        <v>6648</v>
      </c>
      <c r="AK1565" s="34" t="s">
        <v>5893</v>
      </c>
      <c r="AL1565" s="34" t="s">
        <v>7345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7" t="str">
        <f>IFERROR(INDEX(Структура_ассортимента[SuperCategory],MATCH(Товары[[#This Row],[SubGroup]],Структура_ассортимента[Subgroup],0)),"")</f>
        <v>O</v>
      </c>
      <c r="D156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7" t="str">
        <f>IFERROR(INDEX(Структура_ассортимента[Product group],MATCH(Товары[[#This Row],[SubGroup]],Структура_ассортимента[Subgroup],0)),"")</f>
        <v>WPU_C</v>
      </c>
      <c r="G1566" s="67" t="str">
        <f>IFERROR(INDEX(Структура_ассортимента[Product group name ENG],MATCH(Товары[[#This Row],[SubGroup]],Структура_ассортимента[Subgroup],0)),"")</f>
        <v>Watering, Pumps</v>
      </c>
      <c r="H156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3107</v>
      </c>
      <c r="O1566" s="37" t="s">
        <v>7346</v>
      </c>
      <c r="P1566" s="37" t="s">
        <v>7347</v>
      </c>
      <c r="Q1566" s="39" t="s">
        <v>3416</v>
      </c>
      <c r="R1566" s="34" t="s">
        <v>3407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3413</v>
      </c>
      <c r="X1566" s="34" t="s">
        <v>3418</v>
      </c>
      <c r="Y1566" s="34" t="s">
        <v>3409</v>
      </c>
      <c r="Z1566" s="34">
        <v>1</v>
      </c>
      <c r="AA1566" s="34" t="s">
        <v>7348</v>
      </c>
      <c r="AC1566" s="34" t="s">
        <v>5368</v>
      </c>
      <c r="AE1566" s="34" t="s">
        <v>7349</v>
      </c>
      <c r="AF1566" s="34" t="s">
        <v>3610</v>
      </c>
      <c r="AG1566" s="34" t="s">
        <v>4337</v>
      </c>
      <c r="AI1566" s="34" t="s">
        <v>7350</v>
      </c>
      <c r="AJ1566" s="34" t="s">
        <v>3806</v>
      </c>
      <c r="AK1566" s="34" t="s">
        <v>5770</v>
      </c>
      <c r="AL1566" s="34" t="s">
        <v>7057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7" t="str">
        <f>IFERROR(INDEX(Структура_ассортимента[SuperCategory],MATCH(Товары[[#This Row],[SubGroup]],Структура_ассортимента[Subgroup],0)),"")</f>
        <v>O</v>
      </c>
      <c r="D156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7" t="str">
        <f>IFERROR(INDEX(Структура_ассортимента[Product group],MATCH(Товары[[#This Row],[SubGroup]],Структура_ассортимента[Subgroup],0)),"")</f>
        <v>WPU_C</v>
      </c>
      <c r="G1567" s="67" t="str">
        <f>IFERROR(INDEX(Структура_ассортимента[Product group name ENG],MATCH(Товары[[#This Row],[SubGroup]],Структура_ассортимента[Subgroup],0)),"")</f>
        <v>Watering, Pumps</v>
      </c>
      <c r="H156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3108</v>
      </c>
      <c r="O1567" s="37" t="s">
        <v>7351</v>
      </c>
      <c r="P1567" s="37" t="s">
        <v>7352</v>
      </c>
      <c r="Q1567" s="39" t="s">
        <v>3416</v>
      </c>
      <c r="R1567" s="34" t="s">
        <v>3407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3413</v>
      </c>
      <c r="X1567" s="34" t="s">
        <v>3418</v>
      </c>
      <c r="Y1567" s="34" t="s">
        <v>3409</v>
      </c>
      <c r="Z1567" s="34">
        <v>1</v>
      </c>
      <c r="AA1567" s="34" t="s">
        <v>7324</v>
      </c>
      <c r="AC1567" s="34" t="s">
        <v>7353</v>
      </c>
      <c r="AE1567" s="34" t="s">
        <v>7349</v>
      </c>
      <c r="AF1567" s="34" t="s">
        <v>3610</v>
      </c>
      <c r="AG1567" s="34" t="s">
        <v>4337</v>
      </c>
      <c r="AI1567" s="34" t="s">
        <v>7350</v>
      </c>
      <c r="AJ1567" s="34" t="s">
        <v>3806</v>
      </c>
      <c r="AK1567" s="34" t="s">
        <v>5770</v>
      </c>
      <c r="AL1567" s="34" t="s">
        <v>7057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7" t="str">
        <f>IFERROR(INDEX(Структура_ассортимента[SuperCategory],MATCH(Товары[[#This Row],[SubGroup]],Структура_ассортимента[Subgroup],0)),"")</f>
        <v>O</v>
      </c>
      <c r="D156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7" t="str">
        <f>IFERROR(INDEX(Структура_ассортимента[Product group],MATCH(Товары[[#This Row],[SubGroup]],Структура_ассортимента[Subgroup],0)),"")</f>
        <v>WPU_C</v>
      </c>
      <c r="G1568" s="67" t="str">
        <f>IFERROR(INDEX(Структура_ассортимента[Product group name ENG],MATCH(Товары[[#This Row],[SubGroup]],Структура_ассортимента[Subgroup],0)),"")</f>
        <v>Watering, Pumps</v>
      </c>
      <c r="H1568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3109</v>
      </c>
      <c r="O1568" s="37" t="s">
        <v>7354</v>
      </c>
      <c r="P1568" s="37" t="s">
        <v>7355</v>
      </c>
      <c r="Q1568" s="39" t="s">
        <v>3416</v>
      </c>
      <c r="R1568" s="34" t="s">
        <v>3407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3413</v>
      </c>
      <c r="X1568" s="34" t="s">
        <v>3418</v>
      </c>
      <c r="Y1568" s="34" t="s">
        <v>3409</v>
      </c>
      <c r="Z1568" s="34">
        <v>1</v>
      </c>
      <c r="AA1568" s="34" t="s">
        <v>7356</v>
      </c>
      <c r="AC1568" s="34" t="s">
        <v>5289</v>
      </c>
      <c r="AE1568" s="34" t="s">
        <v>5433</v>
      </c>
      <c r="AF1568" s="34" t="s">
        <v>4027</v>
      </c>
      <c r="AG1568" s="34" t="s">
        <v>4803</v>
      </c>
      <c r="AI1568" s="34" t="s">
        <v>4512</v>
      </c>
      <c r="AJ1568" s="34" t="s">
        <v>3811</v>
      </c>
      <c r="AK1568" s="34" t="s">
        <v>4271</v>
      </c>
      <c r="AL1568" s="34" t="s">
        <v>7345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7" t="str">
        <f>IFERROR(INDEX(Структура_ассортимента[SuperCategory],MATCH(Товары[[#This Row],[SubGroup]],Структура_ассортимента[Subgroup],0)),"")</f>
        <v>O</v>
      </c>
      <c r="D156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7" t="str">
        <f>IFERROR(INDEX(Структура_ассортимента[Product group],MATCH(Товары[[#This Row],[SubGroup]],Структура_ассортимента[Subgroup],0)),"")</f>
        <v>WPU_C</v>
      </c>
      <c r="G1569" s="67" t="str">
        <f>IFERROR(INDEX(Структура_ассортимента[Product group name ENG],MATCH(Товары[[#This Row],[SubGroup]],Структура_ассортимента[Subgroup],0)),"")</f>
        <v>Watering, Pumps</v>
      </c>
      <c r="H1569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3110</v>
      </c>
      <c r="O1569" s="37" t="s">
        <v>7357</v>
      </c>
      <c r="P1569" s="37" t="s">
        <v>7358</v>
      </c>
      <c r="Q1569" s="39" t="s">
        <v>3416</v>
      </c>
      <c r="R1569" s="34" t="s">
        <v>3407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3413</v>
      </c>
      <c r="X1569" s="34" t="s">
        <v>3418</v>
      </c>
      <c r="Y1569" s="34" t="s">
        <v>3409</v>
      </c>
      <c r="Z1569" s="34">
        <v>1</v>
      </c>
      <c r="AA1569" s="34" t="s">
        <v>5386</v>
      </c>
      <c r="AC1569" s="34" t="s">
        <v>5280</v>
      </c>
      <c r="AE1569" s="34" t="s">
        <v>4434</v>
      </c>
      <c r="AF1569" s="34" t="s">
        <v>4318</v>
      </c>
      <c r="AG1569" s="34" t="s">
        <v>3551</v>
      </c>
      <c r="AI1569" s="34" t="s">
        <v>4818</v>
      </c>
      <c r="AJ1569" s="34" t="s">
        <v>3977</v>
      </c>
      <c r="AK1569" s="34" t="s">
        <v>3490</v>
      </c>
      <c r="AL1569" s="34" t="s">
        <v>7057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7" t="str">
        <f>IFERROR(INDEX(Структура_ассортимента[SuperCategory],MATCH(Товары[[#This Row],[SubGroup]],Структура_ассортимента[Subgroup],0)),"")</f>
        <v>O</v>
      </c>
      <c r="D157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7" t="str">
        <f>IFERROR(INDEX(Структура_ассортимента[Product group],MATCH(Товары[[#This Row],[SubGroup]],Структура_ассортимента[Subgroup],0)),"")</f>
        <v>WPU_C</v>
      </c>
      <c r="G1570" s="67" t="str">
        <f>IFERROR(INDEX(Структура_ассортимента[Product group name ENG],MATCH(Товары[[#This Row],[SubGroup]],Структура_ассортимента[Subgroup],0)),"")</f>
        <v>Watering, Pumps</v>
      </c>
      <c r="H1570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3111</v>
      </c>
      <c r="O1570" s="37" t="s">
        <v>7359</v>
      </c>
      <c r="P1570" s="37" t="s">
        <v>7360</v>
      </c>
      <c r="Q1570" s="39" t="s">
        <v>3416</v>
      </c>
      <c r="R1570" s="34" t="s">
        <v>3407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3413</v>
      </c>
      <c r="X1570" s="34" t="s">
        <v>3418</v>
      </c>
      <c r="Y1570" s="34" t="s">
        <v>3409</v>
      </c>
      <c r="Z1570" s="34">
        <v>1</v>
      </c>
      <c r="AA1570" s="34" t="s">
        <v>5274</v>
      </c>
      <c r="AC1570" s="34" t="s">
        <v>6789</v>
      </c>
      <c r="AE1570" s="34" t="s">
        <v>5891</v>
      </c>
      <c r="AF1570" s="34" t="s">
        <v>3631</v>
      </c>
      <c r="AG1570" s="34" t="s">
        <v>7361</v>
      </c>
      <c r="AI1570" s="34" t="s">
        <v>4590</v>
      </c>
      <c r="AJ1570" s="34" t="s">
        <v>3696</v>
      </c>
      <c r="AK1570" s="34" t="s">
        <v>7362</v>
      </c>
      <c r="AL1570" s="34" t="s">
        <v>7363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7" t="str">
        <f>IFERROR(INDEX(Структура_ассортимента[SuperCategory],MATCH(Товары[[#This Row],[SubGroup]],Структура_ассортимента[Subgroup],0)),"")</f>
        <v>O</v>
      </c>
      <c r="D157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7" t="str">
        <f>IFERROR(INDEX(Структура_ассортимента[Product group],MATCH(Товары[[#This Row],[SubGroup]],Структура_ассортимента[Subgroup],0)),"")</f>
        <v>WPU_C</v>
      </c>
      <c r="G1571" s="67" t="str">
        <f>IFERROR(INDEX(Структура_ассортимента[Product group name ENG],MATCH(Товары[[#This Row],[SubGroup]],Структура_ассортимента[Subgroup],0)),"")</f>
        <v>Watering, Pumps</v>
      </c>
      <c r="H1571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3112</v>
      </c>
      <c r="O1571" s="37" t="s">
        <v>7364</v>
      </c>
      <c r="P1571" s="37" t="s">
        <v>7365</v>
      </c>
      <c r="Q1571" s="39" t="s">
        <v>3416</v>
      </c>
      <c r="R1571" s="34" t="s">
        <v>3407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3413</v>
      </c>
      <c r="X1571" s="34" t="s">
        <v>3418</v>
      </c>
      <c r="Y1571" s="34" t="s">
        <v>3409</v>
      </c>
      <c r="Z1571" s="34">
        <v>1</v>
      </c>
      <c r="AA1571" s="34" t="s">
        <v>5297</v>
      </c>
      <c r="AC1571" s="34" t="s">
        <v>6832</v>
      </c>
      <c r="AE1571" s="34" t="s">
        <v>7366</v>
      </c>
      <c r="AF1571" s="34" t="s">
        <v>3809</v>
      </c>
      <c r="AG1571" s="34" t="s">
        <v>4449</v>
      </c>
      <c r="AI1571" s="34" t="s">
        <v>7349</v>
      </c>
      <c r="AJ1571" s="34" t="s">
        <v>3822</v>
      </c>
      <c r="AK1571" s="34" t="s">
        <v>7367</v>
      </c>
      <c r="AL1571" s="34" t="s">
        <v>3709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7" t="str">
        <f>IFERROR(INDEX(Структура_ассортимента[SuperCategory],MATCH(Товары[[#This Row],[SubGroup]],Структура_ассортимента[Subgroup],0)),"")</f>
        <v>O</v>
      </c>
      <c r="D157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7" t="str">
        <f>IFERROR(INDEX(Структура_ассортимента[Product group],MATCH(Товары[[#This Row],[SubGroup]],Структура_ассортимента[Subgroup],0)),"")</f>
        <v>WPU_C</v>
      </c>
      <c r="G1572" s="67" t="str">
        <f>IFERROR(INDEX(Структура_ассортимента[Product group name ENG],MATCH(Товары[[#This Row],[SubGroup]],Структура_ассортимента[Subgroup],0)),"")</f>
        <v>Watering, Pumps</v>
      </c>
      <c r="H1572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3113</v>
      </c>
      <c r="O1572" s="37" t="s">
        <v>7368</v>
      </c>
      <c r="P1572" s="37" t="s">
        <v>7369</v>
      </c>
      <c r="Q1572" s="39" t="s">
        <v>3416</v>
      </c>
      <c r="R1572" s="34" t="s">
        <v>3407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3413</v>
      </c>
      <c r="X1572" s="34" t="s">
        <v>3418</v>
      </c>
      <c r="Y1572" s="34" t="s">
        <v>3409</v>
      </c>
      <c r="Z1572" s="34">
        <v>1</v>
      </c>
      <c r="AA1572" s="34" t="s">
        <v>7291</v>
      </c>
      <c r="AC1572" s="34" t="s">
        <v>5601</v>
      </c>
      <c r="AE1572" s="34" t="s">
        <v>5891</v>
      </c>
      <c r="AF1572" s="34" t="s">
        <v>4318</v>
      </c>
      <c r="AG1572" s="34" t="s">
        <v>4859</v>
      </c>
      <c r="AI1572" s="34" t="s">
        <v>7370</v>
      </c>
      <c r="AJ1572" s="34" t="s">
        <v>3769</v>
      </c>
      <c r="AK1572" s="34" t="s">
        <v>7371</v>
      </c>
      <c r="AL1572" s="34" t="s">
        <v>3709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7" t="str">
        <f>IFERROR(INDEX(Структура_ассортимента[SuperCategory],MATCH(Товары[[#This Row],[SubGroup]],Структура_ассортимента[Subgroup],0)),"")</f>
        <v>O</v>
      </c>
      <c r="D157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7" t="str">
        <f>IFERROR(INDEX(Структура_ассортимента[Product group],MATCH(Товары[[#This Row],[SubGroup]],Структура_ассортимента[Subgroup],0)),"")</f>
        <v>WPU_C</v>
      </c>
      <c r="G1573" s="67" t="str">
        <f>IFERROR(INDEX(Структура_ассортимента[Product group name ENG],MATCH(Товары[[#This Row],[SubGroup]],Структура_ассортимента[Subgroup],0)),"")</f>
        <v>Watering, Pumps</v>
      </c>
      <c r="H1573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3114</v>
      </c>
      <c r="O1573" s="37" t="s">
        <v>7372</v>
      </c>
      <c r="P1573" s="37" t="s">
        <v>7373</v>
      </c>
      <c r="Q1573" s="39" t="s">
        <v>3416</v>
      </c>
      <c r="R1573" s="34" t="s">
        <v>3407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3413</v>
      </c>
      <c r="X1573" s="34" t="s">
        <v>3418</v>
      </c>
      <c r="Y1573" s="34" t="s">
        <v>3409</v>
      </c>
      <c r="Z1573" s="34">
        <v>1</v>
      </c>
      <c r="AA1573" s="34" t="s">
        <v>6811</v>
      </c>
      <c r="AC1573" s="34" t="s">
        <v>6795</v>
      </c>
      <c r="AE1573" s="34" t="s">
        <v>5891</v>
      </c>
      <c r="AF1573" s="34" t="s">
        <v>4318</v>
      </c>
      <c r="AG1573" s="34" t="s">
        <v>4859</v>
      </c>
      <c r="AI1573" s="34" t="s">
        <v>7370</v>
      </c>
      <c r="AJ1573" s="34" t="s">
        <v>3769</v>
      </c>
      <c r="AK1573" s="34" t="s">
        <v>7371</v>
      </c>
      <c r="AL1573" s="34" t="s">
        <v>3709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7" t="str">
        <f>IFERROR(INDEX(Структура_ассортимента[SuperCategory],MATCH(Товары[[#This Row],[SubGroup]],Структура_ассортимента[Subgroup],0)),"")</f>
        <v>O</v>
      </c>
      <c r="D157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7" t="str">
        <f>IFERROR(INDEX(Структура_ассортимента[Product group],MATCH(Товары[[#This Row],[SubGroup]],Структура_ассортимента[Subgroup],0)),"")</f>
        <v>WPU_C</v>
      </c>
      <c r="G1574" s="67" t="str">
        <f>IFERROR(INDEX(Структура_ассортимента[Product group name ENG],MATCH(Товары[[#This Row],[SubGroup]],Структура_ассортимента[Subgroup],0)),"")</f>
        <v>Watering, Pumps</v>
      </c>
      <c r="H1574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3115</v>
      </c>
      <c r="Q1574" s="39" t="s">
        <v>3406</v>
      </c>
      <c r="R1574" s="34" t="s">
        <v>3407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3410</v>
      </c>
      <c r="Y1574" s="34" t="s">
        <v>3409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7961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7" t="str">
        <f>IFERROR(INDEX(Структура_ассортимента[SuperCategory],MATCH(Товары[[#This Row],[SubGroup]],Структура_ассортимента[Subgroup],0)),"")</f>
        <v>O</v>
      </c>
      <c r="D157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7" t="str">
        <f>IFERROR(INDEX(Структура_ассортимента[Product group],MATCH(Товары[[#This Row],[SubGroup]],Структура_ассортимента[Subgroup],0)),"")</f>
        <v>WPU_C</v>
      </c>
      <c r="G1575" s="67" t="str">
        <f>IFERROR(INDEX(Структура_ассортимента[Product group name ENG],MATCH(Товары[[#This Row],[SubGroup]],Структура_ассортимента[Subgroup],0)),"")</f>
        <v>Watering, Pumps</v>
      </c>
      <c r="H1575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3116</v>
      </c>
      <c r="Q1575" s="39" t="s">
        <v>3406</v>
      </c>
      <c r="R1575" s="34" t="s">
        <v>3407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3410</v>
      </c>
      <c r="Y1575" s="34" t="s">
        <v>3409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7961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7" t="str">
        <f>IFERROR(INDEX(Структура_ассортимента[SuperCategory],MATCH(Товары[[#This Row],[SubGroup]],Структура_ассортимента[Subgroup],0)),"")</f>
        <v>O</v>
      </c>
      <c r="D157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7" t="str">
        <f>IFERROR(INDEX(Структура_ассортимента[Product group],MATCH(Товары[[#This Row],[SubGroup]],Структура_ассортимента[Subgroup],0)),"")</f>
        <v>WPU_C</v>
      </c>
      <c r="G1576" s="67" t="str">
        <f>IFERROR(INDEX(Структура_ассортимента[Product group name ENG],MATCH(Товары[[#This Row],[SubGroup]],Структура_ассортимента[Subgroup],0)),"")</f>
        <v>Watering, Pumps</v>
      </c>
      <c r="H1576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3117</v>
      </c>
      <c r="Q1576" s="39" t="s">
        <v>3406</v>
      </c>
      <c r="R1576" s="34" t="s">
        <v>3407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3410</v>
      </c>
      <c r="Y1576" s="34" t="s">
        <v>3409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7961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7" t="str">
        <f>IFERROR(INDEX(Структура_ассортимента[SuperCategory],MATCH(Товары[[#This Row],[SubGroup]],Структура_ассортимента[Subgroup],0)),"")</f>
        <v>O</v>
      </c>
      <c r="D157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7" t="str">
        <f>IFERROR(INDEX(Структура_ассортимента[Product group],MATCH(Товары[[#This Row],[SubGroup]],Структура_ассортимента[Subgroup],0)),"")</f>
        <v>WPU_C</v>
      </c>
      <c r="G1577" s="67" t="str">
        <f>IFERROR(INDEX(Структура_ассортимента[Product group name ENG],MATCH(Товары[[#This Row],[SubGroup]],Структура_ассортимента[Subgroup],0)),"")</f>
        <v>Watering, Pumps</v>
      </c>
      <c r="H1577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3118</v>
      </c>
      <c r="Q1577" s="39" t="s">
        <v>3406</v>
      </c>
      <c r="R1577" s="34" t="s">
        <v>3407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3417</v>
      </c>
      <c r="Y1577" s="34" t="s">
        <v>3409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7961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7" t="str">
        <f>IFERROR(INDEX(Структура_ассортимента[SuperCategory],MATCH(Товары[[#This Row],[SubGroup]],Структура_ассортимента[Subgroup],0)),"")</f>
        <v>O</v>
      </c>
      <c r="D157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7" t="str">
        <f>IFERROR(INDEX(Структура_ассортимента[Product group],MATCH(Товары[[#This Row],[SubGroup]],Структура_ассортимента[Subgroup],0)),"")</f>
        <v>WPU_C</v>
      </c>
      <c r="G1578" s="67" t="str">
        <f>IFERROR(INDEX(Структура_ассортимента[Product group name ENG],MATCH(Товары[[#This Row],[SubGroup]],Структура_ассортимента[Subgroup],0)),"")</f>
        <v>Watering, Pumps</v>
      </c>
      <c r="H1578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3119</v>
      </c>
      <c r="P1578" s="37" t="s">
        <v>7374</v>
      </c>
      <c r="Q1578" s="39" t="s">
        <v>3580</v>
      </c>
      <c r="R1578" s="34" t="s">
        <v>3407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3417</v>
      </c>
      <c r="Y1578" s="34" t="s">
        <v>3409</v>
      </c>
      <c r="Z1578" s="34">
        <v>1</v>
      </c>
      <c r="AA1578" s="34" t="s">
        <v>7375</v>
      </c>
      <c r="AB1578" s="34" t="s">
        <v>7375</v>
      </c>
      <c r="AC1578" s="34" t="s">
        <v>7376</v>
      </c>
      <c r="AD1578" s="34" t="s">
        <v>7376</v>
      </c>
      <c r="AE1578" s="34" t="s">
        <v>3854</v>
      </c>
      <c r="AF1578" s="34" t="s">
        <v>3787</v>
      </c>
      <c r="AG1578" s="34" t="s">
        <v>4407</v>
      </c>
      <c r="AH1578" s="34" t="s">
        <v>7377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7" t="str">
        <f>IFERROR(INDEX(Структура_ассортимента[SuperCategory],MATCH(Товары[[#This Row],[SubGroup]],Структура_ассортимента[Subgroup],0)),"")</f>
        <v>O</v>
      </c>
      <c r="D157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7" t="str">
        <f>IFERROR(INDEX(Структура_ассортимента[Product group],MATCH(Товары[[#This Row],[SubGroup]],Структура_ассортимента[Subgroup],0)),"")</f>
        <v>WPU_C</v>
      </c>
      <c r="G1579" s="67" t="str">
        <f>IFERROR(INDEX(Структура_ассортимента[Product group name ENG],MATCH(Товары[[#This Row],[SubGroup]],Структура_ассортимента[Subgroup],0)),"")</f>
        <v>Watering, Pumps</v>
      </c>
      <c r="H1579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3120</v>
      </c>
      <c r="Q1579" s="39" t="s">
        <v>3580</v>
      </c>
      <c r="R1579" s="34" t="s">
        <v>3407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3417</v>
      </c>
      <c r="Y1579" s="34" t="s">
        <v>3409</v>
      </c>
      <c r="Z1579" s="34">
        <v>1</v>
      </c>
      <c r="AA1579" s="34" t="s">
        <v>7094</v>
      </c>
      <c r="AB1579" s="34" t="s">
        <v>7094</v>
      </c>
      <c r="AC1579" s="34" t="s">
        <v>5722</v>
      </c>
      <c r="AD1579" s="34" t="s">
        <v>5722</v>
      </c>
      <c r="AE1579" s="34" t="s">
        <v>3787</v>
      </c>
      <c r="AF1579" s="34" t="s">
        <v>3854</v>
      </c>
      <c r="AG1579" s="34" t="s">
        <v>4084</v>
      </c>
      <c r="AH1579" s="34" t="s">
        <v>7378</v>
      </c>
      <c r="AI1579" s="34" t="s">
        <v>3575</v>
      </c>
      <c r="AJ1579" s="34" t="s">
        <v>4324</v>
      </c>
      <c r="AK1579" s="34" t="s">
        <v>3575</v>
      </c>
      <c r="AL1579" s="34">
        <v>27</v>
      </c>
      <c r="AM1579" s="34" t="s">
        <v>7961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7" t="str">
        <f>IFERROR(INDEX(Структура_ассортимента[SuperCategory],MATCH(Товары[[#This Row],[SubGroup]],Структура_ассортимента[Subgroup],0)),"")</f>
        <v>O</v>
      </c>
      <c r="D158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7" t="str">
        <f>IFERROR(INDEX(Структура_ассортимента[Product group],MATCH(Товары[[#This Row],[SubGroup]],Структура_ассортимента[Subgroup],0)),"")</f>
        <v>WPU_C</v>
      </c>
      <c r="G1580" s="67" t="str">
        <f>IFERROR(INDEX(Структура_ассортимента[Product group name ENG],MATCH(Товары[[#This Row],[SubGroup]],Структура_ассортимента[Subgroup],0)),"")</f>
        <v>Watering, Pumps</v>
      </c>
      <c r="H1580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3121</v>
      </c>
      <c r="Q1580" s="39" t="s">
        <v>3406</v>
      </c>
      <c r="R1580" s="34" t="s">
        <v>3407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3410</v>
      </c>
      <c r="Y1580" s="34" t="s">
        <v>3409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7961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7" t="str">
        <f>IFERROR(INDEX(Структура_ассортимента[SuperCategory],MATCH(Товары[[#This Row],[SubGroup]],Структура_ассортимента[Subgroup],0)),"")</f>
        <v>O</v>
      </c>
      <c r="D158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7" t="str">
        <f>IFERROR(INDEX(Структура_ассортимента[Product group],MATCH(Товары[[#This Row],[SubGroup]],Структура_ассортимента[Subgroup],0)),"")</f>
        <v>WPU_C</v>
      </c>
      <c r="G1581" s="67" t="str">
        <f>IFERROR(INDEX(Структура_ассортимента[Product group name ENG],MATCH(Товары[[#This Row],[SubGroup]],Структура_ассортимента[Subgroup],0)),"")</f>
        <v>Watering, Pumps</v>
      </c>
      <c r="H1581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3122</v>
      </c>
      <c r="P1581" s="37" t="s">
        <v>7379</v>
      </c>
      <c r="Q1581" s="39" t="s">
        <v>3580</v>
      </c>
      <c r="R1581" s="34" t="s">
        <v>3407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3417</v>
      </c>
      <c r="Y1581" s="34" t="s">
        <v>3409</v>
      </c>
      <c r="Z1581" s="34">
        <v>1</v>
      </c>
      <c r="AA1581" s="34" t="s">
        <v>6082</v>
      </c>
      <c r="AB1581" s="34" t="s">
        <v>7207</v>
      </c>
      <c r="AC1581" s="34" t="s">
        <v>7291</v>
      </c>
      <c r="AD1581" s="34" t="s">
        <v>7380</v>
      </c>
      <c r="AE1581" s="34" t="s">
        <v>4609</v>
      </c>
      <c r="AF1581" s="34" t="s">
        <v>3806</v>
      </c>
      <c r="AG1581" s="34" t="s">
        <v>7381</v>
      </c>
      <c r="AH1581" s="34" t="s">
        <v>7382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7" t="str">
        <f>IFERROR(INDEX(Структура_ассортимента[SuperCategory],MATCH(Товары[[#This Row],[SubGroup]],Структура_ассортимента[Subgroup],0)),"")</f>
        <v>O</v>
      </c>
      <c r="D158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7" t="str">
        <f>IFERROR(INDEX(Структура_ассортимента[Product group],MATCH(Товары[[#This Row],[SubGroup]],Структура_ассортимента[Subgroup],0)),"")</f>
        <v>WPU_C</v>
      </c>
      <c r="G1582" s="67" t="str">
        <f>IFERROR(INDEX(Структура_ассортимента[Product group name ENG],MATCH(Товары[[#This Row],[SubGroup]],Структура_ассортимента[Subgroup],0)),"")</f>
        <v>Watering, Pumps</v>
      </c>
      <c r="H1582" s="67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3123</v>
      </c>
      <c r="P1582" s="37" t="s">
        <v>7383</v>
      </c>
      <c r="Q1582" s="39" t="s">
        <v>3580</v>
      </c>
      <c r="R1582" s="34" t="s">
        <v>3407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3417</v>
      </c>
      <c r="Y1582" s="34" t="s">
        <v>3409</v>
      </c>
      <c r="Z1582" s="34">
        <v>2</v>
      </c>
      <c r="AA1582" s="34" t="s">
        <v>6755</v>
      </c>
      <c r="AB1582" s="34" t="s">
        <v>6755</v>
      </c>
      <c r="AC1582" s="34" t="s">
        <v>4582</v>
      </c>
      <c r="AD1582" s="34" t="s">
        <v>4582</v>
      </c>
      <c r="AE1582" s="34" t="s">
        <v>3787</v>
      </c>
      <c r="AF1582" s="34" t="s">
        <v>4191</v>
      </c>
      <c r="AG1582" s="34" t="s">
        <v>6648</v>
      </c>
      <c r="AH1582" s="34" t="s">
        <v>7384</v>
      </c>
      <c r="AI1582" s="34" t="s">
        <v>3574</v>
      </c>
      <c r="AJ1582" s="34" t="s">
        <v>4325</v>
      </c>
      <c r="AK1582" s="34" t="s">
        <v>4202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7" t="str">
        <f>IFERROR(INDEX(Структура_ассортимента[SuperCategory],MATCH(Товары[[#This Row],[SubGroup]],Структура_ассортимента[Subgroup],0)),"")</f>
        <v>O</v>
      </c>
      <c r="D158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7" t="str">
        <f>IFERROR(INDEX(Структура_ассортимента[Product group],MATCH(Товары[[#This Row],[SubGroup]],Структура_ассортимента[Subgroup],0)),"")</f>
        <v>WPU_C</v>
      </c>
      <c r="G1583" s="67" t="str">
        <f>IFERROR(INDEX(Структура_ассортимента[Product group name ENG],MATCH(Товары[[#This Row],[SubGroup]],Структура_ассортимента[Subgroup],0)),"")</f>
        <v>Watering, Pumps</v>
      </c>
      <c r="H1583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3124</v>
      </c>
      <c r="P1583" s="37" t="s">
        <v>7385</v>
      </c>
      <c r="Q1583" s="39" t="s">
        <v>3580</v>
      </c>
      <c r="R1583" s="34" t="s">
        <v>3407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3417</v>
      </c>
      <c r="Y1583" s="34" t="s">
        <v>3409</v>
      </c>
      <c r="Z1583" s="34">
        <v>1</v>
      </c>
      <c r="AA1583" s="34" t="s">
        <v>6795</v>
      </c>
      <c r="AB1583" s="34" t="s">
        <v>7386</v>
      </c>
      <c r="AC1583" s="34" t="s">
        <v>5601</v>
      </c>
      <c r="AD1583" s="34" t="s">
        <v>7387</v>
      </c>
      <c r="AE1583" s="34" t="s">
        <v>3686</v>
      </c>
      <c r="AF1583" s="34" t="s">
        <v>3787</v>
      </c>
      <c r="AG1583" s="34" t="s">
        <v>7388</v>
      </c>
      <c r="AH1583" s="34" t="s">
        <v>7389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7" t="str">
        <f>IFERROR(INDEX(Структура_ассортимента[SuperCategory],MATCH(Товары[[#This Row],[SubGroup]],Структура_ассортимента[Subgroup],0)),"")</f>
        <v>O</v>
      </c>
      <c r="D158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7" t="str">
        <f>IFERROR(INDEX(Структура_ассортимента[Product group],MATCH(Товары[[#This Row],[SubGroup]],Структура_ассортимента[Subgroup],0)),"")</f>
        <v>WPU_C</v>
      </c>
      <c r="G1584" s="67" t="str">
        <f>IFERROR(INDEX(Структура_ассортимента[Product group name ENG],MATCH(Товары[[#This Row],[SubGroup]],Структура_ассортимента[Subgroup],0)),"")</f>
        <v>Watering, Pumps</v>
      </c>
      <c r="H1584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3125</v>
      </c>
      <c r="O1584" s="37" t="s">
        <v>7390</v>
      </c>
      <c r="P1584" s="37" t="s">
        <v>7391</v>
      </c>
      <c r="Q1584" s="39" t="s">
        <v>3416</v>
      </c>
      <c r="R1584" s="34" t="s">
        <v>3407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3417</v>
      </c>
      <c r="X1584" s="34" t="s">
        <v>3418</v>
      </c>
      <c r="Y1584" s="34" t="s">
        <v>3409</v>
      </c>
      <c r="Z1584" s="34">
        <v>1</v>
      </c>
      <c r="AA1584" s="34" t="s">
        <v>7392</v>
      </c>
      <c r="AB1584" s="34" t="s">
        <v>7393</v>
      </c>
      <c r="AC1584" s="34" t="s">
        <v>4010</v>
      </c>
      <c r="AD1584" s="34" t="s">
        <v>7394</v>
      </c>
      <c r="AE1584" s="34" t="s">
        <v>7388</v>
      </c>
      <c r="AF1584" s="34" t="s">
        <v>3610</v>
      </c>
      <c r="AG1584" s="34" t="s">
        <v>5893</v>
      </c>
      <c r="AH1584" s="34" t="s">
        <v>7395</v>
      </c>
      <c r="AI1584" s="34" t="s">
        <v>4449</v>
      </c>
      <c r="AJ1584" s="34" t="s">
        <v>3457</v>
      </c>
      <c r="AK1584" s="34" t="s">
        <v>3822</v>
      </c>
      <c r="AL1584" s="34" t="s">
        <v>5259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7" t="str">
        <f>IFERROR(INDEX(Структура_ассортимента[SuperCategory],MATCH(Товары[[#This Row],[SubGroup]],Структура_ассортимента[Subgroup],0)),"")</f>
        <v>O</v>
      </c>
      <c r="D158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7" t="str">
        <f>IFERROR(INDEX(Структура_ассортимента[Product group],MATCH(Товары[[#This Row],[SubGroup]],Структура_ассортимента[Subgroup],0)),"")</f>
        <v>WPU_C</v>
      </c>
      <c r="G1585" s="67" t="str">
        <f>IFERROR(INDEX(Структура_ассортимента[Product group name ENG],MATCH(Товары[[#This Row],[SubGroup]],Структура_ассортимента[Subgroup],0)),"")</f>
        <v>Watering, Pumps</v>
      </c>
      <c r="H158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3126</v>
      </c>
      <c r="P1585" s="37" t="s">
        <v>7396</v>
      </c>
      <c r="Q1585" s="39" t="s">
        <v>4432</v>
      </c>
      <c r="R1585" s="34" t="s">
        <v>3407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7397</v>
      </c>
      <c r="Y1585" s="34" t="s">
        <v>3409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7" t="str">
        <f>IFERROR(INDEX(Структура_ассортимента[SuperCategory],MATCH(Товары[[#This Row],[SubGroup]],Структура_ассортимента[Subgroup],0)),"")</f>
        <v>O</v>
      </c>
      <c r="D158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7" t="str">
        <f>IFERROR(INDEX(Структура_ассортимента[Product group],MATCH(Товары[[#This Row],[SubGroup]],Структура_ассортимента[Subgroup],0)),"")</f>
        <v>WPU_C</v>
      </c>
      <c r="G1586" s="67" t="str">
        <f>IFERROR(INDEX(Структура_ассортимента[Product group name ENG],MATCH(Товары[[#This Row],[SubGroup]],Структура_ассортимента[Subgroup],0)),"")</f>
        <v>Watering, Pumps</v>
      </c>
      <c r="H158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3127</v>
      </c>
      <c r="P1586" s="37" t="s">
        <v>7398</v>
      </c>
      <c r="Q1586" s="39" t="s">
        <v>4432</v>
      </c>
      <c r="R1586" s="34" t="s">
        <v>3407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7397</v>
      </c>
      <c r="Y1586" s="34" t="s">
        <v>3409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7" t="str">
        <f>IFERROR(INDEX(Структура_ассортимента[SuperCategory],MATCH(Товары[[#This Row],[SubGroup]],Структура_ассортимента[Subgroup],0)),"")</f>
        <v>O</v>
      </c>
      <c r="D158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7" t="str">
        <f>IFERROR(INDEX(Структура_ассортимента[Product group],MATCH(Товары[[#This Row],[SubGroup]],Структура_ассортимента[Subgroup],0)),"")</f>
        <v>WPU_C</v>
      </c>
      <c r="G1587" s="67" t="str">
        <f>IFERROR(INDEX(Структура_ассортимента[Product group name ENG],MATCH(Товары[[#This Row],[SubGroup]],Структура_ассортимента[Subgroup],0)),"")</f>
        <v>Watering, Pumps</v>
      </c>
      <c r="H1587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3128</v>
      </c>
      <c r="Q1587" s="39" t="s">
        <v>3580</v>
      </c>
      <c r="R1587" s="34" t="s">
        <v>3407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3410</v>
      </c>
      <c r="Y1587" s="34" t="s">
        <v>3409</v>
      </c>
      <c r="Z1587" s="34">
        <v>1</v>
      </c>
      <c r="AA1587" s="34">
        <v>10660</v>
      </c>
      <c r="AB1587" s="34" t="s">
        <v>7399</v>
      </c>
      <c r="AC1587" s="34">
        <v>9830</v>
      </c>
      <c r="AD1587" s="34" t="s">
        <v>7400</v>
      </c>
      <c r="AE1587" s="34" t="s">
        <v>3854</v>
      </c>
      <c r="AF1587" s="34" t="s">
        <v>3787</v>
      </c>
      <c r="AG1587" s="34" t="s">
        <v>4190</v>
      </c>
      <c r="AH1587" s="34" t="s">
        <v>7056</v>
      </c>
      <c r="AL1587" s="34" t="s">
        <v>7057</v>
      </c>
      <c r="AM1587" s="34" t="s">
        <v>7961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7" t="str">
        <f>IFERROR(INDEX(Структура_ассортимента[SuperCategory],MATCH(Товары[[#This Row],[SubGroup]],Структура_ассортимента[Subgroup],0)),"")</f>
        <v>O</v>
      </c>
      <c r="D158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7" t="str">
        <f>IFERROR(INDEX(Структура_ассортимента[Product group],MATCH(Товары[[#This Row],[SubGroup]],Структура_ассортимента[Subgroup],0)),"")</f>
        <v>WPU_C</v>
      </c>
      <c r="G1588" s="67" t="str">
        <f>IFERROR(INDEX(Структура_ассортимента[Product group name ENG],MATCH(Товары[[#This Row],[SubGroup]],Структура_ассортимента[Subgroup],0)),"")</f>
        <v>Watering, Pumps</v>
      </c>
      <c r="H1588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3129</v>
      </c>
      <c r="Q1588" s="39" t="s">
        <v>4432</v>
      </c>
      <c r="R1588" s="34" t="s">
        <v>3407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6906</v>
      </c>
      <c r="Y1588" s="34" t="s">
        <v>3409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7961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7" t="str">
        <f>IFERROR(INDEX(Структура_ассортимента[SuperCategory],MATCH(Товары[[#This Row],[SubGroup]],Структура_ассортимента[Subgroup],0)),"")</f>
        <v>O</v>
      </c>
      <c r="D158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7" t="str">
        <f>IFERROR(INDEX(Структура_ассортимента[Product group],MATCH(Товары[[#This Row],[SubGroup]],Структура_ассортимента[Subgroup],0)),"")</f>
        <v>WPU_C</v>
      </c>
      <c r="G1589" s="67" t="str">
        <f>IFERROR(INDEX(Структура_ассортимента[Product group name ENG],MATCH(Товары[[#This Row],[SubGroup]],Структура_ассортимента[Subgroup],0)),"")</f>
        <v>Watering, Pumps</v>
      </c>
      <c r="H1589" s="67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3130</v>
      </c>
      <c r="Q1589" s="39" t="s">
        <v>3580</v>
      </c>
      <c r="R1589" s="34" t="s">
        <v>3407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3410</v>
      </c>
      <c r="Y1589" s="34" t="s">
        <v>3409</v>
      </c>
      <c r="Z1589" s="34">
        <v>1</v>
      </c>
      <c r="AA1589" s="34">
        <v>14210</v>
      </c>
      <c r="AB1589" s="34" t="s">
        <v>7401</v>
      </c>
      <c r="AC1589" s="34">
        <v>13890</v>
      </c>
      <c r="AD1589" s="34" t="s">
        <v>7402</v>
      </c>
      <c r="AE1589" s="34" t="s">
        <v>4280</v>
      </c>
      <c r="AF1589" s="34" t="s">
        <v>4895</v>
      </c>
      <c r="AG1589" s="34" t="s">
        <v>4377</v>
      </c>
      <c r="AH1589" s="34" t="s">
        <v>7125</v>
      </c>
      <c r="AL1589" s="34" t="s">
        <v>3484</v>
      </c>
      <c r="AM1589" s="34" t="s">
        <v>7961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7" t="str">
        <f>IFERROR(INDEX(Структура_ассортимента[SuperCategory],MATCH(Товары[[#This Row],[SubGroup]],Структура_ассортимента[Subgroup],0)),"")</f>
        <v>O</v>
      </c>
      <c r="D1590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7" t="str">
        <f>IFERROR(INDEX(Структура_ассортимента[Product group],MATCH(Товары[[#This Row],[SubGroup]],Структура_ассортимента[Subgroup],0)),"")</f>
        <v>WPU_C</v>
      </c>
      <c r="G1590" s="67" t="str">
        <f>IFERROR(INDEX(Структура_ассортимента[Product group name ENG],MATCH(Товары[[#This Row],[SubGroup]],Структура_ассортимента[Subgroup],0)),"")</f>
        <v>Watering, Pumps</v>
      </c>
      <c r="H1590" s="67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3131</v>
      </c>
      <c r="Q1590" s="39" t="s">
        <v>3580</v>
      </c>
      <c r="R1590" s="34" t="s">
        <v>3407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3410</v>
      </c>
      <c r="Y1590" s="34" t="s">
        <v>3409</v>
      </c>
      <c r="Z1590" s="34">
        <v>1</v>
      </c>
      <c r="AA1590" s="34">
        <v>7115</v>
      </c>
      <c r="AB1590" s="34" t="s">
        <v>7403</v>
      </c>
      <c r="AC1590" s="34">
        <v>6115</v>
      </c>
      <c r="AD1590" s="34" t="s">
        <v>7404</v>
      </c>
      <c r="AE1590" s="34" t="s">
        <v>3686</v>
      </c>
      <c r="AF1590" s="34" t="s">
        <v>3787</v>
      </c>
      <c r="AG1590" s="34" t="s">
        <v>7388</v>
      </c>
      <c r="AH1590" s="34" t="s">
        <v>7389</v>
      </c>
      <c r="AL1590" s="34" t="s">
        <v>5309</v>
      </c>
      <c r="AM1590" s="34" t="s">
        <v>7961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7" t="str">
        <f>IFERROR(INDEX(Структура_ассортимента[SuperCategory],MATCH(Товары[[#This Row],[SubGroup]],Структура_ассортимента[Subgroup],0)),"")</f>
        <v>O</v>
      </c>
      <c r="D1591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7" t="str">
        <f>IFERROR(INDEX(Структура_ассортимента[Product group],MATCH(Товары[[#This Row],[SubGroup]],Структура_ассортимента[Subgroup],0)),"")</f>
        <v>WPU_C</v>
      </c>
      <c r="G1591" s="67" t="str">
        <f>IFERROR(INDEX(Структура_ассортимента[Product group name ENG],MATCH(Товары[[#This Row],[SubGroup]],Структура_ассортимента[Subgroup],0)),"")</f>
        <v>Watering, Pumps</v>
      </c>
      <c r="H1591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3132</v>
      </c>
      <c r="Q1591" s="39" t="s">
        <v>4432</v>
      </c>
      <c r="R1591" s="34" t="s">
        <v>3407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6906</v>
      </c>
      <c r="Y1591" s="34" t="s">
        <v>3409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7961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7" t="str">
        <f>IFERROR(INDEX(Структура_ассортимента[SuperCategory],MATCH(Товары[[#This Row],[SubGroup]],Структура_ассортимента[Subgroup],0)),"")</f>
        <v>O</v>
      </c>
      <c r="D1592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7" t="str">
        <f>IFERROR(INDEX(Структура_ассортимента[Product group],MATCH(Товары[[#This Row],[SubGroup]],Структура_ассортимента[Subgroup],0)),"")</f>
        <v>WPU_C</v>
      </c>
      <c r="G1592" s="67" t="str">
        <f>IFERROR(INDEX(Структура_ассортимента[Product group name ENG],MATCH(Товары[[#This Row],[SubGroup]],Структура_ассортимента[Subgroup],0)),"")</f>
        <v>Watering, Pumps</v>
      </c>
      <c r="H1592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3133</v>
      </c>
      <c r="Q1592" s="39" t="s">
        <v>3580</v>
      </c>
      <c r="R1592" s="34" t="s">
        <v>3407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3410</v>
      </c>
      <c r="Y1592" s="34" t="s">
        <v>3409</v>
      </c>
      <c r="Z1592" s="34">
        <v>1</v>
      </c>
      <c r="AA1592" s="34">
        <v>9640</v>
      </c>
      <c r="AB1592" s="34" t="s">
        <v>7405</v>
      </c>
      <c r="AC1592" s="34">
        <v>8590</v>
      </c>
      <c r="AD1592" s="34" t="s">
        <v>7406</v>
      </c>
      <c r="AE1592" s="34" t="s">
        <v>7388</v>
      </c>
      <c r="AF1592" s="34" t="s">
        <v>3610</v>
      </c>
      <c r="AG1592" s="34" t="s">
        <v>5893</v>
      </c>
      <c r="AH1592" s="34" t="s">
        <v>7395</v>
      </c>
      <c r="AL1592" s="34" t="s">
        <v>5259</v>
      </c>
      <c r="AM1592" s="34" t="s">
        <v>7961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7" t="str">
        <f>IFERROR(INDEX(Структура_ассортимента[SuperCategory],MATCH(Товары[[#This Row],[SubGroup]],Структура_ассортимента[Subgroup],0)),"")</f>
        <v>O</v>
      </c>
      <c r="D1593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7" t="str">
        <f>IFERROR(INDEX(Структура_ассортимента[Product group],MATCH(Товары[[#This Row],[SubGroup]],Структура_ассортимента[Subgroup],0)),"")</f>
        <v>WPU_C</v>
      </c>
      <c r="G1593" s="67" t="str">
        <f>IFERROR(INDEX(Структура_ассортимента[Product group name ENG],MATCH(Товары[[#This Row],[SubGroup]],Структура_ассортимента[Subgroup],0)),"")</f>
        <v>Watering, Pumps</v>
      </c>
      <c r="H1593" s="67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3134</v>
      </c>
      <c r="Q1593" s="39" t="s">
        <v>3580</v>
      </c>
      <c r="R1593" s="34" t="s">
        <v>3407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3410</v>
      </c>
      <c r="Y1593" s="34" t="s">
        <v>3409</v>
      </c>
      <c r="Z1593" s="34">
        <v>1</v>
      </c>
      <c r="AA1593" s="34">
        <v>14940</v>
      </c>
      <c r="AB1593" s="34" t="s">
        <v>7407</v>
      </c>
      <c r="AC1593" s="34">
        <v>13090</v>
      </c>
      <c r="AD1593" s="34" t="s">
        <v>7408</v>
      </c>
      <c r="AE1593" s="34" t="s">
        <v>7179</v>
      </c>
      <c r="AF1593" s="34" t="s">
        <v>7180</v>
      </c>
      <c r="AG1593" s="34" t="s">
        <v>7181</v>
      </c>
      <c r="AH1593" s="34" t="s">
        <v>7182</v>
      </c>
      <c r="AL1593" s="34" t="s">
        <v>3484</v>
      </c>
      <c r="AM1593" s="34" t="s">
        <v>7961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7" t="str">
        <f>IFERROR(INDEX(Структура_ассортимента[SuperCategory],MATCH(Товары[[#This Row],[SubGroup]],Структура_ассортимента[Subgroup],0)),"")</f>
        <v>O</v>
      </c>
      <c r="D1594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7" t="str">
        <f>IFERROR(INDEX(Структура_ассортимента[Product group],MATCH(Товары[[#This Row],[SubGroup]],Структура_ассортимента[Subgroup],0)),"")</f>
        <v>WPU_C</v>
      </c>
      <c r="G1594" s="67" t="str">
        <f>IFERROR(INDEX(Структура_ассортимента[Product group name ENG],MATCH(Товары[[#This Row],[SubGroup]],Структура_ассортимента[Subgroup],0)),"")</f>
        <v>Watering, Pumps</v>
      </c>
      <c r="H1594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3135</v>
      </c>
      <c r="Q1594" s="39" t="s">
        <v>4432</v>
      </c>
      <c r="R1594" s="34" t="s">
        <v>3407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7397</v>
      </c>
      <c r="Y1594" s="34" t="s">
        <v>3409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7961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7" t="str">
        <f>IFERROR(INDEX(Структура_ассортимента[SuperCategory],MATCH(Товары[[#This Row],[SubGroup]],Структура_ассортимента[Subgroup],0)),"")</f>
        <v>O</v>
      </c>
      <c r="D1595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7" t="str">
        <f>IFERROR(INDEX(Структура_ассортимента[Product group],MATCH(Товары[[#This Row],[SubGroup]],Структура_ассортимента[Subgroup],0)),"")</f>
        <v>WPU_C</v>
      </c>
      <c r="G1595" s="67" t="str">
        <f>IFERROR(INDEX(Структура_ассортимента[Product group name ENG],MATCH(Товары[[#This Row],[SubGroup]],Структура_ассортимента[Subgroup],0)),"")</f>
        <v>Watering, Pumps</v>
      </c>
      <c r="H1595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3136</v>
      </c>
      <c r="O1595" s="37" t="s">
        <v>7409</v>
      </c>
      <c r="P1595" s="37" t="s">
        <v>7410</v>
      </c>
      <c r="Q1595" s="39" t="s">
        <v>3519</v>
      </c>
      <c r="R1595" s="34" t="s">
        <v>3407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3413</v>
      </c>
      <c r="X1595" s="34" t="s">
        <v>3418</v>
      </c>
      <c r="Y1595" s="34" t="s">
        <v>3409</v>
      </c>
      <c r="Z1595" s="34">
        <v>1</v>
      </c>
      <c r="AA1595" s="34">
        <v>4500</v>
      </c>
      <c r="AB1595" s="34" t="s">
        <v>5303</v>
      </c>
      <c r="AC1595" s="34">
        <v>3800</v>
      </c>
      <c r="AD1595" s="34" t="s">
        <v>7411</v>
      </c>
      <c r="AE1595" s="34" t="s">
        <v>3864</v>
      </c>
      <c r="AF1595" s="34" t="s">
        <v>4124</v>
      </c>
      <c r="AG1595" s="34" t="s">
        <v>3422</v>
      </c>
      <c r="AH1595" s="34" t="s">
        <v>7412</v>
      </c>
      <c r="AL1595" s="34" t="s">
        <v>7413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7" t="str">
        <f>IFERROR(INDEX(Структура_ассортимента[SuperCategory],MATCH(Товары[[#This Row],[SubGroup]],Структура_ассортимента[Subgroup],0)),"")</f>
        <v>O</v>
      </c>
      <c r="D1596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7" t="str">
        <f>IFERROR(INDEX(Структура_ассортимента[Product group],MATCH(Товары[[#This Row],[SubGroup]],Структура_ассортимента[Subgroup],0)),"")</f>
        <v>WPU_C</v>
      </c>
      <c r="G1596" s="67" t="str">
        <f>IFERROR(INDEX(Структура_ассортимента[Product group name ENG],MATCH(Товары[[#This Row],[SubGroup]],Структура_ассортимента[Subgroup],0)),"")</f>
        <v>Watering, Pumps</v>
      </c>
      <c r="H1596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3137</v>
      </c>
      <c r="Q1596" s="39" t="s">
        <v>3411</v>
      </c>
      <c r="R1596" s="34" t="s">
        <v>3407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7414</v>
      </c>
      <c r="Y1596" s="34" t="s">
        <v>3409</v>
      </c>
      <c r="Z1596" s="34">
        <v>1</v>
      </c>
      <c r="AL1596" s="34">
        <v>12</v>
      </c>
      <c r="AM1596" s="34" t="s">
        <v>7961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7" t="str">
        <f>IFERROR(INDEX(Структура_ассортимента[SuperCategory],MATCH(Товары[[#This Row],[SubGroup]],Структура_ассортимента[Subgroup],0)),"")</f>
        <v>O</v>
      </c>
      <c r="D1597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7" t="str">
        <f>IFERROR(INDEX(Структура_ассортимента[Product group],MATCH(Товары[[#This Row],[SubGroup]],Структура_ассортимента[Subgroup],0)),"")</f>
        <v>WPU_C</v>
      </c>
      <c r="G1597" s="67" t="str">
        <f>IFERROR(INDEX(Структура_ассортимента[Product group name ENG],MATCH(Товары[[#This Row],[SubGroup]],Структура_ассортимента[Subgroup],0)),"")</f>
        <v>Watering, Pumps</v>
      </c>
      <c r="H1597" s="67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3138</v>
      </c>
      <c r="Q1597" s="39" t="s">
        <v>3411</v>
      </c>
      <c r="R1597" s="34" t="s">
        <v>3407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7414</v>
      </c>
      <c r="Y1597" s="34" t="s">
        <v>3409</v>
      </c>
      <c r="Z1597" s="34">
        <v>1</v>
      </c>
      <c r="AM1597" s="34" t="s">
        <v>7961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7" t="str">
        <f>IFERROR(INDEX(Структура_ассортимента[SuperCategory],MATCH(Товары[[#This Row],[SubGroup]],Структура_ассортимента[Subgroup],0)),"")</f>
        <v>O</v>
      </c>
      <c r="D1598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7" t="str">
        <f>IFERROR(INDEX(Структура_ассортимента[Product group],MATCH(Товары[[#This Row],[SubGroup]],Структура_ассортимента[Subgroup],0)),"")</f>
        <v>WPU_P</v>
      </c>
      <c r="G1598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3139</v>
      </c>
      <c r="O1598" s="37" t="s">
        <v>7415</v>
      </c>
      <c r="P1598" s="37" t="s">
        <v>7416</v>
      </c>
      <c r="Q1598" s="39" t="s">
        <v>3416</v>
      </c>
      <c r="R1598" s="34" t="s">
        <v>3407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3413</v>
      </c>
      <c r="X1598" s="34" t="s">
        <v>3418</v>
      </c>
      <c r="Y1598" s="34" t="s">
        <v>3409</v>
      </c>
      <c r="Z1598" s="34">
        <v>1</v>
      </c>
      <c r="AA1598" s="34" t="s">
        <v>5225</v>
      </c>
      <c r="AB1598" s="34" t="s">
        <v>5304</v>
      </c>
      <c r="AC1598" s="34" t="s">
        <v>4316</v>
      </c>
      <c r="AD1598" s="34" t="s">
        <v>5257</v>
      </c>
      <c r="AE1598" s="34" t="s">
        <v>7417</v>
      </c>
      <c r="AF1598" s="34" t="s">
        <v>4261</v>
      </c>
      <c r="AG1598" s="34" t="s">
        <v>5873</v>
      </c>
      <c r="AH1598" s="34" t="s">
        <v>7418</v>
      </c>
      <c r="AI1598" s="34" t="s">
        <v>3778</v>
      </c>
      <c r="AJ1598" s="34" t="s">
        <v>4895</v>
      </c>
      <c r="AK1598" s="34" t="s">
        <v>3778</v>
      </c>
      <c r="AL1598" s="34" t="s">
        <v>4081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7" t="str">
        <f>IFERROR(INDEX(Структура_ассортимента[SuperCategory],MATCH(Товары[[#This Row],[SubGroup]],Структура_ассортимента[Subgroup],0)),"")</f>
        <v>O</v>
      </c>
      <c r="D1599" s="211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1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7" t="str">
        <f>IFERROR(INDEX(Структура_ассортимента[Product group],MATCH(Товары[[#This Row],[SubGroup]],Структура_ассортимента[Subgroup],0)),"")</f>
        <v>WPU_P</v>
      </c>
      <c r="G1599" s="67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7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3140</v>
      </c>
      <c r="O1599" s="37" t="s">
        <v>7419</v>
      </c>
      <c r="P1599" s="37" t="s">
        <v>7420</v>
      </c>
      <c r="Q1599" s="39" t="s">
        <v>3416</v>
      </c>
      <c r="R1599" s="34" t="s">
        <v>3407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3413</v>
      </c>
      <c r="X1599" s="34" t="s">
        <v>3418</v>
      </c>
      <c r="Y1599" s="34" t="s">
        <v>3409</v>
      </c>
      <c r="Z1599" s="34">
        <v>1</v>
      </c>
      <c r="AA1599" s="34" t="s">
        <v>5463</v>
      </c>
      <c r="AB1599" s="34" t="s">
        <v>7421</v>
      </c>
      <c r="AC1599" s="34" t="s">
        <v>5451</v>
      </c>
      <c r="AD1599" s="34" t="s">
        <v>5463</v>
      </c>
      <c r="AE1599" s="34" t="s">
        <v>7417</v>
      </c>
      <c r="AF1599" s="34" t="s">
        <v>4261</v>
      </c>
      <c r="AG1599" s="34" t="s">
        <v>3639</v>
      </c>
      <c r="AH1599" s="34" t="s">
        <v>7422</v>
      </c>
      <c r="AI1599" s="34" t="s">
        <v>3778</v>
      </c>
      <c r="AJ1599" s="34" t="s">
        <v>4306</v>
      </c>
      <c r="AK1599" s="34" t="s">
        <v>3778</v>
      </c>
      <c r="AL1599" s="34" t="s">
        <v>4081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7" t="str">
        <f>IFERROR(INDEX(Структура_ассортимента[SuperCategory],MATCH(Товары[[#This Row],[SubGroup]],Структура_ассортимента[Subgroup],0)),"")</f>
        <v>W</v>
      </c>
      <c r="D16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7" t="str">
        <f>IFERROR(INDEX(Структура_ассортимента[Product group],MATCH(Товары[[#This Row],[SubGroup]],Структура_ассортимента[Subgroup],0)),"")</f>
        <v>WSS_C</v>
      </c>
      <c r="G16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3141</v>
      </c>
      <c r="Q1600" s="39" t="s">
        <v>4431</v>
      </c>
      <c r="R1600" s="34" t="s">
        <v>3407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3410</v>
      </c>
      <c r="Y1600" s="34" t="s">
        <v>3409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7961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7" t="str">
        <f>IFERROR(INDEX(Структура_ассортимента[SuperCategory],MATCH(Товары[[#This Row],[SubGroup]],Структура_ассортимента[Subgroup],0)),"")</f>
        <v>W</v>
      </c>
      <c r="D16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7" t="str">
        <f>IFERROR(INDEX(Структура_ассортимента[Product group],MATCH(Товары[[#This Row],[SubGroup]],Структура_ассортимента[Subgroup],0)),"")</f>
        <v>WSC_C</v>
      </c>
      <c r="G160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3142</v>
      </c>
      <c r="O1601" s="37" t="s">
        <v>7423</v>
      </c>
      <c r="P1601" s="37" t="s">
        <v>7424</v>
      </c>
      <c r="Q1601" s="39" t="s">
        <v>3519</v>
      </c>
      <c r="R1601" s="34" t="s">
        <v>3407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3417</v>
      </c>
      <c r="X1601" s="34" t="s">
        <v>3418</v>
      </c>
      <c r="Y1601" s="34" t="s">
        <v>3409</v>
      </c>
      <c r="Z1601" s="34">
        <v>2</v>
      </c>
      <c r="AA1601" s="34" t="s">
        <v>3595</v>
      </c>
      <c r="AB1601" s="34" t="s">
        <v>3595</v>
      </c>
      <c r="AC1601" s="34" t="s">
        <v>3987</v>
      </c>
      <c r="AD1601" s="34" t="s">
        <v>3987</v>
      </c>
      <c r="AE1601" s="34" t="s">
        <v>3977</v>
      </c>
      <c r="AF1601" s="34" t="s">
        <v>4020</v>
      </c>
      <c r="AG1601" s="34" t="s">
        <v>3668</v>
      </c>
      <c r="AH1601" s="34" t="s">
        <v>7425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7" t="str">
        <f>IFERROR(INDEX(Структура_ассортимента[SuperCategory],MATCH(Товары[[#This Row],[SubGroup]],Структура_ассортимента[Subgroup],0)),"")</f>
        <v>W</v>
      </c>
      <c r="D16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7" t="str">
        <f>IFERROR(INDEX(Структура_ассортимента[Product group],MATCH(Товары[[#This Row],[SubGroup]],Структура_ассортимента[Subgroup],0)),"")</f>
        <v>WSC_C</v>
      </c>
      <c r="G160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3143</v>
      </c>
      <c r="O1602" s="37" t="s">
        <v>7426</v>
      </c>
      <c r="P1602" s="37" t="s">
        <v>7427</v>
      </c>
      <c r="Q1602" s="39" t="s">
        <v>3519</v>
      </c>
      <c r="R1602" s="34" t="s">
        <v>3407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3410</v>
      </c>
      <c r="X1602" s="34" t="s">
        <v>3446</v>
      </c>
      <c r="Y1602" s="34" t="s">
        <v>3409</v>
      </c>
      <c r="Z1602" s="34">
        <v>2</v>
      </c>
      <c r="AA1602" s="34" t="s">
        <v>7428</v>
      </c>
      <c r="AB1602" s="34" t="s">
        <v>7428</v>
      </c>
      <c r="AC1602" s="34" t="s">
        <v>7429</v>
      </c>
      <c r="AD1602" s="34" t="s">
        <v>7429</v>
      </c>
      <c r="AE1602" s="34" t="s">
        <v>5480</v>
      </c>
      <c r="AF1602" s="34" t="s">
        <v>4873</v>
      </c>
      <c r="AG1602" s="34" t="s">
        <v>3579</v>
      </c>
      <c r="AH1602" s="34" t="s">
        <v>7430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7" t="str">
        <f>IFERROR(INDEX(Структура_ассортимента[SuperCategory],MATCH(Товары[[#This Row],[SubGroup]],Структура_ассортимента[Subgroup],0)),"")</f>
        <v>W</v>
      </c>
      <c r="D16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7" t="str">
        <f>IFERROR(INDEX(Структура_ассортимента[Product group],MATCH(Товары[[#This Row],[SubGroup]],Структура_ассортимента[Subgroup],0)),"")</f>
        <v>WSC_C</v>
      </c>
      <c r="G160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3144</v>
      </c>
      <c r="O1603" s="37" t="s">
        <v>7431</v>
      </c>
      <c r="P1603" s="37" t="s">
        <v>7432</v>
      </c>
      <c r="Q1603" s="39" t="s">
        <v>3416</v>
      </c>
      <c r="R1603" s="34" t="s">
        <v>3407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3414</v>
      </c>
      <c r="X1603" s="34" t="s">
        <v>3571</v>
      </c>
      <c r="Y1603" s="34" t="s">
        <v>3409</v>
      </c>
      <c r="Z1603" s="34">
        <v>2</v>
      </c>
      <c r="AA1603" s="34" t="s">
        <v>7433</v>
      </c>
      <c r="AB1603" s="34" t="s">
        <v>7433</v>
      </c>
      <c r="AC1603" s="34" t="s">
        <v>3465</v>
      </c>
      <c r="AD1603" s="34" t="s">
        <v>3465</v>
      </c>
      <c r="AE1603" s="34" t="s">
        <v>3864</v>
      </c>
      <c r="AF1603" s="34" t="s">
        <v>4087</v>
      </c>
      <c r="AG1603" s="34" t="s">
        <v>4953</v>
      </c>
      <c r="AH1603" s="34" t="s">
        <v>7434</v>
      </c>
      <c r="AI1603" s="34" t="s">
        <v>3631</v>
      </c>
      <c r="AJ1603" s="34" t="s">
        <v>5376</v>
      </c>
      <c r="AK1603" s="34" t="s">
        <v>4953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7" t="str">
        <f>IFERROR(INDEX(Структура_ассортимента[SuperCategory],MATCH(Товары[[#This Row],[SubGroup]],Структура_ассортимента[Subgroup],0)),"")</f>
        <v>W</v>
      </c>
      <c r="D16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7" t="str">
        <f>IFERROR(INDEX(Структура_ассортимента[Product group],MATCH(Товары[[#This Row],[SubGroup]],Структура_ассортимента[Subgroup],0)),"")</f>
        <v>WSC_C</v>
      </c>
      <c r="G160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3145</v>
      </c>
      <c r="O1604" s="37" t="s">
        <v>7435</v>
      </c>
      <c r="P1604" s="37" t="s">
        <v>7436</v>
      </c>
      <c r="Q1604" s="39" t="s">
        <v>3519</v>
      </c>
      <c r="R1604" s="34" t="s">
        <v>3407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3417</v>
      </c>
      <c r="X1604" s="34" t="s">
        <v>7437</v>
      </c>
      <c r="Y1604" s="34" t="s">
        <v>3409</v>
      </c>
      <c r="Z1604" s="34">
        <v>2</v>
      </c>
      <c r="AA1604" s="34" t="s">
        <v>3537</v>
      </c>
      <c r="AB1604" s="34" t="s">
        <v>3537</v>
      </c>
      <c r="AC1604" s="34" t="s">
        <v>3968</v>
      </c>
      <c r="AD1604" s="34" t="s">
        <v>3968</v>
      </c>
      <c r="AE1604" s="34" t="s">
        <v>3733</v>
      </c>
      <c r="AF1604" s="34" t="s">
        <v>4335</v>
      </c>
      <c r="AG1604" s="34" t="s">
        <v>3733</v>
      </c>
      <c r="AH1604" s="34" t="s">
        <v>7438</v>
      </c>
      <c r="AI1604" s="34" t="s">
        <v>3433</v>
      </c>
      <c r="AJ1604" s="34" t="s">
        <v>4372</v>
      </c>
      <c r="AK1604" s="34" t="s">
        <v>3667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7" t="str">
        <f>IFERROR(INDEX(Структура_ассортимента[SuperCategory],MATCH(Товары[[#This Row],[SubGroup]],Структура_ассортимента[Subgroup],0)),"")</f>
        <v>W</v>
      </c>
      <c r="D16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7" t="str">
        <f>IFERROR(INDEX(Структура_ассортимента[Product group],MATCH(Товары[[#This Row],[SubGroup]],Структура_ассортимента[Subgroup],0)),"")</f>
        <v>WSC_C</v>
      </c>
      <c r="G160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3146</v>
      </c>
      <c r="O1605" s="37" t="s">
        <v>7439</v>
      </c>
      <c r="P1605" s="37" t="s">
        <v>7440</v>
      </c>
      <c r="Q1605" s="39" t="s">
        <v>3519</v>
      </c>
      <c r="R1605" s="34" t="s">
        <v>3407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3410</v>
      </c>
      <c r="X1605" s="34" t="s">
        <v>3446</v>
      </c>
      <c r="Y1605" s="34" t="s">
        <v>3409</v>
      </c>
      <c r="Z1605" s="34">
        <v>2</v>
      </c>
      <c r="AA1605" s="34" t="s">
        <v>4540</v>
      </c>
      <c r="AB1605" s="34" t="s">
        <v>4540</v>
      </c>
      <c r="AC1605" s="34" t="s">
        <v>3751</v>
      </c>
      <c r="AD1605" s="34" t="s">
        <v>3751</v>
      </c>
      <c r="AE1605" s="34" t="s">
        <v>4251</v>
      </c>
      <c r="AF1605" s="34" t="s">
        <v>3870</v>
      </c>
      <c r="AG1605" s="34" t="s">
        <v>4139</v>
      </c>
      <c r="AH1605" s="34" t="s">
        <v>7441</v>
      </c>
      <c r="AI1605" s="34" t="s">
        <v>4596</v>
      </c>
      <c r="AJ1605" s="34" t="s">
        <v>3845</v>
      </c>
      <c r="AK1605" s="34" t="s">
        <v>4776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7" t="str">
        <f>IFERROR(INDEX(Структура_ассортимента[SuperCategory],MATCH(Товары[[#This Row],[SubGroup]],Структура_ассортимента[Subgroup],0)),"")</f>
        <v>W</v>
      </c>
      <c r="D16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7" t="str">
        <f>IFERROR(INDEX(Структура_ассортимента[Product group],MATCH(Товары[[#This Row],[SubGroup]],Структура_ассортимента[Subgroup],0)),"")</f>
        <v>WSC_C</v>
      </c>
      <c r="G160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3147</v>
      </c>
      <c r="O1606" s="37" t="s">
        <v>7442</v>
      </c>
      <c r="P1606" s="37" t="s">
        <v>7443</v>
      </c>
      <c r="Q1606" s="39" t="s">
        <v>3416</v>
      </c>
      <c r="R1606" s="34" t="s">
        <v>3407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3410</v>
      </c>
      <c r="X1606" s="34" t="s">
        <v>3446</v>
      </c>
      <c r="Y1606" s="34" t="s">
        <v>3409</v>
      </c>
      <c r="Z1606" s="34">
        <v>2</v>
      </c>
      <c r="AA1606" s="34" t="s">
        <v>4068</v>
      </c>
      <c r="AB1606" s="34" t="s">
        <v>4068</v>
      </c>
      <c r="AC1606" s="34" t="s">
        <v>4238</v>
      </c>
      <c r="AD1606" s="34" t="s">
        <v>4238</v>
      </c>
      <c r="AE1606" s="34" t="s">
        <v>3703</v>
      </c>
      <c r="AF1606" s="34" t="s">
        <v>3744</v>
      </c>
      <c r="AG1606" s="34" t="s">
        <v>3977</v>
      </c>
      <c r="AH1606" s="34" t="s">
        <v>7444</v>
      </c>
      <c r="AI1606" s="34" t="s">
        <v>3447</v>
      </c>
      <c r="AJ1606" s="34" t="s">
        <v>5786</v>
      </c>
      <c r="AK1606" s="34" t="s">
        <v>3851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7" t="str">
        <f>IFERROR(INDEX(Структура_ассортимента[SuperCategory],MATCH(Товары[[#This Row],[SubGroup]],Структура_ассортимента[Subgroup],0)),"")</f>
        <v>W</v>
      </c>
      <c r="D16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7" t="str">
        <f>IFERROR(INDEX(Структура_ассортимента[Product group],MATCH(Товары[[#This Row],[SubGroup]],Структура_ассортимента[Subgroup],0)),"")</f>
        <v>WSC_C</v>
      </c>
      <c r="G160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3148</v>
      </c>
      <c r="O1607" s="37" t="s">
        <v>7445</v>
      </c>
      <c r="P1607" s="37" t="s">
        <v>7446</v>
      </c>
      <c r="Q1607" s="39" t="s">
        <v>3416</v>
      </c>
      <c r="R1607" s="34" t="s">
        <v>3407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3410</v>
      </c>
      <c r="X1607" s="34" t="s">
        <v>3446</v>
      </c>
      <c r="Y1607" s="34" t="s">
        <v>3409</v>
      </c>
      <c r="Z1607" s="34">
        <v>2</v>
      </c>
      <c r="AA1607" s="34" t="s">
        <v>4925</v>
      </c>
      <c r="AB1607" s="34" t="s">
        <v>4925</v>
      </c>
      <c r="AC1607" s="34" t="s">
        <v>7447</v>
      </c>
      <c r="AD1607" s="34" t="s">
        <v>7447</v>
      </c>
      <c r="AE1607" s="34" t="s">
        <v>4915</v>
      </c>
      <c r="AF1607" s="34" t="s">
        <v>3522</v>
      </c>
      <c r="AG1607" s="34" t="s">
        <v>4124</v>
      </c>
      <c r="AH1607" s="34" t="s">
        <v>7448</v>
      </c>
      <c r="AI1607" s="34" t="s">
        <v>3551</v>
      </c>
      <c r="AJ1607" s="34" t="s">
        <v>5786</v>
      </c>
      <c r="AK1607" s="34" t="s">
        <v>4808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7" t="str">
        <f>IFERROR(INDEX(Структура_ассортимента[SuperCategory],MATCH(Товары[[#This Row],[SubGroup]],Структура_ассортимента[Subgroup],0)),"")</f>
        <v>W</v>
      </c>
      <c r="D16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7" t="str">
        <f>IFERROR(INDEX(Структура_ассортимента[Product group],MATCH(Товары[[#This Row],[SubGroup]],Структура_ассортимента[Subgroup],0)),"")</f>
        <v>WSC_C</v>
      </c>
      <c r="G160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3149</v>
      </c>
      <c r="Q1608" s="39" t="s">
        <v>3580</v>
      </c>
      <c r="R1608" s="34" t="s">
        <v>3407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3410</v>
      </c>
      <c r="Y1608" s="34" t="s">
        <v>3409</v>
      </c>
      <c r="Z1608" s="34">
        <v>2</v>
      </c>
      <c r="AA1608" s="34" t="s">
        <v>4925</v>
      </c>
      <c r="AB1608" s="34" t="s">
        <v>4925</v>
      </c>
      <c r="AC1608" s="34" t="s">
        <v>7447</v>
      </c>
      <c r="AD1608" s="34" t="s">
        <v>7447</v>
      </c>
      <c r="AE1608" s="34" t="s">
        <v>4915</v>
      </c>
      <c r="AF1608" s="34" t="s">
        <v>3522</v>
      </c>
      <c r="AG1608" s="34" t="s">
        <v>4124</v>
      </c>
      <c r="AH1608" s="34" t="s">
        <v>7448</v>
      </c>
      <c r="AL1608" s="34">
        <v>24</v>
      </c>
      <c r="AM1608" s="34" t="s">
        <v>7961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7" t="str">
        <f>IFERROR(INDEX(Структура_ассортимента[SuperCategory],MATCH(Товары[[#This Row],[SubGroup]],Структура_ассортимента[Subgroup],0)),"")</f>
        <v>W</v>
      </c>
      <c r="D16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7" t="str">
        <f>IFERROR(INDEX(Структура_ассортимента[Product group],MATCH(Товары[[#This Row],[SubGroup]],Структура_ассортимента[Subgroup],0)),"")</f>
        <v>WSC_C</v>
      </c>
      <c r="G160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3150</v>
      </c>
      <c r="O1609" s="37" t="s">
        <v>7449</v>
      </c>
      <c r="P1609" s="37" t="s">
        <v>7450</v>
      </c>
      <c r="Q1609" s="39" t="s">
        <v>3416</v>
      </c>
      <c r="R1609" s="34" t="s">
        <v>3407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3410</v>
      </c>
      <c r="X1609" s="34" t="s">
        <v>3446</v>
      </c>
      <c r="Y1609" s="34" t="s">
        <v>3409</v>
      </c>
      <c r="Z1609" s="34">
        <v>4</v>
      </c>
      <c r="AA1609" s="34" t="s">
        <v>4409</v>
      </c>
      <c r="AB1609" s="34" t="s">
        <v>4409</v>
      </c>
      <c r="AC1609" s="34" t="s">
        <v>4540</v>
      </c>
      <c r="AD1609" s="34" t="s">
        <v>4540</v>
      </c>
      <c r="AE1609" s="34" t="s">
        <v>3478</v>
      </c>
      <c r="AF1609" s="34" t="s">
        <v>3870</v>
      </c>
      <c r="AG1609" s="34" t="s">
        <v>5534</v>
      </c>
      <c r="AH1609" s="34" t="s">
        <v>7451</v>
      </c>
      <c r="AI1609" s="34" t="s">
        <v>3433</v>
      </c>
      <c r="AJ1609" s="34" t="s">
        <v>3427</v>
      </c>
      <c r="AK1609" s="34" t="s">
        <v>3667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7" t="str">
        <f>IFERROR(INDEX(Структура_ассортимента[SuperCategory],MATCH(Товары[[#This Row],[SubGroup]],Структура_ассортимента[Subgroup],0)),"")</f>
        <v>W</v>
      </c>
      <c r="D16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7" t="str">
        <f>IFERROR(INDEX(Структура_ассортимента[Product group],MATCH(Товары[[#This Row],[SubGroup]],Структура_ассортимента[Subgroup],0)),"")</f>
        <v>WSC_C</v>
      </c>
      <c r="G161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3151</v>
      </c>
      <c r="O1610" s="37" t="s">
        <v>7452</v>
      </c>
      <c r="P1610" s="37" t="s">
        <v>7453</v>
      </c>
      <c r="Q1610" s="39" t="s">
        <v>3416</v>
      </c>
      <c r="R1610" s="34" t="s">
        <v>3407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3417</v>
      </c>
      <c r="X1610" s="34" t="s">
        <v>3446</v>
      </c>
      <c r="Y1610" s="34" t="s">
        <v>3409</v>
      </c>
      <c r="Z1610" s="34">
        <v>4</v>
      </c>
      <c r="AA1610" s="34" t="s">
        <v>7454</v>
      </c>
      <c r="AB1610" s="34" t="s">
        <v>7454</v>
      </c>
      <c r="AC1610" s="34" t="s">
        <v>4238</v>
      </c>
      <c r="AD1610" s="34" t="s">
        <v>4238</v>
      </c>
      <c r="AE1610" s="34" t="s">
        <v>4895</v>
      </c>
      <c r="AF1610" s="34" t="s">
        <v>3761</v>
      </c>
      <c r="AG1610" s="34" t="s">
        <v>4339</v>
      </c>
      <c r="AH1610" s="34" t="s">
        <v>7455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7" t="str">
        <f>IFERROR(INDEX(Структура_ассортимента[SuperCategory],MATCH(Товары[[#This Row],[SubGroup]],Структура_ассортимента[Subgroup],0)),"")</f>
        <v>W</v>
      </c>
      <c r="D16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7" t="str">
        <f>IFERROR(INDEX(Структура_ассортимента[Product group],MATCH(Товары[[#This Row],[SubGroup]],Структура_ассортимента[Subgroup],0)),"")</f>
        <v>WSC_C</v>
      </c>
      <c r="G161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3152</v>
      </c>
      <c r="O1611" s="37" t="s">
        <v>7456</v>
      </c>
      <c r="P1611" s="37" t="s">
        <v>7457</v>
      </c>
      <c r="Q1611" s="39" t="s">
        <v>3416</v>
      </c>
      <c r="R1611" s="34" t="s">
        <v>3407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3410</v>
      </c>
      <c r="X1611" s="34" t="s">
        <v>3446</v>
      </c>
      <c r="Y1611" s="34" t="s">
        <v>3409</v>
      </c>
      <c r="Z1611" s="34">
        <v>4</v>
      </c>
      <c r="AA1611" s="34" t="s">
        <v>5470</v>
      </c>
      <c r="AB1611" s="34" t="s">
        <v>5470</v>
      </c>
      <c r="AC1611" s="34" t="s">
        <v>5496</v>
      </c>
      <c r="AD1611" s="34" t="s">
        <v>5496</v>
      </c>
      <c r="AE1611" s="34" t="s">
        <v>3560</v>
      </c>
      <c r="AF1611" s="34" t="s">
        <v>3443</v>
      </c>
      <c r="AG1611" s="34" t="s">
        <v>3791</v>
      </c>
      <c r="AH1611" s="34" t="s">
        <v>7458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7" t="str">
        <f>IFERROR(INDEX(Структура_ассортимента[SuperCategory],MATCH(Товары[[#This Row],[SubGroup]],Структура_ассортимента[Subgroup],0)),"")</f>
        <v>W</v>
      </c>
      <c r="D16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7" t="str">
        <f>IFERROR(INDEX(Структура_ассортимента[Product group],MATCH(Товары[[#This Row],[SubGroup]],Структура_ассортимента[Subgroup],0)),"")</f>
        <v>WSC_C</v>
      </c>
      <c r="G161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3153</v>
      </c>
      <c r="O1612" s="37" t="s">
        <v>7459</v>
      </c>
      <c r="P1612" s="37" t="s">
        <v>7460</v>
      </c>
      <c r="Q1612" s="39" t="s">
        <v>3416</v>
      </c>
      <c r="R1612" s="34" t="s">
        <v>3407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3417</v>
      </c>
      <c r="X1612" s="34" t="s">
        <v>3418</v>
      </c>
      <c r="Y1612" s="34" t="s">
        <v>3409</v>
      </c>
      <c r="Z1612" s="34">
        <v>2</v>
      </c>
      <c r="AA1612" s="34" t="s">
        <v>7461</v>
      </c>
      <c r="AB1612" s="34" t="s">
        <v>7461</v>
      </c>
      <c r="AC1612" s="34" t="s">
        <v>4397</v>
      </c>
      <c r="AD1612" s="34" t="s">
        <v>4397</v>
      </c>
      <c r="AE1612" s="34" t="s">
        <v>5786</v>
      </c>
      <c r="AF1612" s="34" t="s">
        <v>4115</v>
      </c>
      <c r="AG1612" s="34" t="s">
        <v>3620</v>
      </c>
      <c r="AH1612" s="34" t="s">
        <v>7462</v>
      </c>
      <c r="AI1612" s="34" t="s">
        <v>3822</v>
      </c>
      <c r="AJ1612" s="34" t="s">
        <v>3778</v>
      </c>
      <c r="AK1612" s="34" t="s">
        <v>3539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7" t="str">
        <f>IFERROR(INDEX(Структура_ассортимента[SuperCategory],MATCH(Товары[[#This Row],[SubGroup]],Структура_ассортимента[Subgroup],0)),"")</f>
        <v>W</v>
      </c>
      <c r="D16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7" t="str">
        <f>IFERROR(INDEX(Структура_ассортимента[Product group],MATCH(Товары[[#This Row],[SubGroup]],Структура_ассортимента[Subgroup],0)),"")</f>
        <v>WSC_C</v>
      </c>
      <c r="G161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3154</v>
      </c>
      <c r="O1613" s="37" t="s">
        <v>7463</v>
      </c>
      <c r="P1613" s="37" t="s">
        <v>7464</v>
      </c>
      <c r="Q1613" s="39" t="s">
        <v>3416</v>
      </c>
      <c r="R1613" s="34" t="s">
        <v>3407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3410</v>
      </c>
      <c r="X1613" s="34" t="s">
        <v>3446</v>
      </c>
      <c r="Y1613" s="34" t="s">
        <v>3409</v>
      </c>
      <c r="Z1613" s="34">
        <v>2</v>
      </c>
      <c r="AA1613" s="34" t="s">
        <v>4014</v>
      </c>
      <c r="AB1613" s="34" t="s">
        <v>4014</v>
      </c>
      <c r="AC1613" s="34" t="s">
        <v>4008</v>
      </c>
      <c r="AD1613" s="34" t="s">
        <v>4008</v>
      </c>
      <c r="AE1613" s="34" t="s">
        <v>3457</v>
      </c>
      <c r="AF1613" s="34" t="s">
        <v>4258</v>
      </c>
      <c r="AG1613" s="34" t="s">
        <v>3964</v>
      </c>
      <c r="AH1613" s="34" t="s">
        <v>7465</v>
      </c>
      <c r="AI1613" s="34" t="s">
        <v>3483</v>
      </c>
      <c r="AJ1613" s="34" t="s">
        <v>4776</v>
      </c>
      <c r="AK1613" s="34" t="s">
        <v>3578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7" t="str">
        <f>IFERROR(INDEX(Структура_ассортимента[SuperCategory],MATCH(Товары[[#This Row],[SubGroup]],Структура_ассортимента[Subgroup],0)),"")</f>
        <v>W</v>
      </c>
      <c r="D16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7" t="str">
        <f>IFERROR(INDEX(Структура_ассортимента[Product group],MATCH(Товары[[#This Row],[SubGroup]],Структура_ассортимента[Subgroup],0)),"")</f>
        <v>WSC_C</v>
      </c>
      <c r="G161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3155</v>
      </c>
      <c r="O1614" s="37" t="s">
        <v>7466</v>
      </c>
      <c r="P1614" s="37" t="s">
        <v>7467</v>
      </c>
      <c r="Q1614" s="39" t="s">
        <v>3416</v>
      </c>
      <c r="R1614" s="34" t="s">
        <v>3407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3410</v>
      </c>
      <c r="X1614" s="34" t="s">
        <v>3446</v>
      </c>
      <c r="Y1614" s="34" t="s">
        <v>3409</v>
      </c>
      <c r="Z1614" s="34">
        <v>2</v>
      </c>
      <c r="AA1614" s="34" t="s">
        <v>4104</v>
      </c>
      <c r="AB1614" s="34" t="s">
        <v>4104</v>
      </c>
      <c r="AC1614" s="34" t="s">
        <v>3489</v>
      </c>
      <c r="AD1614" s="34" t="s">
        <v>3489</v>
      </c>
      <c r="AE1614" s="34" t="s">
        <v>3692</v>
      </c>
      <c r="AF1614" s="34" t="s">
        <v>3826</v>
      </c>
      <c r="AG1614" s="34" t="s">
        <v>3770</v>
      </c>
      <c r="AH1614" s="34" t="s">
        <v>7468</v>
      </c>
      <c r="AI1614" s="34" t="s">
        <v>5332</v>
      </c>
      <c r="AJ1614" s="34" t="s">
        <v>6722</v>
      </c>
      <c r="AK1614" s="34" t="s">
        <v>4455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7" t="str">
        <f>IFERROR(INDEX(Структура_ассортимента[SuperCategory],MATCH(Товары[[#This Row],[SubGroup]],Структура_ассортимента[Subgroup],0)),"")</f>
        <v>W</v>
      </c>
      <c r="D16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7" t="str">
        <f>IFERROR(INDEX(Структура_ассортимента[Product group],MATCH(Товары[[#This Row],[SubGroup]],Структура_ассортимента[Subgroup],0)),"")</f>
        <v>WSC_C</v>
      </c>
      <c r="G161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3156</v>
      </c>
      <c r="O1615" s="37" t="s">
        <v>7469</v>
      </c>
      <c r="P1615" s="37" t="s">
        <v>7470</v>
      </c>
      <c r="Q1615" s="39" t="s">
        <v>3416</v>
      </c>
      <c r="R1615" s="34" t="s">
        <v>3407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3410</v>
      </c>
      <c r="X1615" s="34" t="s">
        <v>3446</v>
      </c>
      <c r="Y1615" s="34" t="s">
        <v>3409</v>
      </c>
      <c r="Z1615" s="34">
        <v>2</v>
      </c>
      <c r="AB1615" s="34" t="s">
        <v>4582</v>
      </c>
      <c r="AD1615" s="34" t="s">
        <v>4531</v>
      </c>
      <c r="AE1615" s="34" t="s">
        <v>4953</v>
      </c>
      <c r="AF1615" s="34" t="s">
        <v>5376</v>
      </c>
      <c r="AG1615" s="34" t="s">
        <v>4547</v>
      </c>
      <c r="AH1615" s="34" t="s">
        <v>7471</v>
      </c>
      <c r="AI1615" s="34" t="s">
        <v>3442</v>
      </c>
      <c r="AJ1615" s="34" t="s">
        <v>3778</v>
      </c>
      <c r="AK1615" s="34" t="s">
        <v>3483</v>
      </c>
      <c r="AL1615" s="34" t="s">
        <v>7472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7" t="str">
        <f>IFERROR(INDEX(Структура_ассортимента[SuperCategory],MATCH(Товары[[#This Row],[SubGroup]],Структура_ассортимента[Subgroup],0)),"")</f>
        <v>W</v>
      </c>
      <c r="D16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7" t="str">
        <f>IFERROR(INDEX(Структура_ассортимента[Product group],MATCH(Товары[[#This Row],[SubGroup]],Структура_ассортимента[Subgroup],0)),"")</f>
        <v>WSC_C</v>
      </c>
      <c r="G161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3157</v>
      </c>
      <c r="Q1616" s="39" t="s">
        <v>3580</v>
      </c>
      <c r="R1616" s="34" t="s">
        <v>3407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3410</v>
      </c>
      <c r="Y1616" s="34" t="s">
        <v>3409</v>
      </c>
      <c r="Z1616" s="34">
        <v>24</v>
      </c>
      <c r="AB1616" s="34" t="s">
        <v>7473</v>
      </c>
      <c r="AD1616" s="34" t="s">
        <v>4531</v>
      </c>
      <c r="AE1616" s="34" t="s">
        <v>3442</v>
      </c>
      <c r="AF1616" s="34" t="s">
        <v>3483</v>
      </c>
      <c r="AG1616" s="34" t="s">
        <v>3778</v>
      </c>
      <c r="AH1616" s="34" t="s">
        <v>7474</v>
      </c>
      <c r="AI1616" s="34" t="s">
        <v>3442</v>
      </c>
      <c r="AJ1616" s="34" t="s">
        <v>3778</v>
      </c>
      <c r="AK1616" s="34" t="s">
        <v>3483</v>
      </c>
      <c r="AL1616" s="34" t="s">
        <v>3848</v>
      </c>
      <c r="AM1616" s="34" t="s">
        <v>7961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7" t="str">
        <f>IFERROR(INDEX(Структура_ассортимента[SuperCategory],MATCH(Товары[[#This Row],[SubGroup]],Структура_ассортимента[Subgroup],0)),"")</f>
        <v>W</v>
      </c>
      <c r="D16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7" t="str">
        <f>IFERROR(INDEX(Структура_ассортимента[Product group],MATCH(Товары[[#This Row],[SubGroup]],Структура_ассортимента[Subgroup],0)),"")</f>
        <v>WSC_C</v>
      </c>
      <c r="G161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3158</v>
      </c>
      <c r="O1617" s="37" t="s">
        <v>7475</v>
      </c>
      <c r="P1617" s="37" t="s">
        <v>7476</v>
      </c>
      <c r="Q1617" s="39" t="s">
        <v>3416</v>
      </c>
      <c r="R1617" s="34" t="s">
        <v>3407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3410</v>
      </c>
      <c r="X1617" s="34" t="s">
        <v>3446</v>
      </c>
      <c r="Y1617" s="34" t="s">
        <v>3409</v>
      </c>
      <c r="Z1617" s="34">
        <v>2</v>
      </c>
      <c r="AB1617" s="34" t="s">
        <v>5475</v>
      </c>
      <c r="AD1617" s="34" t="s">
        <v>3489</v>
      </c>
      <c r="AE1617" s="34" t="s">
        <v>4338</v>
      </c>
      <c r="AF1617" s="34" t="s">
        <v>4298</v>
      </c>
      <c r="AG1617" s="34" t="s">
        <v>4325</v>
      </c>
      <c r="AH1617" s="34" t="s">
        <v>7477</v>
      </c>
      <c r="AI1617" s="34" t="s">
        <v>3423</v>
      </c>
      <c r="AJ1617" s="34" t="s">
        <v>3778</v>
      </c>
      <c r="AK1617" s="34" t="s">
        <v>3424</v>
      </c>
      <c r="AL1617" s="34" t="s">
        <v>7472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7" t="str">
        <f>IFERROR(INDEX(Структура_ассортимента[SuperCategory],MATCH(Товары[[#This Row],[SubGroup]],Структура_ассортимента[Subgroup],0)),"")</f>
        <v>W</v>
      </c>
      <c r="D16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7" t="str">
        <f>IFERROR(INDEX(Структура_ассортимента[Product group],MATCH(Товары[[#This Row],[SubGroup]],Структура_ассортимента[Subgroup],0)),"")</f>
        <v>WSC_C</v>
      </c>
      <c r="G161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3159</v>
      </c>
      <c r="O1618" s="37" t="s">
        <v>7478</v>
      </c>
      <c r="P1618" s="37" t="s">
        <v>7479</v>
      </c>
      <c r="Q1618" s="39" t="s">
        <v>3416</v>
      </c>
      <c r="R1618" s="34" t="s">
        <v>3407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3410</v>
      </c>
      <c r="X1618" s="34" t="s">
        <v>3446</v>
      </c>
      <c r="Y1618" s="34" t="s">
        <v>3409</v>
      </c>
      <c r="Z1618" s="34">
        <v>2</v>
      </c>
      <c r="AB1618" s="34" t="s">
        <v>4620</v>
      </c>
      <c r="AD1618" s="34" t="s">
        <v>3728</v>
      </c>
      <c r="AE1618" s="34" t="s">
        <v>7303</v>
      </c>
      <c r="AF1618" s="34" t="s">
        <v>4595</v>
      </c>
      <c r="AG1618" s="34" t="s">
        <v>4509</v>
      </c>
      <c r="AH1618" s="34" t="s">
        <v>7480</v>
      </c>
      <c r="AI1618" s="34" t="s">
        <v>3423</v>
      </c>
      <c r="AJ1618" s="34" t="s">
        <v>3778</v>
      </c>
      <c r="AK1618" s="34" t="s">
        <v>3424</v>
      </c>
      <c r="AL1618" s="34" t="s">
        <v>7472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7" t="str">
        <f>IFERROR(INDEX(Структура_ассортимента[SuperCategory],MATCH(Товары[[#This Row],[SubGroup]],Структура_ассортимента[Subgroup],0)),"")</f>
        <v>W</v>
      </c>
      <c r="D16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7" t="str">
        <f>IFERROR(INDEX(Структура_ассортимента[Product group],MATCH(Товары[[#This Row],[SubGroup]],Структура_ассортимента[Subgroup],0)),"")</f>
        <v>WSC_C</v>
      </c>
      <c r="G161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3160</v>
      </c>
      <c r="Q1619" s="39" t="s">
        <v>3416</v>
      </c>
      <c r="R1619" s="34" t="s">
        <v>3407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3417</v>
      </c>
      <c r="X1619" s="34" t="s">
        <v>3418</v>
      </c>
      <c r="Y1619" s="34" t="s">
        <v>3409</v>
      </c>
      <c r="Z1619" s="34">
        <v>2</v>
      </c>
      <c r="AA1619" s="34" t="s">
        <v>3430</v>
      </c>
      <c r="AB1619" s="34" t="s">
        <v>3430</v>
      </c>
      <c r="AC1619" s="34" t="s">
        <v>4737</v>
      </c>
      <c r="AD1619" s="34" t="s">
        <v>4737</v>
      </c>
      <c r="AE1619" s="34" t="s">
        <v>5786</v>
      </c>
      <c r="AF1619" s="34" t="s">
        <v>4115</v>
      </c>
      <c r="AG1619" s="34" t="s">
        <v>3620</v>
      </c>
      <c r="AH1619" s="34" t="s">
        <v>7462</v>
      </c>
      <c r="AI1619" s="34" t="s">
        <v>4124</v>
      </c>
      <c r="AJ1619" s="34" t="s">
        <v>4455</v>
      </c>
      <c r="AK1619" s="34" t="s">
        <v>4288</v>
      </c>
      <c r="AL1619" s="34">
        <v>200</v>
      </c>
      <c r="AM1619" s="34" t="s">
        <v>7962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7" t="str">
        <f>IFERROR(INDEX(Структура_ассортимента[SuperCategory],MATCH(Товары[[#This Row],[SubGroup]],Структура_ассортимента[Subgroup],0)),"")</f>
        <v>W</v>
      </c>
      <c r="D16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7" t="str">
        <f>IFERROR(INDEX(Структура_ассортимента[Product group],MATCH(Товары[[#This Row],[SubGroup]],Структура_ассортимента[Subgroup],0)),"")</f>
        <v>WSC_C</v>
      </c>
      <c r="G162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3161</v>
      </c>
      <c r="O1620" s="37" t="s">
        <v>7481</v>
      </c>
      <c r="P1620" s="37" t="s">
        <v>7482</v>
      </c>
      <c r="Q1620" s="39" t="s">
        <v>3416</v>
      </c>
      <c r="R1620" s="34" t="s">
        <v>3407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3410</v>
      </c>
      <c r="Y1620" s="34" t="s">
        <v>3409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7" t="str">
        <f>IFERROR(INDEX(Структура_ассортимента[SuperCategory],MATCH(Товары[[#This Row],[SubGroup]],Структура_ассортимента[Subgroup],0)),"")</f>
        <v>W</v>
      </c>
      <c r="D16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7" t="str">
        <f>IFERROR(INDEX(Структура_ассортимента[Product group],MATCH(Товары[[#This Row],[SubGroup]],Структура_ассортимента[Subgroup],0)),"")</f>
        <v>WSC_C</v>
      </c>
      <c r="G162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3162</v>
      </c>
      <c r="O1621" s="37" t="s">
        <v>7483</v>
      </c>
      <c r="P1621" s="37" t="s">
        <v>7484</v>
      </c>
      <c r="Q1621" s="39" t="s">
        <v>3416</v>
      </c>
      <c r="R1621" s="34" t="s">
        <v>3407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3410</v>
      </c>
      <c r="Y1621" s="34" t="s">
        <v>3409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7" t="str">
        <f>IFERROR(INDEX(Структура_ассортимента[SuperCategory],MATCH(Товары[[#This Row],[SubGroup]],Структура_ассортимента[Subgroup],0)),"")</f>
        <v>W</v>
      </c>
      <c r="D16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7" t="str">
        <f>IFERROR(INDEX(Структура_ассортимента[Product group],MATCH(Товары[[#This Row],[SubGroup]],Структура_ассортимента[Subgroup],0)),"")</f>
        <v>WSC_C</v>
      </c>
      <c r="G162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3163</v>
      </c>
      <c r="Q1622" s="39" t="s">
        <v>3416</v>
      </c>
      <c r="R1622" s="34" t="s">
        <v>3407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3417</v>
      </c>
      <c r="X1622" s="34" t="s">
        <v>3774</v>
      </c>
      <c r="Y1622" s="34" t="s">
        <v>3409</v>
      </c>
      <c r="Z1622" s="34">
        <v>1</v>
      </c>
      <c r="AA1622" s="34" t="s">
        <v>4540</v>
      </c>
      <c r="AB1622" s="34" t="s">
        <v>4540</v>
      </c>
      <c r="AC1622" s="34" t="s">
        <v>5028</v>
      </c>
      <c r="AD1622" s="34" t="s">
        <v>5028</v>
      </c>
      <c r="AE1622" s="34" t="s">
        <v>3693</v>
      </c>
      <c r="AF1622" s="34" t="s">
        <v>3693</v>
      </c>
      <c r="AG1622" s="34" t="s">
        <v>3667</v>
      </c>
      <c r="AH1622" s="34" t="s">
        <v>7485</v>
      </c>
      <c r="AL1622" s="34">
        <v>242</v>
      </c>
      <c r="AM1622" s="34" t="s">
        <v>7962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7" t="str">
        <f>IFERROR(INDEX(Структура_ассортимента[SuperCategory],MATCH(Товары[[#This Row],[SubGroup]],Структура_ассортимента[Subgroup],0)),"")</f>
        <v>W</v>
      </c>
      <c r="D16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7" t="str">
        <f>IFERROR(INDEX(Структура_ассортимента[Product group],MATCH(Товары[[#This Row],[SubGroup]],Структура_ассортимента[Subgroup],0)),"")</f>
        <v>WSC_C</v>
      </c>
      <c r="G162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3164</v>
      </c>
      <c r="Q1623" s="39" t="s">
        <v>3416</v>
      </c>
      <c r="R1623" s="34" t="s">
        <v>3407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3417</v>
      </c>
      <c r="X1623" s="34" t="s">
        <v>3774</v>
      </c>
      <c r="Y1623" s="34" t="s">
        <v>3409</v>
      </c>
      <c r="Z1623" s="34">
        <v>1</v>
      </c>
      <c r="AA1623" s="34" t="s">
        <v>5375</v>
      </c>
      <c r="AB1623" s="34" t="s">
        <v>5375</v>
      </c>
      <c r="AC1623" s="34" t="s">
        <v>5375</v>
      </c>
      <c r="AD1623" s="34" t="s">
        <v>5375</v>
      </c>
      <c r="AE1623" s="34" t="s">
        <v>4090</v>
      </c>
      <c r="AF1623" s="34" t="s">
        <v>4758</v>
      </c>
      <c r="AG1623" s="34" t="s">
        <v>4909</v>
      </c>
      <c r="AH1623" s="34" t="s">
        <v>7486</v>
      </c>
      <c r="AL1623" s="34">
        <v>36</v>
      </c>
      <c r="AM1623" s="34" t="s">
        <v>7962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7" t="str">
        <f>IFERROR(INDEX(Структура_ассортимента[SuperCategory],MATCH(Товары[[#This Row],[SubGroup]],Структура_ассортимента[Subgroup],0)),"")</f>
        <v>W</v>
      </c>
      <c r="D16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7" t="str">
        <f>IFERROR(INDEX(Структура_ассортимента[Product group],MATCH(Товары[[#This Row],[SubGroup]],Структура_ассортимента[Subgroup],0)),"")</f>
        <v>WSC_C</v>
      </c>
      <c r="G1624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3165</v>
      </c>
      <c r="O1624" s="37" t="s">
        <v>7426</v>
      </c>
      <c r="P1624" s="37" t="s">
        <v>7487</v>
      </c>
      <c r="Q1624" s="39" t="s">
        <v>3416</v>
      </c>
      <c r="R1624" s="34" t="s">
        <v>3407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3410</v>
      </c>
      <c r="Y1624" s="34" t="s">
        <v>3409</v>
      </c>
      <c r="Z1624" s="34">
        <v>2</v>
      </c>
      <c r="AH1624" s="34" t="s">
        <v>3943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7" t="str">
        <f>IFERROR(INDEX(Структура_ассортимента[SuperCategory],MATCH(Товары[[#This Row],[SubGroup]],Структура_ассортимента[Subgroup],0)),"")</f>
        <v>W</v>
      </c>
      <c r="D16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7" t="str">
        <f>IFERROR(INDEX(Структура_ассортимента[Product group],MATCH(Товары[[#This Row],[SubGroup]],Структура_ассортимента[Subgroup],0)),"")</f>
        <v>WSC_C</v>
      </c>
      <c r="G1625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3166</v>
      </c>
      <c r="O1625" s="37" t="s">
        <v>7488</v>
      </c>
      <c r="P1625" s="37" t="s">
        <v>7489</v>
      </c>
      <c r="Q1625" s="39" t="s">
        <v>3416</v>
      </c>
      <c r="R1625" s="34" t="s">
        <v>3407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3413</v>
      </c>
      <c r="Y1625" s="34" t="s">
        <v>3409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7" t="str">
        <f>IFERROR(INDEX(Структура_ассортимента[SuperCategory],MATCH(Товары[[#This Row],[SubGroup]],Структура_ассортимента[Subgroup],0)),"")</f>
        <v>W</v>
      </c>
      <c r="D16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7" t="str">
        <f>IFERROR(INDEX(Структура_ассортимента[Product group],MATCH(Товары[[#This Row],[SubGroup]],Структура_ассортимента[Subgroup],0)),"")</f>
        <v>WSC_C</v>
      </c>
      <c r="G1626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3167</v>
      </c>
      <c r="Q1626" s="39" t="s">
        <v>3416</v>
      </c>
      <c r="R1626" s="34" t="s">
        <v>3407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3410</v>
      </c>
      <c r="Y1626" s="34" t="s">
        <v>3409</v>
      </c>
      <c r="Z1626" s="34">
        <v>1</v>
      </c>
      <c r="AM1626" s="34" t="s">
        <v>7962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7" t="str">
        <f>IFERROR(INDEX(Структура_ассортимента[SuperCategory],MATCH(Товары[[#This Row],[SubGroup]],Структура_ассортимента[Subgroup],0)),"")</f>
        <v>W</v>
      </c>
      <c r="D16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7" t="str">
        <f>IFERROR(INDEX(Структура_ассортимента[Product group],MATCH(Товары[[#This Row],[SubGroup]],Структура_ассортимента[Subgroup],0)),"")</f>
        <v>WSC_C</v>
      </c>
      <c r="G162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3168</v>
      </c>
      <c r="Q1627" s="39" t="s">
        <v>3416</v>
      </c>
      <c r="R1627" s="34" t="s">
        <v>3407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3410</v>
      </c>
      <c r="Y1627" s="34" t="s">
        <v>3409</v>
      </c>
      <c r="Z1627" s="34">
        <v>10</v>
      </c>
      <c r="AM1627" s="34" t="s">
        <v>7962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7" t="str">
        <f>IFERROR(INDEX(Структура_ассортимента[SuperCategory],MATCH(Товары[[#This Row],[SubGroup]],Структура_ассортимента[Subgroup],0)),"")</f>
        <v>W</v>
      </c>
      <c r="D16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7" t="str">
        <f>IFERROR(INDEX(Структура_ассортимента[Product group],MATCH(Товары[[#This Row],[SubGroup]],Структура_ассортимента[Subgroup],0)),"")</f>
        <v>WSC_C</v>
      </c>
      <c r="G162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3169</v>
      </c>
      <c r="O1628" s="37" t="s">
        <v>7490</v>
      </c>
      <c r="P1628" s="37" t="s">
        <v>7491</v>
      </c>
      <c r="Q1628" s="39" t="s">
        <v>3416</v>
      </c>
      <c r="R1628" s="34" t="s">
        <v>3407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3410</v>
      </c>
      <c r="Y1628" s="34" t="s">
        <v>3409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7" t="str">
        <f>IFERROR(INDEX(Структура_ассортимента[SuperCategory],MATCH(Товары[[#This Row],[SubGroup]],Структура_ассортимента[Subgroup],0)),"")</f>
        <v>W</v>
      </c>
      <c r="D16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7" t="str">
        <f>IFERROR(INDEX(Структура_ассортимента[Product group],MATCH(Товары[[#This Row],[SubGroup]],Структура_ассортимента[Subgroup],0)),"")</f>
        <v>WSC_C</v>
      </c>
      <c r="G162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3170</v>
      </c>
      <c r="Q1629" s="39" t="s">
        <v>3411</v>
      </c>
      <c r="R1629" s="34" t="s">
        <v>3407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3410</v>
      </c>
      <c r="Y1629" s="34" t="s">
        <v>3409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7961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7" t="str">
        <f>IFERROR(INDEX(Структура_ассортимента[SuperCategory],MATCH(Товары[[#This Row],[SubGroup]],Структура_ассортимента[Subgroup],0)),"")</f>
        <v>W</v>
      </c>
      <c r="D16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7" t="str">
        <f>IFERROR(INDEX(Структура_ассортимента[Product group],MATCH(Товары[[#This Row],[SubGroup]],Структура_ассортимента[Subgroup],0)),"")</f>
        <v>WSC_C</v>
      </c>
      <c r="G163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3171</v>
      </c>
      <c r="O1630" s="37" t="s">
        <v>7492</v>
      </c>
      <c r="P1630" s="37" t="s">
        <v>7493</v>
      </c>
      <c r="Q1630" s="39" t="s">
        <v>3519</v>
      </c>
      <c r="R1630" s="34" t="s">
        <v>3407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3417</v>
      </c>
      <c r="X1630" s="34" t="s">
        <v>7437</v>
      </c>
      <c r="Y1630" s="34" t="s">
        <v>3409</v>
      </c>
      <c r="Z1630" s="34">
        <v>2</v>
      </c>
      <c r="AA1630" s="34" t="s">
        <v>4026</v>
      </c>
      <c r="AB1630" s="34" t="s">
        <v>4026</v>
      </c>
      <c r="AC1630" s="34" t="s">
        <v>7494</v>
      </c>
      <c r="AD1630" s="34" t="s">
        <v>7494</v>
      </c>
      <c r="AE1630" s="34" t="s">
        <v>4124</v>
      </c>
      <c r="AF1630" s="34" t="s">
        <v>3459</v>
      </c>
      <c r="AG1630" s="34" t="s">
        <v>4028</v>
      </c>
      <c r="AH1630" s="34" t="s">
        <v>7495</v>
      </c>
      <c r="AI1630" s="34" t="s">
        <v>3824</v>
      </c>
      <c r="AJ1630" s="34" t="s">
        <v>5791</v>
      </c>
      <c r="AK1630" s="34" t="s">
        <v>4810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7" t="str">
        <f>IFERROR(INDEX(Структура_ассортимента[SuperCategory],MATCH(Товары[[#This Row],[SubGroup]],Структура_ассортимента[Subgroup],0)),"")</f>
        <v>W</v>
      </c>
      <c r="D16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7" t="str">
        <f>IFERROR(INDEX(Структура_ассортимента[Product group],MATCH(Товары[[#This Row],[SubGroup]],Структура_ассортимента[Subgroup],0)),"")</f>
        <v>WSC_C</v>
      </c>
      <c r="G163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3172</v>
      </c>
      <c r="P1631" s="37" t="s">
        <v>7496</v>
      </c>
      <c r="Q1631" s="39" t="s">
        <v>3411</v>
      </c>
      <c r="R1631" s="34" t="s">
        <v>3407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3417</v>
      </c>
      <c r="Y1631" s="34" t="s">
        <v>3409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7" t="str">
        <f>IFERROR(INDEX(Структура_ассортимента[SuperCategory],MATCH(Товары[[#This Row],[SubGroup]],Структура_ассортимента[Subgroup],0)),"")</f>
        <v>W</v>
      </c>
      <c r="D16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7" t="str">
        <f>IFERROR(INDEX(Структура_ассортимента[Product group],MATCH(Товары[[#This Row],[SubGroup]],Структура_ассортимента[Subgroup],0)),"")</f>
        <v>WSC_C</v>
      </c>
      <c r="G163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3173</v>
      </c>
      <c r="P1632" s="37" t="s">
        <v>7497</v>
      </c>
      <c r="Q1632" s="39" t="s">
        <v>3411</v>
      </c>
      <c r="R1632" s="34" t="s">
        <v>3407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3417</v>
      </c>
      <c r="Y1632" s="34" t="s">
        <v>3409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7" t="str">
        <f>IFERROR(INDEX(Структура_ассортимента[SuperCategory],MATCH(Товары[[#This Row],[SubGroup]],Структура_ассортимента[Subgroup],0)),"")</f>
        <v>W</v>
      </c>
      <c r="D16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7" t="str">
        <f>IFERROR(INDEX(Структура_ассортимента[Product group],MATCH(Товары[[#This Row],[SubGroup]],Структура_ассортимента[Subgroup],0)),"")</f>
        <v>WSC_C</v>
      </c>
      <c r="G163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3174</v>
      </c>
      <c r="P1633" s="37" t="s">
        <v>7498</v>
      </c>
      <c r="Q1633" s="39" t="s">
        <v>3411</v>
      </c>
      <c r="R1633" s="34" t="s">
        <v>3407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3417</v>
      </c>
      <c r="Y1633" s="34" t="s">
        <v>3409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7" t="str">
        <f>IFERROR(INDEX(Структура_ассортимента[SuperCategory],MATCH(Товары[[#This Row],[SubGroup]],Структура_ассортимента[Subgroup],0)),"")</f>
        <v>W</v>
      </c>
      <c r="D16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7" t="str">
        <f>IFERROR(INDEX(Структура_ассортимента[Product group],MATCH(Товары[[#This Row],[SubGroup]],Структура_ассортимента[Subgroup],0)),"")</f>
        <v>WSS_C</v>
      </c>
      <c r="G16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3175</v>
      </c>
      <c r="Q1634" s="39" t="s">
        <v>4431</v>
      </c>
      <c r="R1634" s="34" t="s">
        <v>3407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3410</v>
      </c>
      <c r="Y1634" s="34" t="s">
        <v>3409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7961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7" t="str">
        <f>IFERROR(INDEX(Структура_ассортимента[SuperCategory],MATCH(Товары[[#This Row],[SubGroup]],Структура_ассортимента[Subgroup],0)),"")</f>
        <v>W</v>
      </c>
      <c r="D16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7" t="str">
        <f>IFERROR(INDEX(Структура_ассортимента[Product group],MATCH(Товары[[#This Row],[SubGroup]],Структура_ассортимента[Subgroup],0)),"")</f>
        <v>WSS_C</v>
      </c>
      <c r="G16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3176</v>
      </c>
      <c r="Q1635" s="39" t="s">
        <v>4431</v>
      </c>
      <c r="R1635" s="34" t="s">
        <v>3407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3417</v>
      </c>
      <c r="Y1635" s="34" t="s">
        <v>3409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7961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7" t="str">
        <f>IFERROR(INDEX(Структура_ассортимента[SuperCategory],MATCH(Товары[[#This Row],[SubGroup]],Структура_ассортимента[Subgroup],0)),"")</f>
        <v>W</v>
      </c>
      <c r="D16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7" t="str">
        <f>IFERROR(INDEX(Структура_ассортимента[Product group],MATCH(Товары[[#This Row],[SubGroup]],Структура_ассортимента[Subgroup],0)),"")</f>
        <v>WSS_C</v>
      </c>
      <c r="G16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3177</v>
      </c>
      <c r="Q1636" s="39" t="s">
        <v>4431</v>
      </c>
      <c r="R1636" s="34" t="s">
        <v>3407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3417</v>
      </c>
      <c r="Y1636" s="34" t="s">
        <v>3409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7961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7" t="str">
        <f>IFERROR(INDEX(Структура_ассортимента[SuperCategory],MATCH(Товары[[#This Row],[SubGroup]],Структура_ассортимента[Subgroup],0)),"")</f>
        <v>W</v>
      </c>
      <c r="D16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7" t="str">
        <f>IFERROR(INDEX(Структура_ассортимента[Product group],MATCH(Товары[[#This Row],[SubGroup]],Структура_ассортимента[Subgroup],0)),"")</f>
        <v>WSS_C</v>
      </c>
      <c r="G16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3178</v>
      </c>
      <c r="Q1637" s="39" t="s">
        <v>4431</v>
      </c>
      <c r="R1637" s="34" t="s">
        <v>3407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3417</v>
      </c>
      <c r="Y1637" s="34" t="s">
        <v>3409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7961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7" t="str">
        <f>IFERROR(INDEX(Структура_ассортимента[SuperCategory],MATCH(Товары[[#This Row],[SubGroup]],Структура_ассортимента[Subgroup],0)),"")</f>
        <v>W</v>
      </c>
      <c r="D16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7" t="str">
        <f>IFERROR(INDEX(Структура_ассортимента[Product group],MATCH(Товары[[#This Row],[SubGroup]],Структура_ассортимента[Subgroup],0)),"")</f>
        <v>WSS_C</v>
      </c>
      <c r="G16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3179</v>
      </c>
      <c r="Q1638" s="39" t="s">
        <v>4431</v>
      </c>
      <c r="R1638" s="34" t="s">
        <v>3407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3417</v>
      </c>
      <c r="Y1638" s="34" t="s">
        <v>3409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7961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7" t="str">
        <f>IFERROR(INDEX(Структура_ассортимента[SuperCategory],MATCH(Товары[[#This Row],[SubGroup]],Структура_ассортимента[Subgroup],0)),"")</f>
        <v>W</v>
      </c>
      <c r="D16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7" t="str">
        <f>IFERROR(INDEX(Структура_ассортимента[Product group],MATCH(Товары[[#This Row],[SubGroup]],Структура_ассортимента[Subgroup],0)),"")</f>
        <v>WSS_C</v>
      </c>
      <c r="G16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3180</v>
      </c>
      <c r="Q1639" s="39" t="s">
        <v>4431</v>
      </c>
      <c r="R1639" s="34" t="s">
        <v>3407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3410</v>
      </c>
      <c r="Y1639" s="34" t="s">
        <v>3409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7961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7" t="str">
        <f>IFERROR(INDEX(Структура_ассортимента[SuperCategory],MATCH(Товары[[#This Row],[SubGroup]],Структура_ассортимента[Subgroup],0)),"")</f>
        <v>W</v>
      </c>
      <c r="D16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7" t="str">
        <f>IFERROR(INDEX(Структура_ассортимента[Product group],MATCH(Товары[[#This Row],[SubGroup]],Структура_ассортимента[Subgroup],0)),"")</f>
        <v>WSS_C</v>
      </c>
      <c r="G16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3181</v>
      </c>
      <c r="Q1640" s="39" t="s">
        <v>4431</v>
      </c>
      <c r="R1640" s="34" t="s">
        <v>3407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3417</v>
      </c>
      <c r="Y1640" s="34" t="s">
        <v>3409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7961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7" t="str">
        <f>IFERROR(INDEX(Структура_ассортимента[SuperCategory],MATCH(Товары[[#This Row],[SubGroup]],Структура_ассортимента[Subgroup],0)),"")</f>
        <v>W</v>
      </c>
      <c r="D16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7" t="str">
        <f>IFERROR(INDEX(Структура_ассортимента[Product group],MATCH(Товары[[#This Row],[SubGroup]],Структура_ассортимента[Subgroup],0)),"")</f>
        <v>WSS_C</v>
      </c>
      <c r="G16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3182</v>
      </c>
      <c r="Q1641" s="39" t="s">
        <v>3406</v>
      </c>
      <c r="R1641" s="34" t="s">
        <v>3407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3417</v>
      </c>
      <c r="Y1641" s="34" t="s">
        <v>3409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7961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7" t="str">
        <f>IFERROR(INDEX(Структура_ассортимента[SuperCategory],MATCH(Товары[[#This Row],[SubGroup]],Структура_ассортимента[Subgroup],0)),"")</f>
        <v>W</v>
      </c>
      <c r="D16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7" t="str">
        <f>IFERROR(INDEX(Структура_ассортимента[Product group],MATCH(Товары[[#This Row],[SubGroup]],Структура_ассортимента[Subgroup],0)),"")</f>
        <v>WSS_C</v>
      </c>
      <c r="G16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3183</v>
      </c>
      <c r="Q1642" s="39" t="s">
        <v>4431</v>
      </c>
      <c r="R1642" s="34" t="s">
        <v>3407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3410</v>
      </c>
      <c r="Y1642" s="34" t="s">
        <v>3409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7961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7" t="str">
        <f>IFERROR(INDEX(Структура_ассортимента[SuperCategory],MATCH(Товары[[#This Row],[SubGroup]],Структура_ассортимента[Subgroup],0)),"")</f>
        <v>W</v>
      </c>
      <c r="D16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7" t="str">
        <f>IFERROR(INDEX(Структура_ассортимента[Product group],MATCH(Товары[[#This Row],[SubGroup]],Структура_ассортимента[Subgroup],0)),"")</f>
        <v>WSS_C</v>
      </c>
      <c r="G16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3184</v>
      </c>
      <c r="Q1643" s="39" t="s">
        <v>4431</v>
      </c>
      <c r="R1643" s="34" t="s">
        <v>3407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3410</v>
      </c>
      <c r="Y1643" s="34" t="s">
        <v>3409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7961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7" t="str">
        <f>IFERROR(INDEX(Структура_ассортимента[SuperCategory],MATCH(Товары[[#This Row],[SubGroup]],Структура_ассортимента[Subgroup],0)),"")</f>
        <v>W</v>
      </c>
      <c r="D16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7" t="str">
        <f>IFERROR(INDEX(Структура_ассортимента[Product group],MATCH(Товары[[#This Row],[SubGroup]],Структура_ассортимента[Subgroup],0)),"")</f>
        <v>WSS_C</v>
      </c>
      <c r="G16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3185</v>
      </c>
      <c r="Q1644" s="39" t="s">
        <v>4431</v>
      </c>
      <c r="R1644" s="34" t="s">
        <v>3407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3410</v>
      </c>
      <c r="Y1644" s="34" t="s">
        <v>3409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7961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7" t="str">
        <f>IFERROR(INDEX(Структура_ассортимента[SuperCategory],MATCH(Товары[[#This Row],[SubGroup]],Структура_ассортимента[Subgroup],0)),"")</f>
        <v>W</v>
      </c>
      <c r="D16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7" t="str">
        <f>IFERROR(INDEX(Структура_ассортимента[Product group],MATCH(Товары[[#This Row],[SubGroup]],Структура_ассортимента[Subgroup],0)),"")</f>
        <v>WSS_C</v>
      </c>
      <c r="G16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3186</v>
      </c>
      <c r="Q1645" s="39" t="s">
        <v>4431</v>
      </c>
      <c r="R1645" s="34" t="s">
        <v>3407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3410</v>
      </c>
      <c r="Y1645" s="34" t="s">
        <v>3409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7961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7" t="str">
        <f>IFERROR(INDEX(Структура_ассортимента[SuperCategory],MATCH(Товары[[#This Row],[SubGroup]],Структура_ассортимента[Subgroup],0)),"")</f>
        <v>W</v>
      </c>
      <c r="D16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7" t="str">
        <f>IFERROR(INDEX(Структура_ассортимента[Product group],MATCH(Товары[[#This Row],[SubGroup]],Структура_ассортимента[Subgroup],0)),"")</f>
        <v>WSS_C</v>
      </c>
      <c r="G16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3187</v>
      </c>
      <c r="Q1646" s="39" t="s">
        <v>4431</v>
      </c>
      <c r="R1646" s="34" t="s">
        <v>3407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3410</v>
      </c>
      <c r="Y1646" s="34" t="s">
        <v>3409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7961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7" t="str">
        <f>IFERROR(INDEX(Структура_ассортимента[SuperCategory],MATCH(Товары[[#This Row],[SubGroup]],Структура_ассортимента[Subgroup],0)),"")</f>
        <v>W</v>
      </c>
      <c r="D16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7" t="str">
        <f>IFERROR(INDEX(Структура_ассортимента[Product group],MATCH(Товары[[#This Row],[SubGroup]],Структура_ассортимента[Subgroup],0)),"")</f>
        <v>WSC_C</v>
      </c>
      <c r="G1647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3188</v>
      </c>
      <c r="Q1647" s="39" t="s">
        <v>4431</v>
      </c>
      <c r="R1647" s="34" t="s">
        <v>3407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3410</v>
      </c>
      <c r="Y1647" s="34" t="s">
        <v>3409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7961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7" t="str">
        <f>IFERROR(INDEX(Структура_ассортимента[SuperCategory],MATCH(Товары[[#This Row],[SubGroup]],Структура_ассортимента[Subgroup],0)),"")</f>
        <v>W</v>
      </c>
      <c r="D16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7" t="str">
        <f>IFERROR(INDEX(Структура_ассортимента[Product group],MATCH(Товары[[#This Row],[SubGroup]],Структура_ассортимента[Subgroup],0)),"")</f>
        <v>WSC_C</v>
      </c>
      <c r="G1648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3189</v>
      </c>
      <c r="Q1648" s="39" t="s">
        <v>4431</v>
      </c>
      <c r="R1648" s="34" t="s">
        <v>3407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3410</v>
      </c>
      <c r="Y1648" s="34" t="s">
        <v>3409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7961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7" t="str">
        <f>IFERROR(INDEX(Структура_ассортимента[SuperCategory],MATCH(Товары[[#This Row],[SubGroup]],Структура_ассортимента[Subgroup],0)),"")</f>
        <v>W</v>
      </c>
      <c r="D16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7" t="str">
        <f>IFERROR(INDEX(Структура_ассортимента[Product group],MATCH(Товары[[#This Row],[SubGroup]],Структура_ассортимента[Subgroup],0)),"")</f>
        <v>WSC_C</v>
      </c>
      <c r="G1649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3190</v>
      </c>
      <c r="Q1649" s="39" t="s">
        <v>4431</v>
      </c>
      <c r="R1649" s="34" t="s">
        <v>3407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3410</v>
      </c>
      <c r="Y1649" s="34" t="s">
        <v>3409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7961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7" t="str">
        <f>IFERROR(INDEX(Структура_ассортимента[SuperCategory],MATCH(Товары[[#This Row],[SubGroup]],Структура_ассортимента[Subgroup],0)),"")</f>
        <v>W</v>
      </c>
      <c r="D16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7" t="str">
        <f>IFERROR(INDEX(Структура_ассортимента[Product group],MATCH(Товары[[#This Row],[SubGroup]],Структура_ассортимента[Subgroup],0)),"")</f>
        <v>WSC_C</v>
      </c>
      <c r="G1650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3191</v>
      </c>
      <c r="Q1650" s="39" t="s">
        <v>4432</v>
      </c>
      <c r="R1650" s="34" t="s">
        <v>3407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3410</v>
      </c>
      <c r="Y1650" s="34" t="s">
        <v>3409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7961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7" t="str">
        <f>IFERROR(INDEX(Структура_ассортимента[SuperCategory],MATCH(Товары[[#This Row],[SubGroup]],Структура_ассортимента[Subgroup],0)),"")</f>
        <v>W</v>
      </c>
      <c r="D16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7" t="str">
        <f>IFERROR(INDEX(Структура_ассортимента[Product group],MATCH(Товары[[#This Row],[SubGroup]],Структура_ассортимента[Subgroup],0)),"")</f>
        <v>WSC_C</v>
      </c>
      <c r="G1651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3192</v>
      </c>
      <c r="Q1651" s="39" t="s">
        <v>3411</v>
      </c>
      <c r="R1651" s="34" t="s">
        <v>3407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3410</v>
      </c>
      <c r="Y1651" s="34" t="s">
        <v>3409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7961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7" t="str">
        <f>IFERROR(INDEX(Структура_ассортимента[SuperCategory],MATCH(Товары[[#This Row],[SubGroup]],Структура_ассортимента[Subgroup],0)),"")</f>
        <v>W</v>
      </c>
      <c r="D16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7" t="str">
        <f>IFERROR(INDEX(Структура_ассортимента[Product group],MATCH(Товары[[#This Row],[SubGroup]],Структура_ассортимента[Subgroup],0)),"")</f>
        <v>WSC_C</v>
      </c>
      <c r="G1652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3193</v>
      </c>
      <c r="Q1652" s="39" t="s">
        <v>3411</v>
      </c>
      <c r="R1652" s="34" t="s">
        <v>3407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3410</v>
      </c>
      <c r="Y1652" s="34" t="s">
        <v>3409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7961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7" t="str">
        <f>IFERROR(INDEX(Структура_ассортимента[SuperCategory],MATCH(Товары[[#This Row],[SubGroup]],Структура_ассортимента[Subgroup],0)),"")</f>
        <v>W</v>
      </c>
      <c r="D16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7" t="str">
        <f>IFERROR(INDEX(Структура_ассортимента[Product group],MATCH(Товары[[#This Row],[SubGroup]],Структура_ассортимента[Subgroup],0)),"")</f>
        <v>WSC_C</v>
      </c>
      <c r="G1653" s="67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7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3194</v>
      </c>
      <c r="Q1653" s="39" t="s">
        <v>3411</v>
      </c>
      <c r="R1653" s="34" t="s">
        <v>3407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3410</v>
      </c>
      <c r="Y1653" s="34" t="s">
        <v>3409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7961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7" t="str">
        <f>IFERROR(INDEX(Структура_ассортимента[SuperCategory],MATCH(Товары[[#This Row],[SubGroup]],Структура_ассортимента[Subgroup],0)),"")</f>
        <v>W</v>
      </c>
      <c r="D16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7" t="str">
        <f>IFERROR(INDEX(Структура_ассортимента[Product group],MATCH(Товары[[#This Row],[SubGroup]],Структура_ассортимента[Subgroup],0)),"")</f>
        <v>WSS_C</v>
      </c>
      <c r="G16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3195</v>
      </c>
      <c r="Q1654" s="39" t="s">
        <v>3411</v>
      </c>
      <c r="R1654" s="34" t="s">
        <v>3407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3417</v>
      </c>
      <c r="Y1654" s="34" t="s">
        <v>3409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7961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7" t="str">
        <f>IFERROR(INDEX(Структура_ассортимента[SuperCategory],MATCH(Товары[[#This Row],[SubGroup]],Структура_ассортимента[Subgroup],0)),"")</f>
        <v>W</v>
      </c>
      <c r="D16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7" t="str">
        <f>IFERROR(INDEX(Структура_ассортимента[Product group],MATCH(Товары[[#This Row],[SubGroup]],Структура_ассортимента[Subgroup],0)),"")</f>
        <v>WSS_C</v>
      </c>
      <c r="G16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3196</v>
      </c>
      <c r="Q1655" s="39" t="s">
        <v>3411</v>
      </c>
      <c r="R1655" s="34" t="s">
        <v>3407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3417</v>
      </c>
      <c r="Y1655" s="34" t="s">
        <v>3409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7961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7" t="str">
        <f>IFERROR(INDEX(Структура_ассортимента[SuperCategory],MATCH(Товары[[#This Row],[SubGroup]],Структура_ассортимента[Subgroup],0)),"")</f>
        <v>W</v>
      </c>
      <c r="D16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7" t="str">
        <f>IFERROR(INDEX(Структура_ассортимента[Product group],MATCH(Товары[[#This Row],[SubGroup]],Структура_ассортимента[Subgroup],0)),"")</f>
        <v>WSS_C</v>
      </c>
      <c r="G16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3197</v>
      </c>
      <c r="Q1656" s="39" t="s">
        <v>3411</v>
      </c>
      <c r="R1656" s="34" t="s">
        <v>3407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3417</v>
      </c>
      <c r="Y1656" s="34" t="s">
        <v>3409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7961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7" t="str">
        <f>IFERROR(INDEX(Структура_ассортимента[SuperCategory],MATCH(Товары[[#This Row],[SubGroup]],Структура_ассортимента[Subgroup],0)),"")</f>
        <v>W</v>
      </c>
      <c r="D16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7" t="str">
        <f>IFERROR(INDEX(Структура_ассортимента[Product group],MATCH(Товары[[#This Row],[SubGroup]],Структура_ассортимента[Subgroup],0)),"")</f>
        <v>WSS_C</v>
      </c>
      <c r="G16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3198</v>
      </c>
      <c r="Q1657" s="39" t="s">
        <v>3411</v>
      </c>
      <c r="R1657" s="34" t="s">
        <v>3407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3417</v>
      </c>
      <c r="Y1657" s="34" t="s">
        <v>3409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7961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7" t="str">
        <f>IFERROR(INDEX(Структура_ассортимента[SuperCategory],MATCH(Товары[[#This Row],[SubGroup]],Структура_ассортимента[Subgroup],0)),"")</f>
        <v>W</v>
      </c>
      <c r="D16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7" t="str">
        <f>IFERROR(INDEX(Структура_ассортимента[Product group],MATCH(Товары[[#This Row],[SubGroup]],Структура_ассортимента[Subgroup],0)),"")</f>
        <v>WSS_C</v>
      </c>
      <c r="G16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3199</v>
      </c>
      <c r="Q1658" s="39" t="s">
        <v>3411</v>
      </c>
      <c r="R1658" s="34" t="s">
        <v>3407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3414</v>
      </c>
      <c r="Y1658" s="34" t="s">
        <v>3409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7961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7" t="str">
        <f>IFERROR(INDEX(Структура_ассортимента[SuperCategory],MATCH(Товары[[#This Row],[SubGroup]],Структура_ассортимента[Subgroup],0)),"")</f>
        <v>W</v>
      </c>
      <c r="D16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7" t="str">
        <f>IFERROR(INDEX(Структура_ассортимента[Product group],MATCH(Товары[[#This Row],[SubGroup]],Структура_ассортимента[Subgroup],0)),"")</f>
        <v>WSS_C</v>
      </c>
      <c r="G16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3200</v>
      </c>
      <c r="Q1659" s="39" t="s">
        <v>3411</v>
      </c>
      <c r="R1659" s="34" t="s">
        <v>3407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3417</v>
      </c>
      <c r="Y1659" s="34" t="s">
        <v>3409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7961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7" t="str">
        <f>IFERROR(INDEX(Структура_ассортимента[SuperCategory],MATCH(Товары[[#This Row],[SubGroup]],Структура_ассортимента[Subgroup],0)),"")</f>
        <v>W</v>
      </c>
      <c r="D16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7" t="str">
        <f>IFERROR(INDEX(Структура_ассортимента[Product group],MATCH(Товары[[#This Row],[SubGroup]],Структура_ассортимента[Subgroup],0)),"")</f>
        <v>WSS_C</v>
      </c>
      <c r="G16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3201</v>
      </c>
      <c r="Q1660" s="39" t="s">
        <v>3411</v>
      </c>
      <c r="R1660" s="34" t="s">
        <v>3407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3417</v>
      </c>
      <c r="Y1660" s="34" t="s">
        <v>3409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7961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7" t="str">
        <f>IFERROR(INDEX(Структура_ассортимента[SuperCategory],MATCH(Товары[[#This Row],[SubGroup]],Структура_ассортимента[Subgroup],0)),"")</f>
        <v>W</v>
      </c>
      <c r="D16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7" t="str">
        <f>IFERROR(INDEX(Структура_ассортимента[Product group],MATCH(Товары[[#This Row],[SubGroup]],Структура_ассортимента[Subgroup],0)),"")</f>
        <v>WSS_C</v>
      </c>
      <c r="G16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3202</v>
      </c>
      <c r="Q1661" s="39" t="s">
        <v>3411</v>
      </c>
      <c r="R1661" s="34" t="s">
        <v>3407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3414</v>
      </c>
      <c r="Y1661" s="34" t="s">
        <v>3409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7961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7" t="str">
        <f>IFERROR(INDEX(Структура_ассортимента[SuperCategory],MATCH(Товары[[#This Row],[SubGroup]],Структура_ассортимента[Subgroup],0)),"")</f>
        <v>W</v>
      </c>
      <c r="D16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7" t="str">
        <f>IFERROR(INDEX(Структура_ассортимента[Product group],MATCH(Товары[[#This Row],[SubGroup]],Структура_ассортимента[Subgroup],0)),"")</f>
        <v>WSS_C</v>
      </c>
      <c r="G16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3203</v>
      </c>
      <c r="Q1662" s="39" t="s">
        <v>3411</v>
      </c>
      <c r="R1662" s="34" t="s">
        <v>3407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3410</v>
      </c>
      <c r="Y1662" s="34" t="s">
        <v>3409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7961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7" t="str">
        <f>IFERROR(INDEX(Структура_ассортимента[SuperCategory],MATCH(Товары[[#This Row],[SubGroup]],Структура_ассортимента[Subgroup],0)),"")</f>
        <v>W</v>
      </c>
      <c r="D16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7" t="str">
        <f>IFERROR(INDEX(Структура_ассортимента[Product group],MATCH(Товары[[#This Row],[SubGroup]],Структура_ассортимента[Subgroup],0)),"")</f>
        <v>WSS_C</v>
      </c>
      <c r="G16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3204</v>
      </c>
      <c r="Q1663" s="39" t="s">
        <v>3411</v>
      </c>
      <c r="R1663" s="34" t="s">
        <v>3407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3410</v>
      </c>
      <c r="Y1663" s="34" t="s">
        <v>3409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7961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7" t="str">
        <f>IFERROR(INDEX(Структура_ассортимента[SuperCategory],MATCH(Товары[[#This Row],[SubGroup]],Структура_ассортимента[Subgroup],0)),"")</f>
        <v>W</v>
      </c>
      <c r="D16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7" t="str">
        <f>IFERROR(INDEX(Структура_ассортимента[Product group],MATCH(Товары[[#This Row],[SubGroup]],Структура_ассортимента[Subgroup],0)),"")</f>
        <v>WSS_C</v>
      </c>
      <c r="G16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3205</v>
      </c>
      <c r="Q1664" s="39" t="s">
        <v>3406</v>
      </c>
      <c r="R1664" s="34" t="s">
        <v>3407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3410</v>
      </c>
      <c r="Y1664" s="34" t="s">
        <v>3409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7961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7" t="str">
        <f>IFERROR(INDEX(Структура_ассортимента[SuperCategory],MATCH(Товары[[#This Row],[SubGroup]],Структура_ассортимента[Subgroup],0)),"")</f>
        <v>W</v>
      </c>
      <c r="D16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7" t="str">
        <f>IFERROR(INDEX(Структура_ассортимента[Product group],MATCH(Товары[[#This Row],[SubGroup]],Структура_ассортимента[Subgroup],0)),"")</f>
        <v>WSS_C</v>
      </c>
      <c r="G16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3206</v>
      </c>
      <c r="Q1665" s="39" t="s">
        <v>3411</v>
      </c>
      <c r="R1665" s="34" t="s">
        <v>3407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3410</v>
      </c>
      <c r="Y1665" s="34" t="s">
        <v>3409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7961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7" t="str">
        <f>IFERROR(INDEX(Структура_ассортимента[SuperCategory],MATCH(Товары[[#This Row],[SubGroup]],Структура_ассортимента[Subgroup],0)),"")</f>
        <v>W</v>
      </c>
      <c r="D16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7" t="str">
        <f>IFERROR(INDEX(Структура_ассортимента[Product group],MATCH(Товары[[#This Row],[SubGroup]],Структура_ассортимента[Subgroup],0)),"")</f>
        <v>WSS_C</v>
      </c>
      <c r="G16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3207</v>
      </c>
      <c r="Q1666" s="39" t="s">
        <v>3406</v>
      </c>
      <c r="R1666" s="34" t="s">
        <v>3407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3410</v>
      </c>
      <c r="Y1666" s="34" t="s">
        <v>3409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7961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7" t="str">
        <f>IFERROR(INDEX(Структура_ассортимента[SuperCategory],MATCH(Товары[[#This Row],[SubGroup]],Структура_ассортимента[Subgroup],0)),"")</f>
        <v>W</v>
      </c>
      <c r="D16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7" t="str">
        <f>IFERROR(INDEX(Структура_ассортимента[Product group],MATCH(Товары[[#This Row],[SubGroup]],Структура_ассортимента[Subgroup],0)),"")</f>
        <v>WSS_C</v>
      </c>
      <c r="G16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3208</v>
      </c>
      <c r="Q1667" s="39" t="s">
        <v>3406</v>
      </c>
      <c r="R1667" s="34" t="s">
        <v>3407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3410</v>
      </c>
      <c r="Y1667" s="34" t="s">
        <v>3409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7961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7" t="str">
        <f>IFERROR(INDEX(Структура_ассортимента[SuperCategory],MATCH(Товары[[#This Row],[SubGroup]],Структура_ассортимента[Subgroup],0)),"")</f>
        <v>W</v>
      </c>
      <c r="D16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7" t="str">
        <f>IFERROR(INDEX(Структура_ассортимента[Product group],MATCH(Товары[[#This Row],[SubGroup]],Структура_ассортимента[Subgroup],0)),"")</f>
        <v>WSS_C</v>
      </c>
      <c r="G16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3209</v>
      </c>
      <c r="Q1668" s="39" t="s">
        <v>3406</v>
      </c>
      <c r="R1668" s="34" t="s">
        <v>3407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3410</v>
      </c>
      <c r="Y1668" s="34" t="s">
        <v>3409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7961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7" t="str">
        <f>IFERROR(INDEX(Структура_ассортимента[SuperCategory],MATCH(Товары[[#This Row],[SubGroup]],Структура_ассортимента[Subgroup],0)),"")</f>
        <v>W</v>
      </c>
      <c r="D16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7" t="str">
        <f>IFERROR(INDEX(Структура_ассортимента[Product group],MATCH(Товары[[#This Row],[SubGroup]],Структура_ассортимента[Subgroup],0)),"")</f>
        <v>WSS_C</v>
      </c>
      <c r="G16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3210</v>
      </c>
      <c r="Q1669" s="39" t="s">
        <v>3406</v>
      </c>
      <c r="R1669" s="34" t="s">
        <v>3407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3410</v>
      </c>
      <c r="Y1669" s="34" t="s">
        <v>3409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7961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7" t="str">
        <f>IFERROR(INDEX(Структура_ассортимента[SuperCategory],MATCH(Товары[[#This Row],[SubGroup]],Структура_ассортимента[Subgroup],0)),"")</f>
        <v>W</v>
      </c>
      <c r="D16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7" t="str">
        <f>IFERROR(INDEX(Структура_ассортимента[Product group],MATCH(Товары[[#This Row],[SubGroup]],Структура_ассортимента[Subgroup],0)),"")</f>
        <v>WSS_C</v>
      </c>
      <c r="G16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3211</v>
      </c>
      <c r="Q1670" s="39" t="s">
        <v>3411</v>
      </c>
      <c r="R1670" s="34" t="s">
        <v>3407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3410</v>
      </c>
      <c r="Y1670" s="34" t="s">
        <v>3409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7961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7" t="str">
        <f>IFERROR(INDEX(Структура_ассортимента[SuperCategory],MATCH(Товары[[#This Row],[SubGroup]],Структура_ассортимента[Subgroup],0)),"")</f>
        <v>W</v>
      </c>
      <c r="D16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7" t="str">
        <f>IFERROR(INDEX(Структура_ассортимента[Product group],MATCH(Товары[[#This Row],[SubGroup]],Структура_ассортимента[Subgroup],0)),"")</f>
        <v>WSS_C</v>
      </c>
      <c r="G16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3212</v>
      </c>
      <c r="Q1671" s="39" t="s">
        <v>4431</v>
      </c>
      <c r="R1671" s="34" t="s">
        <v>3407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3417</v>
      </c>
      <c r="Y1671" s="34" t="s">
        <v>3409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7961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7" t="str">
        <f>IFERROR(INDEX(Структура_ассортимента[SuperCategory],MATCH(Товары[[#This Row],[SubGroup]],Структура_ассортимента[Subgroup],0)),"")</f>
        <v>W</v>
      </c>
      <c r="D16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7" t="str">
        <f>IFERROR(INDEX(Структура_ассортимента[Product group],MATCH(Товары[[#This Row],[SubGroup]],Структура_ассортимента[Subgroup],0)),"")</f>
        <v>WSS_C</v>
      </c>
      <c r="G16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3213</v>
      </c>
      <c r="O1672" s="37" t="s">
        <v>7499</v>
      </c>
      <c r="P1672" s="37" t="s">
        <v>7500</v>
      </c>
      <c r="Q1672" s="39" t="s">
        <v>3416</v>
      </c>
      <c r="R1672" s="34" t="s">
        <v>3407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3410</v>
      </c>
      <c r="X1672" s="34" t="s">
        <v>3446</v>
      </c>
      <c r="Y1672" s="34" t="s">
        <v>3409</v>
      </c>
      <c r="Z1672" s="34">
        <v>4</v>
      </c>
      <c r="AA1672" s="34" t="s">
        <v>3465</v>
      </c>
      <c r="AB1672" s="34" t="s">
        <v>3465</v>
      </c>
      <c r="AC1672" s="34" t="s">
        <v>3500</v>
      </c>
      <c r="AD1672" s="34" t="s">
        <v>3500</v>
      </c>
      <c r="AE1672" s="34" t="s">
        <v>4069</v>
      </c>
      <c r="AF1672" s="34" t="s">
        <v>4006</v>
      </c>
      <c r="AG1672" s="34" t="s">
        <v>3639</v>
      </c>
      <c r="AH1672" s="34" t="s">
        <v>7501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7" t="str">
        <f>IFERROR(INDEX(Структура_ассортимента[SuperCategory],MATCH(Товары[[#This Row],[SubGroup]],Структура_ассортимента[Subgroup],0)),"")</f>
        <v>W</v>
      </c>
      <c r="D16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7" t="str">
        <f>IFERROR(INDEX(Структура_ассортимента[Product group],MATCH(Товары[[#This Row],[SubGroup]],Структура_ассортимента[Subgroup],0)),"")</f>
        <v>WSS_C</v>
      </c>
      <c r="G16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3214</v>
      </c>
      <c r="O1673" s="37" t="s">
        <v>7502</v>
      </c>
      <c r="P1673" s="37" t="s">
        <v>7503</v>
      </c>
      <c r="Q1673" s="39" t="s">
        <v>3416</v>
      </c>
      <c r="R1673" s="34" t="s">
        <v>3407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3417</v>
      </c>
      <c r="X1673" s="34" t="s">
        <v>3774</v>
      </c>
      <c r="Y1673" s="34" t="s">
        <v>3409</v>
      </c>
      <c r="Z1673" s="34">
        <v>10</v>
      </c>
      <c r="AA1673" s="34" t="s">
        <v>6588</v>
      </c>
      <c r="AB1673" s="34" t="s">
        <v>6588</v>
      </c>
      <c r="AC1673" s="34" t="s">
        <v>3863</v>
      </c>
      <c r="AD1673" s="34" t="s">
        <v>3863</v>
      </c>
      <c r="AE1673" s="34" t="s">
        <v>3483</v>
      </c>
      <c r="AF1673" s="34" t="s">
        <v>3424</v>
      </c>
      <c r="AG1673" s="34" t="s">
        <v>4335</v>
      </c>
      <c r="AH1673" s="34" t="s">
        <v>7504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7" t="str">
        <f>IFERROR(INDEX(Структура_ассортимента[SuperCategory],MATCH(Товары[[#This Row],[SubGroup]],Структура_ассортимента[Subgroup],0)),"")</f>
        <v>W</v>
      </c>
      <c r="D16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7" t="str">
        <f>IFERROR(INDEX(Структура_ассортимента[Product group],MATCH(Товары[[#This Row],[SubGroup]],Структура_ассортимента[Subgroup],0)),"")</f>
        <v>WSS_C</v>
      </c>
      <c r="G16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3215</v>
      </c>
      <c r="O1674" s="37" t="s">
        <v>7505</v>
      </c>
      <c r="P1674" s="37" t="s">
        <v>7506</v>
      </c>
      <c r="Q1674" s="39" t="s">
        <v>3416</v>
      </c>
      <c r="R1674" s="34" t="s">
        <v>3407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3417</v>
      </c>
      <c r="X1674" s="34" t="s">
        <v>3774</v>
      </c>
      <c r="Y1674" s="34" t="s">
        <v>3409</v>
      </c>
      <c r="Z1674" s="34">
        <v>10</v>
      </c>
      <c r="AA1674" s="34" t="s">
        <v>7507</v>
      </c>
      <c r="AB1674" s="34" t="s">
        <v>7507</v>
      </c>
      <c r="AC1674" s="34" t="s">
        <v>3537</v>
      </c>
      <c r="AD1674" s="34" t="s">
        <v>3537</v>
      </c>
      <c r="AE1674" s="34" t="s">
        <v>4500</v>
      </c>
      <c r="AF1674" s="34" t="s">
        <v>4191</v>
      </c>
      <c r="AG1674" s="34" t="s">
        <v>4335</v>
      </c>
      <c r="AH1674" s="34" t="s">
        <v>6350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7" t="str">
        <f>IFERROR(INDEX(Структура_ассортимента[SuperCategory],MATCH(Товары[[#This Row],[SubGroup]],Структура_ассортимента[Subgroup],0)),"")</f>
        <v>W</v>
      </c>
      <c r="D16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7" t="str">
        <f>IFERROR(INDEX(Структура_ассортимента[Product group],MATCH(Товары[[#This Row],[SubGroup]],Структура_ассортимента[Subgroup],0)),"")</f>
        <v>WSS_C</v>
      </c>
      <c r="G16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3216</v>
      </c>
      <c r="O1675" s="37" t="s">
        <v>7508</v>
      </c>
      <c r="P1675" s="37" t="s">
        <v>7506</v>
      </c>
      <c r="Q1675" s="39" t="s">
        <v>3416</v>
      </c>
      <c r="R1675" s="34" t="s">
        <v>3407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3417</v>
      </c>
      <c r="X1675" s="34" t="s">
        <v>3774</v>
      </c>
      <c r="Y1675" s="34" t="s">
        <v>3409</v>
      </c>
      <c r="Z1675" s="34">
        <v>10</v>
      </c>
      <c r="AA1675" s="34" t="s">
        <v>3593</v>
      </c>
      <c r="AB1675" s="34" t="s">
        <v>3593</v>
      </c>
      <c r="AC1675" s="34" t="s">
        <v>3957</v>
      </c>
      <c r="AD1675" s="34" t="s">
        <v>3957</v>
      </c>
      <c r="AE1675" s="34" t="s">
        <v>4500</v>
      </c>
      <c r="AF1675" s="34" t="s">
        <v>4248</v>
      </c>
      <c r="AG1675" s="34" t="s">
        <v>4335</v>
      </c>
      <c r="AH1675" s="34" t="s">
        <v>7509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7" t="str">
        <f>IFERROR(INDEX(Структура_ассортимента[SuperCategory],MATCH(Товары[[#This Row],[SubGroup]],Структура_ассортимента[Subgroup],0)),"")</f>
        <v>W</v>
      </c>
      <c r="D16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7" t="str">
        <f>IFERROR(INDEX(Структура_ассортимента[Product group],MATCH(Товары[[#This Row],[SubGroup]],Структура_ассортимента[Subgroup],0)),"")</f>
        <v>WSS_C</v>
      </c>
      <c r="G16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3217</v>
      </c>
      <c r="O1676" s="37" t="s">
        <v>7510</v>
      </c>
      <c r="P1676" s="37" t="s">
        <v>7511</v>
      </c>
      <c r="Q1676" s="39" t="s">
        <v>3416</v>
      </c>
      <c r="R1676" s="34" t="s">
        <v>3407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3417</v>
      </c>
      <c r="X1676" s="34" t="s">
        <v>3774</v>
      </c>
      <c r="Y1676" s="34" t="s">
        <v>3409</v>
      </c>
      <c r="Z1676" s="34">
        <v>10</v>
      </c>
      <c r="AA1676" s="34" t="s">
        <v>5942</v>
      </c>
      <c r="AB1676" s="34" t="s">
        <v>5942</v>
      </c>
      <c r="AC1676" s="34" t="s">
        <v>3655</v>
      </c>
      <c r="AD1676" s="34" t="s">
        <v>3655</v>
      </c>
      <c r="AE1676" s="34" t="s">
        <v>4870</v>
      </c>
      <c r="AF1676" s="34" t="s">
        <v>4191</v>
      </c>
      <c r="AG1676" s="34" t="s">
        <v>4992</v>
      </c>
      <c r="AH1676" s="34" t="s">
        <v>6457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7" t="str">
        <f>IFERROR(INDEX(Структура_ассортимента[SuperCategory],MATCH(Товары[[#This Row],[SubGroup]],Структура_ассортимента[Subgroup],0)),"")</f>
        <v>W</v>
      </c>
      <c r="D16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7" t="str">
        <f>IFERROR(INDEX(Структура_ассортимента[Product group],MATCH(Товары[[#This Row],[SubGroup]],Структура_ассортимента[Subgroup],0)),"")</f>
        <v>WSS_C</v>
      </c>
      <c r="G16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3218</v>
      </c>
      <c r="O1677" s="37" t="s">
        <v>7512</v>
      </c>
      <c r="P1677" s="37" t="s">
        <v>7513</v>
      </c>
      <c r="Q1677" s="39" t="s">
        <v>3416</v>
      </c>
      <c r="R1677" s="34" t="s">
        <v>3407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3417</v>
      </c>
      <c r="X1677" s="34" t="s">
        <v>3774</v>
      </c>
      <c r="Y1677" s="34" t="s">
        <v>3409</v>
      </c>
      <c r="Z1677" s="34">
        <v>20</v>
      </c>
      <c r="AA1677" s="34" t="s">
        <v>6306</v>
      </c>
      <c r="AB1677" s="34" t="s">
        <v>6306</v>
      </c>
      <c r="AC1677" s="34" t="s">
        <v>6357</v>
      </c>
      <c r="AD1677" s="34" t="s">
        <v>6357</v>
      </c>
      <c r="AE1677" s="34" t="s">
        <v>4074</v>
      </c>
      <c r="AF1677" s="34" t="s">
        <v>4339</v>
      </c>
      <c r="AG1677" s="34" t="s">
        <v>4339</v>
      </c>
      <c r="AH1677" s="34" t="s">
        <v>6952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7" t="str">
        <f>IFERROR(INDEX(Структура_ассортимента[SuperCategory],MATCH(Товары[[#This Row],[SubGroup]],Структура_ассортимента[Subgroup],0)),"")</f>
        <v>W</v>
      </c>
      <c r="D16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7" t="str">
        <f>IFERROR(INDEX(Структура_ассортимента[Product group],MATCH(Товары[[#This Row],[SubGroup]],Структура_ассортимента[Subgroup],0)),"")</f>
        <v>WSS_C</v>
      </c>
      <c r="G16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3219</v>
      </c>
      <c r="O1678" s="37" t="s">
        <v>7514</v>
      </c>
      <c r="P1678" s="37" t="s">
        <v>7515</v>
      </c>
      <c r="Q1678" s="39" t="s">
        <v>3416</v>
      </c>
      <c r="R1678" s="34" t="s">
        <v>3407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3417</v>
      </c>
      <c r="X1678" s="34" t="s">
        <v>3774</v>
      </c>
      <c r="Y1678" s="34" t="s">
        <v>3409</v>
      </c>
      <c r="Z1678" s="34">
        <v>20</v>
      </c>
      <c r="AA1678" s="34" t="s">
        <v>3670</v>
      </c>
      <c r="AB1678" s="34" t="s">
        <v>3670</v>
      </c>
      <c r="AC1678" s="34" t="s">
        <v>3664</v>
      </c>
      <c r="AD1678" s="34" t="s">
        <v>3664</v>
      </c>
      <c r="AE1678" s="34" t="s">
        <v>4074</v>
      </c>
      <c r="AF1678" s="34" t="s">
        <v>4218</v>
      </c>
      <c r="AG1678" s="34" t="s">
        <v>3798</v>
      </c>
      <c r="AH1678" s="34" t="s">
        <v>6937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7" t="str">
        <f>IFERROR(INDEX(Структура_ассортимента[SuperCategory],MATCH(Товары[[#This Row],[SubGroup]],Структура_ассортимента[Subgroup],0)),"")</f>
        <v>W</v>
      </c>
      <c r="D16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7" t="str">
        <f>IFERROR(INDEX(Структура_ассортимента[Product group],MATCH(Товары[[#This Row],[SubGroup]],Структура_ассортимента[Subgroup],0)),"")</f>
        <v>WSS_C</v>
      </c>
      <c r="G16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3220</v>
      </c>
      <c r="O1679" s="37" t="s">
        <v>7516</v>
      </c>
      <c r="P1679" s="37" t="s">
        <v>7517</v>
      </c>
      <c r="Q1679" s="39" t="s">
        <v>3416</v>
      </c>
      <c r="R1679" s="34" t="s">
        <v>3407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3417</v>
      </c>
      <c r="X1679" s="34" t="s">
        <v>3418</v>
      </c>
      <c r="Y1679" s="34" t="s">
        <v>3409</v>
      </c>
      <c r="Z1679" s="34">
        <v>10</v>
      </c>
      <c r="AA1679" s="34" t="s">
        <v>3670</v>
      </c>
      <c r="AB1679" s="34" t="s">
        <v>3670</v>
      </c>
      <c r="AC1679" s="34" t="s">
        <v>3664</v>
      </c>
      <c r="AD1679" s="34" t="s">
        <v>3664</v>
      </c>
      <c r="AE1679" s="34" t="s">
        <v>3575</v>
      </c>
      <c r="AF1679" s="34" t="s">
        <v>3667</v>
      </c>
      <c r="AG1679" s="34" t="s">
        <v>3545</v>
      </c>
      <c r="AH1679" s="34" t="s">
        <v>6945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7" t="str">
        <f>IFERROR(INDEX(Структура_ассортимента[SuperCategory],MATCH(Товары[[#This Row],[SubGroup]],Структура_ассортимента[Subgroup],0)),"")</f>
        <v>W</v>
      </c>
      <c r="D16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7" t="str">
        <f>IFERROR(INDEX(Структура_ассортимента[Product group],MATCH(Товары[[#This Row],[SubGroup]],Структура_ассортимента[Subgroup],0)),"")</f>
        <v>WSS_C</v>
      </c>
      <c r="G16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3221</v>
      </c>
      <c r="Q1680" s="39" t="s">
        <v>3416</v>
      </c>
      <c r="R1680" s="34" t="s">
        <v>3407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3417</v>
      </c>
      <c r="X1680" s="34" t="s">
        <v>3446</v>
      </c>
      <c r="Y1680" s="34" t="s">
        <v>3409</v>
      </c>
      <c r="Z1680" s="34">
        <v>1</v>
      </c>
      <c r="AA1680" s="34" t="s">
        <v>7518</v>
      </c>
      <c r="AB1680" s="34" t="s">
        <v>7518</v>
      </c>
      <c r="AC1680" s="34" t="s">
        <v>7519</v>
      </c>
      <c r="AD1680" s="34" t="s">
        <v>7519</v>
      </c>
      <c r="AE1680" s="34" t="s">
        <v>4193</v>
      </c>
      <c r="AF1680" s="34" t="s">
        <v>4193</v>
      </c>
      <c r="AG1680" s="34" t="s">
        <v>3787</v>
      </c>
      <c r="AH1680" s="34" t="s">
        <v>7520</v>
      </c>
      <c r="AL1680" s="34">
        <v>44</v>
      </c>
      <c r="AM1680" s="34" t="s">
        <v>7962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7" t="str">
        <f>IFERROR(INDEX(Структура_ассортимента[SuperCategory],MATCH(Товары[[#This Row],[SubGroup]],Структура_ассортимента[Subgroup],0)),"")</f>
        <v>W</v>
      </c>
      <c r="D16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7" t="str">
        <f>IFERROR(INDEX(Структура_ассортимента[Product group],MATCH(Товары[[#This Row],[SubGroup]],Структура_ассортимента[Subgroup],0)),"")</f>
        <v>WSS_C</v>
      </c>
      <c r="G16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3222</v>
      </c>
      <c r="Q1681" s="39" t="s">
        <v>3416</v>
      </c>
      <c r="R1681" s="34" t="s">
        <v>3407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3417</v>
      </c>
      <c r="X1681" s="34" t="s">
        <v>3446</v>
      </c>
      <c r="Y1681" s="34" t="s">
        <v>3409</v>
      </c>
      <c r="Z1681" s="34">
        <v>1</v>
      </c>
      <c r="AA1681" s="34" t="s">
        <v>6795</v>
      </c>
      <c r="AB1681" s="34" t="s">
        <v>6795</v>
      </c>
      <c r="AC1681" s="34" t="s">
        <v>5274</v>
      </c>
      <c r="AD1681" s="34" t="s">
        <v>5274</v>
      </c>
      <c r="AE1681" s="34" t="s">
        <v>4306</v>
      </c>
      <c r="AF1681" s="34" t="s">
        <v>4306</v>
      </c>
      <c r="AG1681" s="34" t="s">
        <v>4176</v>
      </c>
      <c r="AH1681" s="34" t="s">
        <v>7521</v>
      </c>
      <c r="AL1681" s="34">
        <v>36</v>
      </c>
      <c r="AM1681" s="34" t="s">
        <v>7962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7" t="str">
        <f>IFERROR(INDEX(Структура_ассортимента[SuperCategory],MATCH(Товары[[#This Row],[SubGroup]],Структура_ассортимента[Subgroup],0)),"")</f>
        <v>W</v>
      </c>
      <c r="D16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7" t="str">
        <f>IFERROR(INDEX(Структура_ассортимента[Product group],MATCH(Товары[[#This Row],[SubGroup]],Структура_ассортимента[Subgroup],0)),"")</f>
        <v>WSS_C</v>
      </c>
      <c r="G16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3223</v>
      </c>
      <c r="O1682" s="37" t="s">
        <v>7522</v>
      </c>
      <c r="P1682" s="37" t="s">
        <v>7523</v>
      </c>
      <c r="Q1682" s="39" t="s">
        <v>3519</v>
      </c>
      <c r="R1682" s="34" t="s">
        <v>3407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3417</v>
      </c>
      <c r="X1682" s="34" t="s">
        <v>3446</v>
      </c>
      <c r="Y1682" s="34" t="s">
        <v>3409</v>
      </c>
      <c r="Z1682" s="34">
        <v>1</v>
      </c>
      <c r="AA1682" s="34" t="s">
        <v>7519</v>
      </c>
      <c r="AB1682" s="34" t="s">
        <v>7519</v>
      </c>
      <c r="AC1682" s="34" t="s">
        <v>7518</v>
      </c>
      <c r="AD1682" s="34" t="s">
        <v>7518</v>
      </c>
      <c r="AE1682" s="34" t="s">
        <v>4193</v>
      </c>
      <c r="AF1682" s="34" t="s">
        <v>4193</v>
      </c>
      <c r="AG1682" s="34" t="s">
        <v>3787</v>
      </c>
      <c r="AH1682" s="34" t="s">
        <v>7524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7" t="str">
        <f>IFERROR(INDEX(Структура_ассортимента[SuperCategory],MATCH(Товары[[#This Row],[SubGroup]],Структура_ассортимента[Subgroup],0)),"")</f>
        <v>W</v>
      </c>
      <c r="D16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7" t="str">
        <f>IFERROR(INDEX(Структура_ассортимента[Product group],MATCH(Товары[[#This Row],[SubGroup]],Структура_ассортимента[Subgroup],0)),"")</f>
        <v>WSS_C</v>
      </c>
      <c r="G16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3224</v>
      </c>
      <c r="O1683" s="37" t="s">
        <v>7525</v>
      </c>
      <c r="P1683" s="37" t="s">
        <v>7526</v>
      </c>
      <c r="Q1683" s="39" t="s">
        <v>3519</v>
      </c>
      <c r="R1683" s="34" t="s">
        <v>3407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3417</v>
      </c>
      <c r="X1683" s="34" t="s">
        <v>3446</v>
      </c>
      <c r="Y1683" s="34" t="s">
        <v>3409</v>
      </c>
      <c r="Z1683" s="34">
        <v>1</v>
      </c>
      <c r="AA1683" s="34" t="s">
        <v>5274</v>
      </c>
      <c r="AB1683" s="34" t="s">
        <v>5274</v>
      </c>
      <c r="AC1683" s="34" t="s">
        <v>6795</v>
      </c>
      <c r="AD1683" s="34" t="s">
        <v>6795</v>
      </c>
      <c r="AE1683" s="34" t="s">
        <v>4306</v>
      </c>
      <c r="AF1683" s="34" t="s">
        <v>4306</v>
      </c>
      <c r="AG1683" s="34" t="s">
        <v>4176</v>
      </c>
      <c r="AH1683" s="34" t="s">
        <v>7521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7" t="str">
        <f>IFERROR(INDEX(Структура_ассортимента[SuperCategory],MATCH(Товары[[#This Row],[SubGroup]],Структура_ассортимента[Subgroup],0)),"")</f>
        <v>W</v>
      </c>
      <c r="D16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7" t="str">
        <f>IFERROR(INDEX(Структура_ассортимента[Product group],MATCH(Товары[[#This Row],[SubGroup]],Структура_ассортимента[Subgroup],0)),"")</f>
        <v>WSS_C</v>
      </c>
      <c r="G16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3225</v>
      </c>
      <c r="O1684" s="37" t="s">
        <v>7527</v>
      </c>
      <c r="P1684" s="37" t="s">
        <v>7528</v>
      </c>
      <c r="Q1684" s="39" t="s">
        <v>3519</v>
      </c>
      <c r="R1684" s="34" t="s">
        <v>3407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3417</v>
      </c>
      <c r="X1684" s="34" t="s">
        <v>3446</v>
      </c>
      <c r="Y1684" s="34" t="s">
        <v>3409</v>
      </c>
      <c r="Z1684" s="34">
        <v>1</v>
      </c>
      <c r="AA1684" s="34" t="s">
        <v>6760</v>
      </c>
      <c r="AB1684" s="34" t="s">
        <v>6760</v>
      </c>
      <c r="AC1684" s="34" t="s">
        <v>6760</v>
      </c>
      <c r="AD1684" s="34" t="s">
        <v>6760</v>
      </c>
      <c r="AE1684" s="34" t="s">
        <v>3612</v>
      </c>
      <c r="AF1684" s="34" t="s">
        <v>3612</v>
      </c>
      <c r="AG1684" s="34" t="s">
        <v>4909</v>
      </c>
      <c r="AH1684" s="34" t="s">
        <v>7529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7" t="str">
        <f>IFERROR(INDEX(Структура_ассортимента[SuperCategory],MATCH(Товары[[#This Row],[SubGroup]],Структура_ассортимента[Subgroup],0)),"")</f>
        <v>W</v>
      </c>
      <c r="D16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7" t="str">
        <f>IFERROR(INDEX(Структура_ассортимента[Product group],MATCH(Товары[[#This Row],[SubGroup]],Структура_ассортимента[Subgroup],0)),"")</f>
        <v>WSS_C</v>
      </c>
      <c r="G16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3226</v>
      </c>
      <c r="O1685" s="37" t="s">
        <v>7530</v>
      </c>
      <c r="P1685" s="37" t="s">
        <v>7531</v>
      </c>
      <c r="Q1685" s="39" t="s">
        <v>3416</v>
      </c>
      <c r="R1685" s="34" t="s">
        <v>3407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3410</v>
      </c>
      <c r="X1685" s="34" t="s">
        <v>3446</v>
      </c>
      <c r="Y1685" s="34" t="s">
        <v>3409</v>
      </c>
      <c r="Z1685" s="34">
        <v>10</v>
      </c>
      <c r="AA1685" s="34" t="s">
        <v>3601</v>
      </c>
      <c r="AB1685" s="34" t="s">
        <v>3601</v>
      </c>
      <c r="AC1685" s="34" t="s">
        <v>3967</v>
      </c>
      <c r="AD1685" s="34" t="s">
        <v>3967</v>
      </c>
      <c r="AE1685" s="34" t="s">
        <v>3575</v>
      </c>
      <c r="AF1685" s="34" t="s">
        <v>3621</v>
      </c>
      <c r="AG1685" s="34" t="s">
        <v>3424</v>
      </c>
      <c r="AH1685" s="34" t="s">
        <v>7532</v>
      </c>
      <c r="AI1685" s="34" t="s">
        <v>5376</v>
      </c>
      <c r="AJ1685" s="34" t="s">
        <v>4669</v>
      </c>
      <c r="AK1685" s="34" t="s">
        <v>3483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7" t="str">
        <f>IFERROR(INDEX(Структура_ассортимента[SuperCategory],MATCH(Товары[[#This Row],[SubGroup]],Структура_ассортимента[Subgroup],0)),"")</f>
        <v>W</v>
      </c>
      <c r="D16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7" t="str">
        <f>IFERROR(INDEX(Структура_ассортимента[Product group],MATCH(Товары[[#This Row],[SubGroup]],Структура_ассортимента[Subgroup],0)),"")</f>
        <v>WSS_C</v>
      </c>
      <c r="G16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3227</v>
      </c>
      <c r="O1686" s="37" t="s">
        <v>7533</v>
      </c>
      <c r="P1686" s="37" t="s">
        <v>7534</v>
      </c>
      <c r="Q1686" s="39" t="s">
        <v>3416</v>
      </c>
      <c r="R1686" s="34" t="s">
        <v>3407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3410</v>
      </c>
      <c r="X1686" s="34" t="s">
        <v>3446</v>
      </c>
      <c r="Y1686" s="34" t="s">
        <v>3409</v>
      </c>
      <c r="Z1686" s="34">
        <v>10</v>
      </c>
      <c r="AA1686" s="34" t="s">
        <v>7535</v>
      </c>
      <c r="AB1686" s="34" t="s">
        <v>7535</v>
      </c>
      <c r="AC1686" s="34" t="s">
        <v>5777</v>
      </c>
      <c r="AD1686" s="34" t="s">
        <v>5777</v>
      </c>
      <c r="AE1686" s="34" t="s">
        <v>3433</v>
      </c>
      <c r="AF1686" s="34" t="s">
        <v>3621</v>
      </c>
      <c r="AG1686" s="34" t="s">
        <v>3433</v>
      </c>
      <c r="AH1686" s="34" t="s">
        <v>3959</v>
      </c>
      <c r="AI1686" s="34" t="s">
        <v>4548</v>
      </c>
      <c r="AJ1686" s="34" t="s">
        <v>4669</v>
      </c>
      <c r="AK1686" s="34" t="s">
        <v>4716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7" t="str">
        <f>IFERROR(INDEX(Структура_ассортимента[SuperCategory],MATCH(Товары[[#This Row],[SubGroup]],Структура_ассортимента[Subgroup],0)),"")</f>
        <v>W</v>
      </c>
      <c r="D16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7" t="str">
        <f>IFERROR(INDEX(Структура_ассортимента[Product group],MATCH(Товары[[#This Row],[SubGroup]],Структура_ассортимента[Subgroup],0)),"")</f>
        <v>WSS_C</v>
      </c>
      <c r="G16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3228</v>
      </c>
      <c r="O1687" s="37" t="s">
        <v>7536</v>
      </c>
      <c r="P1687" s="37" t="s">
        <v>7537</v>
      </c>
      <c r="Q1687" s="39" t="s">
        <v>3416</v>
      </c>
      <c r="R1687" s="34" t="s">
        <v>3407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3410</v>
      </c>
      <c r="X1687" s="34" t="s">
        <v>3446</v>
      </c>
      <c r="Y1687" s="34" t="s">
        <v>3409</v>
      </c>
      <c r="Z1687" s="34">
        <v>10</v>
      </c>
      <c r="AA1687" s="34" t="s">
        <v>7507</v>
      </c>
      <c r="AB1687" s="34" t="s">
        <v>6588</v>
      </c>
      <c r="AC1687" s="34" t="s">
        <v>3537</v>
      </c>
      <c r="AD1687" s="34" t="s">
        <v>3537</v>
      </c>
      <c r="AE1687" s="34" t="s">
        <v>3560</v>
      </c>
      <c r="AF1687" s="34" t="s">
        <v>3621</v>
      </c>
      <c r="AG1687" s="34" t="s">
        <v>3621</v>
      </c>
      <c r="AH1687" s="34" t="s">
        <v>7538</v>
      </c>
      <c r="AI1687" s="34" t="s">
        <v>4660</v>
      </c>
      <c r="AJ1687" s="34" t="s">
        <v>4669</v>
      </c>
      <c r="AK1687" s="34" t="s">
        <v>6368</v>
      </c>
      <c r="AL1687" s="34" t="s">
        <v>7539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7" t="str">
        <f>IFERROR(INDEX(Структура_ассортимента[SuperCategory],MATCH(Товары[[#This Row],[SubGroup]],Структура_ассортимента[Subgroup],0)),"")</f>
        <v>W</v>
      </c>
      <c r="D16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7" t="str">
        <f>IFERROR(INDEX(Структура_ассортимента[Product group],MATCH(Товары[[#This Row],[SubGroup]],Структура_ассортимента[Subgroup],0)),"")</f>
        <v>WSS_C</v>
      </c>
      <c r="G16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3229</v>
      </c>
      <c r="O1688" s="37" t="s">
        <v>7540</v>
      </c>
      <c r="P1688" s="37" t="s">
        <v>7541</v>
      </c>
      <c r="Q1688" s="39" t="s">
        <v>3416</v>
      </c>
      <c r="R1688" s="34" t="s">
        <v>3407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3410</v>
      </c>
      <c r="X1688" s="34" t="s">
        <v>3446</v>
      </c>
      <c r="Y1688" s="34" t="s">
        <v>3409</v>
      </c>
      <c r="Z1688" s="34">
        <v>10</v>
      </c>
      <c r="AA1688" s="34" t="s">
        <v>5518</v>
      </c>
      <c r="AB1688" s="34" t="s">
        <v>5518</v>
      </c>
      <c r="AC1688" s="34" t="s">
        <v>3584</v>
      </c>
      <c r="AD1688" s="34" t="s">
        <v>3584</v>
      </c>
      <c r="AE1688" s="34" t="s">
        <v>3578</v>
      </c>
      <c r="AF1688" s="34" t="s">
        <v>3621</v>
      </c>
      <c r="AG1688" s="34" t="s">
        <v>4048</v>
      </c>
      <c r="AH1688" s="34" t="s">
        <v>7542</v>
      </c>
      <c r="AI1688" s="34" t="s">
        <v>4051</v>
      </c>
      <c r="AJ1688" s="34" t="s">
        <v>6368</v>
      </c>
      <c r="AK1688" s="34" t="s">
        <v>4669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7" t="str">
        <f>IFERROR(INDEX(Структура_ассортимента[SuperCategory],MATCH(Товары[[#This Row],[SubGroup]],Структура_ассортимента[Subgroup],0)),"")</f>
        <v>W</v>
      </c>
      <c r="D16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7" t="str">
        <f>IFERROR(INDEX(Структура_ассортимента[Product group],MATCH(Товары[[#This Row],[SubGroup]],Структура_ассортимента[Subgroup],0)),"")</f>
        <v>WSS_C</v>
      </c>
      <c r="G16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3230</v>
      </c>
      <c r="O1689" s="37" t="s">
        <v>7543</v>
      </c>
      <c r="P1689" s="37" t="s">
        <v>7544</v>
      </c>
      <c r="Q1689" s="39" t="s">
        <v>3519</v>
      </c>
      <c r="R1689" s="34" t="s">
        <v>3407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3410</v>
      </c>
      <c r="X1689" s="34" t="s">
        <v>3446</v>
      </c>
      <c r="Y1689" s="34" t="s">
        <v>3409</v>
      </c>
      <c r="Z1689" s="34">
        <v>10</v>
      </c>
      <c r="AA1689" s="34" t="s">
        <v>3795</v>
      </c>
      <c r="AB1689" s="34" t="s">
        <v>3795</v>
      </c>
      <c r="AC1689" s="34" t="s">
        <v>4026</v>
      </c>
      <c r="AD1689" s="34" t="s">
        <v>4026</v>
      </c>
      <c r="AE1689" s="34" t="s">
        <v>3745</v>
      </c>
      <c r="AF1689" s="34" t="s">
        <v>4258</v>
      </c>
      <c r="AG1689" s="34" t="s">
        <v>3578</v>
      </c>
      <c r="AH1689" s="34" t="s">
        <v>7545</v>
      </c>
      <c r="AI1689" s="34" t="s">
        <v>4953</v>
      </c>
      <c r="AJ1689" s="34" t="s">
        <v>4028</v>
      </c>
      <c r="AK1689" s="34" t="s">
        <v>3433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7" t="str">
        <f>IFERROR(INDEX(Структура_ассортимента[SuperCategory],MATCH(Товары[[#This Row],[SubGroup]],Структура_ассортимента[Subgroup],0)),"")</f>
        <v>W</v>
      </c>
      <c r="D16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7" t="str">
        <f>IFERROR(INDEX(Структура_ассортимента[Product group],MATCH(Товары[[#This Row],[SubGroup]],Структура_ассортимента[Subgroup],0)),"")</f>
        <v>WSS_C</v>
      </c>
      <c r="G16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3231</v>
      </c>
      <c r="O1690" s="37" t="s">
        <v>7546</v>
      </c>
      <c r="P1690" s="37" t="s">
        <v>7547</v>
      </c>
      <c r="Q1690" s="39" t="s">
        <v>3519</v>
      </c>
      <c r="R1690" s="34" t="s">
        <v>3407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3410</v>
      </c>
      <c r="X1690" s="34" t="s">
        <v>3446</v>
      </c>
      <c r="Y1690" s="34" t="s">
        <v>3409</v>
      </c>
      <c r="Z1690" s="34">
        <v>10</v>
      </c>
      <c r="AA1690" s="34" t="s">
        <v>4065</v>
      </c>
      <c r="AB1690" s="34" t="s">
        <v>4065</v>
      </c>
      <c r="AC1690" s="34" t="s">
        <v>5946</v>
      </c>
      <c r="AD1690" s="34" t="s">
        <v>5946</v>
      </c>
      <c r="AE1690" s="34" t="s">
        <v>3427</v>
      </c>
      <c r="AF1690" s="34" t="s">
        <v>3427</v>
      </c>
      <c r="AG1690" s="34" t="s">
        <v>3578</v>
      </c>
      <c r="AH1690" s="34" t="s">
        <v>7548</v>
      </c>
      <c r="AI1690" s="34" t="s">
        <v>3466</v>
      </c>
      <c r="AJ1690" s="34" t="s">
        <v>4028</v>
      </c>
      <c r="AK1690" s="34" t="s">
        <v>4488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7" t="str">
        <f>IFERROR(INDEX(Структура_ассортимента[SuperCategory],MATCH(Товары[[#This Row],[SubGroup]],Структура_ассортимента[Subgroup],0)),"")</f>
        <v>W</v>
      </c>
      <c r="D16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7" t="str">
        <f>IFERROR(INDEX(Структура_ассортимента[Product group],MATCH(Товары[[#This Row],[SubGroup]],Структура_ассортимента[Subgroup],0)),"")</f>
        <v>WSS_C</v>
      </c>
      <c r="G16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3232</v>
      </c>
      <c r="O1691" s="37" t="s">
        <v>7549</v>
      </c>
      <c r="P1691" s="37" t="s">
        <v>7550</v>
      </c>
      <c r="Q1691" s="39" t="s">
        <v>3519</v>
      </c>
      <c r="R1691" s="34" t="s">
        <v>3407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3410</v>
      </c>
      <c r="X1691" s="34" t="s">
        <v>3446</v>
      </c>
      <c r="Y1691" s="34" t="s">
        <v>3409</v>
      </c>
      <c r="Z1691" s="34">
        <v>10</v>
      </c>
      <c r="AA1691" s="34" t="s">
        <v>3595</v>
      </c>
      <c r="AB1691" s="34" t="s">
        <v>3595</v>
      </c>
      <c r="AC1691" s="34" t="s">
        <v>3987</v>
      </c>
      <c r="AD1691" s="34" t="s">
        <v>3987</v>
      </c>
      <c r="AE1691" s="34" t="s">
        <v>3565</v>
      </c>
      <c r="AF1691" s="34" t="s">
        <v>3578</v>
      </c>
      <c r="AG1691" s="34" t="s">
        <v>3578</v>
      </c>
      <c r="AH1691" s="34" t="s">
        <v>7551</v>
      </c>
      <c r="AI1691" s="34" t="s">
        <v>4660</v>
      </c>
      <c r="AJ1691" s="34" t="s">
        <v>4028</v>
      </c>
      <c r="AK1691" s="34" t="s">
        <v>4269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7" t="str">
        <f>IFERROR(INDEX(Структура_ассортимента[SuperCategory],MATCH(Товары[[#This Row],[SubGroup]],Структура_ассортимента[Subgroup],0)),"")</f>
        <v>W</v>
      </c>
      <c r="D16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7" t="str">
        <f>IFERROR(INDEX(Структура_ассортимента[Product group],MATCH(Товары[[#This Row],[SubGroup]],Структура_ассортимента[Subgroup],0)),"")</f>
        <v>WSS_C</v>
      </c>
      <c r="G16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3233</v>
      </c>
      <c r="O1692" s="37" t="s">
        <v>7552</v>
      </c>
      <c r="P1692" s="37" t="s">
        <v>7553</v>
      </c>
      <c r="Q1692" s="39" t="s">
        <v>3416</v>
      </c>
      <c r="R1692" s="34" t="s">
        <v>3407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3410</v>
      </c>
      <c r="X1692" s="34" t="s">
        <v>3446</v>
      </c>
      <c r="Y1692" s="34" t="s">
        <v>3409</v>
      </c>
      <c r="Z1692" s="34">
        <v>10</v>
      </c>
      <c r="AA1692" s="34" t="s">
        <v>3595</v>
      </c>
      <c r="AB1692" s="34" t="s">
        <v>3595</v>
      </c>
      <c r="AC1692" s="34" t="s">
        <v>3863</v>
      </c>
      <c r="AD1692" s="34" t="s">
        <v>3863</v>
      </c>
      <c r="AE1692" s="34" t="s">
        <v>3560</v>
      </c>
      <c r="AF1692" s="34" t="s">
        <v>4048</v>
      </c>
      <c r="AG1692" s="34" t="s">
        <v>3621</v>
      </c>
      <c r="AH1692" s="34" t="s">
        <v>7554</v>
      </c>
      <c r="AI1692" s="34" t="s">
        <v>4660</v>
      </c>
      <c r="AJ1692" s="34" t="s">
        <v>4028</v>
      </c>
      <c r="AK1692" s="34" t="s">
        <v>4269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7" t="str">
        <f>IFERROR(INDEX(Структура_ассортимента[SuperCategory],MATCH(Товары[[#This Row],[SubGroup]],Структура_ассортимента[Subgroup],0)),"")</f>
        <v>W</v>
      </c>
      <c r="D16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7" t="str">
        <f>IFERROR(INDEX(Структура_ассортимента[Product group],MATCH(Товары[[#This Row],[SubGroup]],Структура_ассортимента[Subgroup],0)),"")</f>
        <v>WSS_C</v>
      </c>
      <c r="G16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3234</v>
      </c>
      <c r="O1693" s="37" t="s">
        <v>7555</v>
      </c>
      <c r="P1693" s="37" t="s">
        <v>7556</v>
      </c>
      <c r="Q1693" s="39" t="s">
        <v>3519</v>
      </c>
      <c r="R1693" s="34" t="s">
        <v>3407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3410</v>
      </c>
      <c r="X1693" s="34" t="s">
        <v>3446</v>
      </c>
      <c r="Y1693" s="34" t="s">
        <v>3409</v>
      </c>
      <c r="Z1693" s="34">
        <v>10</v>
      </c>
      <c r="AA1693" s="34" t="s">
        <v>3586</v>
      </c>
      <c r="AB1693" s="34" t="s">
        <v>3586</v>
      </c>
      <c r="AC1693" s="34" t="s">
        <v>6930</v>
      </c>
      <c r="AD1693" s="34" t="s">
        <v>6930</v>
      </c>
      <c r="AE1693" s="34" t="s">
        <v>4191</v>
      </c>
      <c r="AF1693" s="34" t="s">
        <v>3578</v>
      </c>
      <c r="AG1693" s="34" t="s">
        <v>3578</v>
      </c>
      <c r="AH1693" s="34" t="s">
        <v>7557</v>
      </c>
      <c r="AI1693" s="34" t="s">
        <v>4028</v>
      </c>
      <c r="AJ1693" s="34" t="s">
        <v>4028</v>
      </c>
      <c r="AK1693" s="34" t="s">
        <v>4269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7" t="str">
        <f>IFERROR(INDEX(Структура_ассортимента[SuperCategory],MATCH(Товары[[#This Row],[SubGroup]],Структура_ассортимента[Subgroup],0)),"")</f>
        <v>W</v>
      </c>
      <c r="D16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7" t="str">
        <f>IFERROR(INDEX(Структура_ассортимента[Product group],MATCH(Товары[[#This Row],[SubGroup]],Структура_ассортимента[Subgroup],0)),"")</f>
        <v>WSS_C</v>
      </c>
      <c r="G16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3235</v>
      </c>
      <c r="O1694" s="37" t="s">
        <v>7558</v>
      </c>
      <c r="P1694" s="37" t="s">
        <v>7559</v>
      </c>
      <c r="Q1694" s="39" t="s">
        <v>3416</v>
      </c>
      <c r="R1694" s="34" t="s">
        <v>3407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3413</v>
      </c>
      <c r="X1694" s="34" t="s">
        <v>3571</v>
      </c>
      <c r="Y1694" s="34" t="s">
        <v>3409</v>
      </c>
      <c r="Z1694" s="34">
        <v>3</v>
      </c>
      <c r="AA1694" s="34" t="s">
        <v>7560</v>
      </c>
      <c r="AB1694" s="34" t="s">
        <v>7560</v>
      </c>
      <c r="AC1694" s="34" t="s">
        <v>4668</v>
      </c>
      <c r="AD1694" s="34" t="s">
        <v>4668</v>
      </c>
      <c r="AE1694" s="34" t="s">
        <v>4523</v>
      </c>
      <c r="AF1694" s="34" t="s">
        <v>4523</v>
      </c>
      <c r="AG1694" s="34" t="s">
        <v>4325</v>
      </c>
      <c r="AH1694" s="34" t="s">
        <v>7120</v>
      </c>
      <c r="AI1694" s="34" t="s">
        <v>4556</v>
      </c>
      <c r="AJ1694" s="34" t="s">
        <v>5413</v>
      </c>
      <c r="AK1694" s="34" t="s">
        <v>4556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7" t="str">
        <f>IFERROR(INDEX(Структура_ассортимента[SuperCategory],MATCH(Товары[[#This Row],[SubGroup]],Структура_ассортимента[Subgroup],0)),"")</f>
        <v>W</v>
      </c>
      <c r="D16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7" t="str">
        <f>IFERROR(INDEX(Структура_ассортимента[Product group],MATCH(Товары[[#This Row],[SubGroup]],Структура_ассортимента[Subgroup],0)),"")</f>
        <v>WSS_C</v>
      </c>
      <c r="G16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3236</v>
      </c>
      <c r="Q1695" s="39" t="s">
        <v>3416</v>
      </c>
      <c r="R1695" s="34" t="s">
        <v>3407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3410</v>
      </c>
      <c r="X1695" s="34" t="s">
        <v>3446</v>
      </c>
      <c r="Y1695" s="34" t="s">
        <v>3409</v>
      </c>
      <c r="Z1695" s="34">
        <v>2</v>
      </c>
      <c r="AA1695" s="34" t="s">
        <v>6029</v>
      </c>
      <c r="AB1695" s="34" t="s">
        <v>6029</v>
      </c>
      <c r="AC1695" s="34" t="s">
        <v>3987</v>
      </c>
      <c r="AD1695" s="34" t="s">
        <v>3987</v>
      </c>
      <c r="AE1695" s="34" t="s">
        <v>3809</v>
      </c>
      <c r="AF1695" s="34" t="s">
        <v>3835</v>
      </c>
      <c r="AG1695" s="34" t="s">
        <v>4330</v>
      </c>
      <c r="AH1695" s="34" t="s">
        <v>7561</v>
      </c>
      <c r="AI1695" s="34" t="s">
        <v>3632</v>
      </c>
      <c r="AJ1695" s="34" t="s">
        <v>7562</v>
      </c>
      <c r="AK1695" s="34" t="s">
        <v>3798</v>
      </c>
      <c r="AL1695" s="34">
        <v>288</v>
      </c>
      <c r="AM1695" s="34" t="s">
        <v>7962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7" t="str">
        <f>IFERROR(INDEX(Структура_ассортимента[SuperCategory],MATCH(Товары[[#This Row],[SubGroup]],Структура_ассортимента[Subgroup],0)),"")</f>
        <v>W</v>
      </c>
      <c r="D16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7" t="str">
        <f>IFERROR(INDEX(Структура_ассортимента[Product group],MATCH(Товары[[#This Row],[SubGroup]],Структура_ассортимента[Subgroup],0)),"")</f>
        <v>WSS_C</v>
      </c>
      <c r="G16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3237</v>
      </c>
      <c r="P1696" s="37" t="s">
        <v>7563</v>
      </c>
      <c r="Q1696" s="39" t="s">
        <v>3580</v>
      </c>
      <c r="R1696" s="34" t="s">
        <v>3407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3803</v>
      </c>
      <c r="Y1696" s="34" t="s">
        <v>3409</v>
      </c>
      <c r="Z1696" s="34">
        <v>1</v>
      </c>
      <c r="AA1696" s="34" t="s">
        <v>7564</v>
      </c>
      <c r="AB1696" s="34" t="s">
        <v>7564</v>
      </c>
      <c r="AC1696" s="34" t="s">
        <v>6174</v>
      </c>
      <c r="AD1696" s="34" t="s">
        <v>6174</v>
      </c>
      <c r="AE1696" s="34" t="s">
        <v>4055</v>
      </c>
      <c r="AF1696" s="34" t="s">
        <v>4818</v>
      </c>
      <c r="AG1696" s="34" t="s">
        <v>3477</v>
      </c>
      <c r="AH1696" s="34" t="s">
        <v>7565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7" t="str">
        <f>IFERROR(INDEX(Структура_ассортимента[SuperCategory],MATCH(Товары[[#This Row],[SubGroup]],Структура_ассортимента[Subgroup],0)),"")</f>
        <v>W</v>
      </c>
      <c r="D16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7" t="str">
        <f>IFERROR(INDEX(Структура_ассортимента[Product group],MATCH(Товары[[#This Row],[SubGroup]],Структура_ассортимента[Subgroup],0)),"")</f>
        <v>WSS_C</v>
      </c>
      <c r="G16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3238</v>
      </c>
      <c r="Q1697" s="39" t="s">
        <v>3580</v>
      </c>
      <c r="R1697" s="34" t="s">
        <v>3407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3410</v>
      </c>
      <c r="Y1697" s="34" t="s">
        <v>3409</v>
      </c>
      <c r="Z1697" s="34">
        <v>1</v>
      </c>
      <c r="AA1697" s="34" t="s">
        <v>7566</v>
      </c>
      <c r="AB1697" s="34" t="s">
        <v>7566</v>
      </c>
      <c r="AC1697" s="34" t="s">
        <v>7567</v>
      </c>
      <c r="AD1697" s="34" t="s">
        <v>7567</v>
      </c>
      <c r="AE1697" s="34" t="s">
        <v>7568</v>
      </c>
      <c r="AF1697" s="34" t="s">
        <v>7569</v>
      </c>
      <c r="AG1697" s="34" t="s">
        <v>5786</v>
      </c>
      <c r="AH1697" s="34" t="s">
        <v>7570</v>
      </c>
      <c r="AL1697" s="34">
        <v>36</v>
      </c>
      <c r="AM1697" s="34" t="s">
        <v>7961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7" t="str">
        <f>IFERROR(INDEX(Структура_ассортимента[SuperCategory],MATCH(Товары[[#This Row],[SubGroup]],Структура_ассортимента[Subgroup],0)),"")</f>
        <v>W</v>
      </c>
      <c r="D16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7" t="str">
        <f>IFERROR(INDEX(Структура_ассортимента[Product group],MATCH(Товары[[#This Row],[SubGroup]],Структура_ассортимента[Subgroup],0)),"")</f>
        <v>WSS_C</v>
      </c>
      <c r="G16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3239</v>
      </c>
      <c r="O1698" s="37" t="s">
        <v>7571</v>
      </c>
      <c r="P1698" s="37" t="s">
        <v>7572</v>
      </c>
      <c r="Q1698" s="39" t="s">
        <v>3416</v>
      </c>
      <c r="R1698" s="34" t="s">
        <v>3407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3414</v>
      </c>
      <c r="X1698" s="34" t="s">
        <v>3571</v>
      </c>
      <c r="Y1698" s="34" t="s">
        <v>3409</v>
      </c>
      <c r="Z1698" s="34">
        <v>10</v>
      </c>
      <c r="AA1698" s="34" t="s">
        <v>6213</v>
      </c>
      <c r="AB1698" s="34" t="s">
        <v>6213</v>
      </c>
      <c r="AC1698" s="34" t="s">
        <v>7573</v>
      </c>
      <c r="AD1698" s="34" t="s">
        <v>7573</v>
      </c>
      <c r="AE1698" s="34" t="s">
        <v>4048</v>
      </c>
      <c r="AF1698" s="34" t="s">
        <v>4048</v>
      </c>
      <c r="AG1698" s="34" t="s">
        <v>3732</v>
      </c>
      <c r="AH1698" s="34" t="s">
        <v>7574</v>
      </c>
      <c r="AI1698" s="34" t="s">
        <v>5149</v>
      </c>
      <c r="AJ1698" s="34" t="s">
        <v>4307</v>
      </c>
      <c r="AK1698" s="34" t="s">
        <v>5149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7" t="str">
        <f>IFERROR(INDEX(Структура_ассортимента[SuperCategory],MATCH(Товары[[#This Row],[SubGroup]],Структура_ассортимента[Subgroup],0)),"")</f>
        <v>W</v>
      </c>
      <c r="D16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7" t="str">
        <f>IFERROR(INDEX(Структура_ассортимента[Product group],MATCH(Товары[[#This Row],[SubGroup]],Структура_ассортимента[Subgroup],0)),"")</f>
        <v>WSS_C</v>
      </c>
      <c r="G16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3240</v>
      </c>
      <c r="O1699" s="37" t="s">
        <v>7575</v>
      </c>
      <c r="P1699" s="37" t="s">
        <v>7576</v>
      </c>
      <c r="Q1699" s="39" t="s">
        <v>3416</v>
      </c>
      <c r="R1699" s="34" t="s">
        <v>3407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3410</v>
      </c>
      <c r="X1699" s="34" t="s">
        <v>3446</v>
      </c>
      <c r="Y1699" s="34" t="s">
        <v>3409</v>
      </c>
      <c r="Z1699" s="34">
        <v>6</v>
      </c>
      <c r="AA1699" s="34" t="s">
        <v>4409</v>
      </c>
      <c r="AB1699" s="34" t="s">
        <v>4409</v>
      </c>
      <c r="AC1699" s="34" t="s">
        <v>4550</v>
      </c>
      <c r="AD1699" s="34" t="s">
        <v>4550</v>
      </c>
      <c r="AE1699" s="34" t="s">
        <v>4124</v>
      </c>
      <c r="AF1699" s="34" t="s">
        <v>4202</v>
      </c>
      <c r="AG1699" s="34" t="s">
        <v>4202</v>
      </c>
      <c r="AH1699" s="34" t="s">
        <v>4442</v>
      </c>
      <c r="AI1699" s="34" t="s">
        <v>4272</v>
      </c>
      <c r="AJ1699" s="34" t="s">
        <v>6848</v>
      </c>
      <c r="AK1699" s="34" t="s">
        <v>4272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7" t="str">
        <f>IFERROR(INDEX(Структура_ассортимента[SuperCategory],MATCH(Товары[[#This Row],[SubGroup]],Структура_ассортимента[Subgroup],0)),"")</f>
        <v>W</v>
      </c>
      <c r="D17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7" t="str">
        <f>IFERROR(INDEX(Структура_ассортимента[Product group],MATCH(Товары[[#This Row],[SubGroup]],Структура_ассортимента[Subgroup],0)),"")</f>
        <v>WSS_C</v>
      </c>
      <c r="G17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3241</v>
      </c>
      <c r="O1700" s="37" t="s">
        <v>7577</v>
      </c>
      <c r="P1700" s="37" t="s">
        <v>7578</v>
      </c>
      <c r="Q1700" s="39" t="s">
        <v>3416</v>
      </c>
      <c r="R1700" s="34" t="s">
        <v>3407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3410</v>
      </c>
      <c r="X1700" s="34" t="s">
        <v>3446</v>
      </c>
      <c r="Y1700" s="34" t="s">
        <v>3409</v>
      </c>
      <c r="Z1700" s="34">
        <v>6</v>
      </c>
      <c r="AA1700" s="34" t="s">
        <v>7579</v>
      </c>
      <c r="AB1700" s="34" t="s">
        <v>7579</v>
      </c>
      <c r="AC1700" s="34" t="s">
        <v>4550</v>
      </c>
      <c r="AD1700" s="34" t="s">
        <v>4550</v>
      </c>
      <c r="AE1700" s="34" t="s">
        <v>4124</v>
      </c>
      <c r="AF1700" s="34" t="s">
        <v>4202</v>
      </c>
      <c r="AG1700" s="34" t="s">
        <v>4202</v>
      </c>
      <c r="AH1700" s="34" t="s">
        <v>4442</v>
      </c>
      <c r="AI1700" s="34" t="s">
        <v>4272</v>
      </c>
      <c r="AJ1700" s="34" t="s">
        <v>6848</v>
      </c>
      <c r="AK1700" s="34" t="s">
        <v>4272</v>
      </c>
      <c r="AL1700" s="34" t="s">
        <v>5182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7" t="str">
        <f>IFERROR(INDEX(Структура_ассортимента[SuperCategory],MATCH(Товары[[#This Row],[SubGroup]],Структура_ассортимента[Subgroup],0)),"")</f>
        <v>W</v>
      </c>
      <c r="D17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7" t="str">
        <f>IFERROR(INDEX(Структура_ассортимента[Product group],MATCH(Товары[[#This Row],[SubGroup]],Структура_ассортимента[Subgroup],0)),"")</f>
        <v>WSS_C</v>
      </c>
      <c r="G17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3242</v>
      </c>
      <c r="O1701" s="37" t="s">
        <v>7580</v>
      </c>
      <c r="P1701" s="37" t="s">
        <v>7581</v>
      </c>
      <c r="Q1701" s="39" t="s">
        <v>3416</v>
      </c>
      <c r="R1701" s="34" t="s">
        <v>3407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3410</v>
      </c>
      <c r="X1701" s="34" t="s">
        <v>3446</v>
      </c>
      <c r="Y1701" s="34" t="s">
        <v>3409</v>
      </c>
      <c r="Z1701" s="34">
        <v>4</v>
      </c>
      <c r="AA1701" s="34" t="s">
        <v>5931</v>
      </c>
      <c r="AB1701" s="34" t="s">
        <v>5931</v>
      </c>
      <c r="AC1701" s="34" t="s">
        <v>3795</v>
      </c>
      <c r="AD1701" s="34" t="s">
        <v>3795</v>
      </c>
      <c r="AE1701" s="34" t="s">
        <v>6721</v>
      </c>
      <c r="AF1701" s="34" t="s">
        <v>4258</v>
      </c>
      <c r="AG1701" s="34" t="s">
        <v>4048</v>
      </c>
      <c r="AH1701" s="34" t="s">
        <v>7582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7" t="str">
        <f>IFERROR(INDEX(Структура_ассортимента[SuperCategory],MATCH(Товары[[#This Row],[SubGroup]],Структура_ассортимента[Subgroup],0)),"")</f>
        <v>W</v>
      </c>
      <c r="D17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7" t="str">
        <f>IFERROR(INDEX(Структура_ассортимента[Product group],MATCH(Товары[[#This Row],[SubGroup]],Структура_ассортимента[Subgroup],0)),"")</f>
        <v>WSS_C</v>
      </c>
      <c r="G17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3243</v>
      </c>
      <c r="Q1702" s="39" t="s">
        <v>3519</v>
      </c>
      <c r="R1702" s="34" t="s">
        <v>3407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3417</v>
      </c>
      <c r="X1702" s="34" t="s">
        <v>3654</v>
      </c>
      <c r="Y1702" s="34" t="s">
        <v>3409</v>
      </c>
      <c r="Z1702" s="34">
        <v>30</v>
      </c>
      <c r="AA1702" s="34" t="s">
        <v>3537</v>
      </c>
      <c r="AB1702" s="34" t="s">
        <v>3537</v>
      </c>
      <c r="AC1702" s="34" t="s">
        <v>6469</v>
      </c>
      <c r="AD1702" s="34" t="s">
        <v>6469</v>
      </c>
      <c r="AE1702" s="34" t="s">
        <v>4372</v>
      </c>
      <c r="AF1702" s="34" t="s">
        <v>3621</v>
      </c>
      <c r="AG1702" s="34" t="s">
        <v>3798</v>
      </c>
      <c r="AH1702" s="34" t="s">
        <v>7583</v>
      </c>
      <c r="AL1702" s="34">
        <v>720</v>
      </c>
      <c r="AM1702" s="34" t="s">
        <v>7962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7" t="str">
        <f>IFERROR(INDEX(Структура_ассортимента[SuperCategory],MATCH(Товары[[#This Row],[SubGroup]],Структура_ассортимента[Subgroup],0)),"")</f>
        <v>W</v>
      </c>
      <c r="D17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7" t="str">
        <f>IFERROR(INDEX(Структура_ассортимента[Product group],MATCH(Товары[[#This Row],[SubGroup]],Структура_ассортимента[Subgroup],0)),"")</f>
        <v>WSS_C</v>
      </c>
      <c r="G17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3244</v>
      </c>
      <c r="O1703" s="37" t="s">
        <v>7584</v>
      </c>
      <c r="P1703" s="37" t="s">
        <v>7585</v>
      </c>
      <c r="Q1703" s="39" t="s">
        <v>3519</v>
      </c>
      <c r="R1703" s="34" t="s">
        <v>3407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3417</v>
      </c>
      <c r="X1703" s="34" t="s">
        <v>3654</v>
      </c>
      <c r="Y1703" s="34" t="s">
        <v>3409</v>
      </c>
      <c r="Z1703" s="34">
        <v>12</v>
      </c>
      <c r="AA1703" s="34" t="s">
        <v>6535</v>
      </c>
      <c r="AB1703" s="34" t="s">
        <v>6535</v>
      </c>
      <c r="AC1703" s="34" t="s">
        <v>3543</v>
      </c>
      <c r="AD1703" s="34" t="s">
        <v>3538</v>
      </c>
      <c r="AE1703" s="34" t="s">
        <v>4372</v>
      </c>
      <c r="AF1703" s="34" t="s">
        <v>3621</v>
      </c>
      <c r="AG1703" s="34" t="s">
        <v>3621</v>
      </c>
      <c r="AH1703" s="34" t="s">
        <v>5484</v>
      </c>
      <c r="AL1703" s="34" t="s">
        <v>3591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7" t="str">
        <f>IFERROR(INDEX(Структура_ассортимента[SuperCategory],MATCH(Товары[[#This Row],[SubGroup]],Структура_ассортимента[Subgroup],0)),"")</f>
        <v>W</v>
      </c>
      <c r="D17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7" t="str">
        <f>IFERROR(INDEX(Структура_ассортимента[Product group],MATCH(Товары[[#This Row],[SubGroup]],Структура_ассортимента[Subgroup],0)),"")</f>
        <v>WSS_C</v>
      </c>
      <c r="G17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3245</v>
      </c>
      <c r="O1704" s="37" t="s">
        <v>7584</v>
      </c>
      <c r="P1704" s="37" t="s">
        <v>7585</v>
      </c>
      <c r="Q1704" s="39" t="s">
        <v>3416</v>
      </c>
      <c r="R1704" s="34" t="s">
        <v>3407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3417</v>
      </c>
      <c r="X1704" s="34" t="s">
        <v>3654</v>
      </c>
      <c r="Y1704" s="34" t="s">
        <v>3409</v>
      </c>
      <c r="Z1704" s="34">
        <v>12</v>
      </c>
      <c r="AA1704" s="34" t="s">
        <v>3537</v>
      </c>
      <c r="AB1704" s="34" t="s">
        <v>3537</v>
      </c>
      <c r="AC1704" s="34" t="s">
        <v>3543</v>
      </c>
      <c r="AD1704" s="34" t="s">
        <v>3543</v>
      </c>
      <c r="AE1704" s="34" t="s">
        <v>4372</v>
      </c>
      <c r="AF1704" s="34" t="s">
        <v>3621</v>
      </c>
      <c r="AG1704" s="34" t="s">
        <v>3621</v>
      </c>
      <c r="AH1704" s="34" t="s">
        <v>5484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7" t="str">
        <f>IFERROR(INDEX(Структура_ассортимента[SuperCategory],MATCH(Товары[[#This Row],[SubGroup]],Структура_ассортимента[Subgroup],0)),"")</f>
        <v>W</v>
      </c>
      <c r="D17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7" t="str">
        <f>IFERROR(INDEX(Структура_ассортимента[Product group],MATCH(Товары[[#This Row],[SubGroup]],Структура_ассортимента[Subgroup],0)),"")</f>
        <v>WSS_C</v>
      </c>
      <c r="G17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3246</v>
      </c>
      <c r="O1705" s="37" t="s">
        <v>7586</v>
      </c>
      <c r="P1705" s="37" t="s">
        <v>7587</v>
      </c>
      <c r="Q1705" s="39" t="s">
        <v>3416</v>
      </c>
      <c r="R1705" s="34" t="s">
        <v>3407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3417</v>
      </c>
      <c r="X1705" s="34" t="s">
        <v>3654</v>
      </c>
      <c r="Y1705" s="34" t="s">
        <v>3409</v>
      </c>
      <c r="Z1705" s="34">
        <v>15</v>
      </c>
      <c r="AA1705" s="34" t="s">
        <v>3538</v>
      </c>
      <c r="AB1705" s="34" t="s">
        <v>3538</v>
      </c>
      <c r="AC1705" s="34" t="s">
        <v>3537</v>
      </c>
      <c r="AD1705" s="34" t="s">
        <v>3537</v>
      </c>
      <c r="AE1705" s="34" t="s">
        <v>3621</v>
      </c>
      <c r="AF1705" s="34" t="s">
        <v>3621</v>
      </c>
      <c r="AG1705" s="34" t="s">
        <v>4372</v>
      </c>
      <c r="AH1705" s="34" t="s">
        <v>5484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7" t="str">
        <f>IFERROR(INDEX(Структура_ассортимента[SuperCategory],MATCH(Товары[[#This Row],[SubGroup]],Структура_ассортимента[Subgroup],0)),"")</f>
        <v>W</v>
      </c>
      <c r="D17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7" t="str">
        <f>IFERROR(INDEX(Структура_ассортимента[Product group],MATCH(Товары[[#This Row],[SubGroup]],Структура_ассортимента[Subgroup],0)),"")</f>
        <v>WSS_C</v>
      </c>
      <c r="G17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3247</v>
      </c>
      <c r="O1706" s="37" t="s">
        <v>7588</v>
      </c>
      <c r="P1706" s="37" t="s">
        <v>7589</v>
      </c>
      <c r="Q1706" s="39" t="s">
        <v>3416</v>
      </c>
      <c r="R1706" s="34" t="s">
        <v>3407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3417</v>
      </c>
      <c r="X1706" s="34" t="s">
        <v>3654</v>
      </c>
      <c r="Y1706" s="34" t="s">
        <v>3409</v>
      </c>
      <c r="Z1706" s="34">
        <v>15</v>
      </c>
      <c r="AA1706" s="34" t="s">
        <v>6489</v>
      </c>
      <c r="AB1706" s="34" t="s">
        <v>6489</v>
      </c>
      <c r="AC1706" s="34" t="s">
        <v>3537</v>
      </c>
      <c r="AD1706" s="34" t="s">
        <v>3537</v>
      </c>
      <c r="AE1706" s="34" t="s">
        <v>3621</v>
      </c>
      <c r="AF1706" s="34" t="s">
        <v>3621</v>
      </c>
      <c r="AG1706" s="34" t="s">
        <v>4372</v>
      </c>
      <c r="AH1706" s="34" t="s">
        <v>5484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7" t="str">
        <f>IFERROR(INDEX(Структура_ассортимента[SuperCategory],MATCH(Товары[[#This Row],[SubGroup]],Структура_ассортимента[Subgroup],0)),"")</f>
        <v>W</v>
      </c>
      <c r="D17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7" t="str">
        <f>IFERROR(INDEX(Структура_ассортимента[Product group],MATCH(Товары[[#This Row],[SubGroup]],Структура_ассортимента[Subgroup],0)),"")</f>
        <v>WSS_C</v>
      </c>
      <c r="G17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3248</v>
      </c>
      <c r="O1707" s="37" t="s">
        <v>7590</v>
      </c>
      <c r="P1707" s="37" t="s">
        <v>7591</v>
      </c>
      <c r="Q1707" s="39" t="s">
        <v>3416</v>
      </c>
      <c r="R1707" s="34" t="s">
        <v>3407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3417</v>
      </c>
      <c r="X1707" s="34" t="s">
        <v>3654</v>
      </c>
      <c r="Y1707" s="34" t="s">
        <v>3409</v>
      </c>
      <c r="Z1707" s="34">
        <v>30</v>
      </c>
      <c r="AA1707" s="34" t="s">
        <v>3538</v>
      </c>
      <c r="AB1707" s="34" t="s">
        <v>3538</v>
      </c>
      <c r="AC1707" s="34" t="s">
        <v>3537</v>
      </c>
      <c r="AD1707" s="34" t="s">
        <v>3537</v>
      </c>
      <c r="AE1707" s="34" t="s">
        <v>3621</v>
      </c>
      <c r="AF1707" s="34" t="s">
        <v>3621</v>
      </c>
      <c r="AG1707" s="34" t="s">
        <v>4372</v>
      </c>
      <c r="AH1707" s="34" t="s">
        <v>5484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7" t="str">
        <f>IFERROR(INDEX(Структура_ассортимента[SuperCategory],MATCH(Товары[[#This Row],[SubGroup]],Структура_ассортимента[Subgroup],0)),"")</f>
        <v>W</v>
      </c>
      <c r="D17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7" t="str">
        <f>IFERROR(INDEX(Структура_ассортимента[Product group],MATCH(Товары[[#This Row],[SubGroup]],Структура_ассортимента[Subgroup],0)),"")</f>
        <v>WSS_C</v>
      </c>
      <c r="G17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3249</v>
      </c>
      <c r="O1708" s="37" t="s">
        <v>7592</v>
      </c>
      <c r="P1708" s="37" t="s">
        <v>7593</v>
      </c>
      <c r="Q1708" s="39" t="s">
        <v>3416</v>
      </c>
      <c r="R1708" s="34" t="s">
        <v>3407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3417</v>
      </c>
      <c r="X1708" s="34" t="s">
        <v>3654</v>
      </c>
      <c r="Y1708" s="34" t="s">
        <v>3409</v>
      </c>
      <c r="Z1708" s="34">
        <v>30</v>
      </c>
      <c r="AA1708" s="34" t="s">
        <v>3538</v>
      </c>
      <c r="AB1708" s="34" t="s">
        <v>3538</v>
      </c>
      <c r="AC1708" s="34" t="s">
        <v>3537</v>
      </c>
      <c r="AD1708" s="34" t="s">
        <v>3537</v>
      </c>
      <c r="AE1708" s="34" t="s">
        <v>3621</v>
      </c>
      <c r="AF1708" s="34" t="s">
        <v>3621</v>
      </c>
      <c r="AG1708" s="34" t="s">
        <v>4372</v>
      </c>
      <c r="AH1708" s="34" t="s">
        <v>5484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7" t="str">
        <f>IFERROR(INDEX(Структура_ассортимента[SuperCategory],MATCH(Товары[[#This Row],[SubGroup]],Структура_ассортимента[Subgroup],0)),"")</f>
        <v>W</v>
      </c>
      <c r="D17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7" t="str">
        <f>IFERROR(INDEX(Структура_ассортимента[Product group],MATCH(Товары[[#This Row],[SubGroup]],Структура_ассортимента[Subgroup],0)),"")</f>
        <v>WSS_C</v>
      </c>
      <c r="G17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3250</v>
      </c>
      <c r="P1709" s="37" t="s">
        <v>7594</v>
      </c>
      <c r="Q1709" s="39" t="s">
        <v>3580</v>
      </c>
      <c r="R1709" s="34" t="s">
        <v>3407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3410</v>
      </c>
      <c r="Y1709" s="34" t="s">
        <v>3409</v>
      </c>
      <c r="Z1709" s="34">
        <v>2</v>
      </c>
      <c r="AA1709" s="34" t="s">
        <v>4412</v>
      </c>
      <c r="AB1709" s="34" t="s">
        <v>4412</v>
      </c>
      <c r="AC1709" s="34" t="s">
        <v>4241</v>
      </c>
      <c r="AD1709" s="34" t="s">
        <v>4241</v>
      </c>
      <c r="AE1709" s="34" t="s">
        <v>3685</v>
      </c>
      <c r="AF1709" s="34" t="s">
        <v>3685</v>
      </c>
      <c r="AG1709" s="34" t="s">
        <v>4508</v>
      </c>
      <c r="AH1709" s="34" t="s">
        <v>7595</v>
      </c>
      <c r="AL1709" s="34" t="s">
        <v>4173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7" t="str">
        <f>IFERROR(INDEX(Структура_ассортимента[SuperCategory],MATCH(Товары[[#This Row],[SubGroup]],Структура_ассортимента[Subgroup],0)),"")</f>
        <v>W</v>
      </c>
      <c r="D17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7" t="str">
        <f>IFERROR(INDEX(Структура_ассортимента[Product group],MATCH(Товары[[#This Row],[SubGroup]],Структура_ассортимента[Subgroup],0)),"")</f>
        <v>WSS_C</v>
      </c>
      <c r="G17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3251</v>
      </c>
      <c r="Q1710" s="39" t="s">
        <v>3580</v>
      </c>
      <c r="R1710" s="34" t="s">
        <v>3407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3410</v>
      </c>
      <c r="Y1710" s="34" t="s">
        <v>3409</v>
      </c>
      <c r="Z1710" s="34">
        <v>1</v>
      </c>
      <c r="AA1710" s="34" t="s">
        <v>7596</v>
      </c>
      <c r="AB1710" s="34" t="s">
        <v>7597</v>
      </c>
      <c r="AC1710" s="34" t="s">
        <v>7598</v>
      </c>
      <c r="AD1710" s="34" t="s">
        <v>5274</v>
      </c>
      <c r="AE1710" s="34" t="s">
        <v>7599</v>
      </c>
      <c r="AF1710" s="34" t="s">
        <v>4268</v>
      </c>
      <c r="AG1710" s="34" t="s">
        <v>3721</v>
      </c>
      <c r="AH1710" s="34" t="s">
        <v>7600</v>
      </c>
      <c r="AL1710" s="34" t="s">
        <v>7601</v>
      </c>
      <c r="AM1710" s="34" t="s">
        <v>7961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7" t="str">
        <f>IFERROR(INDEX(Структура_ассортимента[SuperCategory],MATCH(Товары[[#This Row],[SubGroup]],Структура_ассортимента[Subgroup],0)),"")</f>
        <v>W</v>
      </c>
      <c r="D17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7" t="str">
        <f>IFERROR(INDEX(Структура_ассортимента[Product group],MATCH(Товары[[#This Row],[SubGroup]],Структура_ассортимента[Subgroup],0)),"")</f>
        <v>WSS_C</v>
      </c>
      <c r="G17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3252</v>
      </c>
      <c r="O1711" s="37" t="s">
        <v>7602</v>
      </c>
      <c r="P1711" s="37" t="s">
        <v>7603</v>
      </c>
      <c r="Q1711" s="39" t="s">
        <v>3416</v>
      </c>
      <c r="R1711" s="34" t="s">
        <v>3407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3413</v>
      </c>
      <c r="X1711" s="34" t="s">
        <v>3571</v>
      </c>
      <c r="Y1711" s="34" t="s">
        <v>3409</v>
      </c>
      <c r="Z1711" s="34">
        <v>3</v>
      </c>
      <c r="AA1711" s="34" t="s">
        <v>7604</v>
      </c>
      <c r="AB1711" s="34" t="s">
        <v>7604</v>
      </c>
      <c r="AC1711" s="34" t="s">
        <v>3850</v>
      </c>
      <c r="AD1711" s="34" t="s">
        <v>3850</v>
      </c>
      <c r="AE1711" s="34" t="s">
        <v>7349</v>
      </c>
      <c r="AF1711" s="34" t="s">
        <v>4298</v>
      </c>
      <c r="AG1711" s="34" t="s">
        <v>4004</v>
      </c>
      <c r="AH1711" s="34" t="s">
        <v>7605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7" t="str">
        <f>IFERROR(INDEX(Структура_ассортимента[SuperCategory],MATCH(Товары[[#This Row],[SubGroup]],Структура_ассортимента[Subgroup],0)),"")</f>
        <v>W</v>
      </c>
      <c r="D17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7" t="str">
        <f>IFERROR(INDEX(Структура_ассортимента[Product group],MATCH(Товары[[#This Row],[SubGroup]],Структура_ассортимента[Subgroup],0)),"")</f>
        <v>WSS_C</v>
      </c>
      <c r="G17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3253</v>
      </c>
      <c r="Q1712" s="39" t="s">
        <v>3416</v>
      </c>
      <c r="R1712" s="34" t="s">
        <v>3407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3410</v>
      </c>
      <c r="X1712" s="34" t="s">
        <v>3446</v>
      </c>
      <c r="Y1712" s="34" t="s">
        <v>3409</v>
      </c>
      <c r="Z1712" s="34">
        <v>1</v>
      </c>
      <c r="AA1712" s="34" t="s">
        <v>7606</v>
      </c>
      <c r="AB1712" s="34" t="s">
        <v>7607</v>
      </c>
      <c r="AC1712" s="34" t="s">
        <v>7598</v>
      </c>
      <c r="AD1712" s="34" t="s">
        <v>7608</v>
      </c>
      <c r="AE1712" s="34" t="s">
        <v>7599</v>
      </c>
      <c r="AF1712" s="34" t="s">
        <v>4268</v>
      </c>
      <c r="AG1712" s="34" t="s">
        <v>7609</v>
      </c>
      <c r="AH1712" s="34" t="s">
        <v>7610</v>
      </c>
      <c r="AL1712" s="34" t="s">
        <v>7601</v>
      </c>
      <c r="AM1712" s="34" t="s">
        <v>7962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7" t="str">
        <f>IFERROR(INDEX(Структура_ассортимента[SuperCategory],MATCH(Товары[[#This Row],[SubGroup]],Структура_ассортимента[Subgroup],0)),"")</f>
        <v>W</v>
      </c>
      <c r="D17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7" t="str">
        <f>IFERROR(INDEX(Структура_ассортимента[Product group],MATCH(Товары[[#This Row],[SubGroup]],Структура_ассортимента[Subgroup],0)),"")</f>
        <v>WSS_C</v>
      </c>
      <c r="G17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3254</v>
      </c>
      <c r="Q1713" s="39" t="s">
        <v>3519</v>
      </c>
      <c r="R1713" s="34" t="s">
        <v>3407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3410</v>
      </c>
      <c r="X1713" s="34" t="s">
        <v>3446</v>
      </c>
      <c r="Y1713" s="34" t="s">
        <v>3409</v>
      </c>
      <c r="Z1713" s="34">
        <v>5</v>
      </c>
      <c r="AA1713" s="34" t="s">
        <v>7291</v>
      </c>
      <c r="AB1713" s="34" t="s">
        <v>7291</v>
      </c>
      <c r="AC1713" s="34" t="s">
        <v>7611</v>
      </c>
      <c r="AD1713" s="34" t="s">
        <v>7611</v>
      </c>
      <c r="AE1713" s="34" t="s">
        <v>3721</v>
      </c>
      <c r="AF1713" s="34" t="s">
        <v>7599</v>
      </c>
      <c r="AG1713" s="34" t="s">
        <v>4268</v>
      </c>
      <c r="AH1713" s="34" t="s">
        <v>7600</v>
      </c>
      <c r="AL1713" s="34" t="s">
        <v>7612</v>
      </c>
      <c r="AM1713" s="34" t="s">
        <v>7962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7" t="str">
        <f>IFERROR(INDEX(Структура_ассортимента[SuperCategory],MATCH(Товары[[#This Row],[SubGroup]],Структура_ассортимента[Subgroup],0)),"")</f>
        <v>W</v>
      </c>
      <c r="D17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7" t="str">
        <f>IFERROR(INDEX(Структура_ассортимента[Product group],MATCH(Товары[[#This Row],[SubGroup]],Структура_ассортимента[Subgroup],0)),"")</f>
        <v>WSS_C</v>
      </c>
      <c r="G17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3255</v>
      </c>
      <c r="O1714" s="37" t="s">
        <v>7613</v>
      </c>
      <c r="P1714" s="37" t="s">
        <v>7614</v>
      </c>
      <c r="Q1714" s="39" t="s">
        <v>3416</v>
      </c>
      <c r="R1714" s="34" t="s">
        <v>3407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3410</v>
      </c>
      <c r="X1714" s="34" t="s">
        <v>3446</v>
      </c>
      <c r="Y1714" s="34" t="s">
        <v>3409</v>
      </c>
      <c r="Z1714" s="34">
        <v>10</v>
      </c>
      <c r="AA1714" s="34" t="s">
        <v>6643</v>
      </c>
      <c r="AB1714" s="34" t="s">
        <v>6939</v>
      </c>
      <c r="AC1714" s="34" t="s">
        <v>3520</v>
      </c>
      <c r="AD1714" s="34" t="s">
        <v>3586</v>
      </c>
      <c r="AE1714" s="34" t="s">
        <v>3424</v>
      </c>
      <c r="AF1714" s="34" t="s">
        <v>3621</v>
      </c>
      <c r="AG1714" s="34" t="s">
        <v>3578</v>
      </c>
      <c r="AH1714" s="34" t="s">
        <v>7615</v>
      </c>
      <c r="AI1714" s="34" t="s">
        <v>4213</v>
      </c>
      <c r="AJ1714" s="34" t="s">
        <v>3753</v>
      </c>
      <c r="AK1714" s="34" t="s">
        <v>4669</v>
      </c>
      <c r="AL1714" s="34" t="s">
        <v>7616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7" t="str">
        <f>IFERROR(INDEX(Структура_ассортимента[SuperCategory],MATCH(Товары[[#This Row],[SubGroup]],Структура_ассортимента[Subgroup],0)),"")</f>
        <v>W</v>
      </c>
      <c r="D17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7" t="str">
        <f>IFERROR(INDEX(Структура_ассортимента[Product group],MATCH(Товары[[#This Row],[SubGroup]],Структура_ассортимента[Subgroup],0)),"")</f>
        <v>WSS_C</v>
      </c>
      <c r="G17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3256</v>
      </c>
      <c r="O1715" s="37" t="s">
        <v>7617</v>
      </c>
      <c r="P1715" s="37" t="s">
        <v>7618</v>
      </c>
      <c r="Q1715" s="39" t="s">
        <v>3416</v>
      </c>
      <c r="R1715" s="34" t="s">
        <v>3407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3410</v>
      </c>
      <c r="X1715" s="34" t="s">
        <v>3446</v>
      </c>
      <c r="Y1715" s="34" t="s">
        <v>3409</v>
      </c>
      <c r="Z1715" s="34">
        <v>10</v>
      </c>
      <c r="AA1715" s="34" t="s">
        <v>6466</v>
      </c>
      <c r="AB1715" s="34" t="s">
        <v>6465</v>
      </c>
      <c r="AC1715" s="34" t="s">
        <v>6313</v>
      </c>
      <c r="AD1715" s="34" t="s">
        <v>3528</v>
      </c>
      <c r="AE1715" s="34" t="s">
        <v>3424</v>
      </c>
      <c r="AF1715" s="34" t="s">
        <v>4526</v>
      </c>
      <c r="AG1715" s="34" t="s">
        <v>3621</v>
      </c>
      <c r="AH1715" s="34" t="s">
        <v>7619</v>
      </c>
      <c r="AI1715" s="34" t="s">
        <v>4213</v>
      </c>
      <c r="AJ1715" s="34" t="s">
        <v>5534</v>
      </c>
      <c r="AK1715" s="34" t="s">
        <v>4669</v>
      </c>
      <c r="AL1715" s="34" t="s">
        <v>7616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7" t="str">
        <f>IFERROR(INDEX(Структура_ассортимента[SuperCategory],MATCH(Товары[[#This Row],[SubGroup]],Структура_ассортимента[Subgroup],0)),"")</f>
        <v>W</v>
      </c>
      <c r="D17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7" t="str">
        <f>IFERROR(INDEX(Структура_ассортимента[Product group],MATCH(Товары[[#This Row],[SubGroup]],Структура_ассортимента[Subgroup],0)),"")</f>
        <v>WSS_C</v>
      </c>
      <c r="G17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3257</v>
      </c>
      <c r="O1716" s="37" t="s">
        <v>7620</v>
      </c>
      <c r="P1716" s="37" t="s">
        <v>7621</v>
      </c>
      <c r="Q1716" s="39" t="s">
        <v>3416</v>
      </c>
      <c r="R1716" s="34" t="s">
        <v>3407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3410</v>
      </c>
      <c r="X1716" s="34" t="s">
        <v>3446</v>
      </c>
      <c r="Y1716" s="34" t="s">
        <v>3409</v>
      </c>
      <c r="Z1716" s="34">
        <v>10</v>
      </c>
      <c r="AA1716" s="34" t="s">
        <v>3863</v>
      </c>
      <c r="AB1716" s="34" t="s">
        <v>7032</v>
      </c>
      <c r="AC1716" s="34" t="s">
        <v>6406</v>
      </c>
      <c r="AD1716" s="34" t="s">
        <v>6406</v>
      </c>
      <c r="AE1716" s="34" t="s">
        <v>3433</v>
      </c>
      <c r="AF1716" s="34" t="s">
        <v>3443</v>
      </c>
      <c r="AG1716" s="34" t="s">
        <v>4202</v>
      </c>
      <c r="AH1716" s="34" t="s">
        <v>7622</v>
      </c>
      <c r="AI1716" s="34" t="s">
        <v>4548</v>
      </c>
      <c r="AJ1716" s="34" t="s">
        <v>4020</v>
      </c>
      <c r="AK1716" s="34" t="s">
        <v>4716</v>
      </c>
      <c r="AL1716" s="34" t="s">
        <v>6548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7" t="str">
        <f>IFERROR(INDEX(Структура_ассортимента[SuperCategory],MATCH(Товары[[#This Row],[SubGroup]],Структура_ассортимента[Subgroup],0)),"")</f>
        <v>W</v>
      </c>
      <c r="D17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7" t="str">
        <f>IFERROR(INDEX(Структура_ассортимента[Product group],MATCH(Товары[[#This Row],[SubGroup]],Структура_ассортимента[Subgroup],0)),"")</f>
        <v>WSS_C</v>
      </c>
      <c r="G17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3258</v>
      </c>
      <c r="O1717" s="37" t="s">
        <v>7623</v>
      </c>
      <c r="P1717" s="37" t="s">
        <v>7624</v>
      </c>
      <c r="Q1717" s="39" t="s">
        <v>3416</v>
      </c>
      <c r="R1717" s="34" t="s">
        <v>3407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3410</v>
      </c>
      <c r="X1717" s="34" t="s">
        <v>3446</v>
      </c>
      <c r="Y1717" s="34" t="s">
        <v>3409</v>
      </c>
      <c r="Z1717" s="34">
        <v>10</v>
      </c>
      <c r="AA1717" s="34" t="s">
        <v>6132</v>
      </c>
      <c r="AB1717" s="34" t="s">
        <v>7507</v>
      </c>
      <c r="AC1717" s="34" t="s">
        <v>3962</v>
      </c>
      <c r="AD1717" s="34" t="s">
        <v>7507</v>
      </c>
      <c r="AE1717" s="34" t="s">
        <v>3443</v>
      </c>
      <c r="AF1717" s="34" t="s">
        <v>3443</v>
      </c>
      <c r="AG1717" s="34" t="s">
        <v>4526</v>
      </c>
      <c r="AH1717" s="34" t="s">
        <v>7625</v>
      </c>
      <c r="AI1717" s="34" t="s">
        <v>4548</v>
      </c>
      <c r="AJ1717" s="34" t="s">
        <v>4526</v>
      </c>
      <c r="AK1717" s="34" t="s">
        <v>4716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7" t="str">
        <f>IFERROR(INDEX(Структура_ассортимента[SuperCategory],MATCH(Товары[[#This Row],[SubGroup]],Структура_ассортимента[Subgroup],0)),"")</f>
        <v>W</v>
      </c>
      <c r="D17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7" t="str">
        <f>IFERROR(INDEX(Структура_ассортимента[Product group],MATCH(Товары[[#This Row],[SubGroup]],Структура_ассортимента[Subgroup],0)),"")</f>
        <v>WSS_C</v>
      </c>
      <c r="G17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3259</v>
      </c>
      <c r="O1718" s="37" t="s">
        <v>7613</v>
      </c>
      <c r="P1718" s="37" t="s">
        <v>7626</v>
      </c>
      <c r="Q1718" s="39" t="s">
        <v>3416</v>
      </c>
      <c r="R1718" s="34" t="s">
        <v>3407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3410</v>
      </c>
      <c r="X1718" s="34" t="s">
        <v>3446</v>
      </c>
      <c r="Y1718" s="34" t="s">
        <v>3409</v>
      </c>
      <c r="Z1718" s="34">
        <v>10</v>
      </c>
      <c r="AA1718" s="34" t="s">
        <v>5777</v>
      </c>
      <c r="AB1718" s="34" t="s">
        <v>3595</v>
      </c>
      <c r="AC1718" s="34" t="s">
        <v>3592</v>
      </c>
      <c r="AD1718" s="34" t="s">
        <v>3863</v>
      </c>
      <c r="AE1718" s="34" t="s">
        <v>4353</v>
      </c>
      <c r="AF1718" s="34" t="s">
        <v>4202</v>
      </c>
      <c r="AG1718" s="34" t="s">
        <v>3621</v>
      </c>
      <c r="AH1718" s="34" t="s">
        <v>7627</v>
      </c>
      <c r="AI1718" s="34" t="s">
        <v>5376</v>
      </c>
      <c r="AJ1718" s="34" t="s">
        <v>4213</v>
      </c>
      <c r="AK1718" s="34" t="s">
        <v>4669</v>
      </c>
      <c r="AL1718" s="34" t="s">
        <v>7539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7" t="str">
        <f>IFERROR(INDEX(Структура_ассортимента[SuperCategory],MATCH(Товары[[#This Row],[SubGroup]],Структура_ассортимента[Subgroup],0)),"")</f>
        <v>W</v>
      </c>
      <c r="D17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7" t="str">
        <f>IFERROR(INDEX(Структура_ассортимента[Product group],MATCH(Товары[[#This Row],[SubGroup]],Структура_ассортимента[Subgroup],0)),"")</f>
        <v>WSS_C</v>
      </c>
      <c r="G17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3260</v>
      </c>
      <c r="O1719" s="37" t="s">
        <v>7628</v>
      </c>
      <c r="P1719" s="37" t="s">
        <v>7629</v>
      </c>
      <c r="Q1719" s="39" t="s">
        <v>3416</v>
      </c>
      <c r="R1719" s="34" t="s">
        <v>3407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3410</v>
      </c>
      <c r="X1719" s="34" t="s">
        <v>3446</v>
      </c>
      <c r="Y1719" s="34" t="s">
        <v>3409</v>
      </c>
      <c r="Z1719" s="34">
        <v>10</v>
      </c>
      <c r="AA1719" s="34" t="s">
        <v>3602</v>
      </c>
      <c r="AB1719" s="34" t="s">
        <v>6492</v>
      </c>
      <c r="AC1719" s="34" t="s">
        <v>3862</v>
      </c>
      <c r="AD1719" s="34" t="s">
        <v>7573</v>
      </c>
      <c r="AE1719" s="34" t="s">
        <v>4353</v>
      </c>
      <c r="AF1719" s="34" t="s">
        <v>4202</v>
      </c>
      <c r="AG1719" s="34" t="s">
        <v>3621</v>
      </c>
      <c r="AH1719" s="34" t="s">
        <v>7627</v>
      </c>
      <c r="AI1719" s="34" t="s">
        <v>5376</v>
      </c>
      <c r="AJ1719" s="34" t="s">
        <v>4213</v>
      </c>
      <c r="AK1719" s="34" t="s">
        <v>4669</v>
      </c>
      <c r="AL1719" s="34" t="s">
        <v>7539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7" t="str">
        <f>IFERROR(INDEX(Структура_ассортимента[SuperCategory],MATCH(Товары[[#This Row],[SubGroup]],Структура_ассортимента[Subgroup],0)),"")</f>
        <v>W</v>
      </c>
      <c r="D17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7" t="str">
        <f>IFERROR(INDEX(Структура_ассортимента[Product group],MATCH(Товары[[#This Row],[SubGroup]],Структура_ассортимента[Subgroup],0)),"")</f>
        <v>WSS_C</v>
      </c>
      <c r="G17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3261</v>
      </c>
      <c r="O1720" s="37" t="s">
        <v>7630</v>
      </c>
      <c r="P1720" s="37" t="s">
        <v>7631</v>
      </c>
      <c r="Q1720" s="39" t="s">
        <v>3416</v>
      </c>
      <c r="R1720" s="34" t="s">
        <v>3407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3410</v>
      </c>
      <c r="X1720" s="34" t="s">
        <v>3446</v>
      </c>
      <c r="Y1720" s="34" t="s">
        <v>3409</v>
      </c>
      <c r="Z1720" s="34">
        <v>10</v>
      </c>
      <c r="AA1720" s="34" t="s">
        <v>7573</v>
      </c>
      <c r="AB1720" s="34" t="s">
        <v>3608</v>
      </c>
      <c r="AC1720" s="34" t="s">
        <v>6406</v>
      </c>
      <c r="AD1720" s="34" t="s">
        <v>6406</v>
      </c>
      <c r="AE1720" s="34" t="s">
        <v>4372</v>
      </c>
      <c r="AF1720" s="34" t="s">
        <v>4202</v>
      </c>
      <c r="AG1720" s="34" t="s">
        <v>3621</v>
      </c>
      <c r="AH1720" s="34" t="s">
        <v>7632</v>
      </c>
      <c r="AI1720" s="34" t="s">
        <v>5376</v>
      </c>
      <c r="AJ1720" s="34" t="s">
        <v>4020</v>
      </c>
      <c r="AK1720" s="34" t="s">
        <v>4669</v>
      </c>
      <c r="AL1720" s="34" t="s">
        <v>6548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7" t="str">
        <f>IFERROR(INDEX(Структура_ассортимента[SuperCategory],MATCH(Товары[[#This Row],[SubGroup]],Структура_ассортимента[Subgroup],0)),"")</f>
        <v>W</v>
      </c>
      <c r="D17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7" t="str">
        <f>IFERROR(INDEX(Структура_ассортимента[Product group],MATCH(Товары[[#This Row],[SubGroup]],Структура_ассортимента[Subgroup],0)),"")</f>
        <v>WSS_C</v>
      </c>
      <c r="G17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3262</v>
      </c>
      <c r="O1721" s="37" t="s">
        <v>7633</v>
      </c>
      <c r="P1721" s="37" t="s">
        <v>7634</v>
      </c>
      <c r="Q1721" s="39" t="s">
        <v>3416</v>
      </c>
      <c r="R1721" s="34" t="s">
        <v>3407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3410</v>
      </c>
      <c r="X1721" s="34" t="s">
        <v>3446</v>
      </c>
      <c r="Y1721" s="34" t="s">
        <v>3409</v>
      </c>
      <c r="Z1721" s="34">
        <v>10</v>
      </c>
      <c r="AA1721" s="34" t="s">
        <v>5512</v>
      </c>
      <c r="AB1721" s="34" t="s">
        <v>3655</v>
      </c>
      <c r="AC1721" s="34" t="s">
        <v>3520</v>
      </c>
      <c r="AD1721" s="34" t="s">
        <v>3586</v>
      </c>
      <c r="AE1721" s="34" t="s">
        <v>4416</v>
      </c>
      <c r="AF1721" s="34" t="s">
        <v>3578</v>
      </c>
      <c r="AG1721" s="34" t="s">
        <v>3621</v>
      </c>
      <c r="AH1721" s="34" t="s">
        <v>6350</v>
      </c>
      <c r="AI1721" s="34" t="s">
        <v>4873</v>
      </c>
      <c r="AJ1721" s="34" t="s">
        <v>4669</v>
      </c>
      <c r="AK1721" s="34" t="s">
        <v>6368</v>
      </c>
      <c r="AL1721" s="34" t="s">
        <v>7616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7" t="str">
        <f>IFERROR(INDEX(Структура_ассортимента[SuperCategory],MATCH(Товары[[#This Row],[SubGroup]],Структура_ассортимента[Subgroup],0)),"")</f>
        <v>W</v>
      </c>
      <c r="D17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7" t="str">
        <f>IFERROR(INDEX(Структура_ассортимента[Product group],MATCH(Товары[[#This Row],[SubGroup]],Структура_ассортимента[Subgroup],0)),"")</f>
        <v>WSS_C</v>
      </c>
      <c r="G17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3263</v>
      </c>
      <c r="O1722" s="37" t="s">
        <v>7635</v>
      </c>
      <c r="P1722" s="37" t="s">
        <v>7636</v>
      </c>
      <c r="Q1722" s="39" t="s">
        <v>3416</v>
      </c>
      <c r="R1722" s="34" t="s">
        <v>3407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3410</v>
      </c>
      <c r="X1722" s="34" t="s">
        <v>3446</v>
      </c>
      <c r="Y1722" s="34" t="s">
        <v>3409</v>
      </c>
      <c r="Z1722" s="34">
        <v>10</v>
      </c>
      <c r="AA1722" s="34" t="s">
        <v>5940</v>
      </c>
      <c r="AB1722" s="34" t="s">
        <v>5940</v>
      </c>
      <c r="AC1722" s="34" t="s">
        <v>3528</v>
      </c>
      <c r="AD1722" s="34" t="s">
        <v>3528</v>
      </c>
      <c r="AE1722" s="34" t="s">
        <v>3574</v>
      </c>
      <c r="AF1722" s="34" t="s">
        <v>3621</v>
      </c>
      <c r="AG1722" s="34" t="s">
        <v>4048</v>
      </c>
      <c r="AH1722" s="34" t="s">
        <v>7637</v>
      </c>
      <c r="AI1722" s="34" t="s">
        <v>4059</v>
      </c>
      <c r="AJ1722" s="34" t="s">
        <v>4669</v>
      </c>
      <c r="AK1722" s="34" t="s">
        <v>6368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7" t="str">
        <f>IFERROR(INDEX(Структура_ассортимента[SuperCategory],MATCH(Товары[[#This Row],[SubGroup]],Структура_ассортимента[Subgroup],0)),"")</f>
        <v>W</v>
      </c>
      <c r="D17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7" t="str">
        <f>IFERROR(INDEX(Структура_ассортимента[Product group],MATCH(Товары[[#This Row],[SubGroup]],Структура_ассортимента[Subgroup],0)),"")</f>
        <v>WSS_C</v>
      </c>
      <c r="G17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3264</v>
      </c>
      <c r="O1723" s="37" t="s">
        <v>7638</v>
      </c>
      <c r="P1723" s="37" t="s">
        <v>7639</v>
      </c>
      <c r="Q1723" s="39" t="s">
        <v>3416</v>
      </c>
      <c r="R1723" s="34" t="s">
        <v>3407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3410</v>
      </c>
      <c r="X1723" s="34" t="s">
        <v>3446</v>
      </c>
      <c r="Y1723" s="34" t="s">
        <v>3409</v>
      </c>
      <c r="Z1723" s="34">
        <v>10</v>
      </c>
      <c r="AA1723" s="34" t="s">
        <v>3521</v>
      </c>
      <c r="AB1723" s="34" t="s">
        <v>3521</v>
      </c>
      <c r="AC1723" s="34" t="s">
        <v>3520</v>
      </c>
      <c r="AD1723" s="34" t="s">
        <v>3520</v>
      </c>
      <c r="AE1723" s="34" t="s">
        <v>3574</v>
      </c>
      <c r="AF1723" s="34" t="s">
        <v>3578</v>
      </c>
      <c r="AG1723" s="34" t="s">
        <v>3621</v>
      </c>
      <c r="AH1723" s="34" t="s">
        <v>7640</v>
      </c>
      <c r="AI1723" s="34" t="s">
        <v>4416</v>
      </c>
      <c r="AJ1723" s="34" t="s">
        <v>4669</v>
      </c>
      <c r="AK1723" s="34" t="s">
        <v>6368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7" t="str">
        <f>IFERROR(INDEX(Структура_ассортимента[SuperCategory],MATCH(Товары[[#This Row],[SubGroup]],Структура_ассортимента[Subgroup],0)),"")</f>
        <v>W</v>
      </c>
      <c r="D17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7" t="str">
        <f>IFERROR(INDEX(Структура_ассортимента[Product group],MATCH(Товары[[#This Row],[SubGroup]],Структура_ассортимента[Subgroup],0)),"")</f>
        <v>WSS_C</v>
      </c>
      <c r="G17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3265</v>
      </c>
      <c r="O1724" s="37" t="s">
        <v>7641</v>
      </c>
      <c r="P1724" s="37" t="s">
        <v>7642</v>
      </c>
      <c r="Q1724" s="39" t="s">
        <v>3519</v>
      </c>
      <c r="R1724" s="34" t="s">
        <v>3407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3410</v>
      </c>
      <c r="X1724" s="34" t="s">
        <v>3446</v>
      </c>
      <c r="Y1724" s="34" t="s">
        <v>3409</v>
      </c>
      <c r="Z1724" s="34">
        <v>10</v>
      </c>
      <c r="AA1724" s="34" t="s">
        <v>3597</v>
      </c>
      <c r="AB1724" s="34" t="s">
        <v>3597</v>
      </c>
      <c r="AC1724" s="34" t="s">
        <v>3601</v>
      </c>
      <c r="AD1724" s="34" t="s">
        <v>3601</v>
      </c>
      <c r="AE1724" s="34" t="s">
        <v>4372</v>
      </c>
      <c r="AF1724" s="34" t="s">
        <v>3667</v>
      </c>
      <c r="AG1724" s="34" t="s">
        <v>3578</v>
      </c>
      <c r="AH1724" s="34" t="s">
        <v>7643</v>
      </c>
      <c r="AI1724" s="34" t="s">
        <v>5376</v>
      </c>
      <c r="AJ1724" s="34" t="s">
        <v>4873</v>
      </c>
      <c r="AK1724" s="34" t="s">
        <v>4028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7" t="str">
        <f>IFERROR(INDEX(Структура_ассортимента[SuperCategory],MATCH(Товары[[#This Row],[SubGroup]],Структура_ассортимента[Subgroup],0)),"")</f>
        <v>W</v>
      </c>
      <c r="D17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7" t="str">
        <f>IFERROR(INDEX(Структура_ассортимента[Product group],MATCH(Товары[[#This Row],[SubGroup]],Структура_ассортимента[Subgroup],0)),"")</f>
        <v>WSS_C</v>
      </c>
      <c r="G17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3266</v>
      </c>
      <c r="O1725" s="37" t="s">
        <v>7644</v>
      </c>
      <c r="P1725" s="37" t="s">
        <v>7645</v>
      </c>
      <c r="Q1725" s="39" t="s">
        <v>3416</v>
      </c>
      <c r="R1725" s="34" t="s">
        <v>3407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3410</v>
      </c>
      <c r="X1725" s="34" t="s">
        <v>3446</v>
      </c>
      <c r="Y1725" s="34" t="s">
        <v>3409</v>
      </c>
      <c r="Z1725" s="34">
        <v>10</v>
      </c>
      <c r="AA1725" s="34" t="s">
        <v>3594</v>
      </c>
      <c r="AB1725" s="34" t="s">
        <v>3594</v>
      </c>
      <c r="AC1725" s="34" t="s">
        <v>6466</v>
      </c>
      <c r="AD1725" s="34" t="s">
        <v>6466</v>
      </c>
      <c r="AE1725" s="34" t="s">
        <v>3424</v>
      </c>
      <c r="AF1725" s="34" t="s">
        <v>4202</v>
      </c>
      <c r="AG1725" s="34" t="s">
        <v>3578</v>
      </c>
      <c r="AH1725" s="34" t="s">
        <v>7646</v>
      </c>
      <c r="AI1725" s="34" t="s">
        <v>3424</v>
      </c>
      <c r="AJ1725" s="34" t="s">
        <v>4020</v>
      </c>
      <c r="AK1725" s="34" t="s">
        <v>4669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7" t="str">
        <f>IFERROR(INDEX(Структура_ассортимента[SuperCategory],MATCH(Товары[[#This Row],[SubGroup]],Структура_ассортимента[Subgroup],0)),"")</f>
        <v>W</v>
      </c>
      <c r="D17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7" t="str">
        <f>IFERROR(INDEX(Структура_ассортимента[Product group],MATCH(Товары[[#This Row],[SubGroup]],Структура_ассортимента[Subgroup],0)),"")</f>
        <v>WSS_C</v>
      </c>
      <c r="G17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3267</v>
      </c>
      <c r="O1726" s="37" t="s">
        <v>7647</v>
      </c>
      <c r="P1726" s="37" t="s">
        <v>7648</v>
      </c>
      <c r="Q1726" s="39" t="s">
        <v>3519</v>
      </c>
      <c r="R1726" s="34" t="s">
        <v>3407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3410</v>
      </c>
      <c r="X1726" s="34" t="s">
        <v>3446</v>
      </c>
      <c r="Y1726" s="34" t="s">
        <v>3409</v>
      </c>
      <c r="Z1726" s="34">
        <v>10</v>
      </c>
      <c r="AA1726" s="34" t="s">
        <v>5507</v>
      </c>
      <c r="AB1726" s="34" t="s">
        <v>5507</v>
      </c>
      <c r="AC1726" s="34" t="s">
        <v>3537</v>
      </c>
      <c r="AD1726" s="34" t="s">
        <v>3537</v>
      </c>
      <c r="AE1726" s="34" t="s">
        <v>3433</v>
      </c>
      <c r="AF1726" s="34" t="s">
        <v>3578</v>
      </c>
      <c r="AG1726" s="34" t="s">
        <v>3578</v>
      </c>
      <c r="AH1726" s="34" t="s">
        <v>7649</v>
      </c>
      <c r="AI1726" s="34" t="s">
        <v>4548</v>
      </c>
      <c r="AJ1726" s="34" t="s">
        <v>4873</v>
      </c>
      <c r="AK1726" s="34" t="s">
        <v>4028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7" t="str">
        <f>IFERROR(INDEX(Структура_ассортимента[SuperCategory],MATCH(Товары[[#This Row],[SubGroup]],Структура_ассортимента[Subgroup],0)),"")</f>
        <v>W</v>
      </c>
      <c r="D17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7" t="str">
        <f>IFERROR(INDEX(Структура_ассортимента[Product group],MATCH(Товары[[#This Row],[SubGroup]],Структура_ассортимента[Subgroup],0)),"")</f>
        <v>WSS_C</v>
      </c>
      <c r="G17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3268</v>
      </c>
      <c r="O1727" s="37" t="s">
        <v>7650</v>
      </c>
      <c r="P1727" s="37" t="s">
        <v>7651</v>
      </c>
      <c r="Q1727" s="39" t="s">
        <v>3416</v>
      </c>
      <c r="R1727" s="34" t="s">
        <v>3407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3410</v>
      </c>
      <c r="X1727" s="34" t="s">
        <v>3446</v>
      </c>
      <c r="Y1727" s="34" t="s">
        <v>3409</v>
      </c>
      <c r="Z1727" s="34">
        <v>10</v>
      </c>
      <c r="AA1727" s="34" t="s">
        <v>5911</v>
      </c>
      <c r="AB1727" s="34" t="s">
        <v>5911</v>
      </c>
      <c r="AC1727" s="34" t="s">
        <v>7573</v>
      </c>
      <c r="AD1727" s="34" t="s">
        <v>7573</v>
      </c>
      <c r="AE1727" s="34" t="s">
        <v>4258</v>
      </c>
      <c r="AF1727" s="34" t="s">
        <v>3433</v>
      </c>
      <c r="AG1727" s="34" t="s">
        <v>4191</v>
      </c>
      <c r="AH1727" s="34" t="s">
        <v>7652</v>
      </c>
      <c r="AI1727" s="34" t="s">
        <v>4548</v>
      </c>
      <c r="AJ1727" s="34" t="s">
        <v>4000</v>
      </c>
      <c r="AK1727" s="34" t="s">
        <v>4548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7" t="str">
        <f>IFERROR(INDEX(Структура_ассортимента[SuperCategory],MATCH(Товары[[#This Row],[SubGroup]],Структура_ассортимента[Subgroup],0)),"")</f>
        <v>W</v>
      </c>
      <c r="D17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7" t="str">
        <f>IFERROR(INDEX(Структура_ассортимента[Product group],MATCH(Товары[[#This Row],[SubGroup]],Структура_ассортимента[Subgroup],0)),"")</f>
        <v>WSS_C</v>
      </c>
      <c r="G17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3269</v>
      </c>
      <c r="O1728" s="37" t="s">
        <v>7653</v>
      </c>
      <c r="P1728" s="37" t="s">
        <v>7654</v>
      </c>
      <c r="Q1728" s="39" t="s">
        <v>3416</v>
      </c>
      <c r="R1728" s="34" t="s">
        <v>3407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3417</v>
      </c>
      <c r="X1728" s="34" t="s">
        <v>3446</v>
      </c>
      <c r="Y1728" s="34" t="s">
        <v>3409</v>
      </c>
      <c r="Z1728" s="34">
        <v>10</v>
      </c>
      <c r="AA1728" s="34" t="s">
        <v>5507</v>
      </c>
      <c r="AB1728" s="34" t="s">
        <v>5507</v>
      </c>
      <c r="AC1728" s="34" t="s">
        <v>5942</v>
      </c>
      <c r="AD1728" s="34" t="s">
        <v>5942</v>
      </c>
      <c r="AE1728" s="34" t="s">
        <v>5459</v>
      </c>
      <c r="AF1728" s="34" t="s">
        <v>5547</v>
      </c>
      <c r="AG1728" s="34" t="s">
        <v>4101</v>
      </c>
      <c r="AH1728" s="34" t="s">
        <v>6407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7" t="str">
        <f>IFERROR(INDEX(Структура_ассортимента[SuperCategory],MATCH(Товары[[#This Row],[SubGroup]],Структура_ассортимента[Subgroup],0)),"")</f>
        <v>W</v>
      </c>
      <c r="D17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7" t="str">
        <f>IFERROR(INDEX(Структура_ассортимента[Product group],MATCH(Товары[[#This Row],[SubGroup]],Структура_ассортимента[Subgroup],0)),"")</f>
        <v>WSS_C</v>
      </c>
      <c r="G17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3270</v>
      </c>
      <c r="O1729" s="37" t="s">
        <v>7655</v>
      </c>
      <c r="P1729" s="37" t="s">
        <v>7656</v>
      </c>
      <c r="Q1729" s="39" t="s">
        <v>3416</v>
      </c>
      <c r="R1729" s="34" t="s">
        <v>3407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3417</v>
      </c>
      <c r="X1729" s="34" t="s">
        <v>3446</v>
      </c>
      <c r="Y1729" s="34" t="s">
        <v>3409</v>
      </c>
      <c r="Z1729" s="34">
        <v>10</v>
      </c>
      <c r="AA1729" s="34" t="s">
        <v>6535</v>
      </c>
      <c r="AB1729" s="34" t="s">
        <v>6535</v>
      </c>
      <c r="AC1729" s="34" t="s">
        <v>5507</v>
      </c>
      <c r="AD1729" s="34" t="s">
        <v>5507</v>
      </c>
      <c r="AE1729" s="34" t="s">
        <v>3447</v>
      </c>
      <c r="AF1729" s="34" t="s">
        <v>3667</v>
      </c>
      <c r="AG1729" s="34" t="s">
        <v>3667</v>
      </c>
      <c r="AH1729" s="34" t="s">
        <v>7657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7" t="str">
        <f>IFERROR(INDEX(Структура_ассортимента[SuperCategory],MATCH(Товары[[#This Row],[SubGroup]],Структура_ассортимента[Subgroup],0)),"")</f>
        <v>W</v>
      </c>
      <c r="D17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7" t="str">
        <f>IFERROR(INDEX(Структура_ассортимента[Product group],MATCH(Товары[[#This Row],[SubGroup]],Структура_ассортимента[Subgroup],0)),"")</f>
        <v>WSS_C</v>
      </c>
      <c r="G17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3271</v>
      </c>
      <c r="O1730" s="37" t="s">
        <v>7658</v>
      </c>
      <c r="P1730" s="37" t="s">
        <v>7659</v>
      </c>
      <c r="Q1730" s="39" t="s">
        <v>3416</v>
      </c>
      <c r="R1730" s="34" t="s">
        <v>3407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3417</v>
      </c>
      <c r="X1730" s="34" t="s">
        <v>3774</v>
      </c>
      <c r="Y1730" s="34" t="s">
        <v>3409</v>
      </c>
      <c r="Z1730" s="34">
        <v>20</v>
      </c>
      <c r="AA1730" s="34" t="s">
        <v>6964</v>
      </c>
      <c r="AB1730" s="34" t="s">
        <v>6964</v>
      </c>
      <c r="AC1730" s="34" t="s">
        <v>6423</v>
      </c>
      <c r="AD1730" s="34" t="s">
        <v>6423</v>
      </c>
      <c r="AE1730" s="34" t="s">
        <v>6678</v>
      </c>
      <c r="AF1730" s="34" t="s">
        <v>4101</v>
      </c>
      <c r="AG1730" s="34" t="s">
        <v>3799</v>
      </c>
      <c r="AH1730" s="34" t="s">
        <v>7660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7" t="str">
        <f>IFERROR(INDEX(Структура_ассортимента[SuperCategory],MATCH(Товары[[#This Row],[SubGroup]],Структура_ассортимента[Subgroup],0)),"")</f>
        <v>W</v>
      </c>
      <c r="D17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7" t="str">
        <f>IFERROR(INDEX(Структура_ассортимента[Product group],MATCH(Товары[[#This Row],[SubGroup]],Структура_ассортимента[Subgroup],0)),"")</f>
        <v>WSS_C</v>
      </c>
      <c r="G17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3272</v>
      </c>
      <c r="O1731" s="37" t="s">
        <v>7661</v>
      </c>
      <c r="P1731" s="37" t="s">
        <v>7662</v>
      </c>
      <c r="Q1731" s="39" t="s">
        <v>3416</v>
      </c>
      <c r="R1731" s="34" t="s">
        <v>3407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3417</v>
      </c>
      <c r="X1731" s="34" t="s">
        <v>3774</v>
      </c>
      <c r="Y1731" s="34" t="s">
        <v>3409</v>
      </c>
      <c r="Z1731" s="34">
        <v>20</v>
      </c>
      <c r="AA1731" s="34" t="s">
        <v>6386</v>
      </c>
      <c r="AB1731" s="34" t="s">
        <v>6386</v>
      </c>
      <c r="AC1731" s="34" t="s">
        <v>5514</v>
      </c>
      <c r="AD1731" s="34" t="s">
        <v>5514</v>
      </c>
      <c r="AE1731" s="34" t="s">
        <v>3761</v>
      </c>
      <c r="AF1731" s="34" t="s">
        <v>3539</v>
      </c>
      <c r="AG1731" s="34" t="s">
        <v>3539</v>
      </c>
      <c r="AH1731" s="34" t="s">
        <v>7663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7" t="str">
        <f>IFERROR(INDEX(Структура_ассортимента[SuperCategory],MATCH(Товары[[#This Row],[SubGroup]],Структура_ассортимента[Subgroup],0)),"")</f>
        <v>W</v>
      </c>
      <c r="D17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7" t="str">
        <f>IFERROR(INDEX(Структура_ассортимента[Product group],MATCH(Товары[[#This Row],[SubGroup]],Структура_ассортимента[Subgroup],0)),"")</f>
        <v>WSS_C</v>
      </c>
      <c r="G17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3273</v>
      </c>
      <c r="O1732" s="37" t="s">
        <v>7664</v>
      </c>
      <c r="P1732" s="37" t="s">
        <v>7665</v>
      </c>
      <c r="Q1732" s="39" t="s">
        <v>3519</v>
      </c>
      <c r="R1732" s="34" t="s">
        <v>3407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3410</v>
      </c>
      <c r="X1732" s="34" t="s">
        <v>3446</v>
      </c>
      <c r="Y1732" s="34" t="s">
        <v>3409</v>
      </c>
      <c r="Z1732" s="34">
        <v>10</v>
      </c>
      <c r="AA1732" s="34" t="s">
        <v>3596</v>
      </c>
      <c r="AB1732" s="34" t="s">
        <v>3596</v>
      </c>
      <c r="AC1732" s="34" t="s">
        <v>6536</v>
      </c>
      <c r="AD1732" s="34" t="s">
        <v>6536</v>
      </c>
      <c r="AE1732" s="34" t="s">
        <v>3667</v>
      </c>
      <c r="AF1732" s="34" t="s">
        <v>3578</v>
      </c>
      <c r="AG1732" s="34" t="s">
        <v>3578</v>
      </c>
      <c r="AH1732" s="34" t="s">
        <v>7666</v>
      </c>
      <c r="AI1732" s="34" t="s">
        <v>4873</v>
      </c>
      <c r="AJ1732" s="34" t="s">
        <v>4028</v>
      </c>
      <c r="AK1732" s="34" t="s">
        <v>4269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7" t="str">
        <f>IFERROR(INDEX(Структура_ассортимента[SuperCategory],MATCH(Товары[[#This Row],[SubGroup]],Структура_ассортимента[Subgroup],0)),"")</f>
        <v>W</v>
      </c>
      <c r="D17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7" t="str">
        <f>IFERROR(INDEX(Структура_ассортимента[Product group],MATCH(Товары[[#This Row],[SubGroup]],Структура_ассортимента[Subgroup],0)),"")</f>
        <v>WSS_C</v>
      </c>
      <c r="G17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3274</v>
      </c>
      <c r="O1733" s="37" t="s">
        <v>7667</v>
      </c>
      <c r="P1733" s="37" t="s">
        <v>7668</v>
      </c>
      <c r="Q1733" s="39" t="s">
        <v>3519</v>
      </c>
      <c r="R1733" s="34" t="s">
        <v>3407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3410</v>
      </c>
      <c r="X1733" s="34" t="s">
        <v>3446</v>
      </c>
      <c r="Y1733" s="34" t="s">
        <v>3409</v>
      </c>
      <c r="Z1733" s="34">
        <v>10</v>
      </c>
      <c r="AA1733" s="34" t="s">
        <v>3594</v>
      </c>
      <c r="AB1733" s="34" t="s">
        <v>3594</v>
      </c>
      <c r="AC1733" s="34" t="s">
        <v>5939</v>
      </c>
      <c r="AD1733" s="34" t="s">
        <v>5939</v>
      </c>
      <c r="AE1733" s="34" t="s">
        <v>4416</v>
      </c>
      <c r="AF1733" s="34" t="s">
        <v>3578</v>
      </c>
      <c r="AG1733" s="34" t="s">
        <v>3578</v>
      </c>
      <c r="AH1733" s="34" t="s">
        <v>7669</v>
      </c>
      <c r="AI1733" s="34" t="s">
        <v>4499</v>
      </c>
      <c r="AJ1733" s="34" t="s">
        <v>4028</v>
      </c>
      <c r="AK1733" s="34" t="s">
        <v>4269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7" t="str">
        <f>IFERROR(INDEX(Структура_ассортимента[SuperCategory],MATCH(Товары[[#This Row],[SubGroup]],Структура_ассортимента[Subgroup],0)),"")</f>
        <v>W</v>
      </c>
      <c r="D17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7" t="str">
        <f>IFERROR(INDEX(Структура_ассортимента[Product group],MATCH(Товары[[#This Row],[SubGroup]],Структура_ассортимента[Subgroup],0)),"")</f>
        <v>WSS_C</v>
      </c>
      <c r="G17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3275</v>
      </c>
      <c r="O1734" s="37" t="s">
        <v>7670</v>
      </c>
      <c r="P1734" s="37" t="s">
        <v>7671</v>
      </c>
      <c r="Q1734" s="39" t="s">
        <v>3519</v>
      </c>
      <c r="R1734" s="34" t="s">
        <v>3407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3410</v>
      </c>
      <c r="X1734" s="34" t="s">
        <v>3446</v>
      </c>
      <c r="Y1734" s="34" t="s">
        <v>3409</v>
      </c>
      <c r="Z1734" s="34">
        <v>10</v>
      </c>
      <c r="AA1734" s="34" t="s">
        <v>6362</v>
      </c>
      <c r="AB1734" s="34" t="s">
        <v>6362</v>
      </c>
      <c r="AC1734" s="34" t="s">
        <v>5507</v>
      </c>
      <c r="AD1734" s="34" t="s">
        <v>5507</v>
      </c>
      <c r="AE1734" s="34" t="s">
        <v>3667</v>
      </c>
      <c r="AF1734" s="34" t="s">
        <v>3578</v>
      </c>
      <c r="AG1734" s="34" t="s">
        <v>3578</v>
      </c>
      <c r="AH1734" s="34" t="s">
        <v>7666</v>
      </c>
      <c r="AI1734" s="34" t="s">
        <v>4873</v>
      </c>
      <c r="AJ1734" s="34" t="s">
        <v>4028</v>
      </c>
      <c r="AK1734" s="34" t="s">
        <v>4269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7" t="str">
        <f>IFERROR(INDEX(Структура_ассортимента[SuperCategory],MATCH(Товары[[#This Row],[SubGroup]],Структура_ассортимента[Subgroup],0)),"")</f>
        <v>W</v>
      </c>
      <c r="D17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7" t="str">
        <f>IFERROR(INDEX(Структура_ассортимента[Product group],MATCH(Товары[[#This Row],[SubGroup]],Структура_ассортимента[Subgroup],0)),"")</f>
        <v>WSS_C</v>
      </c>
      <c r="G17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3276</v>
      </c>
      <c r="O1735" s="37" t="s">
        <v>7672</v>
      </c>
      <c r="P1735" s="37" t="s">
        <v>7673</v>
      </c>
      <c r="Q1735" s="39" t="s">
        <v>3416</v>
      </c>
      <c r="R1735" s="34" t="s">
        <v>3407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3410</v>
      </c>
      <c r="X1735" s="34" t="s">
        <v>3446</v>
      </c>
      <c r="Y1735" s="34" t="s">
        <v>3409</v>
      </c>
      <c r="Z1735" s="34">
        <v>10</v>
      </c>
      <c r="AA1735" s="34" t="s">
        <v>3534</v>
      </c>
      <c r="AB1735" s="34" t="s">
        <v>3534</v>
      </c>
      <c r="AC1735" s="34" t="s">
        <v>3584</v>
      </c>
      <c r="AD1735" s="34" t="s">
        <v>3584</v>
      </c>
      <c r="AE1735" s="34" t="s">
        <v>3560</v>
      </c>
      <c r="AF1735" s="34" t="s">
        <v>3443</v>
      </c>
      <c r="AG1735" s="34" t="s">
        <v>3539</v>
      </c>
      <c r="AH1735" s="34" t="s">
        <v>6519</v>
      </c>
      <c r="AI1735" s="34" t="s">
        <v>4088</v>
      </c>
      <c r="AJ1735" s="34" t="s">
        <v>4299</v>
      </c>
      <c r="AK1735" s="34" t="s">
        <v>4088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7" t="str">
        <f>IFERROR(INDEX(Структура_ассортимента[SuperCategory],MATCH(Товары[[#This Row],[SubGroup]],Структура_ассортимента[Subgroup],0)),"")</f>
        <v>W</v>
      </c>
      <c r="D17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7" t="str">
        <f>IFERROR(INDEX(Структура_ассортимента[Product group],MATCH(Товары[[#This Row],[SubGroup]],Структура_ассортимента[Subgroup],0)),"")</f>
        <v>WSS_C</v>
      </c>
      <c r="G17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3277</v>
      </c>
      <c r="Q1736" s="39" t="s">
        <v>3416</v>
      </c>
      <c r="R1736" s="34" t="s">
        <v>3407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3410</v>
      </c>
      <c r="X1736" s="34" t="s">
        <v>3446</v>
      </c>
      <c r="Y1736" s="34" t="s">
        <v>3409</v>
      </c>
      <c r="Z1736" s="34">
        <v>10</v>
      </c>
      <c r="AA1736" s="34" t="s">
        <v>3596</v>
      </c>
      <c r="AB1736" s="34" t="s">
        <v>3596</v>
      </c>
      <c r="AC1736" s="34" t="s">
        <v>3521</v>
      </c>
      <c r="AD1736" s="34" t="s">
        <v>3521</v>
      </c>
      <c r="AE1736" s="34" t="s">
        <v>3560</v>
      </c>
      <c r="AF1736" s="34" t="s">
        <v>3443</v>
      </c>
      <c r="AG1736" s="34" t="s">
        <v>3539</v>
      </c>
      <c r="AH1736" s="34" t="s">
        <v>6519</v>
      </c>
      <c r="AI1736" s="34" t="s">
        <v>4088</v>
      </c>
      <c r="AJ1736" s="34" t="s">
        <v>4299</v>
      </c>
      <c r="AK1736" s="34" t="s">
        <v>4088</v>
      </c>
      <c r="AL1736" s="34">
        <v>1560</v>
      </c>
      <c r="AM1736" s="34" t="s">
        <v>7962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7" t="str">
        <f>IFERROR(INDEX(Структура_ассортимента[SuperCategory],MATCH(Товары[[#This Row],[SubGroup]],Структура_ассортимента[Subgroup],0)),"")</f>
        <v>W</v>
      </c>
      <c r="D17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7" t="str">
        <f>IFERROR(INDEX(Структура_ассортимента[Product group],MATCH(Товары[[#This Row],[SubGroup]],Структура_ассортимента[Subgroup],0)),"")</f>
        <v>WSS_C</v>
      </c>
      <c r="G17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3278</v>
      </c>
      <c r="O1737" s="37" t="s">
        <v>7674</v>
      </c>
      <c r="P1737" s="37" t="s">
        <v>7675</v>
      </c>
      <c r="Q1737" s="39" t="s">
        <v>3416</v>
      </c>
      <c r="R1737" s="34" t="s">
        <v>3407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3413</v>
      </c>
      <c r="X1737" s="34" t="s">
        <v>3571</v>
      </c>
      <c r="Y1737" s="34" t="s">
        <v>3409</v>
      </c>
      <c r="Z1737" s="34">
        <v>3</v>
      </c>
      <c r="AA1737" s="34" t="s">
        <v>4658</v>
      </c>
      <c r="AB1737" s="34" t="s">
        <v>4658</v>
      </c>
      <c r="AC1737" s="34" t="s">
        <v>4256</v>
      </c>
      <c r="AD1737" s="34" t="s">
        <v>4256</v>
      </c>
      <c r="AE1737" s="34" t="s">
        <v>4523</v>
      </c>
      <c r="AF1737" s="34" t="s">
        <v>4523</v>
      </c>
      <c r="AG1737" s="34" t="s">
        <v>4325</v>
      </c>
      <c r="AH1737" s="34" t="s">
        <v>7120</v>
      </c>
      <c r="AI1737" s="34" t="s">
        <v>3575</v>
      </c>
      <c r="AJ1737" s="34" t="s">
        <v>5413</v>
      </c>
      <c r="AK1737" s="34" t="s">
        <v>4556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7" t="str">
        <f>IFERROR(INDEX(Структура_ассортимента[SuperCategory],MATCH(Товары[[#This Row],[SubGroup]],Структура_ассортимента[Subgroup],0)),"")</f>
        <v>W</v>
      </c>
      <c r="D17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7" t="str">
        <f>IFERROR(INDEX(Структура_ассортимента[Product group],MATCH(Товары[[#This Row],[SubGroup]],Структура_ассортимента[Subgroup],0)),"")</f>
        <v>WSS_C</v>
      </c>
      <c r="G17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3279</v>
      </c>
      <c r="O1738" s="37" t="s">
        <v>7676</v>
      </c>
      <c r="P1738" s="37" t="s">
        <v>7677</v>
      </c>
      <c r="Q1738" s="39" t="s">
        <v>3416</v>
      </c>
      <c r="R1738" s="34" t="s">
        <v>3407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3410</v>
      </c>
      <c r="X1738" s="34" t="s">
        <v>3446</v>
      </c>
      <c r="Y1738" s="34" t="s">
        <v>3409</v>
      </c>
      <c r="Z1738" s="34">
        <v>2</v>
      </c>
      <c r="AA1738" s="34" t="s">
        <v>4786</v>
      </c>
      <c r="AB1738" s="34" t="s">
        <v>4786</v>
      </c>
      <c r="AC1738" s="34" t="s">
        <v>6029</v>
      </c>
      <c r="AD1738" s="34" t="s">
        <v>6029</v>
      </c>
      <c r="AE1738" s="34" t="s">
        <v>4372</v>
      </c>
      <c r="AF1738" s="34" t="s">
        <v>4776</v>
      </c>
      <c r="AG1738" s="34" t="s">
        <v>4847</v>
      </c>
      <c r="AH1738" s="34" t="s">
        <v>7678</v>
      </c>
      <c r="AI1738" s="34" t="s">
        <v>4526</v>
      </c>
      <c r="AJ1738" s="34" t="s">
        <v>4353</v>
      </c>
      <c r="AK1738" s="34" t="s">
        <v>4248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7" t="str">
        <f>IFERROR(INDEX(Структура_ассортимента[SuperCategory],MATCH(Товары[[#This Row],[SubGroup]],Структура_ассортимента[Subgroup],0)),"")</f>
        <v>W</v>
      </c>
      <c r="D17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7" t="str">
        <f>IFERROR(INDEX(Структура_ассортимента[Product group],MATCH(Товары[[#This Row],[SubGroup]],Структура_ассортимента[Subgroup],0)),"")</f>
        <v>WSS_C</v>
      </c>
      <c r="G17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3280</v>
      </c>
      <c r="O1739" s="37" t="s">
        <v>7679</v>
      </c>
      <c r="P1739" s="37" t="s">
        <v>7680</v>
      </c>
      <c r="Q1739" s="39" t="s">
        <v>3416</v>
      </c>
      <c r="R1739" s="34" t="s">
        <v>3407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3410</v>
      </c>
      <c r="X1739" s="34" t="s">
        <v>3446</v>
      </c>
      <c r="Y1739" s="34" t="s">
        <v>3409</v>
      </c>
      <c r="Z1739" s="34">
        <v>4</v>
      </c>
      <c r="AA1739" s="34" t="s">
        <v>5500</v>
      </c>
      <c r="AB1739" s="34" t="s">
        <v>5500</v>
      </c>
      <c r="AC1739" s="34" t="s">
        <v>5470</v>
      </c>
      <c r="AD1739" s="34" t="s">
        <v>5470</v>
      </c>
      <c r="AE1739" s="34" t="s">
        <v>3560</v>
      </c>
      <c r="AF1739" s="34" t="s">
        <v>3443</v>
      </c>
      <c r="AG1739" s="34" t="s">
        <v>4335</v>
      </c>
      <c r="AH1739" s="34" t="s">
        <v>5504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7" t="str">
        <f>IFERROR(INDEX(Структура_ассортимента[SuperCategory],MATCH(Товары[[#This Row],[SubGroup]],Структура_ассортимента[Subgroup],0)),"")</f>
        <v>W</v>
      </c>
      <c r="D17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7" t="str">
        <f>IFERROR(INDEX(Структура_ассортимента[Product group],MATCH(Товары[[#This Row],[SubGroup]],Структура_ассортимента[Subgroup],0)),"")</f>
        <v>WSS_C</v>
      </c>
      <c r="G17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3281</v>
      </c>
      <c r="Q1740" s="39" t="s">
        <v>3416</v>
      </c>
      <c r="R1740" s="34" t="s">
        <v>3407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3410</v>
      </c>
      <c r="X1740" s="34" t="s">
        <v>3446</v>
      </c>
      <c r="Y1740" s="34" t="s">
        <v>3409</v>
      </c>
      <c r="Z1740" s="34">
        <v>4</v>
      </c>
      <c r="AA1740" s="34" t="s">
        <v>6436</v>
      </c>
      <c r="AB1740" s="34" t="s">
        <v>6436</v>
      </c>
      <c r="AC1740" s="34" t="s">
        <v>5496</v>
      </c>
      <c r="AD1740" s="34" t="s">
        <v>5496</v>
      </c>
      <c r="AE1740" s="34" t="s">
        <v>3560</v>
      </c>
      <c r="AF1740" s="34" t="s">
        <v>3443</v>
      </c>
      <c r="AG1740" s="34" t="s">
        <v>4218</v>
      </c>
      <c r="AH1740" s="34" t="s">
        <v>7681</v>
      </c>
      <c r="AL1740" s="34">
        <v>1152</v>
      </c>
      <c r="AM1740" s="34" t="s">
        <v>7962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7" t="str">
        <f>IFERROR(INDEX(Структура_ассортимента[SuperCategory],MATCH(Товары[[#This Row],[SubGroup]],Структура_ассортимента[Subgroup],0)),"")</f>
        <v>W</v>
      </c>
      <c r="D17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7" t="str">
        <f>IFERROR(INDEX(Структура_ассортимента[Product group],MATCH(Товары[[#This Row],[SubGroup]],Структура_ассортимента[Subgroup],0)),"")</f>
        <v>WSS_C</v>
      </c>
      <c r="G17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3282</v>
      </c>
      <c r="O1741" s="37" t="s">
        <v>7682</v>
      </c>
      <c r="P1741" s="37" t="s">
        <v>7683</v>
      </c>
      <c r="Q1741" s="39" t="s">
        <v>3416</v>
      </c>
      <c r="R1741" s="34" t="s">
        <v>3407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3413</v>
      </c>
      <c r="X1741" s="34" t="s">
        <v>3571</v>
      </c>
      <c r="Y1741" s="34" t="s">
        <v>3409</v>
      </c>
      <c r="Z1741" s="34">
        <v>2</v>
      </c>
      <c r="AA1741" s="34" t="s">
        <v>3452</v>
      </c>
      <c r="AB1741" s="34" t="s">
        <v>3452</v>
      </c>
      <c r="AC1741" s="34" t="s">
        <v>5822</v>
      </c>
      <c r="AD1741" s="34" t="s">
        <v>5822</v>
      </c>
      <c r="AE1741" s="34" t="s">
        <v>4523</v>
      </c>
      <c r="AF1741" s="34" t="s">
        <v>4523</v>
      </c>
      <c r="AG1741" s="34" t="s">
        <v>4325</v>
      </c>
      <c r="AH1741" s="34" t="s">
        <v>7120</v>
      </c>
      <c r="AI1741" s="34" t="s">
        <v>5376</v>
      </c>
      <c r="AJ1741" s="34" t="s">
        <v>5413</v>
      </c>
      <c r="AK1741" s="34" t="s">
        <v>4556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7" t="str">
        <f>IFERROR(INDEX(Структура_ассортимента[SuperCategory],MATCH(Товары[[#This Row],[SubGroup]],Структура_ассортимента[Subgroup],0)),"")</f>
        <v>W</v>
      </c>
      <c r="D17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7" t="str">
        <f>IFERROR(INDEX(Структура_ассортимента[Product group],MATCH(Товары[[#This Row],[SubGroup]],Структура_ассортимента[Subgroup],0)),"")</f>
        <v>WSS_C</v>
      </c>
      <c r="G17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3283</v>
      </c>
      <c r="Q1742" s="39" t="s">
        <v>3416</v>
      </c>
      <c r="R1742" s="34" t="s">
        <v>3407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3414</v>
      </c>
      <c r="X1742" s="34" t="s">
        <v>3571</v>
      </c>
      <c r="Y1742" s="34" t="s">
        <v>3409</v>
      </c>
      <c r="Z1742" s="34">
        <v>3</v>
      </c>
      <c r="AA1742" s="34" t="s">
        <v>3857</v>
      </c>
      <c r="AB1742" s="34" t="s">
        <v>3857</v>
      </c>
      <c r="AC1742" s="34" t="s">
        <v>3601</v>
      </c>
      <c r="AD1742" s="34" t="s">
        <v>3601</v>
      </c>
      <c r="AE1742" s="34" t="s">
        <v>3692</v>
      </c>
      <c r="AF1742" s="34" t="s">
        <v>4455</v>
      </c>
      <c r="AG1742" s="34" t="s">
        <v>3798</v>
      </c>
      <c r="AH1742" s="34" t="s">
        <v>7684</v>
      </c>
      <c r="AL1742" s="34">
        <v>342</v>
      </c>
      <c r="AM1742" s="34" t="s">
        <v>7962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7" t="str">
        <f>IFERROR(INDEX(Структура_ассортимента[SuperCategory],MATCH(Товары[[#This Row],[SubGroup]],Структура_ассортимента[Subgroup],0)),"")</f>
        <v>W</v>
      </c>
      <c r="D17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7" t="str">
        <f>IFERROR(INDEX(Структура_ассортимента[Product group],MATCH(Товары[[#This Row],[SubGroup]],Структура_ассортимента[Subgroup],0)),"")</f>
        <v>WSS_C</v>
      </c>
      <c r="G17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3284</v>
      </c>
      <c r="P1743" s="37" t="s">
        <v>7685</v>
      </c>
      <c r="Q1743" s="39" t="s">
        <v>3580</v>
      </c>
      <c r="R1743" s="34" t="s">
        <v>3407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3414</v>
      </c>
      <c r="Y1743" s="34" t="s">
        <v>3409</v>
      </c>
      <c r="Z1743" s="34">
        <v>3</v>
      </c>
      <c r="AA1743" s="34" t="s">
        <v>6033</v>
      </c>
      <c r="AB1743" s="34" t="s">
        <v>6033</v>
      </c>
      <c r="AC1743" s="34" t="s">
        <v>3967</v>
      </c>
      <c r="AD1743" s="34" t="s">
        <v>3967</v>
      </c>
      <c r="AE1743" s="34" t="s">
        <v>3610</v>
      </c>
      <c r="AF1743" s="34" t="s">
        <v>4455</v>
      </c>
      <c r="AG1743" s="34" t="s">
        <v>3798</v>
      </c>
      <c r="AH1743" s="34" t="s">
        <v>7686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7" t="str">
        <f>IFERROR(INDEX(Структура_ассортимента[SuperCategory],MATCH(Товары[[#This Row],[SubGroup]],Структура_ассортимента[Subgroup],0)),"")</f>
        <v>W</v>
      </c>
      <c r="D17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7" t="str">
        <f>IFERROR(INDEX(Структура_ассортимента[Product group],MATCH(Товары[[#This Row],[SubGroup]],Структура_ассортимента[Subgroup],0)),"")</f>
        <v>WSS_C</v>
      </c>
      <c r="G17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3285</v>
      </c>
      <c r="Q1744" s="39" t="s">
        <v>3416</v>
      </c>
      <c r="R1744" s="34" t="s">
        <v>3407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3410</v>
      </c>
      <c r="X1744" s="34" t="s">
        <v>3446</v>
      </c>
      <c r="Y1744" s="34" t="s">
        <v>3409</v>
      </c>
      <c r="Z1744" s="34">
        <v>3</v>
      </c>
      <c r="AA1744" s="34" t="s">
        <v>5006</v>
      </c>
      <c r="AB1744" s="34" t="s">
        <v>5006</v>
      </c>
      <c r="AC1744" s="34" t="s">
        <v>5097</v>
      </c>
      <c r="AD1744" s="34" t="s">
        <v>5097</v>
      </c>
      <c r="AE1744" s="34" t="s">
        <v>4909</v>
      </c>
      <c r="AF1744" s="34" t="s">
        <v>4909</v>
      </c>
      <c r="AG1744" s="34" t="s">
        <v>3578</v>
      </c>
      <c r="AH1744" s="34" t="s">
        <v>7687</v>
      </c>
      <c r="AL1744" s="34">
        <v>120</v>
      </c>
      <c r="AM1744" s="34" t="s">
        <v>7962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7" t="str">
        <f>IFERROR(INDEX(Структура_ассортимента[SuperCategory],MATCH(Товары[[#This Row],[SubGroup]],Структура_ассортимента[Subgroup],0)),"")</f>
        <v>W</v>
      </c>
      <c r="D17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7" t="str">
        <f>IFERROR(INDEX(Структура_ассортимента[Product group],MATCH(Товары[[#This Row],[SubGroup]],Структура_ассортимента[Subgroup],0)),"")</f>
        <v>WSS_C</v>
      </c>
      <c r="G17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3286</v>
      </c>
      <c r="O1745" s="37" t="s">
        <v>7688</v>
      </c>
      <c r="P1745" s="37" t="s">
        <v>7689</v>
      </c>
      <c r="Q1745" s="39" t="s">
        <v>3416</v>
      </c>
      <c r="R1745" s="34" t="s">
        <v>3407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3410</v>
      </c>
      <c r="X1745" s="34" t="s">
        <v>3446</v>
      </c>
      <c r="Y1745" s="34" t="s">
        <v>3409</v>
      </c>
      <c r="Z1745" s="34">
        <v>6</v>
      </c>
      <c r="AA1745" s="34" t="s">
        <v>6313</v>
      </c>
      <c r="AB1745" s="34" t="s">
        <v>6313</v>
      </c>
      <c r="AC1745" s="34" t="s">
        <v>5470</v>
      </c>
      <c r="AD1745" s="34" t="s">
        <v>5470</v>
      </c>
      <c r="AE1745" s="34" t="s">
        <v>4063</v>
      </c>
      <c r="AF1745" s="34" t="s">
        <v>3443</v>
      </c>
      <c r="AG1745" s="34" t="s">
        <v>4098</v>
      </c>
      <c r="AH1745" s="34" t="s">
        <v>6484</v>
      </c>
      <c r="AI1745" s="34" t="s">
        <v>4647</v>
      </c>
      <c r="AJ1745" s="34" t="s">
        <v>3560</v>
      </c>
      <c r="AK1745" s="34" t="s">
        <v>4647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7" t="str">
        <f>IFERROR(INDEX(Структура_ассортимента[SuperCategory],MATCH(Товары[[#This Row],[SubGroup]],Структура_ассортимента[Subgroup],0)),"")</f>
        <v>W</v>
      </c>
      <c r="D17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7" t="str">
        <f>IFERROR(INDEX(Структура_ассортимента[Product group],MATCH(Товары[[#This Row],[SubGroup]],Структура_ассортимента[Subgroup],0)),"")</f>
        <v>WSS_C</v>
      </c>
      <c r="G17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3287</v>
      </c>
      <c r="O1746" s="37" t="s">
        <v>7690</v>
      </c>
      <c r="P1746" s="37" t="s">
        <v>7691</v>
      </c>
      <c r="Q1746" s="39" t="s">
        <v>3416</v>
      </c>
      <c r="R1746" s="34" t="s">
        <v>3407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3410</v>
      </c>
      <c r="X1746" s="34" t="s">
        <v>3446</v>
      </c>
      <c r="Y1746" s="34" t="s">
        <v>3409</v>
      </c>
      <c r="Z1746" s="34">
        <v>3</v>
      </c>
      <c r="AA1746" s="34" t="s">
        <v>7692</v>
      </c>
      <c r="AB1746" s="34" t="s">
        <v>7692</v>
      </c>
      <c r="AC1746" s="34" t="s">
        <v>5898</v>
      </c>
      <c r="AD1746" s="34" t="s">
        <v>5898</v>
      </c>
      <c r="AE1746" s="34" t="s">
        <v>3454</v>
      </c>
      <c r="AF1746" s="34" t="s">
        <v>4500</v>
      </c>
      <c r="AG1746" s="34" t="s">
        <v>3550</v>
      </c>
      <c r="AH1746" s="34" t="s">
        <v>7657</v>
      </c>
      <c r="AI1746" s="34" t="s">
        <v>6648</v>
      </c>
      <c r="AJ1746" s="34" t="s">
        <v>4513</v>
      </c>
      <c r="AK1746" s="34" t="s">
        <v>3458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7" t="str">
        <f>IFERROR(INDEX(Структура_ассортимента[SuperCategory],MATCH(Товары[[#This Row],[SubGroup]],Структура_ассортимента[Subgroup],0)),"")</f>
        <v>W</v>
      </c>
      <c r="D17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7" t="str">
        <f>IFERROR(INDEX(Структура_ассортимента[Product group],MATCH(Товары[[#This Row],[SubGroup]],Структура_ассортимента[Subgroup],0)),"")</f>
        <v>WSS_C</v>
      </c>
      <c r="G17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3288</v>
      </c>
      <c r="O1747" s="37" t="s">
        <v>7693</v>
      </c>
      <c r="P1747" s="37" t="s">
        <v>7694</v>
      </c>
      <c r="Q1747" s="39" t="s">
        <v>3416</v>
      </c>
      <c r="R1747" s="34" t="s">
        <v>3407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3410</v>
      </c>
      <c r="X1747" s="34" t="s">
        <v>3571</v>
      </c>
      <c r="Y1747" s="34" t="s">
        <v>3409</v>
      </c>
      <c r="Z1747" s="34">
        <v>5</v>
      </c>
      <c r="AA1747" s="34" t="s">
        <v>4720</v>
      </c>
      <c r="AB1747" s="34" t="s">
        <v>4720</v>
      </c>
      <c r="AC1747" s="34" t="s">
        <v>4443</v>
      </c>
      <c r="AD1747" s="34" t="s">
        <v>4443</v>
      </c>
      <c r="AE1747" s="34" t="s">
        <v>4372</v>
      </c>
      <c r="AF1747" s="34" t="s">
        <v>3454</v>
      </c>
      <c r="AG1747" s="34" t="s">
        <v>4526</v>
      </c>
      <c r="AH1747" s="34" t="s">
        <v>7695</v>
      </c>
      <c r="AI1747" s="34" t="s">
        <v>3454</v>
      </c>
      <c r="AJ1747" s="34" t="s">
        <v>5376</v>
      </c>
      <c r="AK1747" s="34" t="s">
        <v>4526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7" t="str">
        <f>IFERROR(INDEX(Структура_ассортимента[SuperCategory],MATCH(Товары[[#This Row],[SubGroup]],Структура_ассортимента[Subgroup],0)),"")</f>
        <v>W</v>
      </c>
      <c r="D17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7" t="str">
        <f>IFERROR(INDEX(Структура_ассортимента[Product group],MATCH(Товары[[#This Row],[SubGroup]],Структура_ассортимента[Subgroup],0)),"")</f>
        <v>WSS_C</v>
      </c>
      <c r="G17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3289</v>
      </c>
      <c r="O1748" s="37" t="s">
        <v>7696</v>
      </c>
      <c r="P1748" s="37" t="s">
        <v>7697</v>
      </c>
      <c r="Q1748" s="39" t="s">
        <v>3416</v>
      </c>
      <c r="R1748" s="34" t="s">
        <v>3407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3410</v>
      </c>
      <c r="X1748" s="34" t="s">
        <v>3571</v>
      </c>
      <c r="Y1748" s="34" t="s">
        <v>3409</v>
      </c>
      <c r="Z1748" s="34">
        <v>5</v>
      </c>
      <c r="AA1748" s="34" t="s">
        <v>3587</v>
      </c>
      <c r="AB1748" s="34" t="s">
        <v>3587</v>
      </c>
      <c r="AC1748" s="34" t="s">
        <v>6536</v>
      </c>
      <c r="AD1748" s="34" t="s">
        <v>6536</v>
      </c>
      <c r="AE1748" s="34" t="s">
        <v>4307</v>
      </c>
      <c r="AF1748" s="34" t="s">
        <v>4427</v>
      </c>
      <c r="AG1748" s="34" t="s">
        <v>4085</v>
      </c>
      <c r="AH1748" s="34" t="s">
        <v>6417</v>
      </c>
      <c r="AI1748" s="34" t="s">
        <v>5376</v>
      </c>
      <c r="AJ1748" s="34" t="s">
        <v>4647</v>
      </c>
      <c r="AK1748" s="34" t="s">
        <v>4647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7" t="str">
        <f>IFERROR(INDEX(Структура_ассортимента[SuperCategory],MATCH(Товары[[#This Row],[SubGroup]],Структура_ассортимента[Subgroup],0)),"")</f>
        <v>W</v>
      </c>
      <c r="D17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7" t="str">
        <f>IFERROR(INDEX(Структура_ассортимента[Product group],MATCH(Товары[[#This Row],[SubGroup]],Структура_ассортимента[Subgroup],0)),"")</f>
        <v>WSS_C</v>
      </c>
      <c r="G17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3290</v>
      </c>
      <c r="Q1749" s="39" t="s">
        <v>3416</v>
      </c>
      <c r="R1749" s="34" t="s">
        <v>3407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3410</v>
      </c>
      <c r="X1749" s="34" t="s">
        <v>3446</v>
      </c>
      <c r="Y1749" s="34" t="s">
        <v>3409</v>
      </c>
      <c r="Z1749" s="34">
        <v>6</v>
      </c>
      <c r="AA1749" s="34" t="s">
        <v>5496</v>
      </c>
      <c r="AB1749" s="34" t="s">
        <v>5496</v>
      </c>
      <c r="AC1749" s="34" t="s">
        <v>3647</v>
      </c>
      <c r="AD1749" s="34" t="s">
        <v>3647</v>
      </c>
      <c r="AE1749" s="34" t="s">
        <v>3560</v>
      </c>
      <c r="AF1749" s="34" t="s">
        <v>3443</v>
      </c>
      <c r="AG1749" s="34" t="s">
        <v>3545</v>
      </c>
      <c r="AH1749" s="34" t="s">
        <v>3665</v>
      </c>
      <c r="AL1749" s="34">
        <v>792</v>
      </c>
      <c r="AM1749" s="34" t="s">
        <v>7962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7" t="str">
        <f>IFERROR(INDEX(Структура_ассортимента[SuperCategory],MATCH(Товары[[#This Row],[SubGroup]],Структура_ассортимента[Subgroup],0)),"")</f>
        <v>W</v>
      </c>
      <c r="D17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7" t="str">
        <f>IFERROR(INDEX(Структура_ассортимента[Product group],MATCH(Товары[[#This Row],[SubGroup]],Структура_ассортимента[Subgroup],0)),"")</f>
        <v>WSS_C</v>
      </c>
      <c r="G17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3291</v>
      </c>
      <c r="O1750" s="37" t="s">
        <v>7698</v>
      </c>
      <c r="P1750" s="37" t="s">
        <v>7699</v>
      </c>
      <c r="Q1750" s="39" t="s">
        <v>3416</v>
      </c>
      <c r="R1750" s="34" t="s">
        <v>3407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3410</v>
      </c>
      <c r="X1750" s="34" t="s">
        <v>3446</v>
      </c>
      <c r="Y1750" s="34" t="s">
        <v>3409</v>
      </c>
      <c r="Z1750" s="34">
        <v>10</v>
      </c>
      <c r="AA1750" s="34" t="s">
        <v>5755</v>
      </c>
      <c r="AB1750" s="34" t="s">
        <v>6385</v>
      </c>
      <c r="AC1750" s="34" t="s">
        <v>3679</v>
      </c>
      <c r="AD1750" s="34" t="s">
        <v>5514</v>
      </c>
      <c r="AE1750" s="34" t="s">
        <v>4660</v>
      </c>
      <c r="AF1750" s="34" t="s">
        <v>5480</v>
      </c>
      <c r="AG1750" s="34" t="s">
        <v>3545</v>
      </c>
      <c r="AH1750" s="34" t="s">
        <v>7700</v>
      </c>
      <c r="AL1750" s="34" t="s">
        <v>6503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7" t="str">
        <f>IFERROR(INDEX(Структура_ассортимента[SuperCategory],MATCH(Товары[[#This Row],[SubGroup]],Структура_ассортимента[Subgroup],0)),"")</f>
        <v>W</v>
      </c>
      <c r="D17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7" t="str">
        <f>IFERROR(INDEX(Структура_ассортимента[Product group],MATCH(Товары[[#This Row],[SubGroup]],Структура_ассортимента[Subgroup],0)),"")</f>
        <v>WSS_C</v>
      </c>
      <c r="G17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3292</v>
      </c>
      <c r="O1751" s="37" t="s">
        <v>7701</v>
      </c>
      <c r="P1751" s="37" t="s">
        <v>7702</v>
      </c>
      <c r="Q1751" s="39" t="s">
        <v>3416</v>
      </c>
      <c r="R1751" s="34" t="s">
        <v>3407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3410</v>
      </c>
      <c r="X1751" s="34" t="s">
        <v>3446</v>
      </c>
      <c r="Y1751" s="34" t="s">
        <v>3409</v>
      </c>
      <c r="Z1751" s="34">
        <v>6</v>
      </c>
      <c r="AA1751" s="34" t="s">
        <v>6930</v>
      </c>
      <c r="AB1751" s="34" t="s">
        <v>6313</v>
      </c>
      <c r="AC1751" s="34" t="s">
        <v>6939</v>
      </c>
      <c r="AD1751" s="34" t="s">
        <v>6386</v>
      </c>
      <c r="AE1751" s="34" t="s">
        <v>3457</v>
      </c>
      <c r="AF1751" s="34" t="s">
        <v>3491</v>
      </c>
      <c r="AG1751" s="34" t="s">
        <v>5916</v>
      </c>
      <c r="AH1751" s="34" t="s">
        <v>7703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7" t="str">
        <f>IFERROR(INDEX(Структура_ассортимента[SuperCategory],MATCH(Товары[[#This Row],[SubGroup]],Структура_ассортимента[Subgroup],0)),"")</f>
        <v>W</v>
      </c>
      <c r="D17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7" t="str">
        <f>IFERROR(INDEX(Структура_ассортимента[Product group],MATCH(Товары[[#This Row],[SubGroup]],Структура_ассортимента[Subgroup],0)),"")</f>
        <v>WSS_C</v>
      </c>
      <c r="G17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3293</v>
      </c>
      <c r="O1752" s="37" t="s">
        <v>7704</v>
      </c>
      <c r="P1752" s="37" t="s">
        <v>7705</v>
      </c>
      <c r="Q1752" s="39" t="s">
        <v>3416</v>
      </c>
      <c r="R1752" s="34" t="s">
        <v>3407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3410</v>
      </c>
      <c r="X1752" s="34" t="s">
        <v>3446</v>
      </c>
      <c r="Y1752" s="34" t="s">
        <v>3409</v>
      </c>
      <c r="Z1752" s="34">
        <v>10</v>
      </c>
      <c r="AA1752" s="34" t="s">
        <v>5516</v>
      </c>
      <c r="AB1752" s="34" t="s">
        <v>5516</v>
      </c>
      <c r="AC1752" s="34" t="s">
        <v>3594</v>
      </c>
      <c r="AD1752" s="34" t="s">
        <v>3594</v>
      </c>
      <c r="AE1752" s="34" t="s">
        <v>3692</v>
      </c>
      <c r="AF1752" s="34" t="s">
        <v>3443</v>
      </c>
      <c r="AG1752" s="34" t="s">
        <v>4088</v>
      </c>
      <c r="AH1752" s="34" t="s">
        <v>7706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7" t="str">
        <f>IFERROR(INDEX(Структура_ассортимента[SuperCategory],MATCH(Товары[[#This Row],[SubGroup]],Структура_ассортимента[Subgroup],0)),"")</f>
        <v>W</v>
      </c>
      <c r="D17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7" t="str">
        <f>IFERROR(INDEX(Структура_ассортимента[Product group],MATCH(Товары[[#This Row],[SubGroup]],Структура_ассортимента[Subgroup],0)),"")</f>
        <v>WSS_C</v>
      </c>
      <c r="G17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3294</v>
      </c>
      <c r="Q1753" s="39" t="s">
        <v>3416</v>
      </c>
      <c r="R1753" s="34" t="s">
        <v>3407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3410</v>
      </c>
      <c r="X1753" s="34" t="s">
        <v>3446</v>
      </c>
      <c r="Y1753" s="34" t="s">
        <v>3409</v>
      </c>
      <c r="Z1753" s="34">
        <v>10</v>
      </c>
      <c r="AA1753" s="34" t="s">
        <v>5516</v>
      </c>
      <c r="AB1753" s="34" t="s">
        <v>5516</v>
      </c>
      <c r="AC1753" s="34" t="s">
        <v>3594</v>
      </c>
      <c r="AD1753" s="34" t="s">
        <v>3594</v>
      </c>
      <c r="AE1753" s="34" t="s">
        <v>3692</v>
      </c>
      <c r="AF1753" s="34" t="s">
        <v>3443</v>
      </c>
      <c r="AG1753" s="34" t="s">
        <v>4088</v>
      </c>
      <c r="AH1753" s="34" t="s">
        <v>7706</v>
      </c>
      <c r="AL1753" s="34">
        <v>800</v>
      </c>
      <c r="AM1753" s="34" t="s">
        <v>7962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7" t="str">
        <f>IFERROR(INDEX(Структура_ассортимента[SuperCategory],MATCH(Товары[[#This Row],[SubGroup]],Структура_ассортимента[Subgroup],0)),"")</f>
        <v>W</v>
      </c>
      <c r="D17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7" t="str">
        <f>IFERROR(INDEX(Структура_ассортимента[Product group],MATCH(Товары[[#This Row],[SubGroup]],Структура_ассортимента[Subgroup],0)),"")</f>
        <v>WSS_C</v>
      </c>
      <c r="G17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3295</v>
      </c>
      <c r="O1754" s="37" t="s">
        <v>7707</v>
      </c>
      <c r="P1754" s="37" t="s">
        <v>7708</v>
      </c>
      <c r="Q1754" s="39" t="s">
        <v>3416</v>
      </c>
      <c r="R1754" s="34" t="s">
        <v>3407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3410</v>
      </c>
      <c r="X1754" s="34" t="s">
        <v>3446</v>
      </c>
      <c r="Y1754" s="34" t="s">
        <v>3409</v>
      </c>
      <c r="Z1754" s="34">
        <v>10</v>
      </c>
      <c r="AA1754" s="34" t="s">
        <v>6930</v>
      </c>
      <c r="AB1754" s="34" t="s">
        <v>3958</v>
      </c>
      <c r="AC1754" s="34" t="s">
        <v>6930</v>
      </c>
      <c r="AD1754" s="34" t="s">
        <v>6930</v>
      </c>
      <c r="AE1754" s="34" t="s">
        <v>3692</v>
      </c>
      <c r="AF1754" s="34" t="s">
        <v>3443</v>
      </c>
      <c r="AG1754" s="34" t="s">
        <v>4098</v>
      </c>
      <c r="AH1754" s="34" t="s">
        <v>7709</v>
      </c>
      <c r="AI1754" s="34" t="s">
        <v>4115</v>
      </c>
      <c r="AJ1754" s="34" t="s">
        <v>6418</v>
      </c>
      <c r="AK1754" s="34" t="s">
        <v>4642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7" t="str">
        <f>IFERROR(INDEX(Структура_ассортимента[SuperCategory],MATCH(Товары[[#This Row],[SubGroup]],Структура_ассортимента[Subgroup],0)),"")</f>
        <v>W</v>
      </c>
      <c r="D17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7" t="str">
        <f>IFERROR(INDEX(Структура_ассортимента[Product group],MATCH(Товары[[#This Row],[SubGroup]],Структура_ассортимента[Subgroup],0)),"")</f>
        <v>WSS_C</v>
      </c>
      <c r="G17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3296</v>
      </c>
      <c r="O1755" s="37" t="s">
        <v>7710</v>
      </c>
      <c r="P1755" s="37" t="s">
        <v>7711</v>
      </c>
      <c r="Q1755" s="39" t="s">
        <v>3416</v>
      </c>
      <c r="R1755" s="34" t="s">
        <v>3407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3410</v>
      </c>
      <c r="X1755" s="34" t="s">
        <v>3446</v>
      </c>
      <c r="Y1755" s="34" t="s">
        <v>3409</v>
      </c>
      <c r="Z1755" s="34">
        <v>10</v>
      </c>
      <c r="AA1755" s="34" t="s">
        <v>6393</v>
      </c>
      <c r="AB1755" s="34" t="s">
        <v>6393</v>
      </c>
      <c r="AC1755" s="34" t="s">
        <v>5470</v>
      </c>
      <c r="AD1755" s="34" t="s">
        <v>5470</v>
      </c>
      <c r="AE1755" s="34" t="s">
        <v>3560</v>
      </c>
      <c r="AF1755" s="34" t="s">
        <v>3443</v>
      </c>
      <c r="AG1755" s="34" t="s">
        <v>4642</v>
      </c>
      <c r="AH1755" s="34" t="s">
        <v>7712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7" t="str">
        <f>IFERROR(INDEX(Структура_ассортимента[SuperCategory],MATCH(Товары[[#This Row],[SubGroup]],Структура_ассортимента[Subgroup],0)),"")</f>
        <v>W</v>
      </c>
      <c r="D17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7" t="str">
        <f>IFERROR(INDEX(Структура_ассортимента[Product group],MATCH(Товары[[#This Row],[SubGroup]],Структура_ассортимента[Subgroup],0)),"")</f>
        <v>WSS_C</v>
      </c>
      <c r="G17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3297</v>
      </c>
      <c r="O1756" s="37" t="s">
        <v>7713</v>
      </c>
      <c r="P1756" s="37" t="s">
        <v>7714</v>
      </c>
      <c r="Q1756" s="39" t="s">
        <v>3416</v>
      </c>
      <c r="R1756" s="34" t="s">
        <v>3407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3410</v>
      </c>
      <c r="X1756" s="34" t="s">
        <v>3446</v>
      </c>
      <c r="Y1756" s="34" t="s">
        <v>3409</v>
      </c>
      <c r="Z1756" s="34">
        <v>10</v>
      </c>
      <c r="AA1756" s="34" t="s">
        <v>6522</v>
      </c>
      <c r="AB1756" s="34" t="s">
        <v>6522</v>
      </c>
      <c r="AC1756" s="34" t="s">
        <v>6337</v>
      </c>
      <c r="AD1756" s="34" t="s">
        <v>6337</v>
      </c>
      <c r="AE1756" s="34" t="s">
        <v>3560</v>
      </c>
      <c r="AF1756" s="34" t="s">
        <v>3443</v>
      </c>
      <c r="AG1756" s="34" t="s">
        <v>3539</v>
      </c>
      <c r="AH1756" s="34" t="s">
        <v>6519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7" t="str">
        <f>IFERROR(INDEX(Структура_ассортимента[SuperCategory],MATCH(Товары[[#This Row],[SubGroup]],Структура_ассортимента[Subgroup],0)),"")</f>
        <v>W</v>
      </c>
      <c r="D17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7" t="str">
        <f>IFERROR(INDEX(Структура_ассортимента[Product group],MATCH(Товары[[#This Row],[SubGroup]],Структура_ассортимента[Subgroup],0)),"")</f>
        <v>WSS_C</v>
      </c>
      <c r="G17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3298</v>
      </c>
      <c r="Q1757" s="39" t="s">
        <v>3416</v>
      </c>
      <c r="R1757" s="34" t="s">
        <v>3407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3410</v>
      </c>
      <c r="X1757" s="34" t="s">
        <v>3446</v>
      </c>
      <c r="Y1757" s="34" t="s">
        <v>3409</v>
      </c>
      <c r="Z1757" s="34">
        <v>10</v>
      </c>
      <c r="AA1757" s="34" t="s">
        <v>6522</v>
      </c>
      <c r="AB1757" s="34" t="s">
        <v>3646</v>
      </c>
      <c r="AC1757" s="34" t="s">
        <v>6337</v>
      </c>
      <c r="AD1757" s="34" t="s">
        <v>6337</v>
      </c>
      <c r="AE1757" s="34" t="s">
        <v>3560</v>
      </c>
      <c r="AF1757" s="34" t="s">
        <v>3443</v>
      </c>
      <c r="AG1757" s="34" t="s">
        <v>3539</v>
      </c>
      <c r="AH1757" s="34" t="s">
        <v>6519</v>
      </c>
      <c r="AL1757" s="34">
        <v>1320</v>
      </c>
      <c r="AM1757" s="34" t="s">
        <v>7962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7" t="str">
        <f>IFERROR(INDEX(Структура_ассортимента[SuperCategory],MATCH(Товары[[#This Row],[SubGroup]],Структура_ассортимента[Subgroup],0)),"")</f>
        <v>W</v>
      </c>
      <c r="D17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7" t="str">
        <f>IFERROR(INDEX(Структура_ассортимента[Product group],MATCH(Товары[[#This Row],[SubGroup]],Структура_ассортимента[Subgroup],0)),"")</f>
        <v>WSS_C</v>
      </c>
      <c r="G17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3299</v>
      </c>
      <c r="O1758" s="37" t="s">
        <v>7715</v>
      </c>
      <c r="P1758" s="37" t="s">
        <v>7716</v>
      </c>
      <c r="Q1758" s="39" t="s">
        <v>3416</v>
      </c>
      <c r="R1758" s="34" t="s">
        <v>3407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3410</v>
      </c>
      <c r="X1758" s="34" t="s">
        <v>3446</v>
      </c>
      <c r="Y1758" s="34" t="s">
        <v>3409</v>
      </c>
      <c r="Z1758" s="34">
        <v>10</v>
      </c>
      <c r="AA1758" s="34" t="s">
        <v>3656</v>
      </c>
      <c r="AB1758" s="34" t="s">
        <v>3656</v>
      </c>
      <c r="AC1758" s="34" t="s">
        <v>6393</v>
      </c>
      <c r="AD1758" s="34" t="s">
        <v>6393</v>
      </c>
      <c r="AE1758" s="34" t="s">
        <v>3560</v>
      </c>
      <c r="AF1758" s="34" t="s">
        <v>3443</v>
      </c>
      <c r="AG1758" s="34" t="s">
        <v>3621</v>
      </c>
      <c r="AH1758" s="34" t="s">
        <v>7717</v>
      </c>
      <c r="AI1758" s="34" t="s">
        <v>4115</v>
      </c>
      <c r="AJ1758" s="34" t="s">
        <v>6418</v>
      </c>
      <c r="AK1758" s="34" t="s">
        <v>4115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7" t="str">
        <f>IFERROR(INDEX(Структура_ассортимента[SuperCategory],MATCH(Товары[[#This Row],[SubGroup]],Структура_ассортимента[Subgroup],0)),"")</f>
        <v>W</v>
      </c>
      <c r="D17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7" t="str">
        <f>IFERROR(INDEX(Структура_ассортимента[Product group],MATCH(Товары[[#This Row],[SubGroup]],Структура_ассортимента[Subgroup],0)),"")</f>
        <v>WSS_C</v>
      </c>
      <c r="G17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3300</v>
      </c>
      <c r="O1759" s="37" t="s">
        <v>7718</v>
      </c>
      <c r="P1759" s="37" t="s">
        <v>7719</v>
      </c>
      <c r="Q1759" s="39" t="s">
        <v>3416</v>
      </c>
      <c r="R1759" s="34" t="s">
        <v>3407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3410</v>
      </c>
      <c r="X1759" s="34" t="s">
        <v>3446</v>
      </c>
      <c r="Y1759" s="34" t="s">
        <v>3409</v>
      </c>
      <c r="Z1759" s="34">
        <v>10</v>
      </c>
      <c r="AA1759" s="34" t="s">
        <v>5496</v>
      </c>
      <c r="AB1759" s="34" t="s">
        <v>5496</v>
      </c>
      <c r="AC1759" s="34" t="s">
        <v>5514</v>
      </c>
      <c r="AD1759" s="34" t="s">
        <v>5514</v>
      </c>
      <c r="AE1759" s="34" t="s">
        <v>3560</v>
      </c>
      <c r="AF1759" s="34" t="s">
        <v>3443</v>
      </c>
      <c r="AG1759" s="34" t="s">
        <v>4642</v>
      </c>
      <c r="AH1759" s="34" t="s">
        <v>7712</v>
      </c>
      <c r="AI1759" s="34" t="s">
        <v>4115</v>
      </c>
      <c r="AJ1759" s="34" t="s">
        <v>6418</v>
      </c>
      <c r="AK1759" s="34" t="s">
        <v>4218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7" t="str">
        <f>IFERROR(INDEX(Структура_ассортимента[SuperCategory],MATCH(Товары[[#This Row],[SubGroup]],Структура_ассортимента[Subgroup],0)),"")</f>
        <v>W</v>
      </c>
      <c r="D17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7" t="str">
        <f>IFERROR(INDEX(Структура_ассортимента[Product group],MATCH(Товары[[#This Row],[SubGroup]],Структура_ассортимента[Subgroup],0)),"")</f>
        <v>WSS_C</v>
      </c>
      <c r="G17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3301</v>
      </c>
      <c r="O1760" s="37" t="s">
        <v>7720</v>
      </c>
      <c r="P1760" s="37" t="s">
        <v>7721</v>
      </c>
      <c r="Q1760" s="39" t="s">
        <v>3416</v>
      </c>
      <c r="R1760" s="34" t="s">
        <v>3407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3410</v>
      </c>
      <c r="X1760" s="34" t="s">
        <v>3446</v>
      </c>
      <c r="Y1760" s="34" t="s">
        <v>3409</v>
      </c>
      <c r="Z1760" s="34">
        <v>10</v>
      </c>
      <c r="AA1760" s="34" t="s">
        <v>5496</v>
      </c>
      <c r="AB1760" s="34" t="s">
        <v>5496</v>
      </c>
      <c r="AC1760" s="34" t="s">
        <v>3670</v>
      </c>
      <c r="AD1760" s="34" t="s">
        <v>3670</v>
      </c>
      <c r="AE1760" s="34" t="s">
        <v>3692</v>
      </c>
      <c r="AF1760" s="34" t="s">
        <v>3443</v>
      </c>
      <c r="AG1760" s="34" t="s">
        <v>4098</v>
      </c>
      <c r="AH1760" s="34" t="s">
        <v>7709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7" t="str">
        <f>IFERROR(INDEX(Структура_ассортимента[SuperCategory],MATCH(Товары[[#This Row],[SubGroup]],Структура_ассортимента[Subgroup],0)),"")</f>
        <v>W</v>
      </c>
      <c r="D17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7" t="str">
        <f>IFERROR(INDEX(Структура_ассортимента[Product group],MATCH(Товары[[#This Row],[SubGroup]],Структура_ассортимента[Subgroup],0)),"")</f>
        <v>WSS_C</v>
      </c>
      <c r="G17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3302</v>
      </c>
      <c r="O1761" s="37" t="s">
        <v>7722</v>
      </c>
      <c r="P1761" s="37" t="s">
        <v>7723</v>
      </c>
      <c r="Q1761" s="39" t="s">
        <v>3416</v>
      </c>
      <c r="R1761" s="34" t="s">
        <v>3407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3410</v>
      </c>
      <c r="X1761" s="34" t="s">
        <v>3446</v>
      </c>
      <c r="Y1761" s="34" t="s">
        <v>3409</v>
      </c>
      <c r="Z1761" s="34">
        <v>10</v>
      </c>
      <c r="AA1761" s="34" t="s">
        <v>5496</v>
      </c>
      <c r="AB1761" s="34" t="s">
        <v>5514</v>
      </c>
      <c r="AC1761" s="34" t="s">
        <v>5755</v>
      </c>
      <c r="AD1761" s="34" t="s">
        <v>3647</v>
      </c>
      <c r="AE1761" s="34" t="s">
        <v>3560</v>
      </c>
      <c r="AF1761" s="34" t="s">
        <v>3443</v>
      </c>
      <c r="AG1761" s="34" t="s">
        <v>3799</v>
      </c>
      <c r="AH1761" s="34" t="s">
        <v>7583</v>
      </c>
      <c r="AI1761" s="34" t="s">
        <v>4330</v>
      </c>
      <c r="AJ1761" s="34" t="s">
        <v>6418</v>
      </c>
      <c r="AK1761" s="34" t="s">
        <v>4330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7" t="str">
        <f>IFERROR(INDEX(Структура_ассортимента[SuperCategory],MATCH(Товары[[#This Row],[SubGroup]],Структура_ассортимента[Subgroup],0)),"")</f>
        <v>W</v>
      </c>
      <c r="D17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7" t="str">
        <f>IFERROR(INDEX(Структура_ассортимента[Product group],MATCH(Товары[[#This Row],[SubGroup]],Структура_ассортимента[Subgroup],0)),"")</f>
        <v>WSS_C</v>
      </c>
      <c r="G17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3303</v>
      </c>
      <c r="O1762" s="37" t="s">
        <v>7724</v>
      </c>
      <c r="P1762" s="37" t="s">
        <v>7725</v>
      </c>
      <c r="Q1762" s="39" t="s">
        <v>3416</v>
      </c>
      <c r="R1762" s="34" t="s">
        <v>3407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3410</v>
      </c>
      <c r="X1762" s="34" t="s">
        <v>3446</v>
      </c>
      <c r="Y1762" s="34" t="s">
        <v>3409</v>
      </c>
      <c r="Z1762" s="34">
        <v>10</v>
      </c>
      <c r="AA1762" s="34" t="s">
        <v>5469</v>
      </c>
      <c r="AB1762" s="34" t="s">
        <v>5469</v>
      </c>
      <c r="AC1762" s="34" t="s">
        <v>5514</v>
      </c>
      <c r="AD1762" s="34" t="s">
        <v>5514</v>
      </c>
      <c r="AE1762" s="34" t="s">
        <v>3560</v>
      </c>
      <c r="AF1762" s="34" t="s">
        <v>3443</v>
      </c>
      <c r="AG1762" s="34" t="s">
        <v>3539</v>
      </c>
      <c r="AH1762" s="34" t="s">
        <v>6519</v>
      </c>
      <c r="AI1762" s="34" t="s">
        <v>4993</v>
      </c>
      <c r="AJ1762" s="34" t="s">
        <v>3675</v>
      </c>
      <c r="AK1762" s="34" t="s">
        <v>4993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7" t="str">
        <f>IFERROR(INDEX(Структура_ассортимента[SuperCategory],MATCH(Товары[[#This Row],[SubGroup]],Структура_ассортимента[Subgroup],0)),"")</f>
        <v>W</v>
      </c>
      <c r="D17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7" t="str">
        <f>IFERROR(INDEX(Структура_ассортимента[Product group],MATCH(Товары[[#This Row],[SubGroup]],Структура_ассортимента[Subgroup],0)),"")</f>
        <v>WSS_C</v>
      </c>
      <c r="G17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3304</v>
      </c>
      <c r="Q1763" s="39" t="s">
        <v>3416</v>
      </c>
      <c r="R1763" s="34" t="s">
        <v>3407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3410</v>
      </c>
      <c r="X1763" s="34" t="s">
        <v>3446</v>
      </c>
      <c r="Y1763" s="34" t="s">
        <v>3409</v>
      </c>
      <c r="Z1763" s="34">
        <v>10</v>
      </c>
      <c r="AA1763" s="34" t="s">
        <v>6338</v>
      </c>
      <c r="AB1763" s="34" t="s">
        <v>6338</v>
      </c>
      <c r="AC1763" s="34" t="s">
        <v>5514</v>
      </c>
      <c r="AD1763" s="34" t="s">
        <v>5514</v>
      </c>
      <c r="AE1763" s="34" t="s">
        <v>3560</v>
      </c>
      <c r="AF1763" s="34" t="s">
        <v>3443</v>
      </c>
      <c r="AG1763" s="34" t="s">
        <v>3539</v>
      </c>
      <c r="AH1763" s="34" t="s">
        <v>6519</v>
      </c>
      <c r="AI1763" s="34" t="s">
        <v>4993</v>
      </c>
      <c r="AJ1763" s="34" t="s">
        <v>3675</v>
      </c>
      <c r="AK1763" s="34" t="s">
        <v>4993</v>
      </c>
      <c r="AL1763" s="34">
        <v>1320</v>
      </c>
      <c r="AM1763" s="34" t="s">
        <v>7962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7" t="str">
        <f>IFERROR(INDEX(Структура_ассортимента[SuperCategory],MATCH(Товары[[#This Row],[SubGroup]],Структура_ассортимента[Subgroup],0)),"")</f>
        <v>W</v>
      </c>
      <c r="D17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7" t="str">
        <f>IFERROR(INDEX(Структура_ассортимента[Product group],MATCH(Товары[[#This Row],[SubGroup]],Структура_ассортимента[Subgroup],0)),"")</f>
        <v>WSS_C</v>
      </c>
      <c r="G17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3305</v>
      </c>
      <c r="O1764" s="37" t="s">
        <v>7726</v>
      </c>
      <c r="P1764" s="37" t="s">
        <v>7727</v>
      </c>
      <c r="Q1764" s="39" t="s">
        <v>3416</v>
      </c>
      <c r="R1764" s="34" t="s">
        <v>3407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3410</v>
      </c>
      <c r="X1764" s="34" t="s">
        <v>3446</v>
      </c>
      <c r="Y1764" s="34" t="s">
        <v>3409</v>
      </c>
      <c r="Z1764" s="34">
        <v>10</v>
      </c>
      <c r="AA1764" s="34" t="s">
        <v>6393</v>
      </c>
      <c r="AB1764" s="34" t="s">
        <v>6393</v>
      </c>
      <c r="AC1764" s="34" t="s">
        <v>3646</v>
      </c>
      <c r="AD1764" s="34" t="s">
        <v>3646</v>
      </c>
      <c r="AE1764" s="34" t="s">
        <v>3560</v>
      </c>
      <c r="AF1764" s="34" t="s">
        <v>3443</v>
      </c>
      <c r="AG1764" s="34" t="s">
        <v>4098</v>
      </c>
      <c r="AH1764" s="34" t="s">
        <v>3585</v>
      </c>
      <c r="AI1764" s="34" t="s">
        <v>4115</v>
      </c>
      <c r="AJ1764" s="34" t="s">
        <v>6418</v>
      </c>
      <c r="AK1764" s="34" t="s">
        <v>6418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7" t="str">
        <f>IFERROR(INDEX(Структура_ассортимента[SuperCategory],MATCH(Товары[[#This Row],[SubGroup]],Структура_ассортимента[Subgroup],0)),"")</f>
        <v>W</v>
      </c>
      <c r="D176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7" t="str">
        <f>IFERROR(INDEX(Структура_ассортимента[Product group],MATCH(Товары[[#This Row],[SubGroup]],Структура_ассортимента[Subgroup],0)),"")</f>
        <v>WSS_C</v>
      </c>
      <c r="G176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3306</v>
      </c>
      <c r="Q1765" s="39" t="s">
        <v>3416</v>
      </c>
      <c r="R1765" s="34" t="s">
        <v>3407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3410</v>
      </c>
      <c r="X1765" s="34" t="s">
        <v>3446</v>
      </c>
      <c r="Y1765" s="34" t="s">
        <v>3409</v>
      </c>
      <c r="Z1765" s="34">
        <v>10</v>
      </c>
      <c r="AA1765" s="34" t="s">
        <v>6393</v>
      </c>
      <c r="AB1765" s="34" t="s">
        <v>6393</v>
      </c>
      <c r="AC1765" s="34" t="s">
        <v>3646</v>
      </c>
      <c r="AD1765" s="34" t="s">
        <v>3646</v>
      </c>
      <c r="AE1765" s="34" t="s">
        <v>3560</v>
      </c>
      <c r="AF1765" s="34" t="s">
        <v>3443</v>
      </c>
      <c r="AG1765" s="34" t="s">
        <v>4098</v>
      </c>
      <c r="AH1765" s="34" t="s">
        <v>3585</v>
      </c>
      <c r="AI1765" s="34" t="s">
        <v>4115</v>
      </c>
      <c r="AJ1765" s="34" t="s">
        <v>6418</v>
      </c>
      <c r="AK1765" s="34" t="s">
        <v>6418</v>
      </c>
      <c r="AL1765" s="34">
        <v>1080</v>
      </c>
      <c r="AM1765" s="34" t="s">
        <v>7962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7" t="str">
        <f>IFERROR(INDEX(Структура_ассортимента[SuperCategory],MATCH(Товары[[#This Row],[SubGroup]],Структура_ассортимента[Subgroup],0)),"")</f>
        <v>W</v>
      </c>
      <c r="D176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7" t="str">
        <f>IFERROR(INDEX(Структура_ассортимента[Product group],MATCH(Товары[[#This Row],[SubGroup]],Структура_ассортимента[Subgroup],0)),"")</f>
        <v>WSS_C</v>
      </c>
      <c r="G176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3307</v>
      </c>
      <c r="O1766" s="37" t="s">
        <v>7728</v>
      </c>
      <c r="P1766" s="37" t="s">
        <v>7729</v>
      </c>
      <c r="Q1766" s="39" t="s">
        <v>3416</v>
      </c>
      <c r="R1766" s="34" t="s">
        <v>3407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3410</v>
      </c>
      <c r="X1766" s="34" t="s">
        <v>3446</v>
      </c>
      <c r="Y1766" s="34" t="s">
        <v>3409</v>
      </c>
      <c r="Z1766" s="34">
        <v>10</v>
      </c>
      <c r="AA1766" s="34" t="s">
        <v>3520</v>
      </c>
      <c r="AB1766" s="34" t="s">
        <v>3520</v>
      </c>
      <c r="AC1766" s="34" t="s">
        <v>5500</v>
      </c>
      <c r="AD1766" s="34" t="s">
        <v>5500</v>
      </c>
      <c r="AE1766" s="34" t="s">
        <v>3560</v>
      </c>
      <c r="AF1766" s="34" t="s">
        <v>3443</v>
      </c>
      <c r="AG1766" s="34" t="s">
        <v>4647</v>
      </c>
      <c r="AH1766" s="34" t="s">
        <v>7730</v>
      </c>
      <c r="AI1766" s="34" t="s">
        <v>4051</v>
      </c>
      <c r="AJ1766" s="34" t="s">
        <v>6418</v>
      </c>
      <c r="AK1766" s="34" t="s">
        <v>3978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7" t="str">
        <f>IFERROR(INDEX(Структура_ассортимента[SuperCategory],MATCH(Товары[[#This Row],[SubGroup]],Структура_ассортимента[Subgroup],0)),"")</f>
        <v>W</v>
      </c>
      <c r="D176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7" t="str">
        <f>IFERROR(INDEX(Структура_ассортимента[Product group],MATCH(Товары[[#This Row],[SubGroup]],Структура_ассортимента[Subgroup],0)),"")</f>
        <v>WSS_C</v>
      </c>
      <c r="G176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3308</v>
      </c>
      <c r="O1767" s="37" t="s">
        <v>7731</v>
      </c>
      <c r="P1767" s="37" t="s">
        <v>7732</v>
      </c>
      <c r="Q1767" s="39" t="s">
        <v>3416</v>
      </c>
      <c r="R1767" s="34" t="s">
        <v>3407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3410</v>
      </c>
      <c r="X1767" s="34" t="s">
        <v>3446</v>
      </c>
      <c r="Y1767" s="34" t="s">
        <v>3409</v>
      </c>
      <c r="Z1767" s="34">
        <v>10</v>
      </c>
      <c r="AA1767" s="34" t="s">
        <v>3651</v>
      </c>
      <c r="AB1767" s="34" t="s">
        <v>3651</v>
      </c>
      <c r="AC1767" s="34" t="s">
        <v>7733</v>
      </c>
      <c r="AD1767" s="34" t="s">
        <v>7733</v>
      </c>
      <c r="AE1767" s="34" t="s">
        <v>4660</v>
      </c>
      <c r="AF1767" s="34" t="s">
        <v>5480</v>
      </c>
      <c r="AG1767" s="34" t="s">
        <v>5912</v>
      </c>
      <c r="AH1767" s="34" t="s">
        <v>7734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7" t="str">
        <f>IFERROR(INDEX(Структура_ассортимента[SuperCategory],MATCH(Товары[[#This Row],[SubGroup]],Структура_ассортимента[Subgroup],0)),"")</f>
        <v>W</v>
      </c>
      <c r="D176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7" t="str">
        <f>IFERROR(INDEX(Структура_ассортимента[Product group],MATCH(Товары[[#This Row],[SubGroup]],Структура_ассортимента[Subgroup],0)),"")</f>
        <v>WSS_C</v>
      </c>
      <c r="G176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3309</v>
      </c>
      <c r="Q1768" s="39" t="s">
        <v>3416</v>
      </c>
      <c r="R1768" s="34" t="s">
        <v>3407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3410</v>
      </c>
      <c r="X1768" s="34" t="s">
        <v>3446</v>
      </c>
      <c r="Y1768" s="34" t="s">
        <v>3409</v>
      </c>
      <c r="Z1768" s="34">
        <v>6</v>
      </c>
      <c r="AA1768" s="34" t="s">
        <v>3661</v>
      </c>
      <c r="AB1768" s="34" t="s">
        <v>3670</v>
      </c>
      <c r="AC1768" s="34" t="s">
        <v>3674</v>
      </c>
      <c r="AD1768" s="34" t="s">
        <v>3674</v>
      </c>
      <c r="AE1768" s="34" t="s">
        <v>3560</v>
      </c>
      <c r="AF1768" s="34" t="s">
        <v>3443</v>
      </c>
      <c r="AG1768" s="34" t="s">
        <v>3530</v>
      </c>
      <c r="AH1768" s="34" t="s">
        <v>7735</v>
      </c>
      <c r="AL1768" s="34" t="s">
        <v>6315</v>
      </c>
      <c r="AM1768" s="34" t="s">
        <v>7962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7" t="str">
        <f>IFERROR(INDEX(Структура_ассортимента[SuperCategory],MATCH(Товары[[#This Row],[SubGroup]],Структура_ассортимента[Subgroup],0)),"")</f>
        <v>W</v>
      </c>
      <c r="D176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7" t="str">
        <f>IFERROR(INDEX(Структура_ассортимента[Product group],MATCH(Товары[[#This Row],[SubGroup]],Структура_ассортимента[Subgroup],0)),"")</f>
        <v>WSS_C</v>
      </c>
      <c r="G176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3310</v>
      </c>
      <c r="O1769" s="37" t="s">
        <v>7736</v>
      </c>
      <c r="P1769" s="37" t="s">
        <v>7737</v>
      </c>
      <c r="Q1769" s="39" t="s">
        <v>3416</v>
      </c>
      <c r="R1769" s="34" t="s">
        <v>3407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3410</v>
      </c>
      <c r="X1769" s="34" t="s">
        <v>3446</v>
      </c>
      <c r="Y1769" s="34" t="s">
        <v>3409</v>
      </c>
      <c r="Z1769" s="34">
        <v>10</v>
      </c>
      <c r="AA1769" s="34" t="s">
        <v>6306</v>
      </c>
      <c r="AB1769" s="34" t="s">
        <v>6306</v>
      </c>
      <c r="AC1769" s="34" t="s">
        <v>3651</v>
      </c>
      <c r="AD1769" s="34" t="s">
        <v>3651</v>
      </c>
      <c r="AE1769" s="34" t="s">
        <v>3560</v>
      </c>
      <c r="AF1769" s="34" t="s">
        <v>3443</v>
      </c>
      <c r="AG1769" s="34" t="s">
        <v>3671</v>
      </c>
      <c r="AH1769" s="34" t="s">
        <v>3672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7" t="str">
        <f>IFERROR(INDEX(Структура_ассортимента[SuperCategory],MATCH(Товары[[#This Row],[SubGroup]],Структура_ассортимента[Subgroup],0)),"")</f>
        <v>W</v>
      </c>
      <c r="D177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7" t="str">
        <f>IFERROR(INDEX(Структура_ассортимента[Product group],MATCH(Товары[[#This Row],[SubGroup]],Структура_ассортимента[Subgroup],0)),"")</f>
        <v>WSS_C</v>
      </c>
      <c r="G177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3311</v>
      </c>
      <c r="O1770" s="37" t="s">
        <v>7738</v>
      </c>
      <c r="P1770" s="37" t="s">
        <v>7739</v>
      </c>
      <c r="Q1770" s="39" t="s">
        <v>3416</v>
      </c>
      <c r="R1770" s="34" t="s">
        <v>3407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3410</v>
      </c>
      <c r="X1770" s="34" t="s">
        <v>3446</v>
      </c>
      <c r="Y1770" s="34" t="s">
        <v>3409</v>
      </c>
      <c r="Z1770" s="34">
        <v>6</v>
      </c>
      <c r="AA1770" s="34" t="s">
        <v>7740</v>
      </c>
      <c r="AB1770" s="34" t="s">
        <v>7740</v>
      </c>
      <c r="AC1770" s="34" t="s">
        <v>5500</v>
      </c>
      <c r="AD1770" s="34" t="s">
        <v>5500</v>
      </c>
      <c r="AE1770" s="34" t="s">
        <v>3560</v>
      </c>
      <c r="AF1770" s="34" t="s">
        <v>3443</v>
      </c>
      <c r="AG1770" s="34" t="s">
        <v>4642</v>
      </c>
      <c r="AH1770" s="34" t="s">
        <v>7712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7" t="str">
        <f>IFERROR(INDEX(Структура_ассортимента[SuperCategory],MATCH(Товары[[#This Row],[SubGroup]],Структура_ассортимента[Subgroup],0)),"")</f>
        <v>W</v>
      </c>
      <c r="D177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7" t="str">
        <f>IFERROR(INDEX(Структура_ассортимента[Product group],MATCH(Товары[[#This Row],[SubGroup]],Структура_ассортимента[Subgroup],0)),"")</f>
        <v>WSS_C</v>
      </c>
      <c r="G177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3312</v>
      </c>
      <c r="O1771" s="37" t="s">
        <v>7741</v>
      </c>
      <c r="P1771" s="37" t="s">
        <v>7742</v>
      </c>
      <c r="Q1771" s="39" t="s">
        <v>3416</v>
      </c>
      <c r="R1771" s="34" t="s">
        <v>3407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3410</v>
      </c>
      <c r="X1771" s="34" t="s">
        <v>3446</v>
      </c>
      <c r="Y1771" s="34" t="s">
        <v>3409</v>
      </c>
      <c r="Z1771" s="34">
        <v>10</v>
      </c>
      <c r="AA1771" s="34" t="s">
        <v>6338</v>
      </c>
      <c r="AB1771" s="34" t="s">
        <v>6338</v>
      </c>
      <c r="AC1771" s="34" t="s">
        <v>3647</v>
      </c>
      <c r="AD1771" s="34" t="s">
        <v>3647</v>
      </c>
      <c r="AE1771" s="34" t="s">
        <v>3560</v>
      </c>
      <c r="AF1771" s="34" t="s">
        <v>3443</v>
      </c>
      <c r="AG1771" s="34" t="s">
        <v>4101</v>
      </c>
      <c r="AH1771" s="34" t="s">
        <v>5501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7" t="str">
        <f>IFERROR(INDEX(Структура_ассортимента[SuperCategory],MATCH(Товары[[#This Row],[SubGroup]],Структура_ассортимента[Subgroup],0)),"")</f>
        <v>W</v>
      </c>
      <c r="D177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7" t="str">
        <f>IFERROR(INDEX(Структура_ассортимента[Product group],MATCH(Товары[[#This Row],[SubGroup]],Структура_ассортимента[Subgroup],0)),"")</f>
        <v>WSS_C</v>
      </c>
      <c r="G177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3313</v>
      </c>
      <c r="O1772" s="37" t="s">
        <v>7743</v>
      </c>
      <c r="P1772" s="37" t="s">
        <v>7744</v>
      </c>
      <c r="Q1772" s="39" t="s">
        <v>3416</v>
      </c>
      <c r="R1772" s="34" t="s">
        <v>3407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3410</v>
      </c>
      <c r="X1772" s="34" t="s">
        <v>3446</v>
      </c>
      <c r="Y1772" s="34" t="s">
        <v>3409</v>
      </c>
      <c r="Z1772" s="34">
        <v>6</v>
      </c>
      <c r="AA1772" s="34" t="s">
        <v>3543</v>
      </c>
      <c r="AB1772" s="34" t="s">
        <v>3543</v>
      </c>
      <c r="AC1772" s="34" t="s">
        <v>3520</v>
      </c>
      <c r="AD1772" s="34" t="s">
        <v>3520</v>
      </c>
      <c r="AE1772" s="34" t="s">
        <v>3457</v>
      </c>
      <c r="AF1772" s="34" t="s">
        <v>4258</v>
      </c>
      <c r="AG1772" s="34" t="s">
        <v>3539</v>
      </c>
      <c r="AH1772" s="34" t="s">
        <v>7745</v>
      </c>
      <c r="AI1772" s="34" t="s">
        <v>3668</v>
      </c>
      <c r="AJ1772" s="34" t="s">
        <v>3822</v>
      </c>
      <c r="AK1772" s="34" t="s">
        <v>3668</v>
      </c>
      <c r="AL1772" s="34" t="s">
        <v>5819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7" t="str">
        <f>IFERROR(INDEX(Структура_ассортимента[SuperCategory],MATCH(Товары[[#This Row],[SubGroup]],Структура_ассортимента[Subgroup],0)),"")</f>
        <v>W</v>
      </c>
      <c r="D177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7" t="str">
        <f>IFERROR(INDEX(Структура_ассортимента[Product group],MATCH(Товары[[#This Row],[SubGroup]],Структура_ассортимента[Subgroup],0)),"")</f>
        <v>WSS_C</v>
      </c>
      <c r="G177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3314</v>
      </c>
      <c r="Q1773" s="39" t="s">
        <v>3416</v>
      </c>
      <c r="R1773" s="34" t="s">
        <v>3407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3410</v>
      </c>
      <c r="X1773" s="34" t="s">
        <v>3446</v>
      </c>
      <c r="Y1773" s="34" t="s">
        <v>3409</v>
      </c>
      <c r="Z1773" s="34">
        <v>10</v>
      </c>
      <c r="AA1773" s="34" t="s">
        <v>6383</v>
      </c>
      <c r="AB1773" s="34" t="s">
        <v>6383</v>
      </c>
      <c r="AC1773" s="34" t="s">
        <v>3651</v>
      </c>
      <c r="AD1773" s="34" t="s">
        <v>3651</v>
      </c>
      <c r="AE1773" s="34" t="s">
        <v>3560</v>
      </c>
      <c r="AF1773" s="34" t="s">
        <v>3443</v>
      </c>
      <c r="AG1773" s="34" t="s">
        <v>5919</v>
      </c>
      <c r="AH1773" s="34" t="s">
        <v>7746</v>
      </c>
      <c r="AL1773" s="34" t="s">
        <v>6503</v>
      </c>
      <c r="AM1773" s="34" t="s">
        <v>7962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7" t="str">
        <f>IFERROR(INDEX(Структура_ассортимента[SuperCategory],MATCH(Товары[[#This Row],[SubGroup]],Структура_ассортимента[Subgroup],0)),"")</f>
        <v>W</v>
      </c>
      <c r="D177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7" t="str">
        <f>IFERROR(INDEX(Структура_ассортимента[Product group],MATCH(Товары[[#This Row],[SubGroup]],Структура_ассортимента[Subgroup],0)),"")</f>
        <v>WSS_C</v>
      </c>
      <c r="G177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3315</v>
      </c>
      <c r="Q1774" s="39" t="s">
        <v>3416</v>
      </c>
      <c r="R1774" s="34" t="s">
        <v>3407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3410</v>
      </c>
      <c r="X1774" s="34" t="s">
        <v>3446</v>
      </c>
      <c r="Y1774" s="34" t="s">
        <v>3409</v>
      </c>
      <c r="Z1774" s="34">
        <v>10</v>
      </c>
      <c r="AA1774" s="34" t="s">
        <v>5496</v>
      </c>
      <c r="AB1774" s="34" t="s">
        <v>3647</v>
      </c>
      <c r="AC1774" s="34" t="s">
        <v>3664</v>
      </c>
      <c r="AD1774" s="34" t="s">
        <v>3664</v>
      </c>
      <c r="AE1774" s="34" t="s">
        <v>3560</v>
      </c>
      <c r="AF1774" s="34" t="s">
        <v>3443</v>
      </c>
      <c r="AG1774" s="34" t="s">
        <v>4085</v>
      </c>
      <c r="AH1774" s="34" t="s">
        <v>7747</v>
      </c>
      <c r="AL1774" s="34" t="s">
        <v>5523</v>
      </c>
      <c r="AM1774" s="34" t="s">
        <v>7962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7" t="str">
        <f>IFERROR(INDEX(Структура_ассортимента[SuperCategory],MATCH(Товары[[#This Row],[SubGroup]],Структура_ассортимента[Subgroup],0)),"")</f>
        <v>W</v>
      </c>
      <c r="D177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7" t="str">
        <f>IFERROR(INDEX(Структура_ассортимента[Product group],MATCH(Товары[[#This Row],[SubGroup]],Структура_ассортимента[Subgroup],0)),"")</f>
        <v>WSS_C</v>
      </c>
      <c r="G177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3316</v>
      </c>
      <c r="Q1775" s="39" t="s">
        <v>3416</v>
      </c>
      <c r="R1775" s="34" t="s">
        <v>3407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3410</v>
      </c>
      <c r="X1775" s="34" t="s">
        <v>3446</v>
      </c>
      <c r="Y1775" s="34" t="s">
        <v>3409</v>
      </c>
      <c r="Z1775" s="34">
        <v>10</v>
      </c>
      <c r="AA1775" s="34" t="s">
        <v>5496</v>
      </c>
      <c r="AB1775" s="34" t="s">
        <v>6522</v>
      </c>
      <c r="AC1775" s="34" t="s">
        <v>5755</v>
      </c>
      <c r="AD1775" s="34" t="s">
        <v>5755</v>
      </c>
      <c r="AE1775" s="34" t="s">
        <v>3560</v>
      </c>
      <c r="AF1775" s="34" t="s">
        <v>3443</v>
      </c>
      <c r="AG1775" s="34" t="s">
        <v>3545</v>
      </c>
      <c r="AH1775" s="34" t="s">
        <v>3665</v>
      </c>
      <c r="AI1775" s="34" t="s">
        <v>3791</v>
      </c>
      <c r="AJ1775" s="34" t="s">
        <v>4273</v>
      </c>
      <c r="AK1775" s="34" t="s">
        <v>6439</v>
      </c>
      <c r="AL1775" s="34">
        <v>1320</v>
      </c>
      <c r="AM1775" s="34" t="s">
        <v>7962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7" t="str">
        <f>IFERROR(INDEX(Структура_ассортимента[SuperCategory],MATCH(Товары[[#This Row],[SubGroup]],Структура_ассортимента[Subgroup],0)),"")</f>
        <v>W</v>
      </c>
      <c r="D177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7" t="str">
        <f>IFERROR(INDEX(Структура_ассортимента[Product group],MATCH(Товары[[#This Row],[SubGroup]],Структура_ассортимента[Subgroup],0)),"")</f>
        <v>WSS_C</v>
      </c>
      <c r="G177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3317</v>
      </c>
      <c r="O1776" s="37" t="s">
        <v>7748</v>
      </c>
      <c r="P1776" s="37" t="s">
        <v>7749</v>
      </c>
      <c r="Q1776" s="39" t="s">
        <v>3416</v>
      </c>
      <c r="R1776" s="34" t="s">
        <v>3407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3410</v>
      </c>
      <c r="X1776" s="34" t="s">
        <v>3446</v>
      </c>
      <c r="Y1776" s="34" t="s">
        <v>3409</v>
      </c>
      <c r="Z1776" s="34">
        <v>10</v>
      </c>
      <c r="AA1776" s="34" t="s">
        <v>5496</v>
      </c>
      <c r="AB1776" s="34" t="s">
        <v>5496</v>
      </c>
      <c r="AC1776" s="34" t="s">
        <v>5496</v>
      </c>
      <c r="AD1776" s="34" t="s">
        <v>5496</v>
      </c>
      <c r="AE1776" s="34" t="s">
        <v>3560</v>
      </c>
      <c r="AF1776" s="34" t="s">
        <v>3443</v>
      </c>
      <c r="AG1776" s="34" t="s">
        <v>3545</v>
      </c>
      <c r="AH1776" s="34" t="s">
        <v>3665</v>
      </c>
      <c r="AI1776" s="34" t="s">
        <v>3791</v>
      </c>
      <c r="AJ1776" s="34" t="s">
        <v>4273</v>
      </c>
      <c r="AK1776" s="34" t="s">
        <v>6439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7" t="str">
        <f>IFERROR(INDEX(Структура_ассортимента[SuperCategory],MATCH(Товары[[#This Row],[SubGroup]],Структура_ассортимента[Subgroup],0)),"")</f>
        <v>W</v>
      </c>
      <c r="D177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7" t="str">
        <f>IFERROR(INDEX(Структура_ассортимента[Product group],MATCH(Товары[[#This Row],[SubGroup]],Структура_ассортимента[Subgroup],0)),"")</f>
        <v>WSS_C</v>
      </c>
      <c r="G177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3318</v>
      </c>
      <c r="O1777" s="37" t="s">
        <v>7750</v>
      </c>
      <c r="P1777" s="37" t="s">
        <v>7751</v>
      </c>
      <c r="Q1777" s="39" t="s">
        <v>3416</v>
      </c>
      <c r="R1777" s="34" t="s">
        <v>3407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3410</v>
      </c>
      <c r="X1777" s="34" t="s">
        <v>3446</v>
      </c>
      <c r="Y1777" s="34" t="s">
        <v>3409</v>
      </c>
      <c r="Z1777" s="34">
        <v>10</v>
      </c>
      <c r="AA1777" s="34" t="s">
        <v>6397</v>
      </c>
      <c r="AB1777" s="34" t="s">
        <v>3584</v>
      </c>
      <c r="AC1777" s="34" t="s">
        <v>5495</v>
      </c>
      <c r="AD1777" s="34" t="s">
        <v>5495</v>
      </c>
      <c r="AE1777" s="34" t="s">
        <v>3560</v>
      </c>
      <c r="AF1777" s="34" t="s">
        <v>3443</v>
      </c>
      <c r="AG1777" s="34" t="s">
        <v>3539</v>
      </c>
      <c r="AH1777" s="34" t="s">
        <v>6519</v>
      </c>
      <c r="AL1777" s="34" t="s">
        <v>6503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7" t="str">
        <f>IFERROR(INDEX(Структура_ассортимента[SuperCategory],MATCH(Товары[[#This Row],[SubGroup]],Структура_ассортимента[Subgroup],0)),"")</f>
        <v>W</v>
      </c>
      <c r="D177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7" t="str">
        <f>IFERROR(INDEX(Структура_ассортимента[Product group],MATCH(Товары[[#This Row],[SubGroup]],Структура_ассортимента[Subgroup],0)),"")</f>
        <v>WSS_C</v>
      </c>
      <c r="G177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3319</v>
      </c>
      <c r="O1778" s="37" t="s">
        <v>7752</v>
      </c>
      <c r="P1778" s="37" t="s">
        <v>7753</v>
      </c>
      <c r="Q1778" s="39" t="s">
        <v>3416</v>
      </c>
      <c r="R1778" s="34" t="s">
        <v>3407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3410</v>
      </c>
      <c r="X1778" s="34" t="s">
        <v>3446</v>
      </c>
      <c r="Y1778" s="34" t="s">
        <v>3409</v>
      </c>
      <c r="Z1778" s="34">
        <v>10</v>
      </c>
      <c r="AA1778" s="34" t="s">
        <v>6436</v>
      </c>
      <c r="AB1778" s="34" t="s">
        <v>6436</v>
      </c>
      <c r="AC1778" s="34" t="s">
        <v>3643</v>
      </c>
      <c r="AD1778" s="34" t="s">
        <v>3643</v>
      </c>
      <c r="AE1778" s="34" t="s">
        <v>4660</v>
      </c>
      <c r="AF1778" s="34" t="s">
        <v>5480</v>
      </c>
      <c r="AG1778" s="34" t="s">
        <v>4218</v>
      </c>
      <c r="AH1778" s="34" t="s">
        <v>7754</v>
      </c>
      <c r="AI1778" s="34" t="s">
        <v>5015</v>
      </c>
      <c r="AJ1778" s="34" t="s">
        <v>3675</v>
      </c>
      <c r="AK1778" s="34" t="s">
        <v>3675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7" t="str">
        <f>IFERROR(INDEX(Структура_ассортимента[SuperCategory],MATCH(Товары[[#This Row],[SubGroup]],Структура_ассортимента[Subgroup],0)),"")</f>
        <v>W</v>
      </c>
      <c r="D177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7" t="str">
        <f>IFERROR(INDEX(Структура_ассортимента[Product group],MATCH(Товары[[#This Row],[SubGroup]],Структура_ассортимента[Subgroup],0)),"")</f>
        <v>WSS_C</v>
      </c>
      <c r="G177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3320</v>
      </c>
      <c r="O1779" s="37" t="s">
        <v>7748</v>
      </c>
      <c r="P1779" s="37" t="s">
        <v>7755</v>
      </c>
      <c r="Q1779" s="39" t="s">
        <v>3416</v>
      </c>
      <c r="R1779" s="34" t="s">
        <v>3407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3410</v>
      </c>
      <c r="X1779" s="34" t="s">
        <v>3446</v>
      </c>
      <c r="Y1779" s="34" t="s">
        <v>3409</v>
      </c>
      <c r="Z1779" s="34">
        <v>10</v>
      </c>
      <c r="AA1779" s="34" t="s">
        <v>6423</v>
      </c>
      <c r="AB1779" s="34" t="s">
        <v>6383</v>
      </c>
      <c r="AC1779" s="34" t="s">
        <v>6438</v>
      </c>
      <c r="AD1779" s="34" t="s">
        <v>6438</v>
      </c>
      <c r="AE1779" s="34" t="s">
        <v>4660</v>
      </c>
      <c r="AF1779" s="34" t="s">
        <v>5480</v>
      </c>
      <c r="AG1779" s="34" t="s">
        <v>3545</v>
      </c>
      <c r="AH1779" s="34" t="s">
        <v>7700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7" t="str">
        <f>IFERROR(INDEX(Структура_ассортимента[SuperCategory],MATCH(Товары[[#This Row],[SubGroup]],Структура_ассортимента[Subgroup],0)),"")</f>
        <v>W</v>
      </c>
      <c r="D178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7" t="str">
        <f>IFERROR(INDEX(Структура_ассортимента[Product group],MATCH(Товары[[#This Row],[SubGroup]],Структура_ассортимента[Subgroup],0)),"")</f>
        <v>WSS_C</v>
      </c>
      <c r="G178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3321</v>
      </c>
      <c r="Q1780" s="39" t="s">
        <v>3416</v>
      </c>
      <c r="R1780" s="34" t="s">
        <v>3407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3410</v>
      </c>
      <c r="X1780" s="34" t="s">
        <v>3446</v>
      </c>
      <c r="Y1780" s="34" t="s">
        <v>3409</v>
      </c>
      <c r="Z1780" s="34">
        <v>10</v>
      </c>
      <c r="AA1780" s="34" t="s">
        <v>6423</v>
      </c>
      <c r="AB1780" s="34" t="s">
        <v>6423</v>
      </c>
      <c r="AC1780" s="34" t="s">
        <v>6438</v>
      </c>
      <c r="AD1780" s="34" t="s">
        <v>6438</v>
      </c>
      <c r="AE1780" s="34" t="s">
        <v>3560</v>
      </c>
      <c r="AF1780" s="34" t="s">
        <v>3443</v>
      </c>
      <c r="AG1780" s="34" t="s">
        <v>3652</v>
      </c>
      <c r="AH1780" s="34" t="s">
        <v>3653</v>
      </c>
      <c r="AL1780" s="34">
        <v>2160</v>
      </c>
      <c r="AM1780" s="34" t="s">
        <v>7962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7" t="str">
        <f>IFERROR(INDEX(Структура_ассортимента[SuperCategory],MATCH(Товары[[#This Row],[SubGroup]],Структура_ассортимента[Subgroup],0)),"")</f>
        <v>W</v>
      </c>
      <c r="D178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7" t="str">
        <f>IFERROR(INDEX(Структура_ассортимента[Product group],MATCH(Товары[[#This Row],[SubGroup]],Структура_ассортимента[Subgroup],0)),"")</f>
        <v>WSS_C</v>
      </c>
      <c r="G178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3322</v>
      </c>
      <c r="O1781" s="37" t="s">
        <v>7756</v>
      </c>
      <c r="P1781" s="37" t="s">
        <v>7757</v>
      </c>
      <c r="Q1781" s="39" t="s">
        <v>3416</v>
      </c>
      <c r="R1781" s="34" t="s">
        <v>3407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3410</v>
      </c>
      <c r="X1781" s="34" t="s">
        <v>3446</v>
      </c>
      <c r="Y1781" s="34" t="s">
        <v>3409</v>
      </c>
      <c r="Z1781" s="34">
        <v>10</v>
      </c>
      <c r="AA1781" s="34" t="s">
        <v>3647</v>
      </c>
      <c r="AB1781" s="34" t="s">
        <v>6322</v>
      </c>
      <c r="AC1781" s="34" t="s">
        <v>6423</v>
      </c>
      <c r="AD1781" s="34" t="s">
        <v>3678</v>
      </c>
      <c r="AE1781" s="34" t="s">
        <v>4660</v>
      </c>
      <c r="AF1781" s="34" t="s">
        <v>5480</v>
      </c>
      <c r="AG1781" s="34" t="s">
        <v>3545</v>
      </c>
      <c r="AH1781" s="34" t="s">
        <v>7700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7" t="str">
        <f>IFERROR(INDEX(Структура_ассортимента[SuperCategory],MATCH(Товары[[#This Row],[SubGroup]],Структура_ассортимента[Subgroup],0)),"")</f>
        <v>W</v>
      </c>
      <c r="D178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7" t="str">
        <f>IFERROR(INDEX(Структура_ассортимента[Product group],MATCH(Товары[[#This Row],[SubGroup]],Структура_ассортимента[Subgroup],0)),"")</f>
        <v>WSS_C</v>
      </c>
      <c r="G178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3323</v>
      </c>
      <c r="Q1782" s="39" t="s">
        <v>3416</v>
      </c>
      <c r="R1782" s="34" t="s">
        <v>3407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3410</v>
      </c>
      <c r="X1782" s="34" t="s">
        <v>3446</v>
      </c>
      <c r="Y1782" s="34" t="s">
        <v>3409</v>
      </c>
      <c r="Z1782" s="34">
        <v>10</v>
      </c>
      <c r="AA1782" s="34" t="s">
        <v>6322</v>
      </c>
      <c r="AB1782" s="34" t="s">
        <v>6322</v>
      </c>
      <c r="AC1782" s="34" t="s">
        <v>6306</v>
      </c>
      <c r="AD1782" s="34" t="s">
        <v>3651</v>
      </c>
      <c r="AE1782" s="34" t="s">
        <v>3560</v>
      </c>
      <c r="AF1782" s="34" t="s">
        <v>3443</v>
      </c>
      <c r="AG1782" s="34" t="s">
        <v>3671</v>
      </c>
      <c r="AH1782" s="34" t="s">
        <v>3672</v>
      </c>
      <c r="AL1782" s="34">
        <v>2160</v>
      </c>
      <c r="AM1782" s="34" t="s">
        <v>7962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7" t="str">
        <f>IFERROR(INDEX(Структура_ассортимента[SuperCategory],MATCH(Товары[[#This Row],[SubGroup]],Структура_ассортимента[Subgroup],0)),"")</f>
        <v>W</v>
      </c>
      <c r="D178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7" t="str">
        <f>IFERROR(INDEX(Структура_ассортимента[Product group],MATCH(Товары[[#This Row],[SubGroup]],Структура_ассортимента[Subgroup],0)),"")</f>
        <v>WSS_C</v>
      </c>
      <c r="G178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3324</v>
      </c>
      <c r="Q1783" s="39" t="s">
        <v>3416</v>
      </c>
      <c r="R1783" s="34" t="s">
        <v>3407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3410</v>
      </c>
      <c r="X1783" s="34" t="s">
        <v>3446</v>
      </c>
      <c r="Y1783" s="34" t="s">
        <v>3409</v>
      </c>
      <c r="Z1783" s="34">
        <v>10</v>
      </c>
      <c r="AA1783" s="34" t="s">
        <v>3586</v>
      </c>
      <c r="AB1783" s="34" t="s">
        <v>3584</v>
      </c>
      <c r="AC1783" s="34" t="s">
        <v>3521</v>
      </c>
      <c r="AD1783" s="34" t="s">
        <v>3643</v>
      </c>
      <c r="AE1783" s="34" t="s">
        <v>3560</v>
      </c>
      <c r="AF1783" s="34" t="s">
        <v>3443</v>
      </c>
      <c r="AG1783" s="34" t="s">
        <v>4330</v>
      </c>
      <c r="AH1783" s="34" t="s">
        <v>7758</v>
      </c>
      <c r="AL1783" s="34">
        <v>1080</v>
      </c>
      <c r="AM1783" s="34" t="s">
        <v>7962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7" t="str">
        <f>IFERROR(INDEX(Структура_ассортимента[SuperCategory],MATCH(Товары[[#This Row],[SubGroup]],Структура_ассортимента[Subgroup],0)),"")</f>
        <v>W</v>
      </c>
      <c r="D178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7" t="str">
        <f>IFERROR(INDEX(Структура_ассортимента[Product group],MATCH(Товары[[#This Row],[SubGroup]],Структура_ассортимента[Subgroup],0)),"")</f>
        <v>WSS_C</v>
      </c>
      <c r="G178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3325</v>
      </c>
      <c r="O1784" s="37" t="s">
        <v>7748</v>
      </c>
      <c r="P1784" s="37" t="s">
        <v>7759</v>
      </c>
      <c r="Q1784" s="39" t="s">
        <v>3416</v>
      </c>
      <c r="R1784" s="34" t="s">
        <v>3407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3410</v>
      </c>
      <c r="X1784" s="34" t="s">
        <v>3446</v>
      </c>
      <c r="Y1784" s="34" t="s">
        <v>3409</v>
      </c>
      <c r="Z1784" s="34">
        <v>10</v>
      </c>
      <c r="AA1784" s="34" t="s">
        <v>3586</v>
      </c>
      <c r="AB1784" s="34" t="s">
        <v>3528</v>
      </c>
      <c r="AC1784" s="34" t="s">
        <v>3521</v>
      </c>
      <c r="AD1784" s="34" t="s">
        <v>3520</v>
      </c>
      <c r="AE1784" s="34" t="s">
        <v>3560</v>
      </c>
      <c r="AF1784" s="34" t="s">
        <v>3443</v>
      </c>
      <c r="AG1784" s="34" t="s">
        <v>4330</v>
      </c>
      <c r="AH1784" s="34" t="s">
        <v>7758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7" t="str">
        <f>IFERROR(INDEX(Структура_ассортимента[SuperCategory],MATCH(Товары[[#This Row],[SubGroup]],Структура_ассортимента[Subgroup],0)),"")</f>
        <v>W</v>
      </c>
      <c r="D178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7" t="str">
        <f>IFERROR(INDEX(Структура_ассортимента[Product group],MATCH(Товары[[#This Row],[SubGroup]],Структура_ассортимента[Subgroup],0)),"")</f>
        <v>WSS_C</v>
      </c>
      <c r="G178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3326</v>
      </c>
      <c r="O1785" s="37" t="s">
        <v>7760</v>
      </c>
      <c r="P1785" s="37" t="s">
        <v>7761</v>
      </c>
      <c r="Q1785" s="39" t="s">
        <v>3416</v>
      </c>
      <c r="R1785" s="34" t="s">
        <v>3407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3410</v>
      </c>
      <c r="X1785" s="34" t="s">
        <v>3446</v>
      </c>
      <c r="Y1785" s="34" t="s">
        <v>3409</v>
      </c>
      <c r="Z1785" s="34">
        <v>10</v>
      </c>
      <c r="AA1785" s="34" t="s">
        <v>6466</v>
      </c>
      <c r="AB1785" s="34" t="s">
        <v>6466</v>
      </c>
      <c r="AC1785" s="34" t="s">
        <v>6397</v>
      </c>
      <c r="AD1785" s="34" t="s">
        <v>6397</v>
      </c>
      <c r="AE1785" s="34" t="s">
        <v>5205</v>
      </c>
      <c r="AF1785" s="34" t="s">
        <v>3443</v>
      </c>
      <c r="AG1785" s="34" t="s">
        <v>4335</v>
      </c>
      <c r="AH1785" s="34" t="s">
        <v>7762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7" t="str">
        <f>IFERROR(INDEX(Структура_ассортимента[SuperCategory],MATCH(Товары[[#This Row],[SubGroup]],Структура_ассортимента[Subgroup],0)),"")</f>
        <v>W</v>
      </c>
      <c r="D178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7" t="str">
        <f>IFERROR(INDEX(Структура_ассортимента[Product group],MATCH(Товары[[#This Row],[SubGroup]],Структура_ассортимента[Subgroup],0)),"")</f>
        <v>WSS_C</v>
      </c>
      <c r="G178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3327</v>
      </c>
      <c r="O1786" s="37" t="s">
        <v>7763</v>
      </c>
      <c r="P1786" s="37" t="s">
        <v>7764</v>
      </c>
      <c r="Q1786" s="39" t="s">
        <v>3416</v>
      </c>
      <c r="R1786" s="34" t="s">
        <v>3407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3410</v>
      </c>
      <c r="X1786" s="34" t="s">
        <v>3446</v>
      </c>
      <c r="Y1786" s="34" t="s">
        <v>3409</v>
      </c>
      <c r="Z1786" s="34">
        <v>10</v>
      </c>
      <c r="AA1786" s="34" t="s">
        <v>6319</v>
      </c>
      <c r="AB1786" s="34" t="s">
        <v>6319</v>
      </c>
      <c r="AC1786" s="34" t="s">
        <v>3520</v>
      </c>
      <c r="AD1786" s="34" t="s">
        <v>3520</v>
      </c>
      <c r="AE1786" s="34" t="s">
        <v>3560</v>
      </c>
      <c r="AF1786" s="34" t="s">
        <v>3443</v>
      </c>
      <c r="AG1786" s="34" t="s">
        <v>4642</v>
      </c>
      <c r="AH1786" s="34" t="s">
        <v>7712</v>
      </c>
      <c r="AI1786" s="34" t="s">
        <v>4992</v>
      </c>
      <c r="AJ1786" s="34" t="s">
        <v>4127</v>
      </c>
      <c r="AK1786" s="34" t="s">
        <v>5916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7" t="str">
        <f>IFERROR(INDEX(Структура_ассортимента[SuperCategory],MATCH(Товары[[#This Row],[SubGroup]],Структура_ассортимента[Subgroup],0)),"")</f>
        <v>W</v>
      </c>
      <c r="D178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7" t="str">
        <f>IFERROR(INDEX(Структура_ассортимента[Product group],MATCH(Товары[[#This Row],[SubGroup]],Структура_ассортимента[Subgroup],0)),"")</f>
        <v>WSS_C</v>
      </c>
      <c r="G178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3328</v>
      </c>
      <c r="O1787" s="37" t="s">
        <v>7765</v>
      </c>
      <c r="P1787" s="37" t="s">
        <v>7766</v>
      </c>
      <c r="Q1787" s="39" t="s">
        <v>3416</v>
      </c>
      <c r="R1787" s="34" t="s">
        <v>3407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3410</v>
      </c>
      <c r="X1787" s="34" t="s">
        <v>3446</v>
      </c>
      <c r="Y1787" s="34" t="s">
        <v>3409</v>
      </c>
      <c r="Z1787" s="34">
        <v>10</v>
      </c>
      <c r="AA1787" s="34" t="s">
        <v>6397</v>
      </c>
      <c r="AB1787" s="34" t="s">
        <v>3643</v>
      </c>
      <c r="AC1787" s="34" t="s">
        <v>5518</v>
      </c>
      <c r="AD1787" s="34" t="s">
        <v>5496</v>
      </c>
      <c r="AE1787" s="34" t="s">
        <v>3560</v>
      </c>
      <c r="AF1787" s="34" t="s">
        <v>3443</v>
      </c>
      <c r="AG1787" s="34" t="s">
        <v>4330</v>
      </c>
      <c r="AH1787" s="34" t="s">
        <v>7758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7" t="str">
        <f>IFERROR(INDEX(Структура_ассортимента[SuperCategory],MATCH(Товары[[#This Row],[SubGroup]],Структура_ассортимента[Subgroup],0)),"")</f>
        <v>W</v>
      </c>
      <c r="D178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7" t="str">
        <f>IFERROR(INDEX(Структура_ассортимента[Product group],MATCH(Товары[[#This Row],[SubGroup]],Структура_ассортимента[Subgroup],0)),"")</f>
        <v>WSS_C</v>
      </c>
      <c r="G178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3329</v>
      </c>
      <c r="O1788" s="37" t="s">
        <v>7767</v>
      </c>
      <c r="P1788" s="37" t="s">
        <v>7768</v>
      </c>
      <c r="Q1788" s="39" t="s">
        <v>3416</v>
      </c>
      <c r="R1788" s="34" t="s">
        <v>3407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3410</v>
      </c>
      <c r="X1788" s="34" t="s">
        <v>3446</v>
      </c>
      <c r="Y1788" s="34" t="s">
        <v>3409</v>
      </c>
      <c r="Z1788" s="34">
        <v>10</v>
      </c>
      <c r="AA1788" s="34" t="s">
        <v>6397</v>
      </c>
      <c r="AB1788" s="34" t="s">
        <v>5495</v>
      </c>
      <c r="AC1788" s="34" t="s">
        <v>5518</v>
      </c>
      <c r="AD1788" s="34" t="s">
        <v>5470</v>
      </c>
      <c r="AE1788" s="34" t="s">
        <v>3560</v>
      </c>
      <c r="AF1788" s="34" t="s">
        <v>3443</v>
      </c>
      <c r="AG1788" s="34" t="s">
        <v>4330</v>
      </c>
      <c r="AH1788" s="34" t="s">
        <v>7758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7" t="str">
        <f>IFERROR(INDEX(Структура_ассортимента[SuperCategory],MATCH(Товары[[#This Row],[SubGroup]],Структура_ассортимента[Subgroup],0)),"")</f>
        <v>W</v>
      </c>
      <c r="D178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7" t="str">
        <f>IFERROR(INDEX(Структура_ассортимента[Product group],MATCH(Товары[[#This Row],[SubGroup]],Структура_ассортимента[Subgroup],0)),"")</f>
        <v>WSS_C</v>
      </c>
      <c r="G178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3330</v>
      </c>
      <c r="Q1789" s="39" t="s">
        <v>3416</v>
      </c>
      <c r="R1789" s="34" t="s">
        <v>3407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3410</v>
      </c>
      <c r="X1789" s="34" t="s">
        <v>3446</v>
      </c>
      <c r="Y1789" s="34" t="s">
        <v>3409</v>
      </c>
      <c r="Z1789" s="34">
        <v>10</v>
      </c>
      <c r="AA1789" s="34" t="s">
        <v>6397</v>
      </c>
      <c r="AB1789" s="34" t="s">
        <v>3656</v>
      </c>
      <c r="AC1789" s="34" t="s">
        <v>5518</v>
      </c>
      <c r="AD1789" s="34" t="s">
        <v>6436</v>
      </c>
      <c r="AE1789" s="34" t="s">
        <v>3560</v>
      </c>
      <c r="AF1789" s="34" t="s">
        <v>3443</v>
      </c>
      <c r="AG1789" s="34" t="s">
        <v>4330</v>
      </c>
      <c r="AH1789" s="34" t="s">
        <v>7758</v>
      </c>
      <c r="AL1789" s="34">
        <v>1080</v>
      </c>
      <c r="AM1789" s="34" t="s">
        <v>7962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7" t="str">
        <f>IFERROR(INDEX(Структура_ассортимента[SuperCategory],MATCH(Товары[[#This Row],[SubGroup]],Структура_ассортимента[Subgroup],0)),"")</f>
        <v>W</v>
      </c>
      <c r="D179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7" t="str">
        <f>IFERROR(INDEX(Структура_ассортимента[Product group],MATCH(Товары[[#This Row],[SubGroup]],Структура_ассортимента[Subgroup],0)),"")</f>
        <v>WSS_C</v>
      </c>
      <c r="G179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3331</v>
      </c>
      <c r="Q1790" s="39" t="s">
        <v>3416</v>
      </c>
      <c r="R1790" s="34" t="s">
        <v>3407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3803</v>
      </c>
      <c r="X1790" s="34" t="s">
        <v>3774</v>
      </c>
      <c r="Y1790" s="34" t="s">
        <v>3409</v>
      </c>
      <c r="Z1790" s="34">
        <v>1</v>
      </c>
      <c r="AA1790" s="34" t="s">
        <v>4310</v>
      </c>
      <c r="AB1790" s="34" t="s">
        <v>4310</v>
      </c>
      <c r="AC1790" s="34" t="s">
        <v>4925</v>
      </c>
      <c r="AD1790" s="34" t="s">
        <v>4925</v>
      </c>
      <c r="AE1790" s="34" t="s">
        <v>4190</v>
      </c>
      <c r="AF1790" s="34" t="s">
        <v>4190</v>
      </c>
      <c r="AG1790" s="34" t="s">
        <v>3667</v>
      </c>
      <c r="AH1790" s="34" t="s">
        <v>7769</v>
      </c>
      <c r="AL1790" s="34">
        <v>80</v>
      </c>
      <c r="AM1790" s="34" t="s">
        <v>7962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7" t="str">
        <f>IFERROR(INDEX(Структура_ассортимента[SuperCategory],MATCH(Товары[[#This Row],[SubGroup]],Структура_ассортимента[Subgroup],0)),"")</f>
        <v>W</v>
      </c>
      <c r="D179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7" t="str">
        <f>IFERROR(INDEX(Структура_ассортимента[Product group],MATCH(Товары[[#This Row],[SubGroup]],Структура_ассортимента[Subgroup],0)),"")</f>
        <v>WSS_C</v>
      </c>
      <c r="G179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3332</v>
      </c>
      <c r="O1791" s="37" t="s">
        <v>7770</v>
      </c>
      <c r="P1791" s="37" t="s">
        <v>7771</v>
      </c>
      <c r="Q1791" s="39" t="s">
        <v>3416</v>
      </c>
      <c r="R1791" s="34" t="s">
        <v>3407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3417</v>
      </c>
      <c r="X1791" s="34" t="s">
        <v>7772</v>
      </c>
      <c r="Y1791" s="34" t="s">
        <v>3409</v>
      </c>
      <c r="Z1791" s="34">
        <v>3</v>
      </c>
      <c r="AA1791" s="34" t="s">
        <v>7773</v>
      </c>
      <c r="AB1791" s="34" t="s">
        <v>7773</v>
      </c>
      <c r="AC1791" s="34" t="s">
        <v>7774</v>
      </c>
      <c r="AD1791" s="34" t="s">
        <v>7774</v>
      </c>
      <c r="AE1791" s="34" t="s">
        <v>3447</v>
      </c>
      <c r="AF1791" s="34" t="s">
        <v>3447</v>
      </c>
      <c r="AG1791" s="34" t="s">
        <v>4330</v>
      </c>
      <c r="AH1791" s="34" t="s">
        <v>7775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7" t="str">
        <f>IFERROR(INDEX(Структура_ассортимента[SuperCategory],MATCH(Товары[[#This Row],[SubGroup]],Структура_ассортимента[Subgroup],0)),"")</f>
        <v>W</v>
      </c>
      <c r="D179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7" t="str">
        <f>IFERROR(INDEX(Структура_ассортимента[Product group],MATCH(Товары[[#This Row],[SubGroup]],Структура_ассортимента[Subgroup],0)),"")</f>
        <v>WSS_C</v>
      </c>
      <c r="G179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3333</v>
      </c>
      <c r="O1792" s="37" t="s">
        <v>7776</v>
      </c>
      <c r="P1792" s="37" t="s">
        <v>7777</v>
      </c>
      <c r="Q1792" s="39" t="s">
        <v>3416</v>
      </c>
      <c r="R1792" s="34" t="s">
        <v>3407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3803</v>
      </c>
      <c r="X1792" s="34" t="s">
        <v>3774</v>
      </c>
      <c r="Y1792" s="34" t="s">
        <v>3409</v>
      </c>
      <c r="Z1792" s="34">
        <v>3</v>
      </c>
      <c r="AA1792" s="34" t="s">
        <v>7778</v>
      </c>
      <c r="AB1792" s="34" t="s">
        <v>7778</v>
      </c>
      <c r="AC1792" s="34" t="s">
        <v>4575</v>
      </c>
      <c r="AD1792" s="34" t="s">
        <v>4575</v>
      </c>
      <c r="AE1792" s="34" t="s">
        <v>4570</v>
      </c>
      <c r="AF1792" s="34" t="s">
        <v>4570</v>
      </c>
      <c r="AG1792" s="34" t="s">
        <v>3621</v>
      </c>
      <c r="AH1792" s="34" t="s">
        <v>7779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7" t="str">
        <f>IFERROR(INDEX(Структура_ассортимента[SuperCategory],MATCH(Товары[[#This Row],[SubGroup]],Структура_ассортимента[Subgroup],0)),"")</f>
        <v>W</v>
      </c>
      <c r="D179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7" t="str">
        <f>IFERROR(INDEX(Структура_ассортимента[Product group],MATCH(Товары[[#This Row],[SubGroup]],Структура_ассортимента[Subgroup],0)),"")</f>
        <v>WSS_C</v>
      </c>
      <c r="G179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3334</v>
      </c>
      <c r="O1793" s="37" t="s">
        <v>7780</v>
      </c>
      <c r="P1793" s="37" t="s">
        <v>7781</v>
      </c>
      <c r="Q1793" s="39" t="s">
        <v>3416</v>
      </c>
      <c r="R1793" s="34" t="s">
        <v>3407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3417</v>
      </c>
      <c r="X1793" s="34" t="s">
        <v>7772</v>
      </c>
      <c r="Y1793" s="34" t="s">
        <v>3409</v>
      </c>
      <c r="Z1793" s="34">
        <v>5</v>
      </c>
      <c r="AA1793" s="34" t="s">
        <v>5524</v>
      </c>
      <c r="AB1793" s="34" t="s">
        <v>5524</v>
      </c>
      <c r="AC1793" s="34" t="s">
        <v>3795</v>
      </c>
      <c r="AD1793" s="34" t="s">
        <v>3795</v>
      </c>
      <c r="AE1793" s="34" t="s">
        <v>4027</v>
      </c>
      <c r="AF1793" s="34" t="s">
        <v>4027</v>
      </c>
      <c r="AG1793" s="34" t="s">
        <v>4098</v>
      </c>
      <c r="AH1793" s="34" t="s">
        <v>6483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7" t="str">
        <f>IFERROR(INDEX(Структура_ассортимента[SuperCategory],MATCH(Товары[[#This Row],[SubGroup]],Структура_ассортимента[Subgroup],0)),"")</f>
        <v>W</v>
      </c>
      <c r="D179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7" t="str">
        <f>IFERROR(INDEX(Структура_ассортимента[Product group],MATCH(Товары[[#This Row],[SubGroup]],Структура_ассортимента[Subgroup],0)),"")</f>
        <v>WSS_C</v>
      </c>
      <c r="G179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3335</v>
      </c>
      <c r="Q1794" s="39" t="s">
        <v>3416</v>
      </c>
      <c r="R1794" s="34" t="s">
        <v>3407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3417</v>
      </c>
      <c r="X1794" s="34" t="s">
        <v>7772</v>
      </c>
      <c r="Y1794" s="34" t="s">
        <v>3409</v>
      </c>
      <c r="Z1794" s="34">
        <v>5</v>
      </c>
      <c r="AA1794" s="34" t="s">
        <v>5524</v>
      </c>
      <c r="AB1794" s="34" t="s">
        <v>5524</v>
      </c>
      <c r="AC1794" s="34" t="s">
        <v>3795</v>
      </c>
      <c r="AD1794" s="34" t="s">
        <v>3795</v>
      </c>
      <c r="AE1794" s="34" t="s">
        <v>4027</v>
      </c>
      <c r="AF1794" s="34" t="s">
        <v>4027</v>
      </c>
      <c r="AG1794" s="34" t="s">
        <v>4098</v>
      </c>
      <c r="AH1794" s="34" t="s">
        <v>6483</v>
      </c>
      <c r="AL1794" s="34">
        <v>400</v>
      </c>
      <c r="AM1794" s="34" t="s">
        <v>7962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7" t="str">
        <f>IFERROR(INDEX(Структура_ассортимента[SuperCategory],MATCH(Товары[[#This Row],[SubGroup]],Структура_ассортимента[Subgroup],0)),"")</f>
        <v>W</v>
      </c>
      <c r="D179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7" t="str">
        <f>IFERROR(INDEX(Структура_ассортимента[Product group],MATCH(Товары[[#This Row],[SubGroup]],Структура_ассортимента[Subgroup],0)),"")</f>
        <v>WSS_C</v>
      </c>
      <c r="G179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3336</v>
      </c>
      <c r="Q1795" s="39" t="s">
        <v>3416</v>
      </c>
      <c r="R1795" s="34" t="s">
        <v>3407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3410</v>
      </c>
      <c r="X1795" s="34" t="s">
        <v>3446</v>
      </c>
      <c r="Y1795" s="34" t="s">
        <v>3409</v>
      </c>
      <c r="Z1795" s="34">
        <v>10</v>
      </c>
      <c r="AA1795" s="34" t="s">
        <v>6461</v>
      </c>
      <c r="AB1795" s="34" t="s">
        <v>6461</v>
      </c>
      <c r="AC1795" s="34" t="s">
        <v>6522</v>
      </c>
      <c r="AD1795" s="34" t="s">
        <v>6522</v>
      </c>
      <c r="AE1795" s="34" t="s">
        <v>3560</v>
      </c>
      <c r="AF1795" s="34" t="s">
        <v>3443</v>
      </c>
      <c r="AG1795" s="34" t="s">
        <v>3798</v>
      </c>
      <c r="AH1795" s="34" t="s">
        <v>6472</v>
      </c>
      <c r="AL1795" s="34">
        <v>1080</v>
      </c>
      <c r="AM1795" s="34" t="s">
        <v>7962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7" t="str">
        <f>IFERROR(INDEX(Структура_ассортимента[SuperCategory],MATCH(Товары[[#This Row],[SubGroup]],Структура_ассортимента[Subgroup],0)),"")</f>
        <v>W</v>
      </c>
      <c r="D179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7" t="str">
        <f>IFERROR(INDEX(Структура_ассортимента[Product group],MATCH(Товары[[#This Row],[SubGroup]],Структура_ассортимента[Subgroup],0)),"")</f>
        <v>WSS_C</v>
      </c>
      <c r="G179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3337</v>
      </c>
      <c r="O1796" s="37" t="s">
        <v>7782</v>
      </c>
      <c r="P1796" s="37" t="s">
        <v>7783</v>
      </c>
      <c r="Q1796" s="39" t="s">
        <v>3416</v>
      </c>
      <c r="R1796" s="34" t="s">
        <v>3407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3410</v>
      </c>
      <c r="X1796" s="34" t="s">
        <v>3446</v>
      </c>
      <c r="Y1796" s="34" t="s">
        <v>3409</v>
      </c>
      <c r="Z1796" s="34">
        <v>10</v>
      </c>
      <c r="AA1796" s="34" t="s">
        <v>6522</v>
      </c>
      <c r="AB1796" s="34" t="s">
        <v>6522</v>
      </c>
      <c r="AC1796" s="34" t="s">
        <v>6385</v>
      </c>
      <c r="AD1796" s="34" t="s">
        <v>6385</v>
      </c>
      <c r="AE1796" s="34" t="s">
        <v>3560</v>
      </c>
      <c r="AF1796" s="34" t="s">
        <v>3443</v>
      </c>
      <c r="AG1796" s="34" t="s">
        <v>3798</v>
      </c>
      <c r="AH1796" s="34" t="s">
        <v>6472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7" t="str">
        <f>IFERROR(INDEX(Структура_ассортимента[SuperCategory],MATCH(Товары[[#This Row],[SubGroup]],Структура_ассортимента[Subgroup],0)),"")</f>
        <v>W</v>
      </c>
      <c r="D179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7" t="str">
        <f>IFERROR(INDEX(Структура_ассортимента[Product group],MATCH(Товары[[#This Row],[SubGroup]],Структура_ассортимента[Subgroup],0)),"")</f>
        <v>WSS_C</v>
      </c>
      <c r="G179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3338</v>
      </c>
      <c r="O1797" s="37" t="s">
        <v>7784</v>
      </c>
      <c r="P1797" s="37" t="s">
        <v>7785</v>
      </c>
      <c r="Q1797" s="39" t="s">
        <v>3416</v>
      </c>
      <c r="R1797" s="34" t="s">
        <v>3407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3410</v>
      </c>
      <c r="X1797" s="34" t="s">
        <v>3446</v>
      </c>
      <c r="Y1797" s="34" t="s">
        <v>3409</v>
      </c>
      <c r="Z1797" s="34">
        <v>10</v>
      </c>
      <c r="AA1797" s="34" t="s">
        <v>3646</v>
      </c>
      <c r="AB1797" s="34" t="s">
        <v>3646</v>
      </c>
      <c r="AC1797" s="34" t="s">
        <v>3643</v>
      </c>
      <c r="AD1797" s="34" t="s">
        <v>3643</v>
      </c>
      <c r="AE1797" s="34" t="s">
        <v>3692</v>
      </c>
      <c r="AF1797" s="34" t="s">
        <v>3443</v>
      </c>
      <c r="AG1797" s="34" t="s">
        <v>4993</v>
      </c>
      <c r="AH1797" s="34" t="s">
        <v>7786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7" t="str">
        <f>IFERROR(INDEX(Структура_ассортимента[SuperCategory],MATCH(Товары[[#This Row],[SubGroup]],Структура_ассортимента[Subgroup],0)),"")</f>
        <v>W</v>
      </c>
      <c r="D179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7" t="str">
        <f>IFERROR(INDEX(Структура_ассортимента[Product group],MATCH(Товары[[#This Row],[SubGroup]],Структура_ассортимента[Subgroup],0)),"")</f>
        <v>WSS_C</v>
      </c>
      <c r="G179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3339</v>
      </c>
      <c r="O1798" s="37" t="s">
        <v>7787</v>
      </c>
      <c r="P1798" s="37" t="s">
        <v>7788</v>
      </c>
      <c r="Q1798" s="39" t="s">
        <v>3416</v>
      </c>
      <c r="R1798" s="34" t="s">
        <v>3407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3410</v>
      </c>
      <c r="X1798" s="34" t="s">
        <v>3446</v>
      </c>
      <c r="Y1798" s="34" t="s">
        <v>3409</v>
      </c>
      <c r="Z1798" s="34">
        <v>10</v>
      </c>
      <c r="AA1798" s="34" t="s">
        <v>6962</v>
      </c>
      <c r="AB1798" s="34" t="s">
        <v>6962</v>
      </c>
      <c r="AC1798" s="34" t="s">
        <v>3587</v>
      </c>
      <c r="AD1798" s="34" t="s">
        <v>3587</v>
      </c>
      <c r="AE1798" s="34" t="s">
        <v>3560</v>
      </c>
      <c r="AF1798" s="34" t="s">
        <v>4258</v>
      </c>
      <c r="AG1798" s="34" t="s">
        <v>4048</v>
      </c>
      <c r="AH1798" s="34" t="s">
        <v>7789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7" t="str">
        <f>IFERROR(INDEX(Структура_ассортимента[SuperCategory],MATCH(Товары[[#This Row],[SubGroup]],Структура_ассортимента[Subgroup],0)),"")</f>
        <v>W</v>
      </c>
      <c r="D179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7" t="str">
        <f>IFERROR(INDEX(Структура_ассортимента[Product group],MATCH(Товары[[#This Row],[SubGroup]],Структура_ассортимента[Subgroup],0)),"")</f>
        <v>WSS_C</v>
      </c>
      <c r="G179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3340</v>
      </c>
      <c r="O1799" s="37" t="s">
        <v>7790</v>
      </c>
      <c r="P1799" s="37" t="s">
        <v>7791</v>
      </c>
      <c r="Q1799" s="39" t="s">
        <v>3416</v>
      </c>
      <c r="R1799" s="34" t="s">
        <v>3407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3410</v>
      </c>
      <c r="X1799" s="34" t="s">
        <v>3446</v>
      </c>
      <c r="Y1799" s="34" t="s">
        <v>3409</v>
      </c>
      <c r="Z1799" s="34">
        <v>10</v>
      </c>
      <c r="AA1799" s="34" t="s">
        <v>3582</v>
      </c>
      <c r="AB1799" s="34" t="s">
        <v>3582</v>
      </c>
      <c r="AC1799" s="34" t="s">
        <v>5495</v>
      </c>
      <c r="AD1799" s="34" t="s">
        <v>5495</v>
      </c>
      <c r="AE1799" s="34" t="s">
        <v>3692</v>
      </c>
      <c r="AF1799" s="34" t="s">
        <v>3443</v>
      </c>
      <c r="AG1799" s="34" t="s">
        <v>4098</v>
      </c>
      <c r="AH1799" s="34" t="s">
        <v>7709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7" t="str">
        <f>IFERROR(INDEX(Структура_ассортимента[SuperCategory],MATCH(Товары[[#This Row],[SubGroup]],Структура_ассортимента[Subgroup],0)),"")</f>
        <v>W</v>
      </c>
      <c r="D180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7" t="str">
        <f>IFERROR(INDEX(Структура_ассортимента[Product group],MATCH(Товары[[#This Row],[SubGroup]],Структура_ассортимента[Subgroup],0)),"")</f>
        <v>WSS_C</v>
      </c>
      <c r="G180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3341</v>
      </c>
      <c r="Q1800" s="39" t="s">
        <v>3416</v>
      </c>
      <c r="R1800" s="34" t="s">
        <v>3407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3410</v>
      </c>
      <c r="X1800" s="34" t="s">
        <v>3446</v>
      </c>
      <c r="Y1800" s="34" t="s">
        <v>3409</v>
      </c>
      <c r="Z1800" s="34">
        <v>10</v>
      </c>
      <c r="AA1800" s="34" t="s">
        <v>3594</v>
      </c>
      <c r="AB1800" s="34" t="s">
        <v>3594</v>
      </c>
      <c r="AC1800" s="34" t="s">
        <v>3528</v>
      </c>
      <c r="AD1800" s="34" t="s">
        <v>3528</v>
      </c>
      <c r="AE1800" s="34" t="s">
        <v>3457</v>
      </c>
      <c r="AF1800" s="34" t="s">
        <v>4258</v>
      </c>
      <c r="AG1800" s="34" t="s">
        <v>3799</v>
      </c>
      <c r="AH1800" s="34" t="s">
        <v>7792</v>
      </c>
      <c r="AL1800" s="34">
        <v>720</v>
      </c>
      <c r="AM1800" s="34" t="s">
        <v>7962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7" t="str">
        <f>IFERROR(INDEX(Структура_ассортимента[SuperCategory],MATCH(Товары[[#This Row],[SubGroup]],Структура_ассортимента[Subgroup],0)),"")</f>
        <v>W</v>
      </c>
      <c r="D180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7" t="str">
        <f>IFERROR(INDEX(Структура_ассортимента[Product group],MATCH(Товары[[#This Row],[SubGroup]],Структура_ассортимента[Subgroup],0)),"")</f>
        <v>WSS_C</v>
      </c>
      <c r="G180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3342</v>
      </c>
      <c r="O1801" s="37" t="s">
        <v>7793</v>
      </c>
      <c r="P1801" s="37" t="s">
        <v>7794</v>
      </c>
      <c r="Q1801" s="39" t="s">
        <v>3416</v>
      </c>
      <c r="R1801" s="34" t="s">
        <v>3407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3410</v>
      </c>
      <c r="X1801" s="34" t="s">
        <v>3446</v>
      </c>
      <c r="Y1801" s="34" t="s">
        <v>3409</v>
      </c>
      <c r="Z1801" s="34">
        <v>10</v>
      </c>
      <c r="AA1801" s="34" t="s">
        <v>5470</v>
      </c>
      <c r="AB1801" s="34" t="s">
        <v>5470</v>
      </c>
      <c r="AC1801" s="34" t="s">
        <v>6957</v>
      </c>
      <c r="AD1801" s="34" t="s">
        <v>6957</v>
      </c>
      <c r="AE1801" s="34" t="s">
        <v>3560</v>
      </c>
      <c r="AF1801" s="34" t="s">
        <v>3443</v>
      </c>
      <c r="AG1801" s="34" t="s">
        <v>3799</v>
      </c>
      <c r="AH1801" s="34" t="s">
        <v>7583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7" t="str">
        <f>IFERROR(INDEX(Структура_ассортимента[SuperCategory],MATCH(Товары[[#This Row],[SubGroup]],Структура_ассортимента[Subgroup],0)),"")</f>
        <v>W</v>
      </c>
      <c r="D180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7" t="str">
        <f>IFERROR(INDEX(Структура_ассортимента[Product group],MATCH(Товары[[#This Row],[SubGroup]],Структура_ассортимента[Subgroup],0)),"")</f>
        <v>WSS_C</v>
      </c>
      <c r="G180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3343</v>
      </c>
      <c r="O1802" s="37" t="s">
        <v>7795</v>
      </c>
      <c r="P1802" s="37" t="s">
        <v>7796</v>
      </c>
      <c r="Q1802" s="39" t="s">
        <v>3416</v>
      </c>
      <c r="R1802" s="34" t="s">
        <v>3407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3410</v>
      </c>
      <c r="X1802" s="34" t="s">
        <v>3446</v>
      </c>
      <c r="Y1802" s="34" t="s">
        <v>3409</v>
      </c>
      <c r="Z1802" s="34">
        <v>10</v>
      </c>
      <c r="AA1802" s="34" t="s">
        <v>3666</v>
      </c>
      <c r="AB1802" s="34" t="s">
        <v>3661</v>
      </c>
      <c r="AC1802" s="34" t="s">
        <v>3674</v>
      </c>
      <c r="AD1802" s="34" t="s">
        <v>3666</v>
      </c>
      <c r="AE1802" s="34" t="s">
        <v>3560</v>
      </c>
      <c r="AF1802" s="34" t="s">
        <v>3443</v>
      </c>
      <c r="AG1802" s="34" t="s">
        <v>3523</v>
      </c>
      <c r="AH1802" s="34" t="s">
        <v>3663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7" t="str">
        <f>IFERROR(INDEX(Структура_ассортимента[SuperCategory],MATCH(Товары[[#This Row],[SubGroup]],Структура_ассортимента[Subgroup],0)),"")</f>
        <v>W</v>
      </c>
      <c r="D180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7" t="str">
        <f>IFERROR(INDEX(Структура_ассортимента[Product group],MATCH(Товары[[#This Row],[SubGroup]],Структура_ассортимента[Subgroup],0)),"")</f>
        <v>WSS_C</v>
      </c>
      <c r="G180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3344</v>
      </c>
      <c r="O1803" s="37" t="s">
        <v>7797</v>
      </c>
      <c r="P1803" s="37" t="s">
        <v>7798</v>
      </c>
      <c r="Q1803" s="39" t="s">
        <v>3416</v>
      </c>
      <c r="R1803" s="34" t="s">
        <v>3407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3410</v>
      </c>
      <c r="X1803" s="34" t="s">
        <v>3446</v>
      </c>
      <c r="Y1803" s="34" t="s">
        <v>3409</v>
      </c>
      <c r="Z1803" s="34">
        <v>10</v>
      </c>
      <c r="AA1803" s="34" t="s">
        <v>6306</v>
      </c>
      <c r="AB1803" s="34" t="s">
        <v>6306</v>
      </c>
      <c r="AC1803" s="34" t="s">
        <v>3670</v>
      </c>
      <c r="AD1803" s="34" t="s">
        <v>3670</v>
      </c>
      <c r="AE1803" s="34" t="s">
        <v>4660</v>
      </c>
      <c r="AF1803" s="34" t="s">
        <v>5480</v>
      </c>
      <c r="AG1803" s="34" t="s">
        <v>5912</v>
      </c>
      <c r="AH1803" s="34" t="s">
        <v>7734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7" t="str">
        <f>IFERROR(INDEX(Структура_ассортимента[SuperCategory],MATCH(Товары[[#This Row],[SubGroup]],Структура_ассортимента[Subgroup],0)),"")</f>
        <v>W</v>
      </c>
      <c r="D180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7" t="str">
        <f>IFERROR(INDEX(Структура_ассортимента[Product group],MATCH(Товары[[#This Row],[SubGroup]],Структура_ассортимента[Subgroup],0)),"")</f>
        <v>WSS_C</v>
      </c>
      <c r="G180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3345</v>
      </c>
      <c r="Q1804" s="39" t="s">
        <v>3416</v>
      </c>
      <c r="R1804" s="34" t="s">
        <v>3407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3410</v>
      </c>
      <c r="X1804" s="34" t="s">
        <v>3446</v>
      </c>
      <c r="Y1804" s="34" t="s">
        <v>3409</v>
      </c>
      <c r="Z1804" s="34">
        <v>6</v>
      </c>
      <c r="AA1804" s="34" t="s">
        <v>3664</v>
      </c>
      <c r="AB1804" s="34" t="s">
        <v>6438</v>
      </c>
      <c r="AC1804" s="34" t="s">
        <v>3651</v>
      </c>
      <c r="AD1804" s="34" t="s">
        <v>3651</v>
      </c>
      <c r="AE1804" s="34" t="s">
        <v>3560</v>
      </c>
      <c r="AF1804" s="34" t="s">
        <v>3443</v>
      </c>
      <c r="AG1804" s="34" t="s">
        <v>5916</v>
      </c>
      <c r="AH1804" s="34" t="s">
        <v>7799</v>
      </c>
      <c r="AL1804" s="34">
        <v>1728</v>
      </c>
      <c r="AM1804" s="34" t="s">
        <v>7962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7" t="str">
        <f>IFERROR(INDEX(Структура_ассортимента[SuperCategory],MATCH(Товары[[#This Row],[SubGroup]],Структура_ассортимента[Subgroup],0)),"")</f>
        <v>W</v>
      </c>
      <c r="D180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7" t="str">
        <f>IFERROR(INDEX(Структура_ассортимента[Product group],MATCH(Товары[[#This Row],[SubGroup]],Структура_ассортимента[Subgroup],0)),"")</f>
        <v>WSS_C</v>
      </c>
      <c r="G180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3346</v>
      </c>
      <c r="O1805" s="37" t="s">
        <v>7800</v>
      </c>
      <c r="P1805" s="37" t="s">
        <v>7801</v>
      </c>
      <c r="Q1805" s="39" t="s">
        <v>3416</v>
      </c>
      <c r="R1805" s="34" t="s">
        <v>3407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3410</v>
      </c>
      <c r="X1805" s="34" t="s">
        <v>3446</v>
      </c>
      <c r="Y1805" s="34" t="s">
        <v>3409</v>
      </c>
      <c r="Z1805" s="34">
        <v>10</v>
      </c>
      <c r="AA1805" s="34" t="s">
        <v>3651</v>
      </c>
      <c r="AB1805" s="34" t="s">
        <v>3670</v>
      </c>
      <c r="AC1805" s="34" t="s">
        <v>3662</v>
      </c>
      <c r="AD1805" s="34" t="s">
        <v>3670</v>
      </c>
      <c r="AE1805" s="34" t="s">
        <v>4660</v>
      </c>
      <c r="AF1805" s="34" t="s">
        <v>5480</v>
      </c>
      <c r="AG1805" s="34" t="s">
        <v>3530</v>
      </c>
      <c r="AH1805" s="34" t="s">
        <v>6446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7" t="str">
        <f>IFERROR(INDEX(Структура_ассортимента[SuperCategory],MATCH(Товары[[#This Row],[SubGroup]],Структура_ассортимента[Subgroup],0)),"")</f>
        <v>W</v>
      </c>
      <c r="D180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7" t="str">
        <f>IFERROR(INDEX(Структура_ассортимента[Product group],MATCH(Товары[[#This Row],[SubGroup]],Структура_ассортимента[Subgroup],0)),"")</f>
        <v>WSS_C</v>
      </c>
      <c r="G180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3347</v>
      </c>
      <c r="O1806" s="37" t="s">
        <v>7802</v>
      </c>
      <c r="P1806" s="37" t="s">
        <v>7803</v>
      </c>
      <c r="Q1806" s="39" t="s">
        <v>3416</v>
      </c>
      <c r="R1806" s="34" t="s">
        <v>3407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3410</v>
      </c>
      <c r="X1806" s="34" t="s">
        <v>3446</v>
      </c>
      <c r="Y1806" s="34" t="s">
        <v>3409</v>
      </c>
      <c r="Z1806" s="34">
        <v>10</v>
      </c>
      <c r="AA1806" s="34" t="s">
        <v>3664</v>
      </c>
      <c r="AB1806" s="34" t="s">
        <v>3664</v>
      </c>
      <c r="AC1806" s="34" t="s">
        <v>3662</v>
      </c>
      <c r="AD1806" s="34" t="s">
        <v>3662</v>
      </c>
      <c r="AE1806" s="34" t="s">
        <v>4660</v>
      </c>
      <c r="AF1806" s="34" t="s">
        <v>5480</v>
      </c>
      <c r="AG1806" s="34" t="s">
        <v>5912</v>
      </c>
      <c r="AH1806" s="34" t="s">
        <v>7734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7" t="str">
        <f>IFERROR(INDEX(Структура_ассортимента[SuperCategory],MATCH(Товары[[#This Row],[SubGroup]],Структура_ассортимента[Subgroup],0)),"")</f>
        <v>W</v>
      </c>
      <c r="D180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7" t="str">
        <f>IFERROR(INDEX(Структура_ассортимента[Product group],MATCH(Товары[[#This Row],[SubGroup]],Структура_ассортимента[Subgroup],0)),"")</f>
        <v>WSS_C</v>
      </c>
      <c r="G180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3348</v>
      </c>
      <c r="Q1807" s="39" t="s">
        <v>3416</v>
      </c>
      <c r="R1807" s="34" t="s">
        <v>3407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3410</v>
      </c>
      <c r="X1807" s="34" t="s">
        <v>3446</v>
      </c>
      <c r="Y1807" s="34" t="s">
        <v>3409</v>
      </c>
      <c r="Z1807" s="34">
        <v>6</v>
      </c>
      <c r="AA1807" s="34" t="s">
        <v>3664</v>
      </c>
      <c r="AB1807" s="34" t="s">
        <v>6306</v>
      </c>
      <c r="AC1807" s="34" t="s">
        <v>3674</v>
      </c>
      <c r="AD1807" s="34" t="s">
        <v>3651</v>
      </c>
      <c r="AE1807" s="34" t="s">
        <v>3560</v>
      </c>
      <c r="AF1807" s="34" t="s">
        <v>3443</v>
      </c>
      <c r="AG1807" s="34" t="s">
        <v>3675</v>
      </c>
      <c r="AH1807" s="34" t="s">
        <v>3676</v>
      </c>
      <c r="AL1807" s="34">
        <v>1728</v>
      </c>
      <c r="AM1807" s="34" t="s">
        <v>7962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7" t="str">
        <f>IFERROR(INDEX(Структура_ассортимента[SuperCategory],MATCH(Товары[[#This Row],[SubGroup]],Структура_ассортимента[Subgroup],0)),"")</f>
        <v>W</v>
      </c>
      <c r="D180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7" t="str">
        <f>IFERROR(INDEX(Структура_ассортимента[Product group],MATCH(Товары[[#This Row],[SubGroup]],Структура_ассортимента[Subgroup],0)),"")</f>
        <v>WSS_C</v>
      </c>
      <c r="G180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3349</v>
      </c>
      <c r="O1808" s="37" t="s">
        <v>7804</v>
      </c>
      <c r="P1808" s="37" t="s">
        <v>7805</v>
      </c>
      <c r="Q1808" s="39" t="s">
        <v>3416</v>
      </c>
      <c r="R1808" s="34" t="s">
        <v>3407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3410</v>
      </c>
      <c r="X1808" s="34" t="s">
        <v>3446</v>
      </c>
      <c r="Y1808" s="34" t="s">
        <v>3409</v>
      </c>
      <c r="Z1808" s="34">
        <v>10</v>
      </c>
      <c r="AA1808" s="34" t="s">
        <v>3666</v>
      </c>
      <c r="AB1808" s="34" t="s">
        <v>6357</v>
      </c>
      <c r="AC1808" s="34" t="s">
        <v>3674</v>
      </c>
      <c r="AD1808" s="34" t="s">
        <v>3661</v>
      </c>
      <c r="AE1808" s="34" t="s">
        <v>3560</v>
      </c>
      <c r="AF1808" s="34" t="s">
        <v>3443</v>
      </c>
      <c r="AG1808" s="34" t="s">
        <v>3675</v>
      </c>
      <c r="AH1808" s="34" t="s">
        <v>3676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7" t="str">
        <f>IFERROR(INDEX(Структура_ассортимента[SuperCategory],MATCH(Товары[[#This Row],[SubGroup]],Структура_ассортимента[Subgroup],0)),"")</f>
        <v>W</v>
      </c>
      <c r="D180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7" t="str">
        <f>IFERROR(INDEX(Структура_ассортимента[Product group],MATCH(Товары[[#This Row],[SubGroup]],Структура_ассортимента[Subgroup],0)),"")</f>
        <v>WSS_C</v>
      </c>
      <c r="G180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3350</v>
      </c>
      <c r="O1809" s="37" t="s">
        <v>7806</v>
      </c>
      <c r="P1809" s="37" t="s">
        <v>7807</v>
      </c>
      <c r="Q1809" s="39" t="s">
        <v>3416</v>
      </c>
      <c r="R1809" s="34" t="s">
        <v>3407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3410</v>
      </c>
      <c r="X1809" s="34" t="s">
        <v>3446</v>
      </c>
      <c r="Y1809" s="34" t="s">
        <v>3409</v>
      </c>
      <c r="Z1809" s="34">
        <v>10</v>
      </c>
      <c r="AA1809" s="34" t="s">
        <v>6322</v>
      </c>
      <c r="AB1809" s="34" t="s">
        <v>6383</v>
      </c>
      <c r="AC1809" s="34" t="s">
        <v>3670</v>
      </c>
      <c r="AD1809" s="34" t="s">
        <v>6964</v>
      </c>
      <c r="AE1809" s="34" t="s">
        <v>3560</v>
      </c>
      <c r="AF1809" s="34" t="s">
        <v>3443</v>
      </c>
      <c r="AG1809" s="34" t="s">
        <v>4101</v>
      </c>
      <c r="AH1809" s="34" t="s">
        <v>5501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7" t="str">
        <f>IFERROR(INDEX(Структура_ассортимента[SuperCategory],MATCH(Товары[[#This Row],[SubGroup]],Структура_ассортимента[Subgroup],0)),"")</f>
        <v>W</v>
      </c>
      <c r="D181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7" t="str">
        <f>IFERROR(INDEX(Структура_ассортимента[Product group],MATCH(Товары[[#This Row],[SubGroup]],Структура_ассортимента[Subgroup],0)),"")</f>
        <v>WSS_C</v>
      </c>
      <c r="G181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3351</v>
      </c>
      <c r="O1810" s="37" t="s">
        <v>7808</v>
      </c>
      <c r="P1810" s="37" t="s">
        <v>7809</v>
      </c>
      <c r="Q1810" s="39" t="s">
        <v>3416</v>
      </c>
      <c r="R1810" s="34" t="s">
        <v>3407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3410</v>
      </c>
      <c r="X1810" s="34" t="s">
        <v>3446</v>
      </c>
      <c r="Y1810" s="34" t="s">
        <v>3409</v>
      </c>
      <c r="Z1810" s="34">
        <v>10</v>
      </c>
      <c r="AA1810" s="34" t="s">
        <v>5511</v>
      </c>
      <c r="AB1810" s="34" t="s">
        <v>5511</v>
      </c>
      <c r="AC1810" s="34" t="s">
        <v>3520</v>
      </c>
      <c r="AD1810" s="34" t="s">
        <v>3520</v>
      </c>
      <c r="AE1810" s="34" t="s">
        <v>3560</v>
      </c>
      <c r="AF1810" s="34" t="s">
        <v>3443</v>
      </c>
      <c r="AG1810" s="34" t="s">
        <v>3799</v>
      </c>
      <c r="AH1810" s="34" t="s">
        <v>7583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7" t="str">
        <f>IFERROR(INDEX(Структура_ассортимента[SuperCategory],MATCH(Товары[[#This Row],[SubGroup]],Структура_ассортимента[Subgroup],0)),"")</f>
        <v>W</v>
      </c>
      <c r="D181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7" t="str">
        <f>IFERROR(INDEX(Структура_ассортимента[Product group],MATCH(Товары[[#This Row],[SubGroup]],Структура_ассортимента[Subgroup],0)),"")</f>
        <v>WSS_C</v>
      </c>
      <c r="G181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3352</v>
      </c>
      <c r="O1811" s="37" t="s">
        <v>7810</v>
      </c>
      <c r="P1811" s="37" t="s">
        <v>7811</v>
      </c>
      <c r="Q1811" s="39" t="s">
        <v>3416</v>
      </c>
      <c r="R1811" s="34" t="s">
        <v>3407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3410</v>
      </c>
      <c r="X1811" s="34" t="s">
        <v>3446</v>
      </c>
      <c r="Y1811" s="34" t="s">
        <v>3409</v>
      </c>
      <c r="Z1811" s="34">
        <v>10</v>
      </c>
      <c r="AA1811" s="34" t="s">
        <v>3651</v>
      </c>
      <c r="AB1811" s="34" t="s">
        <v>3670</v>
      </c>
      <c r="AC1811" s="34" t="s">
        <v>3662</v>
      </c>
      <c r="AD1811" s="34" t="s">
        <v>3662</v>
      </c>
      <c r="AE1811" s="34" t="s">
        <v>4660</v>
      </c>
      <c r="AF1811" s="34" t="s">
        <v>5480</v>
      </c>
      <c r="AG1811" s="34" t="s">
        <v>3530</v>
      </c>
      <c r="AH1811" s="34" t="s">
        <v>6446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7" t="str">
        <f>IFERROR(INDEX(Структура_ассортимента[SuperCategory],MATCH(Товары[[#This Row],[SubGroup]],Структура_ассортимента[Subgroup],0)),"")</f>
        <v>W</v>
      </c>
      <c r="D181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7" t="str">
        <f>IFERROR(INDEX(Структура_ассортимента[Product group],MATCH(Товары[[#This Row],[SubGroup]],Структура_ассортимента[Subgroup],0)),"")</f>
        <v>WSS_C</v>
      </c>
      <c r="G181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3353</v>
      </c>
      <c r="O1812" s="37" t="s">
        <v>7812</v>
      </c>
      <c r="P1812" s="37" t="s">
        <v>7813</v>
      </c>
      <c r="Q1812" s="39" t="s">
        <v>3416</v>
      </c>
      <c r="R1812" s="34" t="s">
        <v>3407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3410</v>
      </c>
      <c r="X1812" s="34" t="s">
        <v>3446</v>
      </c>
      <c r="Y1812" s="34" t="s">
        <v>3409</v>
      </c>
      <c r="Z1812" s="34">
        <v>10</v>
      </c>
      <c r="AA1812" s="34" t="s">
        <v>3661</v>
      </c>
      <c r="AB1812" s="34" t="s">
        <v>3670</v>
      </c>
      <c r="AC1812" s="34" t="s">
        <v>3662</v>
      </c>
      <c r="AD1812" s="34" t="s">
        <v>3662</v>
      </c>
      <c r="AE1812" s="34" t="s">
        <v>3560</v>
      </c>
      <c r="AF1812" s="34" t="s">
        <v>3443</v>
      </c>
      <c r="AG1812" s="34" t="s">
        <v>3675</v>
      </c>
      <c r="AH1812" s="34" t="s">
        <v>3676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7" t="str">
        <f>IFERROR(INDEX(Структура_ассортимента[SuperCategory],MATCH(Товары[[#This Row],[SubGroup]],Структура_ассортимента[Subgroup],0)),"")</f>
        <v>W</v>
      </c>
      <c r="D181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7" t="str">
        <f>IFERROR(INDEX(Структура_ассортимента[Product group],MATCH(Товары[[#This Row],[SubGroup]],Структура_ассортимента[Subgroup],0)),"")</f>
        <v>WSS_C</v>
      </c>
      <c r="G181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3354</v>
      </c>
      <c r="P1813" s="37" t="s">
        <v>7814</v>
      </c>
      <c r="Q1813" s="39" t="s">
        <v>3580</v>
      </c>
      <c r="R1813" s="34" t="s">
        <v>3407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3410</v>
      </c>
      <c r="Y1813" s="34" t="s">
        <v>3409</v>
      </c>
      <c r="Z1813" s="34">
        <v>3</v>
      </c>
      <c r="AA1813" s="34" t="s">
        <v>4047</v>
      </c>
      <c r="AB1813" s="34" t="s">
        <v>4047</v>
      </c>
      <c r="AC1813" s="34" t="s">
        <v>4014</v>
      </c>
      <c r="AD1813" s="34" t="s">
        <v>4014</v>
      </c>
      <c r="AE1813" s="34" t="s">
        <v>3529</v>
      </c>
      <c r="AF1813" s="34" t="s">
        <v>3787</v>
      </c>
      <c r="AG1813" s="34" t="s">
        <v>3443</v>
      </c>
      <c r="AH1813" s="34" t="s">
        <v>7815</v>
      </c>
      <c r="AL1813" s="34" t="s">
        <v>3460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7" t="str">
        <f>IFERROR(INDEX(Структура_ассортимента[SuperCategory],MATCH(Товары[[#This Row],[SubGroup]],Структура_ассортимента[Subgroup],0)),"")</f>
        <v>W</v>
      </c>
      <c r="D181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7" t="str">
        <f>IFERROR(INDEX(Структура_ассортимента[Product group],MATCH(Товары[[#This Row],[SubGroup]],Структура_ассортимента[Subgroup],0)),"")</f>
        <v>WSS_C</v>
      </c>
      <c r="G181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3355</v>
      </c>
      <c r="O1814" s="37" t="s">
        <v>7816</v>
      </c>
      <c r="P1814" s="37" t="s">
        <v>7817</v>
      </c>
      <c r="Q1814" s="39" t="s">
        <v>3416</v>
      </c>
      <c r="R1814" s="34" t="s">
        <v>3407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3413</v>
      </c>
      <c r="X1814" s="34" t="s">
        <v>3654</v>
      </c>
      <c r="Y1814" s="34" t="s">
        <v>3409</v>
      </c>
      <c r="Z1814" s="34">
        <v>6</v>
      </c>
      <c r="AA1814" s="34">
        <v>50</v>
      </c>
      <c r="AB1814" s="34" t="s">
        <v>3968</v>
      </c>
      <c r="AC1814" s="34">
        <v>40</v>
      </c>
      <c r="AD1814" s="34" t="s">
        <v>3538</v>
      </c>
      <c r="AE1814" s="34" t="s">
        <v>3822</v>
      </c>
      <c r="AF1814" s="34" t="s">
        <v>4519</v>
      </c>
      <c r="AG1814" s="34" t="s">
        <v>4992</v>
      </c>
      <c r="AH1814" s="34" t="s">
        <v>7818</v>
      </c>
      <c r="AL1814" s="34" t="s">
        <v>5938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7" t="str">
        <f>IFERROR(INDEX(Структура_ассортимента[SuperCategory],MATCH(Товары[[#This Row],[SubGroup]],Структура_ассортимента[Subgroup],0)),"")</f>
        <v>W</v>
      </c>
      <c r="D181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7" t="str">
        <f>IFERROR(INDEX(Структура_ассортимента[Product group],MATCH(Товары[[#This Row],[SubGroup]],Структура_ассортимента[Subgroup],0)),"")</f>
        <v>WSS_C</v>
      </c>
      <c r="G181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3356</v>
      </c>
      <c r="O1815" s="37" t="s">
        <v>7819</v>
      </c>
      <c r="P1815" s="37" t="s">
        <v>7820</v>
      </c>
      <c r="Q1815" s="39" t="s">
        <v>3416</v>
      </c>
      <c r="R1815" s="34" t="s">
        <v>3407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3417</v>
      </c>
      <c r="X1815" s="34" t="s">
        <v>3774</v>
      </c>
      <c r="Y1815" s="34" t="s">
        <v>3409</v>
      </c>
      <c r="Z1815" s="34">
        <v>4</v>
      </c>
      <c r="AA1815" s="34" t="s">
        <v>4047</v>
      </c>
      <c r="AB1815" s="34" t="s">
        <v>4047</v>
      </c>
      <c r="AC1815" s="34" t="s">
        <v>4026</v>
      </c>
      <c r="AD1815" s="34" t="s">
        <v>4026</v>
      </c>
      <c r="AE1815" s="34" t="s">
        <v>3620</v>
      </c>
      <c r="AF1815" s="34" t="s">
        <v>3620</v>
      </c>
      <c r="AG1815" s="34" t="s">
        <v>3621</v>
      </c>
      <c r="AH1815" s="34" t="s">
        <v>7821</v>
      </c>
      <c r="AI1815" s="34" t="s">
        <v>7822</v>
      </c>
      <c r="AJ1815" s="34" t="s">
        <v>4228</v>
      </c>
      <c r="AK1815" s="34" t="s">
        <v>4228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7" t="str">
        <f>IFERROR(INDEX(Структура_ассортимента[SuperCategory],MATCH(Товары[[#This Row],[SubGroup]],Структура_ассортимента[Subgroup],0)),"")</f>
        <v>W</v>
      </c>
      <c r="D181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7" t="str">
        <f>IFERROR(INDEX(Структура_ассортимента[Product group],MATCH(Товары[[#This Row],[SubGroup]],Структура_ассортимента[Subgroup],0)),"")</f>
        <v>WSS_C</v>
      </c>
      <c r="G181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3357</v>
      </c>
      <c r="Q1816" s="39" t="s">
        <v>3416</v>
      </c>
      <c r="R1816" s="34" t="s">
        <v>3407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3417</v>
      </c>
      <c r="X1816" s="34" t="s">
        <v>7823</v>
      </c>
      <c r="Y1816" s="34" t="s">
        <v>3409</v>
      </c>
      <c r="Z1816" s="34">
        <v>1</v>
      </c>
      <c r="AA1816" s="34" t="s">
        <v>7824</v>
      </c>
      <c r="AB1816" s="34" t="s">
        <v>7824</v>
      </c>
      <c r="AC1816" s="34" t="s">
        <v>7825</v>
      </c>
      <c r="AD1816" s="34" t="s">
        <v>7825</v>
      </c>
      <c r="AE1816" s="34" t="s">
        <v>4190</v>
      </c>
      <c r="AF1816" s="34" t="s">
        <v>4190</v>
      </c>
      <c r="AG1816" s="34" t="s">
        <v>4258</v>
      </c>
      <c r="AH1816" s="34" t="s">
        <v>7826</v>
      </c>
      <c r="AL1816" s="34">
        <v>36</v>
      </c>
      <c r="AM1816" s="34" t="s">
        <v>7962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7" t="str">
        <f>IFERROR(INDEX(Структура_ассортимента[SuperCategory],MATCH(Товары[[#This Row],[SubGroup]],Структура_ассортимента[Subgroup],0)),"")</f>
        <v>W</v>
      </c>
      <c r="D181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7" t="str">
        <f>IFERROR(INDEX(Структура_ассортимента[Product group],MATCH(Товары[[#This Row],[SubGroup]],Структура_ассортимента[Subgroup],0)),"")</f>
        <v>WSS_C</v>
      </c>
      <c r="G181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3358</v>
      </c>
      <c r="O1817" s="37" t="s">
        <v>7827</v>
      </c>
      <c r="P1817" s="37" t="s">
        <v>7828</v>
      </c>
      <c r="Q1817" s="39" t="s">
        <v>3416</v>
      </c>
      <c r="R1817" s="34" t="s">
        <v>3407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3417</v>
      </c>
      <c r="X1817" s="34" t="s">
        <v>7823</v>
      </c>
      <c r="Y1817" s="34" t="s">
        <v>3409</v>
      </c>
      <c r="Z1817" s="34">
        <v>1</v>
      </c>
      <c r="AA1817" s="34" t="s">
        <v>7829</v>
      </c>
      <c r="AB1817" s="34" t="s">
        <v>7829</v>
      </c>
      <c r="AC1817" s="34" t="s">
        <v>4316</v>
      </c>
      <c r="AD1817" s="34" t="s">
        <v>4316</v>
      </c>
      <c r="AE1817" s="34" t="s">
        <v>4190</v>
      </c>
      <c r="AF1817" s="34" t="s">
        <v>4190</v>
      </c>
      <c r="AG1817" s="34" t="s">
        <v>4258</v>
      </c>
      <c r="AH1817" s="34" t="s">
        <v>7826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7" t="str">
        <f>IFERROR(INDEX(Структура_ассортимента[SuperCategory],MATCH(Товары[[#This Row],[SubGroup]],Структура_ассортимента[Subgroup],0)),"")</f>
        <v>W</v>
      </c>
      <c r="D181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7" t="str">
        <f>IFERROR(INDEX(Структура_ассортимента[Product group],MATCH(Товары[[#This Row],[SubGroup]],Структура_ассортимента[Subgroup],0)),"")</f>
        <v>WSS_C</v>
      </c>
      <c r="G181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3359</v>
      </c>
      <c r="O1818" s="37" t="s">
        <v>7830</v>
      </c>
      <c r="P1818" s="37" t="s">
        <v>7831</v>
      </c>
      <c r="Q1818" s="39" t="s">
        <v>3416</v>
      </c>
      <c r="R1818" s="34" t="s">
        <v>3407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3410</v>
      </c>
      <c r="X1818" s="34" t="s">
        <v>3446</v>
      </c>
      <c r="Y1818" s="34" t="s">
        <v>3409</v>
      </c>
      <c r="Z1818" s="34">
        <v>4</v>
      </c>
      <c r="AA1818" s="34" t="s">
        <v>4964</v>
      </c>
      <c r="AB1818" s="34" t="s">
        <v>3440</v>
      </c>
      <c r="AC1818" s="34" t="s">
        <v>7832</v>
      </c>
      <c r="AD1818" s="34" t="s">
        <v>3465</v>
      </c>
      <c r="AE1818" s="34" t="s">
        <v>5433</v>
      </c>
      <c r="AF1818" s="34" t="s">
        <v>4661</v>
      </c>
      <c r="AG1818" s="34" t="s">
        <v>6678</v>
      </c>
      <c r="AH1818" s="34" t="s">
        <v>7833</v>
      </c>
      <c r="AL1818" s="34" t="s">
        <v>3445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7" t="str">
        <f>IFERROR(INDEX(Структура_ассортимента[SuperCategory],MATCH(Товары[[#This Row],[SubGroup]],Структура_ассортимента[Subgroup],0)),"")</f>
        <v>W</v>
      </c>
      <c r="D181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7" t="str">
        <f>IFERROR(INDEX(Структура_ассортимента[Product group],MATCH(Товары[[#This Row],[SubGroup]],Структура_ассортимента[Subgroup],0)),"")</f>
        <v>WSS_C</v>
      </c>
      <c r="G181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3360</v>
      </c>
      <c r="O1819" s="37" t="s">
        <v>7834</v>
      </c>
      <c r="P1819" s="37" t="s">
        <v>7835</v>
      </c>
      <c r="Q1819" s="39" t="s">
        <v>3416</v>
      </c>
      <c r="R1819" s="34" t="s">
        <v>3407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3410</v>
      </c>
      <c r="X1819" s="34" t="s">
        <v>3446</v>
      </c>
      <c r="Y1819" s="34" t="s">
        <v>3409</v>
      </c>
      <c r="Z1819" s="34">
        <v>4</v>
      </c>
      <c r="AA1819" s="34" t="s">
        <v>7836</v>
      </c>
      <c r="AB1819" s="34" t="s">
        <v>7837</v>
      </c>
      <c r="AC1819" s="34" t="s">
        <v>7838</v>
      </c>
      <c r="AD1819" s="34" t="s">
        <v>7839</v>
      </c>
      <c r="AE1819" s="34" t="s">
        <v>4482</v>
      </c>
      <c r="AF1819" s="34" t="s">
        <v>5773</v>
      </c>
      <c r="AG1819" s="34" t="s">
        <v>3806</v>
      </c>
      <c r="AH1819" s="34" t="s">
        <v>7840</v>
      </c>
      <c r="AL1819" s="34" t="s">
        <v>7326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7" t="str">
        <f>IFERROR(INDEX(Структура_ассортимента[SuperCategory],MATCH(Товары[[#This Row],[SubGroup]],Структура_ассортимента[Subgroup],0)),"")</f>
        <v>W</v>
      </c>
      <c r="D182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7" t="str">
        <f>IFERROR(INDEX(Структура_ассортимента[Product group],MATCH(Товары[[#This Row],[SubGroup]],Структура_ассортимента[Subgroup],0)),"")</f>
        <v>WSS_C</v>
      </c>
      <c r="G182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3361</v>
      </c>
      <c r="O1820" s="37" t="s">
        <v>7841</v>
      </c>
      <c r="P1820" s="37" t="s">
        <v>7842</v>
      </c>
      <c r="Q1820" s="39" t="s">
        <v>3416</v>
      </c>
      <c r="R1820" s="34" t="s">
        <v>3407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3410</v>
      </c>
      <c r="X1820" s="34" t="s">
        <v>3446</v>
      </c>
      <c r="Y1820" s="34" t="s">
        <v>3409</v>
      </c>
      <c r="Z1820" s="34">
        <v>3</v>
      </c>
      <c r="AA1820" s="34" t="s">
        <v>7843</v>
      </c>
      <c r="AB1820" s="34" t="s">
        <v>4453</v>
      </c>
      <c r="AC1820" s="34" t="s">
        <v>4079</v>
      </c>
      <c r="AD1820" s="34" t="s">
        <v>7844</v>
      </c>
      <c r="AE1820" s="34" t="s">
        <v>3842</v>
      </c>
      <c r="AF1820" s="34" t="s">
        <v>4318</v>
      </c>
      <c r="AG1820" s="34" t="s">
        <v>4416</v>
      </c>
      <c r="AH1820" s="34" t="s">
        <v>7845</v>
      </c>
      <c r="AL1820" s="34" t="s">
        <v>3471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7" t="str">
        <f>IFERROR(INDEX(Структура_ассортимента[SuperCategory],MATCH(Товары[[#This Row],[SubGroup]],Структура_ассортимента[Subgroup],0)),"")</f>
        <v>W</v>
      </c>
      <c r="D182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7" t="str">
        <f>IFERROR(INDEX(Структура_ассортимента[Product group],MATCH(Товары[[#This Row],[SubGroup]],Структура_ассортимента[Subgroup],0)),"")</f>
        <v>WSS_C</v>
      </c>
      <c r="G182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3362</v>
      </c>
      <c r="O1821" s="37" t="s">
        <v>7846</v>
      </c>
      <c r="P1821" s="37" t="s">
        <v>7847</v>
      </c>
      <c r="Q1821" s="39" t="s">
        <v>3416</v>
      </c>
      <c r="R1821" s="34" t="s">
        <v>3407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3410</v>
      </c>
      <c r="X1821" s="34" t="s">
        <v>3446</v>
      </c>
      <c r="Y1821" s="34" t="s">
        <v>3409</v>
      </c>
      <c r="Z1821" s="34">
        <v>36</v>
      </c>
      <c r="AA1821" s="34" t="s">
        <v>4032</v>
      </c>
      <c r="AB1821" s="34" t="s">
        <v>4032</v>
      </c>
      <c r="AC1821" s="34" t="s">
        <v>4014</v>
      </c>
      <c r="AD1821" s="34" t="s">
        <v>4014</v>
      </c>
      <c r="AE1821" s="34" t="s">
        <v>3692</v>
      </c>
      <c r="AF1821" s="34" t="s">
        <v>3969</v>
      </c>
      <c r="AG1821" s="34" t="s">
        <v>3798</v>
      </c>
      <c r="AH1821" s="34" t="s">
        <v>7848</v>
      </c>
      <c r="AL1821" s="34" t="s">
        <v>3429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7" t="str">
        <f>IFERROR(INDEX(Структура_ассортимента[SuperCategory],MATCH(Товары[[#This Row],[SubGroup]],Структура_ассортимента[Subgroup],0)),"")</f>
        <v>W</v>
      </c>
      <c r="D182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7" t="str">
        <f>IFERROR(INDEX(Структура_ассортимента[Product group],MATCH(Товары[[#This Row],[SubGroup]],Структура_ассортимента[Subgroup],0)),"")</f>
        <v>WSS_C</v>
      </c>
      <c r="G182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3363</v>
      </c>
      <c r="Q1822" s="39" t="s">
        <v>3416</v>
      </c>
      <c r="R1822" s="34" t="s">
        <v>3407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3410</v>
      </c>
      <c r="X1822" s="34" t="s">
        <v>3446</v>
      </c>
      <c r="Y1822" s="34" t="s">
        <v>3409</v>
      </c>
      <c r="Z1822" s="34">
        <v>4</v>
      </c>
      <c r="AA1822" s="34">
        <v>0</v>
      </c>
      <c r="AB1822" s="34" t="s">
        <v>3558</v>
      </c>
      <c r="AC1822" s="34">
        <v>0</v>
      </c>
      <c r="AD1822" s="34" t="s">
        <v>4854</v>
      </c>
      <c r="AE1822" s="34" t="s">
        <v>6477</v>
      </c>
      <c r="AF1822" s="34" t="s">
        <v>3798</v>
      </c>
      <c r="AG1822" s="34" t="s">
        <v>3620</v>
      </c>
      <c r="AH1822" s="34" t="s">
        <v>7849</v>
      </c>
      <c r="AL1822" s="34" t="s">
        <v>3614</v>
      </c>
      <c r="AM1822" s="34" t="s">
        <v>7962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7" t="str">
        <f>IFERROR(INDEX(Структура_ассортимента[SuperCategory],MATCH(Товары[[#This Row],[SubGroup]],Структура_ассортимента[Subgroup],0)),"")</f>
        <v>W</v>
      </c>
      <c r="D182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7" t="str">
        <f>IFERROR(INDEX(Структура_ассортимента[Product group],MATCH(Товары[[#This Row],[SubGroup]],Структура_ассортимента[Subgroup],0)),"")</f>
        <v>WSS_C</v>
      </c>
      <c r="G182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3364</v>
      </c>
      <c r="O1823" s="37" t="s">
        <v>7850</v>
      </c>
      <c r="P1823" s="37" t="s">
        <v>7847</v>
      </c>
      <c r="Q1823" s="39" t="s">
        <v>3416</v>
      </c>
      <c r="R1823" s="34" t="s">
        <v>3407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3410</v>
      </c>
      <c r="X1823" s="34" t="s">
        <v>3446</v>
      </c>
      <c r="Y1823" s="34" t="s">
        <v>3409</v>
      </c>
      <c r="Z1823" s="34">
        <v>36</v>
      </c>
      <c r="AA1823" s="34">
        <v>0</v>
      </c>
      <c r="AB1823" s="34" t="s">
        <v>4032</v>
      </c>
      <c r="AC1823" s="34">
        <v>0</v>
      </c>
      <c r="AD1823" s="34" t="s">
        <v>4014</v>
      </c>
      <c r="AE1823" s="34" t="s">
        <v>3692</v>
      </c>
      <c r="AF1823" s="34" t="s">
        <v>7851</v>
      </c>
      <c r="AG1823" s="34" t="s">
        <v>3798</v>
      </c>
      <c r="AH1823" s="34" t="s">
        <v>7852</v>
      </c>
      <c r="AL1823" s="34" t="s">
        <v>3429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7" t="str">
        <f>IFERROR(INDEX(Структура_ассортимента[SuperCategory],MATCH(Товары[[#This Row],[SubGroup]],Структура_ассортимента[Subgroup],0)),"")</f>
        <v>W</v>
      </c>
      <c r="D182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7" t="str">
        <f>IFERROR(INDEX(Структура_ассортимента[Product group],MATCH(Товары[[#This Row],[SubGroup]],Структура_ассортимента[Subgroup],0)),"")</f>
        <v>WSS_C</v>
      </c>
      <c r="G182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3365</v>
      </c>
      <c r="O1824" s="37" t="s">
        <v>7853</v>
      </c>
      <c r="P1824" s="37" t="s">
        <v>7854</v>
      </c>
      <c r="Q1824" s="39" t="s">
        <v>3416</v>
      </c>
      <c r="R1824" s="34" t="s">
        <v>3407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3410</v>
      </c>
      <c r="X1824" s="34" t="s">
        <v>3446</v>
      </c>
      <c r="Y1824" s="34" t="s">
        <v>3409</v>
      </c>
      <c r="Z1824" s="34">
        <v>3</v>
      </c>
      <c r="AA1824" s="34">
        <v>1620</v>
      </c>
      <c r="AB1824" s="34" t="s">
        <v>5750</v>
      </c>
      <c r="AC1824" s="34">
        <v>1500</v>
      </c>
      <c r="AD1824" s="34" t="s">
        <v>7855</v>
      </c>
      <c r="AE1824" s="34" t="s">
        <v>3719</v>
      </c>
      <c r="AF1824" s="34" t="s">
        <v>4449</v>
      </c>
      <c r="AG1824" s="34" t="s">
        <v>3433</v>
      </c>
      <c r="AH1824" s="34" t="s">
        <v>7856</v>
      </c>
      <c r="AL1824" s="34" t="s">
        <v>4380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7" t="str">
        <f>IFERROR(INDEX(Структура_ассортимента[SuperCategory],MATCH(Товары[[#This Row],[SubGroup]],Структура_ассортимента[Subgroup],0)),"")</f>
        <v>W</v>
      </c>
      <c r="D182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7" t="str">
        <f>IFERROR(INDEX(Структура_ассортимента[Product group],MATCH(Товары[[#This Row],[SubGroup]],Структура_ассортимента[Subgroup],0)),"")</f>
        <v>WSS_C</v>
      </c>
      <c r="G182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3366</v>
      </c>
      <c r="O1825" s="37" t="s">
        <v>7857</v>
      </c>
      <c r="P1825" s="37" t="s">
        <v>7858</v>
      </c>
      <c r="Q1825" s="39" t="s">
        <v>3416</v>
      </c>
      <c r="R1825" s="34" t="s">
        <v>3407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3410</v>
      </c>
      <c r="X1825" s="34" t="s">
        <v>3446</v>
      </c>
      <c r="Y1825" s="34" t="s">
        <v>3409</v>
      </c>
      <c r="Z1825" s="34">
        <v>2</v>
      </c>
      <c r="AA1825" s="34" t="s">
        <v>7859</v>
      </c>
      <c r="AB1825" s="34" t="s">
        <v>7860</v>
      </c>
      <c r="AC1825" s="34" t="s">
        <v>7861</v>
      </c>
      <c r="AD1825" s="34" t="s">
        <v>7862</v>
      </c>
      <c r="AE1825" s="34" t="s">
        <v>3719</v>
      </c>
      <c r="AF1825" s="34" t="s">
        <v>3433</v>
      </c>
      <c r="AG1825" s="34" t="s">
        <v>4449</v>
      </c>
      <c r="AH1825" s="34" t="s">
        <v>7856</v>
      </c>
      <c r="AL1825" s="34" t="s">
        <v>3709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7" t="str">
        <f>IFERROR(INDEX(Структура_ассортимента[SuperCategory],MATCH(Товары[[#This Row],[SubGroup]],Структура_ассортимента[Subgroup],0)),"")</f>
        <v>W</v>
      </c>
      <c r="D182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7" t="str">
        <f>IFERROR(INDEX(Структура_ассортимента[Product group],MATCH(Товары[[#This Row],[SubGroup]],Структура_ассортимента[Subgroup],0)),"")</f>
        <v>WSS_C</v>
      </c>
      <c r="G182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3367</v>
      </c>
      <c r="Q1826" s="39" t="s">
        <v>3416</v>
      </c>
      <c r="R1826" s="34" t="s">
        <v>3407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3410</v>
      </c>
      <c r="X1826" s="34" t="s">
        <v>3446</v>
      </c>
      <c r="Y1826" s="34" t="s">
        <v>3409</v>
      </c>
      <c r="Z1826" s="34">
        <v>4</v>
      </c>
      <c r="AA1826" s="34" t="s">
        <v>6330</v>
      </c>
      <c r="AB1826" s="34" t="s">
        <v>4267</v>
      </c>
      <c r="AC1826" s="34" t="s">
        <v>3982</v>
      </c>
      <c r="AD1826" s="34" t="s">
        <v>3597</v>
      </c>
      <c r="AE1826" s="34" t="s">
        <v>6477</v>
      </c>
      <c r="AF1826" s="34" t="s">
        <v>4048</v>
      </c>
      <c r="AG1826" s="34" t="s">
        <v>3610</v>
      </c>
      <c r="AH1826" s="34" t="s">
        <v>7863</v>
      </c>
      <c r="AL1826" s="34" t="s">
        <v>3614</v>
      </c>
      <c r="AM1826" s="34" t="s">
        <v>7962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7" t="str">
        <f>IFERROR(INDEX(Структура_ассортимента[SuperCategory],MATCH(Товары[[#This Row],[SubGroup]],Структура_ассортимента[Subgroup],0)),"")</f>
        <v>W</v>
      </c>
      <c r="D182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7" t="str">
        <f>IFERROR(INDEX(Структура_ассортимента[Product group],MATCH(Товары[[#This Row],[SubGroup]],Структура_ассортимента[Subgroup],0)),"")</f>
        <v>WSS_C</v>
      </c>
      <c r="G182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3368</v>
      </c>
      <c r="Q1827" s="39" t="s">
        <v>3416</v>
      </c>
      <c r="R1827" s="34" t="s">
        <v>3407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3410</v>
      </c>
      <c r="X1827" s="34" t="s">
        <v>3446</v>
      </c>
      <c r="Y1827" s="34" t="s">
        <v>3409</v>
      </c>
      <c r="Z1827" s="34">
        <v>4</v>
      </c>
      <c r="AA1827" s="34" t="s">
        <v>6691</v>
      </c>
      <c r="AB1827" s="34" t="s">
        <v>3557</v>
      </c>
      <c r="AC1827" s="34" t="s">
        <v>7864</v>
      </c>
      <c r="AD1827" s="34" t="s">
        <v>4008</v>
      </c>
      <c r="AE1827" s="34" t="s">
        <v>3844</v>
      </c>
      <c r="AF1827" s="34" t="s">
        <v>3798</v>
      </c>
      <c r="AG1827" s="34" t="s">
        <v>3809</v>
      </c>
      <c r="AH1827" s="34" t="s">
        <v>7865</v>
      </c>
      <c r="AL1827" s="34" t="s">
        <v>3614</v>
      </c>
      <c r="AM1827" s="34" t="s">
        <v>7962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7" t="str">
        <f>IFERROR(INDEX(Структура_ассортимента[SuperCategory],MATCH(Товары[[#This Row],[SubGroup]],Структура_ассортимента[Subgroup],0)),"")</f>
        <v>W</v>
      </c>
      <c r="D182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7" t="str">
        <f>IFERROR(INDEX(Структура_ассортимента[Product group],MATCH(Товары[[#This Row],[SubGroup]],Структура_ассортимента[Subgroup],0)),"")</f>
        <v>WSS_C</v>
      </c>
      <c r="G182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3369</v>
      </c>
      <c r="O1828" s="37" t="s">
        <v>7866</v>
      </c>
      <c r="P1828" s="37" t="s">
        <v>7867</v>
      </c>
      <c r="Q1828" s="39" t="s">
        <v>3416</v>
      </c>
      <c r="R1828" s="34" t="s">
        <v>3407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3410</v>
      </c>
      <c r="X1828" s="34" t="s">
        <v>3446</v>
      </c>
      <c r="Y1828" s="34" t="s">
        <v>3409</v>
      </c>
      <c r="Z1828" s="34">
        <v>4</v>
      </c>
      <c r="AA1828" s="34" t="s">
        <v>7868</v>
      </c>
      <c r="AB1828" s="34" t="s">
        <v>4998</v>
      </c>
      <c r="AC1828" s="34" t="s">
        <v>7869</v>
      </c>
      <c r="AD1828" s="34" t="s">
        <v>4003</v>
      </c>
      <c r="AE1828" s="34" t="s">
        <v>3854</v>
      </c>
      <c r="AF1828" s="34" t="s">
        <v>3578</v>
      </c>
      <c r="AG1828" s="34" t="s">
        <v>3864</v>
      </c>
      <c r="AH1828" s="34" t="s">
        <v>7870</v>
      </c>
      <c r="AL1828" s="34" t="s">
        <v>3429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7" t="str">
        <f>IFERROR(INDEX(Структура_ассортимента[SuperCategory],MATCH(Товары[[#This Row],[SubGroup]],Структура_ассортимента[Subgroup],0)),"")</f>
        <v>W</v>
      </c>
      <c r="D182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7" t="str">
        <f>IFERROR(INDEX(Структура_ассортимента[Product group],MATCH(Товары[[#This Row],[SubGroup]],Структура_ассортимента[Subgroup],0)),"")</f>
        <v>WSS_C</v>
      </c>
      <c r="G182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3370</v>
      </c>
      <c r="Q1829" s="39" t="s">
        <v>3416</v>
      </c>
      <c r="R1829" s="34" t="s">
        <v>3407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3410</v>
      </c>
      <c r="X1829" s="34" t="s">
        <v>3446</v>
      </c>
      <c r="Y1829" s="34" t="s">
        <v>3409</v>
      </c>
      <c r="Z1829" s="34">
        <v>38</v>
      </c>
      <c r="AA1829" s="34" t="s">
        <v>4720</v>
      </c>
      <c r="AB1829" s="34" t="s">
        <v>4720</v>
      </c>
      <c r="AC1829" s="34" t="s">
        <v>4369</v>
      </c>
      <c r="AD1829" s="34" t="s">
        <v>4369</v>
      </c>
      <c r="AE1829" s="34" t="s">
        <v>3692</v>
      </c>
      <c r="AF1829" s="34" t="s">
        <v>3969</v>
      </c>
      <c r="AG1829" s="34" t="s">
        <v>3798</v>
      </c>
      <c r="AH1829" s="34" t="s">
        <v>7848</v>
      </c>
      <c r="AL1829" s="34" t="s">
        <v>7871</v>
      </c>
      <c r="AM1829" s="34" t="s">
        <v>7962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7" t="str">
        <f>IFERROR(INDEX(Структура_ассортимента[SuperCategory],MATCH(Товары[[#This Row],[SubGroup]],Структура_ассортимента[Subgroup],0)),"")</f>
        <v>W</v>
      </c>
      <c r="D183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7" t="str">
        <f>IFERROR(INDEX(Структура_ассортимента[Product group],MATCH(Товары[[#This Row],[SubGroup]],Структура_ассортимента[Subgroup],0)),"")</f>
        <v>WSS_C</v>
      </c>
      <c r="G183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3371</v>
      </c>
      <c r="Q1830" s="39" t="s">
        <v>3416</v>
      </c>
      <c r="R1830" s="34" t="s">
        <v>3407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3410</v>
      </c>
      <c r="X1830" s="34" t="s">
        <v>3446</v>
      </c>
      <c r="Y1830" s="34" t="s">
        <v>3409</v>
      </c>
      <c r="Z1830" s="34">
        <v>3</v>
      </c>
      <c r="AA1830" s="34" t="s">
        <v>7872</v>
      </c>
      <c r="AB1830" s="34" t="s">
        <v>6060</v>
      </c>
      <c r="AC1830" s="34" t="s">
        <v>7873</v>
      </c>
      <c r="AD1830" s="34" t="s">
        <v>7873</v>
      </c>
      <c r="AE1830" s="34" t="s">
        <v>4090</v>
      </c>
      <c r="AF1830" s="34" t="s">
        <v>3433</v>
      </c>
      <c r="AG1830" s="34" t="s">
        <v>4090</v>
      </c>
      <c r="AH1830" s="34" t="s">
        <v>7874</v>
      </c>
      <c r="AL1830" s="34" t="s">
        <v>5300</v>
      </c>
      <c r="AM1830" s="34" t="s">
        <v>7962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7" t="str">
        <f>IFERROR(INDEX(Структура_ассортимента[SuperCategory],MATCH(Товары[[#This Row],[SubGroup]],Структура_ассортимента[Subgroup],0)),"")</f>
        <v>W</v>
      </c>
      <c r="D183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7" t="str">
        <f>IFERROR(INDEX(Структура_ассортимента[Product group],MATCH(Товары[[#This Row],[SubGroup]],Структура_ассортимента[Subgroup],0)),"")</f>
        <v>WSS_C</v>
      </c>
      <c r="G183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3372</v>
      </c>
      <c r="Q1831" s="39" t="s">
        <v>3416</v>
      </c>
      <c r="R1831" s="34" t="s">
        <v>3407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3410</v>
      </c>
      <c r="X1831" s="34" t="s">
        <v>3446</v>
      </c>
      <c r="Y1831" s="34" t="s">
        <v>3409</v>
      </c>
      <c r="Z1831" s="34">
        <v>2</v>
      </c>
      <c r="AA1831" s="34" t="s">
        <v>7875</v>
      </c>
      <c r="AB1831" s="34" t="s">
        <v>7876</v>
      </c>
      <c r="AC1831" s="34" t="s">
        <v>7877</v>
      </c>
      <c r="AD1831" s="34" t="s">
        <v>7877</v>
      </c>
      <c r="AE1831" s="34" t="s">
        <v>4090</v>
      </c>
      <c r="AF1831" s="34" t="s">
        <v>4287</v>
      </c>
      <c r="AG1831" s="34" t="s">
        <v>3433</v>
      </c>
      <c r="AH1831" s="34" t="s">
        <v>7878</v>
      </c>
      <c r="AL1831" s="34" t="s">
        <v>3714</v>
      </c>
      <c r="AM1831" s="34" t="s">
        <v>7962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7" t="str">
        <f>IFERROR(INDEX(Структура_ассортимента[SuperCategory],MATCH(Товары[[#This Row],[SubGroup]],Структура_ассортимента[Subgroup],0)),"")</f>
        <v>W</v>
      </c>
      <c r="D183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7" t="str">
        <f>IFERROR(INDEX(Структура_ассортимента[Product group],MATCH(Товары[[#This Row],[SubGroup]],Структура_ассортимента[Subgroup],0)),"")</f>
        <v>WSS_C</v>
      </c>
      <c r="G183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3373</v>
      </c>
      <c r="O1832" s="37" t="s">
        <v>7879</v>
      </c>
      <c r="P1832" s="37" t="s">
        <v>7880</v>
      </c>
      <c r="Q1832" s="39" t="s">
        <v>3416</v>
      </c>
      <c r="R1832" s="34" t="s">
        <v>3407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3413</v>
      </c>
      <c r="X1832" s="34" t="s">
        <v>3774</v>
      </c>
      <c r="Y1832" s="34" t="s">
        <v>3409</v>
      </c>
      <c r="Z1832" s="34">
        <v>1</v>
      </c>
      <c r="AA1832" s="34" t="s">
        <v>5257</v>
      </c>
      <c r="AB1832" s="34" t="s">
        <v>5257</v>
      </c>
      <c r="AC1832" s="34" t="s">
        <v>5314</v>
      </c>
      <c r="AD1832" s="34" t="s">
        <v>7829</v>
      </c>
      <c r="AE1832" s="34" t="s">
        <v>3721</v>
      </c>
      <c r="AF1832" s="34" t="s">
        <v>3721</v>
      </c>
      <c r="AG1832" s="34" t="s">
        <v>3424</v>
      </c>
      <c r="AH1832" s="34" t="s">
        <v>7881</v>
      </c>
      <c r="AL1832" s="34" t="s">
        <v>6603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7" t="str">
        <f>IFERROR(INDEX(Структура_ассортимента[SuperCategory],MATCH(Товары[[#This Row],[SubGroup]],Структура_ассортимента[Subgroup],0)),"")</f>
        <v>W</v>
      </c>
      <c r="D183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7" t="str">
        <f>IFERROR(INDEX(Структура_ассортимента[Product group],MATCH(Товары[[#This Row],[SubGroup]],Структура_ассортимента[Subgroup],0)),"")</f>
        <v>WSS_C</v>
      </c>
      <c r="G183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3374</v>
      </c>
      <c r="O1833" s="37" t="s">
        <v>7882</v>
      </c>
      <c r="P1833" s="37" t="s">
        <v>7883</v>
      </c>
      <c r="Q1833" s="39" t="s">
        <v>3416</v>
      </c>
      <c r="R1833" s="34" t="s">
        <v>3407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3410</v>
      </c>
      <c r="X1833" s="34" t="s">
        <v>3446</v>
      </c>
      <c r="Y1833" s="34" t="s">
        <v>3409</v>
      </c>
      <c r="Z1833" s="34">
        <v>3</v>
      </c>
      <c r="AA1833" s="34" t="s">
        <v>7884</v>
      </c>
      <c r="AB1833" s="34" t="s">
        <v>7885</v>
      </c>
      <c r="AC1833" s="34" t="s">
        <v>7886</v>
      </c>
      <c r="AD1833" s="34" t="s">
        <v>7886</v>
      </c>
      <c r="AE1833" s="34" t="s">
        <v>6770</v>
      </c>
      <c r="AF1833" s="34" t="s">
        <v>3433</v>
      </c>
      <c r="AG1833" s="34" t="s">
        <v>4449</v>
      </c>
      <c r="AH1833" s="34" t="s">
        <v>7887</v>
      </c>
      <c r="AL1833" s="34" t="s">
        <v>4380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7" t="str">
        <f>IFERROR(INDEX(Структура_ассортимента[SuperCategory],MATCH(Товары[[#This Row],[SubGroup]],Структура_ассортимента[Subgroup],0)),"")</f>
        <v>W</v>
      </c>
      <c r="D183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7" t="str">
        <f>IFERROR(INDEX(Структура_ассортимента[Product group],MATCH(Товары[[#This Row],[SubGroup]],Структура_ассортимента[Subgroup],0)),"")</f>
        <v>WSS_C</v>
      </c>
      <c r="G183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3375</v>
      </c>
      <c r="Q1834" s="39" t="s">
        <v>3416</v>
      </c>
      <c r="R1834" s="34" t="s">
        <v>3407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3410</v>
      </c>
      <c r="X1834" s="34" t="s">
        <v>3774</v>
      </c>
      <c r="Y1834" s="34" t="s">
        <v>3409</v>
      </c>
      <c r="Z1834" s="34">
        <v>1</v>
      </c>
      <c r="AA1834" s="34">
        <v>17</v>
      </c>
      <c r="AB1834" s="34" t="s">
        <v>7888</v>
      </c>
      <c r="AC1834" s="34">
        <v>14</v>
      </c>
      <c r="AD1834" s="34" t="s">
        <v>5906</v>
      </c>
      <c r="AE1834" s="34" t="s">
        <v>6721</v>
      </c>
      <c r="AF1834" s="34" t="s">
        <v>6721</v>
      </c>
      <c r="AG1834" s="34" t="s">
        <v>3424</v>
      </c>
      <c r="AH1834" s="34" t="s">
        <v>7889</v>
      </c>
      <c r="AL1834" s="34" t="s">
        <v>7890</v>
      </c>
      <c r="AM1834" s="34" t="s">
        <v>7962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7" t="str">
        <f>IFERROR(INDEX(Структура_ассортимента[SuperCategory],MATCH(Товары[[#This Row],[SubGroup]],Структура_ассортимента[Subgroup],0)),"")</f>
        <v>W</v>
      </c>
      <c r="D183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7" t="str">
        <f>IFERROR(INDEX(Структура_ассортимента[Product group],MATCH(Товары[[#This Row],[SubGroup]],Структура_ассортимента[Subgroup],0)),"")</f>
        <v>WSS_C</v>
      </c>
      <c r="G183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3376</v>
      </c>
      <c r="O1835" s="37" t="s">
        <v>7891</v>
      </c>
      <c r="P1835" s="37" t="s">
        <v>7892</v>
      </c>
      <c r="Q1835" s="39" t="s">
        <v>3416</v>
      </c>
      <c r="R1835" s="34" t="s">
        <v>3407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3413</v>
      </c>
      <c r="X1835" s="34" t="s">
        <v>3654</v>
      </c>
      <c r="Y1835" s="34" t="s">
        <v>3409</v>
      </c>
      <c r="Z1835" s="34">
        <v>3</v>
      </c>
      <c r="AA1835" s="34">
        <v>1120</v>
      </c>
      <c r="AB1835" s="34" t="s">
        <v>3476</v>
      </c>
      <c r="AC1835" s="34">
        <v>947</v>
      </c>
      <c r="AD1835" s="34" t="s">
        <v>7893</v>
      </c>
      <c r="AE1835" s="34" t="s">
        <v>3522</v>
      </c>
      <c r="AF1835" s="34" t="s">
        <v>4041</v>
      </c>
      <c r="AG1835" s="34" t="s">
        <v>3621</v>
      </c>
      <c r="AH1835" s="34" t="s">
        <v>7894</v>
      </c>
      <c r="AL1835" s="34" t="s">
        <v>3429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7" t="str">
        <f>IFERROR(INDEX(Структура_ассортимента[SuperCategory],MATCH(Товары[[#This Row],[SubGroup]],Структура_ассортимента[Subgroup],0)),"")</f>
        <v>W</v>
      </c>
      <c r="D183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7" t="str">
        <f>IFERROR(INDEX(Структура_ассортимента[Product group],MATCH(Товары[[#This Row],[SubGroup]],Структура_ассортимента[Subgroup],0)),"")</f>
        <v>WSS_C</v>
      </c>
      <c r="G183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3377</v>
      </c>
      <c r="Q1836" s="39" t="s">
        <v>3416</v>
      </c>
      <c r="R1836" s="34" t="s">
        <v>3407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3410</v>
      </c>
      <c r="X1836" s="34" t="s">
        <v>3654</v>
      </c>
      <c r="Y1836" s="34" t="s">
        <v>3409</v>
      </c>
      <c r="Z1836" s="34">
        <v>10</v>
      </c>
      <c r="AB1836" s="34" t="s">
        <v>3476</v>
      </c>
      <c r="AD1836" s="34" t="s">
        <v>7893</v>
      </c>
      <c r="AE1836" s="34" t="s">
        <v>3522</v>
      </c>
      <c r="AF1836" s="34" t="s">
        <v>4041</v>
      </c>
      <c r="AG1836" s="34" t="s">
        <v>3621</v>
      </c>
      <c r="AH1836" s="34" t="s">
        <v>7894</v>
      </c>
      <c r="AL1836" s="34" t="s">
        <v>4483</v>
      </c>
      <c r="AM1836" s="34" t="s">
        <v>7962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7" t="str">
        <f>IFERROR(INDEX(Структура_ассортимента[SuperCategory],MATCH(Товары[[#This Row],[SubGroup]],Структура_ассортимента[Subgroup],0)),"")</f>
        <v>W</v>
      </c>
      <c r="D183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7" t="str">
        <f>IFERROR(INDEX(Структура_ассортимента[Product group],MATCH(Товары[[#This Row],[SubGroup]],Структура_ассортимента[Subgroup],0)),"")</f>
        <v>WSS_C</v>
      </c>
      <c r="G183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3378</v>
      </c>
      <c r="Q1837" s="39" t="s">
        <v>3416</v>
      </c>
      <c r="R1837" s="34" t="s">
        <v>3407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3410</v>
      </c>
      <c r="X1837" s="34" t="s">
        <v>3446</v>
      </c>
      <c r="Y1837" s="34" t="s">
        <v>3409</v>
      </c>
      <c r="Z1837" s="34">
        <v>2</v>
      </c>
      <c r="AB1837" s="34" t="s">
        <v>7895</v>
      </c>
      <c r="AD1837" s="34" t="s">
        <v>7896</v>
      </c>
      <c r="AE1837" s="34" t="s">
        <v>4859</v>
      </c>
      <c r="AF1837" s="34" t="s">
        <v>5152</v>
      </c>
      <c r="AG1837" s="34" t="s">
        <v>3423</v>
      </c>
      <c r="AH1837" s="34" t="s">
        <v>7894</v>
      </c>
      <c r="AL1837" s="34" t="s">
        <v>5309</v>
      </c>
      <c r="AM1837" s="34" t="s">
        <v>7962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7" t="str">
        <f>IFERROR(INDEX(Структура_ассортимента[SuperCategory],MATCH(Товары[[#This Row],[SubGroup]],Структура_ассортимента[Subgroup],0)),"")</f>
        <v>W</v>
      </c>
      <c r="D183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7" t="str">
        <f>IFERROR(INDEX(Структура_ассортимента[Product group],MATCH(Товары[[#This Row],[SubGroup]],Структура_ассортимента[Subgroup],0)),"")</f>
        <v>WSS_C</v>
      </c>
      <c r="G183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3379</v>
      </c>
      <c r="Q1838" s="39" t="s">
        <v>3416</v>
      </c>
      <c r="R1838" s="34" t="s">
        <v>3407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3410</v>
      </c>
      <c r="X1838" s="34" t="s">
        <v>3446</v>
      </c>
      <c r="Y1838" s="34" t="s">
        <v>3409</v>
      </c>
      <c r="Z1838" s="34">
        <v>8</v>
      </c>
      <c r="AB1838" s="34" t="s">
        <v>7895</v>
      </c>
      <c r="AD1838" s="34" t="s">
        <v>7896</v>
      </c>
      <c r="AE1838" s="34" t="s">
        <v>4859</v>
      </c>
      <c r="AF1838" s="34" t="s">
        <v>5152</v>
      </c>
      <c r="AG1838" s="34" t="s">
        <v>3423</v>
      </c>
      <c r="AH1838" s="34" t="s">
        <v>7897</v>
      </c>
      <c r="AL1838" s="34" t="s">
        <v>4188</v>
      </c>
      <c r="AM1838" s="34" t="s">
        <v>7962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7" t="str">
        <f>IFERROR(INDEX(Структура_ассортимента[SuperCategory],MATCH(Товары[[#This Row],[SubGroup]],Структура_ассортимента[Subgroup],0)),"")</f>
        <v>W</v>
      </c>
      <c r="D183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7" t="str">
        <f>IFERROR(INDEX(Структура_ассортимента[Product group],MATCH(Товары[[#This Row],[SubGroup]],Структура_ассортимента[Subgroup],0)),"")</f>
        <v>WSS_C</v>
      </c>
      <c r="G183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3380</v>
      </c>
      <c r="O1839" s="37" t="s">
        <v>7898</v>
      </c>
      <c r="P1839" s="37" t="s">
        <v>7899</v>
      </c>
      <c r="Q1839" s="39" t="s">
        <v>3416</v>
      </c>
      <c r="R1839" s="34" t="s">
        <v>3407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3410</v>
      </c>
      <c r="X1839" s="34" t="s">
        <v>3446</v>
      </c>
      <c r="Y1839" s="34" t="s">
        <v>3409</v>
      </c>
      <c r="Z1839" s="34">
        <v>1</v>
      </c>
      <c r="AA1839" s="34">
        <v>3702</v>
      </c>
      <c r="AB1839" s="34" t="s">
        <v>7900</v>
      </c>
      <c r="AC1839" s="34">
        <v>3169</v>
      </c>
      <c r="AD1839" s="34" t="s">
        <v>7901</v>
      </c>
      <c r="AE1839" s="34" t="s">
        <v>7902</v>
      </c>
      <c r="AF1839" s="34" t="s">
        <v>4470</v>
      </c>
      <c r="AG1839" s="34" t="s">
        <v>4869</v>
      </c>
      <c r="AH1839" s="34" t="s">
        <v>7903</v>
      </c>
      <c r="AI1839" s="34" t="s">
        <v>4231</v>
      </c>
      <c r="AJ1839" s="34" t="s">
        <v>4193</v>
      </c>
      <c r="AK1839" s="34" t="s">
        <v>3575</v>
      </c>
      <c r="AL1839" s="34" t="s">
        <v>7904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7" t="str">
        <f>IFERROR(INDEX(Структура_ассортимента[SuperCategory],MATCH(Товары[[#This Row],[SubGroup]],Структура_ассортимента[Subgroup],0)),"")</f>
        <v>W</v>
      </c>
      <c r="D184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7" t="str">
        <f>IFERROR(INDEX(Структура_ассортимента[Product group],MATCH(Товары[[#This Row],[SubGroup]],Структура_ассортимента[Subgroup],0)),"")</f>
        <v>WSS_C</v>
      </c>
      <c r="G184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3381</v>
      </c>
      <c r="O1840" s="37" t="s">
        <v>7905</v>
      </c>
      <c r="P1840" s="37" t="s">
        <v>7906</v>
      </c>
      <c r="Q1840" s="39" t="s">
        <v>3416</v>
      </c>
      <c r="R1840" s="34" t="s">
        <v>3407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3410</v>
      </c>
      <c r="X1840" s="34" t="s">
        <v>3446</v>
      </c>
      <c r="Y1840" s="34" t="s">
        <v>3409</v>
      </c>
      <c r="Z1840" s="34">
        <v>1</v>
      </c>
      <c r="AA1840" s="34">
        <v>800</v>
      </c>
      <c r="AB1840" s="34" t="s">
        <v>4575</v>
      </c>
      <c r="AC1840" s="34">
        <v>650</v>
      </c>
      <c r="AD1840" s="34" t="s">
        <v>4582</v>
      </c>
      <c r="AE1840" s="34" t="s">
        <v>4307</v>
      </c>
      <c r="AF1840" s="34" t="s">
        <v>4307</v>
      </c>
      <c r="AG1840" s="34" t="s">
        <v>3842</v>
      </c>
      <c r="AH1840" s="34" t="s">
        <v>7907</v>
      </c>
      <c r="AI1840" s="34" t="s">
        <v>3732</v>
      </c>
      <c r="AJ1840" s="34" t="s">
        <v>4193</v>
      </c>
      <c r="AK1840" s="34" t="s">
        <v>3732</v>
      </c>
      <c r="AL1840" s="34" t="s">
        <v>3697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7" t="str">
        <f>IFERROR(INDEX(Структура_ассортимента[SuperCategory],MATCH(Товары[[#This Row],[SubGroup]],Структура_ассортимента[Subgroup],0)),"")</f>
        <v>W</v>
      </c>
      <c r="D184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7" t="str">
        <f>IFERROR(INDEX(Структура_ассортимента[Product group],MATCH(Товары[[#This Row],[SubGroup]],Структура_ассортимента[Subgroup],0)),"")</f>
        <v>WSS_C</v>
      </c>
      <c r="G184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3382</v>
      </c>
      <c r="O1841" s="37" t="s">
        <v>7908</v>
      </c>
      <c r="P1841" s="37" t="s">
        <v>7909</v>
      </c>
      <c r="Q1841" s="39" t="s">
        <v>3416</v>
      </c>
      <c r="R1841" s="34" t="s">
        <v>3407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3410</v>
      </c>
      <c r="X1841" s="34" t="s">
        <v>3446</v>
      </c>
      <c r="Y1841" s="34" t="s">
        <v>3409</v>
      </c>
      <c r="Z1841" s="34">
        <v>3</v>
      </c>
      <c r="AA1841" s="34">
        <v>300</v>
      </c>
      <c r="AB1841" s="34" t="s">
        <v>3558</v>
      </c>
      <c r="AC1841" s="34">
        <v>276</v>
      </c>
      <c r="AD1841" s="34" t="s">
        <v>7910</v>
      </c>
      <c r="AE1841" s="34" t="s">
        <v>3621</v>
      </c>
      <c r="AF1841" s="34" t="s">
        <v>3692</v>
      </c>
      <c r="AG1841" s="34" t="s">
        <v>3441</v>
      </c>
      <c r="AH1841" s="34" t="s">
        <v>4514</v>
      </c>
      <c r="AL1841" s="34" t="s">
        <v>4169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7" t="str">
        <f>IFERROR(INDEX(Структура_ассортимента[SuperCategory],MATCH(Товары[[#This Row],[SubGroup]],Структура_ассортимента[Subgroup],0)),"")</f>
        <v>W</v>
      </c>
      <c r="D184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7" t="str">
        <f>IFERROR(INDEX(Структура_ассортимента[Product group],MATCH(Товары[[#This Row],[SubGroup]],Структура_ассортимента[Subgroup],0)),"")</f>
        <v>WSS_C</v>
      </c>
      <c r="G184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3383</v>
      </c>
      <c r="O1842" s="37" t="s">
        <v>7911</v>
      </c>
      <c r="P1842" s="37" t="s">
        <v>7912</v>
      </c>
      <c r="Q1842" s="39" t="s">
        <v>3416</v>
      </c>
      <c r="R1842" s="34" t="s">
        <v>3407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3410</v>
      </c>
      <c r="X1842" s="34" t="s">
        <v>3446</v>
      </c>
      <c r="Y1842" s="34" t="s">
        <v>3409</v>
      </c>
      <c r="Z1842" s="34">
        <v>3</v>
      </c>
      <c r="AA1842" s="34">
        <v>300</v>
      </c>
      <c r="AB1842" s="34" t="s">
        <v>4720</v>
      </c>
      <c r="AC1842" s="34">
        <v>231</v>
      </c>
      <c r="AD1842" s="34" t="s">
        <v>4786</v>
      </c>
      <c r="AE1842" s="34" t="s">
        <v>3621</v>
      </c>
      <c r="AF1842" s="34" t="s">
        <v>3692</v>
      </c>
      <c r="AG1842" s="34" t="s">
        <v>3441</v>
      </c>
      <c r="AH1842" s="34" t="s">
        <v>4514</v>
      </c>
      <c r="AL1842" s="34" t="s">
        <v>4169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7" t="str">
        <f>IFERROR(INDEX(Структура_ассортимента[SuperCategory],MATCH(Товары[[#This Row],[SubGroup]],Структура_ассортимента[Subgroup],0)),"")</f>
        <v>W</v>
      </c>
      <c r="D184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7" t="str">
        <f>IFERROR(INDEX(Структура_ассортимента[Product group],MATCH(Товары[[#This Row],[SubGroup]],Структура_ассортимента[Subgroup],0)),"")</f>
        <v>WSS_C</v>
      </c>
      <c r="G184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3384</v>
      </c>
      <c r="Q1843" s="39" t="s">
        <v>3416</v>
      </c>
      <c r="R1843" s="34" t="s">
        <v>3407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3410</v>
      </c>
      <c r="X1843" s="34" t="s">
        <v>3446</v>
      </c>
      <c r="Y1843" s="34" t="s">
        <v>3409</v>
      </c>
      <c r="Z1843" s="34">
        <v>3</v>
      </c>
      <c r="AB1843" s="34" t="s">
        <v>5475</v>
      </c>
      <c r="AD1843" s="34" t="s">
        <v>4620</v>
      </c>
      <c r="AE1843" s="34" t="s">
        <v>5195</v>
      </c>
      <c r="AF1843" s="34" t="s">
        <v>4248</v>
      </c>
      <c r="AG1843" s="34" t="s">
        <v>7913</v>
      </c>
      <c r="AH1843" s="34" t="s">
        <v>7914</v>
      </c>
      <c r="AL1843" s="34" t="s">
        <v>7915</v>
      </c>
      <c r="AM1843" s="34" t="s">
        <v>7962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7" t="str">
        <f>IFERROR(INDEX(Структура_ассортимента[SuperCategory],MATCH(Товары[[#This Row],[SubGroup]],Структура_ассортимента[Subgroup],0)),"")</f>
        <v>W</v>
      </c>
      <c r="D184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7" t="str">
        <f>IFERROR(INDEX(Структура_ассортимента[Product group],MATCH(Товары[[#This Row],[SubGroup]],Структура_ассортимента[Subgroup],0)),"")</f>
        <v>WSS_C</v>
      </c>
      <c r="G184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3385</v>
      </c>
      <c r="O1844" s="37" t="s">
        <v>7916</v>
      </c>
      <c r="P1844" s="37" t="s">
        <v>7917</v>
      </c>
      <c r="Q1844" s="39" t="s">
        <v>3416</v>
      </c>
      <c r="R1844" s="34" t="s">
        <v>3407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3410</v>
      </c>
      <c r="X1844" s="34" t="s">
        <v>3446</v>
      </c>
      <c r="Y1844" s="34" t="s">
        <v>3409</v>
      </c>
      <c r="Z1844" s="34">
        <v>3</v>
      </c>
      <c r="AA1844" s="34">
        <v>180</v>
      </c>
      <c r="AB1844" s="34" t="s">
        <v>3869</v>
      </c>
      <c r="AC1844" s="34">
        <v>158</v>
      </c>
      <c r="AD1844" s="34" t="s">
        <v>6999</v>
      </c>
      <c r="AE1844" s="34" t="s">
        <v>3459</v>
      </c>
      <c r="AF1844" s="34" t="s">
        <v>3478</v>
      </c>
      <c r="AG1844" s="34" t="s">
        <v>3692</v>
      </c>
      <c r="AH1844" s="34" t="s">
        <v>7918</v>
      </c>
      <c r="AI1844" s="34" t="s">
        <v>4221</v>
      </c>
      <c r="AJ1844" s="34" t="s">
        <v>6367</v>
      </c>
      <c r="AK1844" s="34" t="s">
        <v>4059</v>
      </c>
      <c r="AL1844" s="34" t="s">
        <v>5067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7" t="str">
        <f>IFERROR(INDEX(Структура_ассортимента[SuperCategory],MATCH(Товары[[#This Row],[SubGroup]],Структура_ассортимента[Subgroup],0)),"")</f>
        <v>W</v>
      </c>
      <c r="D184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7" t="str">
        <f>IFERROR(INDEX(Структура_ассортимента[Product group],MATCH(Товары[[#This Row],[SubGroup]],Структура_ассортимента[Subgroup],0)),"")</f>
        <v>WSS_C</v>
      </c>
      <c r="G184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3386</v>
      </c>
      <c r="O1845" s="37" t="s">
        <v>7919</v>
      </c>
      <c r="P1845" s="37" t="s">
        <v>7920</v>
      </c>
      <c r="Q1845" s="39" t="s">
        <v>3416</v>
      </c>
      <c r="R1845" s="34" t="s">
        <v>3407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3410</v>
      </c>
      <c r="X1845" s="34" t="s">
        <v>3446</v>
      </c>
      <c r="Y1845" s="34" t="s">
        <v>3409</v>
      </c>
      <c r="Z1845" s="34">
        <v>3</v>
      </c>
      <c r="AA1845" s="34">
        <v>250</v>
      </c>
      <c r="AB1845" s="34" t="s">
        <v>4256</v>
      </c>
      <c r="AC1845" s="34">
        <v>243</v>
      </c>
      <c r="AD1845" s="34" t="s">
        <v>6209</v>
      </c>
      <c r="AE1845" s="34" t="s">
        <v>3459</v>
      </c>
      <c r="AF1845" s="34" t="s">
        <v>3478</v>
      </c>
      <c r="AG1845" s="34" t="s">
        <v>3692</v>
      </c>
      <c r="AH1845" s="34" t="s">
        <v>7918</v>
      </c>
      <c r="AL1845" s="34" t="s">
        <v>5067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7" t="str">
        <f>IFERROR(INDEX(Структура_ассортимента[SuperCategory],MATCH(Товары[[#This Row],[SubGroup]],Структура_ассортимента[Subgroup],0)),"")</f>
        <v>W</v>
      </c>
      <c r="D184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7" t="str">
        <f>IFERROR(INDEX(Структура_ассортимента[Product group],MATCH(Товары[[#This Row],[SubGroup]],Структура_ассортимента[Subgroup],0)),"")</f>
        <v>WSS_C</v>
      </c>
      <c r="G184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3387</v>
      </c>
      <c r="O1846" s="37" t="s">
        <v>7921</v>
      </c>
      <c r="P1846" s="37" t="s">
        <v>7922</v>
      </c>
      <c r="Q1846" s="39" t="s">
        <v>3416</v>
      </c>
      <c r="R1846" s="34" t="s">
        <v>3407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3410</v>
      </c>
      <c r="X1846" s="34" t="s">
        <v>3446</v>
      </c>
      <c r="Y1846" s="34" t="s">
        <v>3409</v>
      </c>
      <c r="Z1846" s="34">
        <v>10</v>
      </c>
      <c r="AA1846" s="34">
        <v>50</v>
      </c>
      <c r="AB1846" s="34" t="s">
        <v>5500</v>
      </c>
      <c r="AC1846" s="34">
        <v>44</v>
      </c>
      <c r="AD1846" s="34" t="s">
        <v>6957</v>
      </c>
      <c r="AE1846" s="34" t="s">
        <v>3560</v>
      </c>
      <c r="AF1846" s="34" t="s">
        <v>3443</v>
      </c>
      <c r="AG1846" s="34" t="s">
        <v>4992</v>
      </c>
      <c r="AH1846" s="34" t="s">
        <v>7923</v>
      </c>
      <c r="AL1846" s="34" t="s">
        <v>6503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7" t="str">
        <f>IFERROR(INDEX(Структура_ассортимента[SuperCategory],MATCH(Товары[[#This Row],[SubGroup]],Структура_ассортимента[Subgroup],0)),"")</f>
        <v>W</v>
      </c>
      <c r="D184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7" t="str">
        <f>IFERROR(INDEX(Структура_ассортимента[Product group],MATCH(Товары[[#This Row],[SubGroup]],Структура_ассортимента[Subgroup],0)),"")</f>
        <v>WSS_C</v>
      </c>
      <c r="G184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3388</v>
      </c>
      <c r="O1847" s="37" t="s">
        <v>7924</v>
      </c>
      <c r="P1847" s="37" t="s">
        <v>7925</v>
      </c>
      <c r="Q1847" s="39" t="s">
        <v>3416</v>
      </c>
      <c r="R1847" s="34" t="s">
        <v>3407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3410</v>
      </c>
      <c r="X1847" s="34" t="s">
        <v>3446</v>
      </c>
      <c r="Y1847" s="34" t="s">
        <v>3409</v>
      </c>
      <c r="Z1847" s="34">
        <v>10</v>
      </c>
      <c r="AA1847" s="34">
        <v>75</v>
      </c>
      <c r="AB1847" s="34" t="s">
        <v>3596</v>
      </c>
      <c r="AC1847" s="34">
        <v>69</v>
      </c>
      <c r="AD1847" s="34" t="s">
        <v>6643</v>
      </c>
      <c r="AE1847" s="34" t="s">
        <v>3560</v>
      </c>
      <c r="AF1847" s="34" t="s">
        <v>3443</v>
      </c>
      <c r="AG1847" s="34" t="s">
        <v>4992</v>
      </c>
      <c r="AH1847" s="34" t="s">
        <v>7923</v>
      </c>
      <c r="AI1847" s="34" t="s">
        <v>4048</v>
      </c>
      <c r="AJ1847" s="34" t="s">
        <v>4048</v>
      </c>
      <c r="AK1847" s="34" t="s">
        <v>4056</v>
      </c>
      <c r="AL1847" s="34" t="s">
        <v>5523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7" t="str">
        <f>IFERROR(INDEX(Структура_ассортимента[SuperCategory],MATCH(Товары[[#This Row],[SubGroup]],Структура_ассортимента[Subgroup],0)),"")</f>
        <v>W</v>
      </c>
      <c r="D184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7" t="str">
        <f>IFERROR(INDEX(Структура_ассортимента[Product group],MATCH(Товары[[#This Row],[SubGroup]],Структура_ассортимента[Subgroup],0)),"")</f>
        <v>WSS_C</v>
      </c>
      <c r="G184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3389</v>
      </c>
      <c r="Q1848" s="39" t="s">
        <v>3416</v>
      </c>
      <c r="R1848" s="34" t="s">
        <v>3407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3410</v>
      </c>
      <c r="X1848" s="34" t="s">
        <v>3446</v>
      </c>
      <c r="Y1848" s="34" t="s">
        <v>3409</v>
      </c>
      <c r="Z1848" s="34">
        <v>1</v>
      </c>
      <c r="AA1848" s="34">
        <v>0</v>
      </c>
      <c r="AB1848" s="34" t="s">
        <v>7926</v>
      </c>
      <c r="AC1848" s="34">
        <v>0</v>
      </c>
      <c r="AD1848" s="34" t="s">
        <v>7322</v>
      </c>
      <c r="AE1848" s="34" t="s">
        <v>5392</v>
      </c>
      <c r="AF1848" s="34" t="s">
        <v>3969</v>
      </c>
      <c r="AG1848" s="34" t="s">
        <v>7927</v>
      </c>
      <c r="AH1848" s="34" t="s">
        <v>7928</v>
      </c>
      <c r="AI1848" s="34" t="s">
        <v>4231</v>
      </c>
      <c r="AJ1848" s="34" t="s">
        <v>3554</v>
      </c>
      <c r="AK1848" s="34" t="s">
        <v>3575</v>
      </c>
      <c r="AL1848" s="34" t="s">
        <v>7612</v>
      </c>
      <c r="AM1848" s="34" t="s">
        <v>7962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7" t="str">
        <f>IFERROR(INDEX(Структура_ассортимента[SuperCategory],MATCH(Товары[[#This Row],[SubGroup]],Структура_ассортимента[Subgroup],0)),"")</f>
        <v>W</v>
      </c>
      <c r="D184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7" t="str">
        <f>IFERROR(INDEX(Структура_ассортимента[Product group],MATCH(Товары[[#This Row],[SubGroup]],Структура_ассортимента[Subgroup],0)),"")</f>
        <v>WSS_C</v>
      </c>
      <c r="G184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3390</v>
      </c>
      <c r="Q1849" s="39" t="s">
        <v>3416</v>
      </c>
      <c r="R1849" s="34" t="s">
        <v>3407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3410</v>
      </c>
      <c r="X1849" s="34" t="s">
        <v>3446</v>
      </c>
      <c r="Y1849" s="34" t="s">
        <v>3409</v>
      </c>
      <c r="Z1849" s="34">
        <v>10</v>
      </c>
      <c r="AA1849" s="34" t="s">
        <v>6322</v>
      </c>
      <c r="AB1849" s="34" t="s">
        <v>6322</v>
      </c>
      <c r="AC1849" s="34" t="s">
        <v>3670</v>
      </c>
      <c r="AD1849" s="34" t="s">
        <v>3670</v>
      </c>
      <c r="AE1849" s="34" t="s">
        <v>3560</v>
      </c>
      <c r="AF1849" s="34" t="s">
        <v>3667</v>
      </c>
      <c r="AG1849" s="34" t="s">
        <v>4218</v>
      </c>
      <c r="AH1849" s="34" t="s">
        <v>6417</v>
      </c>
      <c r="AI1849" s="34" t="s">
        <v>4647</v>
      </c>
      <c r="AJ1849" s="34" t="s">
        <v>5015</v>
      </c>
      <c r="AK1849" s="34" t="s">
        <v>4647</v>
      </c>
      <c r="AL1849" s="34">
        <v>1320</v>
      </c>
      <c r="AM1849" s="34" t="s">
        <v>7962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7" t="str">
        <f>IFERROR(INDEX(Структура_ассортимента[SuperCategory],MATCH(Товары[[#This Row],[SubGroup]],Структура_ассортимента[Subgroup],0)),"")</f>
        <v>W</v>
      </c>
      <c r="D185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7" t="str">
        <f>IFERROR(INDEX(Структура_ассортимента[Product group],MATCH(Товары[[#This Row],[SubGroup]],Структура_ассортимента[Subgroup],0)),"")</f>
        <v>WSS_C</v>
      </c>
      <c r="G185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3391</v>
      </c>
      <c r="O1850" s="37" t="s">
        <v>7929</v>
      </c>
      <c r="P1850" s="37" t="s">
        <v>7930</v>
      </c>
      <c r="Q1850" s="39" t="s">
        <v>3416</v>
      </c>
      <c r="R1850" s="34" t="s">
        <v>3407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3410</v>
      </c>
      <c r="X1850" s="34" t="s">
        <v>3446</v>
      </c>
      <c r="Y1850" s="34" t="s">
        <v>3409</v>
      </c>
      <c r="Z1850" s="34">
        <v>10</v>
      </c>
      <c r="AA1850" s="34" t="s">
        <v>3674</v>
      </c>
      <c r="AB1850" s="34" t="s">
        <v>3674</v>
      </c>
      <c r="AC1850" s="34" t="s">
        <v>3678</v>
      </c>
      <c r="AD1850" s="34" t="s">
        <v>3678</v>
      </c>
      <c r="AE1850" s="34" t="s">
        <v>3560</v>
      </c>
      <c r="AF1850" s="34" t="s">
        <v>3667</v>
      </c>
      <c r="AG1850" s="34" t="s">
        <v>7011</v>
      </c>
      <c r="AH1850" s="34" t="s">
        <v>5515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7" t="str">
        <f>IFERROR(INDEX(Структура_ассортимента[SuperCategory],MATCH(Товары[[#This Row],[SubGroup]],Структура_ассортимента[Subgroup],0)),"")</f>
        <v>W</v>
      </c>
      <c r="D185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7" t="str">
        <f>IFERROR(INDEX(Структура_ассортимента[Product group],MATCH(Товары[[#This Row],[SubGroup]],Структура_ассортимента[Subgroup],0)),"")</f>
        <v>WSS_C</v>
      </c>
      <c r="G185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3392</v>
      </c>
      <c r="O1851" s="37" t="s">
        <v>7929</v>
      </c>
      <c r="P1851" s="37" t="s">
        <v>7931</v>
      </c>
      <c r="Q1851" s="39" t="s">
        <v>3416</v>
      </c>
      <c r="R1851" s="34" t="s">
        <v>3407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3410</v>
      </c>
      <c r="X1851" s="34" t="s">
        <v>3446</v>
      </c>
      <c r="Y1851" s="34" t="s">
        <v>3409</v>
      </c>
      <c r="Z1851" s="34">
        <v>10</v>
      </c>
      <c r="AA1851" s="34" t="s">
        <v>3662</v>
      </c>
      <c r="AB1851" s="34" t="s">
        <v>3662</v>
      </c>
      <c r="AC1851" s="34" t="s">
        <v>3678</v>
      </c>
      <c r="AD1851" s="34" t="s">
        <v>3678</v>
      </c>
      <c r="AE1851" s="34" t="s">
        <v>3560</v>
      </c>
      <c r="AF1851" s="34" t="s">
        <v>3667</v>
      </c>
      <c r="AG1851" s="34" t="s">
        <v>4058</v>
      </c>
      <c r="AH1851" s="34" t="s">
        <v>7932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7" t="str">
        <f>IFERROR(INDEX(Структура_ассортимента[SuperCategory],MATCH(Товары[[#This Row],[SubGroup]],Структура_ассортимента[Subgroup],0)),"")</f>
        <v>W</v>
      </c>
      <c r="D185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7" t="str">
        <f>IFERROR(INDEX(Структура_ассортимента[Product group],MATCH(Товары[[#This Row],[SubGroup]],Структура_ассортимента[Subgroup],0)),"")</f>
        <v>WSS_C</v>
      </c>
      <c r="G185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3393</v>
      </c>
      <c r="Q1852" s="39" t="s">
        <v>3416</v>
      </c>
      <c r="R1852" s="34" t="s">
        <v>3407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3410</v>
      </c>
      <c r="X1852" s="34" t="s">
        <v>3446</v>
      </c>
      <c r="Y1852" s="34" t="s">
        <v>3409</v>
      </c>
      <c r="Z1852" s="34">
        <v>10</v>
      </c>
      <c r="AA1852" s="34" t="s">
        <v>3664</v>
      </c>
      <c r="AB1852" s="34" t="s">
        <v>3664</v>
      </c>
      <c r="AC1852" s="34" t="s">
        <v>3651</v>
      </c>
      <c r="AD1852" s="34" t="s">
        <v>3651</v>
      </c>
      <c r="AE1852" s="34" t="s">
        <v>3560</v>
      </c>
      <c r="AF1852" s="34" t="s">
        <v>3443</v>
      </c>
      <c r="AG1852" s="34" t="s">
        <v>3530</v>
      </c>
      <c r="AH1852" s="34" t="s">
        <v>7735</v>
      </c>
      <c r="AL1852" s="34">
        <v>3220</v>
      </c>
      <c r="AM1852" s="34" t="s">
        <v>7962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7" t="str">
        <f>IFERROR(INDEX(Структура_ассортимента[SuperCategory],MATCH(Товары[[#This Row],[SubGroup]],Структура_ассортимента[Subgroup],0)),"")</f>
        <v>W</v>
      </c>
      <c r="D185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7" t="str">
        <f>IFERROR(INDEX(Структура_ассортимента[Product group],MATCH(Товары[[#This Row],[SubGroup]],Структура_ассортимента[Subgroup],0)),"")</f>
        <v>WSS_C</v>
      </c>
      <c r="G185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3394</v>
      </c>
      <c r="O1853" s="37" t="s">
        <v>7933</v>
      </c>
      <c r="P1853" s="37" t="s">
        <v>7934</v>
      </c>
      <c r="Q1853" s="39" t="s">
        <v>3416</v>
      </c>
      <c r="R1853" s="34" t="s">
        <v>3407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3410</v>
      </c>
      <c r="X1853" s="34" t="s">
        <v>3446</v>
      </c>
      <c r="Y1853" s="34" t="s">
        <v>3409</v>
      </c>
      <c r="Z1853" s="34">
        <v>10</v>
      </c>
      <c r="AA1853" s="34" t="s">
        <v>3647</v>
      </c>
      <c r="AB1853" s="34" t="s">
        <v>3647</v>
      </c>
      <c r="AC1853" s="34" t="s">
        <v>6423</v>
      </c>
      <c r="AD1853" s="34" t="s">
        <v>6423</v>
      </c>
      <c r="AE1853" s="34" t="s">
        <v>3560</v>
      </c>
      <c r="AF1853" s="34" t="s">
        <v>3667</v>
      </c>
      <c r="AG1853" s="34" t="s">
        <v>4098</v>
      </c>
      <c r="AH1853" s="34" t="s">
        <v>6310</v>
      </c>
      <c r="AL1853" s="34" t="s">
        <v>7935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7" t="str">
        <f>IFERROR(INDEX(Структура_ассортимента[SuperCategory],MATCH(Товары[[#This Row],[SubGroup]],Структура_ассортимента[Subgroup],0)),"")</f>
        <v>W</v>
      </c>
      <c r="D185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7" t="str">
        <f>IFERROR(INDEX(Структура_ассортимента[Product group],MATCH(Товары[[#This Row],[SubGroup]],Структура_ассортимента[Subgroup],0)),"")</f>
        <v>WSS_C</v>
      </c>
      <c r="G185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3395</v>
      </c>
      <c r="Q1854" s="39" t="s">
        <v>3416</v>
      </c>
      <c r="R1854" s="34" t="s">
        <v>3407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3410</v>
      </c>
      <c r="X1854" s="34" t="s">
        <v>3446</v>
      </c>
      <c r="Y1854" s="34" t="s">
        <v>3409</v>
      </c>
      <c r="Z1854" s="34">
        <v>10</v>
      </c>
      <c r="AA1854" s="34" t="s">
        <v>6357</v>
      </c>
      <c r="AB1854" s="34" t="s">
        <v>6357</v>
      </c>
      <c r="AC1854" s="34" t="s">
        <v>3650</v>
      </c>
      <c r="AD1854" s="34" t="s">
        <v>3650</v>
      </c>
      <c r="AE1854" s="34" t="s">
        <v>3560</v>
      </c>
      <c r="AF1854" s="34" t="s">
        <v>3443</v>
      </c>
      <c r="AG1854" s="34" t="s">
        <v>5919</v>
      </c>
      <c r="AH1854" s="34" t="s">
        <v>7746</v>
      </c>
      <c r="AL1854" s="34">
        <v>2880</v>
      </c>
      <c r="AM1854" s="34" t="s">
        <v>7962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7" t="str">
        <f>IFERROR(INDEX(Структура_ассортимента[SuperCategory],MATCH(Товары[[#This Row],[SubGroup]],Структура_ассортимента[Subgroup],0)),"")</f>
        <v>W</v>
      </c>
      <c r="D1855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7" t="str">
        <f>IFERROR(INDEX(Структура_ассортимента[Product group],MATCH(Товары[[#This Row],[SubGroup]],Структура_ассортимента[Subgroup],0)),"")</f>
        <v>WSS_C</v>
      </c>
      <c r="G1855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3396</v>
      </c>
      <c r="Q1855" s="39" t="s">
        <v>3416</v>
      </c>
      <c r="R1855" s="34" t="s">
        <v>3407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3410</v>
      </c>
      <c r="X1855" s="34" t="s">
        <v>3446</v>
      </c>
      <c r="Y1855" s="34" t="s">
        <v>3409</v>
      </c>
      <c r="Z1855" s="34">
        <v>10</v>
      </c>
      <c r="AA1855" s="34" t="s">
        <v>3666</v>
      </c>
      <c r="AB1855" s="34" t="s">
        <v>3666</v>
      </c>
      <c r="AC1855" s="34" t="s">
        <v>3674</v>
      </c>
      <c r="AD1855" s="34" t="s">
        <v>3674</v>
      </c>
      <c r="AE1855" s="34" t="s">
        <v>3560</v>
      </c>
      <c r="AF1855" s="34" t="s">
        <v>3667</v>
      </c>
      <c r="AG1855" s="34" t="s">
        <v>4056</v>
      </c>
      <c r="AH1855" s="34" t="s">
        <v>6370</v>
      </c>
      <c r="AL1855" s="34">
        <v>4080</v>
      </c>
      <c r="AM1855" s="34" t="s">
        <v>7962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7" t="str">
        <f>IFERROR(INDEX(Структура_ассортимента[SuperCategory],MATCH(Товары[[#This Row],[SubGroup]],Структура_ассортимента[Subgroup],0)),"")</f>
        <v>W</v>
      </c>
      <c r="D1856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7" t="str">
        <f>IFERROR(INDEX(Структура_ассортимента[Product group],MATCH(Товары[[#This Row],[SubGroup]],Структура_ассортимента[Subgroup],0)),"")</f>
        <v>WSS_C</v>
      </c>
      <c r="G1856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3397</v>
      </c>
      <c r="Q1856" s="39" t="s">
        <v>3416</v>
      </c>
      <c r="R1856" s="34" t="s">
        <v>3407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3410</v>
      </c>
      <c r="X1856" s="34" t="s">
        <v>3446</v>
      </c>
      <c r="Y1856" s="34" t="s">
        <v>3409</v>
      </c>
      <c r="Z1856" s="34">
        <v>6</v>
      </c>
      <c r="AA1856" s="34" t="s">
        <v>6322</v>
      </c>
      <c r="AB1856" s="34" t="s">
        <v>6322</v>
      </c>
      <c r="AC1856" s="34" t="s">
        <v>3670</v>
      </c>
      <c r="AD1856" s="34" t="s">
        <v>3670</v>
      </c>
      <c r="AE1856" s="34" t="s">
        <v>3560</v>
      </c>
      <c r="AF1856" s="34" t="s">
        <v>3443</v>
      </c>
      <c r="AG1856" s="34" t="s">
        <v>3671</v>
      </c>
      <c r="AH1856" s="34" t="s">
        <v>3672</v>
      </c>
      <c r="AI1856" s="34" t="s">
        <v>4823</v>
      </c>
      <c r="AJ1856" s="34" t="s">
        <v>5912</v>
      </c>
      <c r="AK1856" s="34" t="s">
        <v>4823</v>
      </c>
      <c r="AL1856" s="34">
        <v>2448</v>
      </c>
      <c r="AM1856" s="34" t="s">
        <v>7962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7" t="str">
        <f>IFERROR(INDEX(Структура_ассортимента[SuperCategory],MATCH(Товары[[#This Row],[SubGroup]],Структура_ассортимента[Subgroup],0)),"")</f>
        <v>W</v>
      </c>
      <c r="D1857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7" t="str">
        <f>IFERROR(INDEX(Структура_ассортимента[Product group],MATCH(Товары[[#This Row],[SubGroup]],Структура_ассортимента[Subgroup],0)),"")</f>
        <v>WSS_C</v>
      </c>
      <c r="G1857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3398</v>
      </c>
      <c r="O1857" s="37" t="s">
        <v>7936</v>
      </c>
      <c r="P1857" s="37" t="s">
        <v>7937</v>
      </c>
      <c r="Q1857" s="39" t="s">
        <v>3416</v>
      </c>
      <c r="R1857" s="34" t="s">
        <v>3407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3410</v>
      </c>
      <c r="X1857" s="34" t="s">
        <v>3446</v>
      </c>
      <c r="Y1857" s="34" t="s">
        <v>3409</v>
      </c>
      <c r="Z1857" s="34">
        <v>4</v>
      </c>
      <c r="AA1857" s="34" t="s">
        <v>6397</v>
      </c>
      <c r="AB1857" s="34" t="s">
        <v>6397</v>
      </c>
      <c r="AC1857" s="34" t="s">
        <v>5918</v>
      </c>
      <c r="AD1857" s="34" t="s">
        <v>5918</v>
      </c>
      <c r="AE1857" s="34" t="s">
        <v>3560</v>
      </c>
      <c r="AF1857" s="34" t="s">
        <v>3443</v>
      </c>
      <c r="AG1857" s="34" t="s">
        <v>4642</v>
      </c>
      <c r="AH1857" s="34" t="s">
        <v>7712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7" t="str">
        <f>IFERROR(INDEX(Структура_ассортимента[SuperCategory],MATCH(Товары[[#This Row],[SubGroup]],Структура_ассортимента[Subgroup],0)),"")</f>
        <v>W</v>
      </c>
      <c r="D1858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7" t="str">
        <f>IFERROR(INDEX(Структура_ассортимента[Product group],MATCH(Товары[[#This Row],[SubGroup]],Структура_ассортимента[Subgroup],0)),"")</f>
        <v>WSS_C</v>
      </c>
      <c r="G1858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7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3399</v>
      </c>
      <c r="Q1858" s="39" t="s">
        <v>3416</v>
      </c>
      <c r="R1858" s="34" t="s">
        <v>3407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3410</v>
      </c>
      <c r="X1858" s="34" t="s">
        <v>3446</v>
      </c>
      <c r="Y1858" s="34" t="s">
        <v>3409</v>
      </c>
      <c r="Z1858" s="34">
        <v>5</v>
      </c>
      <c r="AA1858" s="34" t="s">
        <v>3419</v>
      </c>
      <c r="AB1858" s="34" t="s">
        <v>5469</v>
      </c>
      <c r="AC1858" s="34" t="s">
        <v>3419</v>
      </c>
      <c r="AD1858" s="34" t="s">
        <v>5469</v>
      </c>
      <c r="AE1858" s="34" t="s">
        <v>3560</v>
      </c>
      <c r="AF1858" s="34" t="s">
        <v>3443</v>
      </c>
      <c r="AG1858" s="34" t="s">
        <v>3978</v>
      </c>
      <c r="AH1858" s="34" t="s">
        <v>5917</v>
      </c>
      <c r="AL1858" s="34" t="s">
        <v>6997</v>
      </c>
      <c r="AM1858" s="34" t="s">
        <v>7962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7" t="str">
        <f>IFERROR(INDEX(Структура_ассортимента[SuperCategory],MATCH(Товары[[#This Row],[SubGroup]],Структура_ассортимента[Subgroup],0)),"")</f>
        <v>W</v>
      </c>
      <c r="D1859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7" t="str">
        <f>IFERROR(INDEX(Структура_ассортимента[Product group],MATCH(Товары[[#This Row],[SubGroup]],Структура_ассортимента[Subgroup],0)),"")</f>
        <v>WSS_C</v>
      </c>
      <c r="G1859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7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3400</v>
      </c>
      <c r="O1859" s="37" t="s">
        <v>7938</v>
      </c>
      <c r="P1859" s="37" t="s">
        <v>7594</v>
      </c>
      <c r="Q1859" s="39" t="s">
        <v>3416</v>
      </c>
      <c r="R1859" s="34" t="s">
        <v>3407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3408</v>
      </c>
      <c r="X1859" s="34" t="s">
        <v>3571</v>
      </c>
      <c r="Y1859" s="34" t="s">
        <v>3409</v>
      </c>
      <c r="Z1859" s="34">
        <v>2</v>
      </c>
      <c r="AA1859" s="34" t="s">
        <v>4412</v>
      </c>
      <c r="AB1859" s="34" t="s">
        <v>4412</v>
      </c>
      <c r="AC1859" s="34" t="s">
        <v>4241</v>
      </c>
      <c r="AD1859" s="34" t="s">
        <v>4241</v>
      </c>
      <c r="AE1859" s="34" t="s">
        <v>3610</v>
      </c>
      <c r="AF1859" s="34" t="s">
        <v>3424</v>
      </c>
      <c r="AG1859" s="34" t="s">
        <v>3424</v>
      </c>
      <c r="AH1859" s="34" t="s">
        <v>7939</v>
      </c>
      <c r="AI1859" s="34" t="s">
        <v>4507</v>
      </c>
      <c r="AJ1859" s="34" t="s">
        <v>7913</v>
      </c>
      <c r="AK1859" s="34" t="s">
        <v>4507</v>
      </c>
      <c r="AL1859" s="34" t="s">
        <v>4483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7" t="str">
        <f>IFERROR(INDEX(Структура_ассортимента[SuperCategory],MATCH(Товары[[#This Row],[SubGroup]],Структура_ассортимента[Subgroup],0)),"")</f>
        <v>W</v>
      </c>
      <c r="D1860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7" t="str">
        <f>IFERROR(INDEX(Структура_ассортимента[Product group],MATCH(Товары[[#This Row],[SubGroup]],Структура_ассортимента[Subgroup],0)),"")</f>
        <v>WSS_C</v>
      </c>
      <c r="G1860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3401</v>
      </c>
      <c r="O1860" s="37" t="s">
        <v>7940</v>
      </c>
      <c r="P1860" s="37" t="s">
        <v>7814</v>
      </c>
      <c r="Q1860" s="39" t="s">
        <v>3416</v>
      </c>
      <c r="R1860" s="34" t="s">
        <v>3407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3408</v>
      </c>
      <c r="X1860" s="34" t="s">
        <v>3446</v>
      </c>
      <c r="Y1860" s="34" t="s">
        <v>3409</v>
      </c>
      <c r="Z1860" s="34">
        <v>3</v>
      </c>
      <c r="AA1860" s="34" t="s">
        <v>4047</v>
      </c>
      <c r="AB1860" s="34" t="s">
        <v>4047</v>
      </c>
      <c r="AC1860" s="34" t="s">
        <v>4014</v>
      </c>
      <c r="AD1860" s="34" t="s">
        <v>4014</v>
      </c>
      <c r="AE1860" s="34" t="s">
        <v>3529</v>
      </c>
      <c r="AF1860" s="34" t="s">
        <v>3787</v>
      </c>
      <c r="AG1860" s="34" t="s">
        <v>3443</v>
      </c>
      <c r="AH1860" s="34" t="s">
        <v>7815</v>
      </c>
      <c r="AI1860" s="34" t="s">
        <v>4325</v>
      </c>
      <c r="AJ1860" s="34" t="s">
        <v>4372</v>
      </c>
      <c r="AK1860" s="34" t="s">
        <v>4660</v>
      </c>
      <c r="AL1860" s="34" t="s">
        <v>3460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7" t="str">
        <f>IFERROR(INDEX(Структура_ассортимента[SuperCategory],MATCH(Товары[[#This Row],[SubGroup]],Структура_ассортимента[Subgroup],0)),"")</f>
        <v>W</v>
      </c>
      <c r="D1861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7" t="str">
        <f>IFERROR(INDEX(Структура_ассортимента[Product group],MATCH(Товары[[#This Row],[SubGroup]],Структура_ассортимента[Subgroup],0)),"")</f>
        <v>WSS_C</v>
      </c>
      <c r="G1861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3402</v>
      </c>
      <c r="O1861" s="37" t="s">
        <v>7941</v>
      </c>
      <c r="P1861" s="37" t="s">
        <v>7942</v>
      </c>
      <c r="Q1861" s="39" t="s">
        <v>3416</v>
      </c>
      <c r="R1861" s="34" t="s">
        <v>3407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3410</v>
      </c>
      <c r="X1861" s="34" t="s">
        <v>3446</v>
      </c>
      <c r="Y1861" s="34" t="s">
        <v>3409</v>
      </c>
      <c r="Z1861" s="34">
        <v>3</v>
      </c>
      <c r="AA1861" s="34" t="s">
        <v>7943</v>
      </c>
      <c r="AB1861" s="34" t="s">
        <v>7944</v>
      </c>
      <c r="AC1861" s="34" t="s">
        <v>5475</v>
      </c>
      <c r="AD1861" s="34" t="s">
        <v>7893</v>
      </c>
      <c r="AE1861" s="34" t="s">
        <v>5491</v>
      </c>
      <c r="AF1861" s="34" t="s">
        <v>4546</v>
      </c>
      <c r="AG1861" s="34" t="s">
        <v>4519</v>
      </c>
      <c r="AH1861" s="34" t="s">
        <v>7945</v>
      </c>
      <c r="AL1861" s="34" t="s">
        <v>3697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7" t="str">
        <f>IFERROR(INDEX(Структура_ассортимента[SuperCategory],MATCH(Товары[[#This Row],[SubGroup]],Структура_ассортимента[Subgroup],0)),"")</f>
        <v>W</v>
      </c>
      <c r="D1862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7" t="str">
        <f>IFERROR(INDEX(Структура_ассортимента[Product group],MATCH(Товары[[#This Row],[SubGroup]],Структура_ассортимента[Subgroup],0)),"")</f>
        <v>WSS_C</v>
      </c>
      <c r="G1862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3403</v>
      </c>
      <c r="O1862" s="37" t="s">
        <v>7946</v>
      </c>
      <c r="P1862" s="37" t="s">
        <v>7947</v>
      </c>
      <c r="Q1862" s="39" t="s">
        <v>3416</v>
      </c>
      <c r="R1862" s="34" t="s">
        <v>3407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3410</v>
      </c>
      <c r="X1862" s="34" t="s">
        <v>3446</v>
      </c>
      <c r="Y1862" s="34" t="s">
        <v>3409</v>
      </c>
      <c r="Z1862" s="34">
        <v>12</v>
      </c>
      <c r="AB1862" s="34" t="s">
        <v>7944</v>
      </c>
      <c r="AD1862" s="34" t="s">
        <v>7893</v>
      </c>
      <c r="AE1862" s="34" t="s">
        <v>5491</v>
      </c>
      <c r="AF1862" s="34" t="s">
        <v>4546</v>
      </c>
      <c r="AG1862" s="34" t="s">
        <v>4519</v>
      </c>
      <c r="AH1862" s="34" t="s">
        <v>7945</v>
      </c>
      <c r="AL1862" s="34" t="s">
        <v>4081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7" t="str">
        <f>IFERROR(INDEX(Структура_ассортимента[SuperCategory],MATCH(Товары[[#This Row],[SubGroup]],Структура_ассортимента[Subgroup],0)),"")</f>
        <v>W</v>
      </c>
      <c r="D1863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7" t="str">
        <f>IFERROR(INDEX(Структура_ассортимента[Product group],MATCH(Товары[[#This Row],[SubGroup]],Структура_ассортимента[Subgroup],0)),"")</f>
        <v>WSS_C</v>
      </c>
      <c r="G1863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3404</v>
      </c>
      <c r="O1863" s="37" t="s">
        <v>7948</v>
      </c>
      <c r="P1863" s="37" t="s">
        <v>7949</v>
      </c>
      <c r="Q1863" s="39" t="s">
        <v>3416</v>
      </c>
      <c r="R1863" s="34" t="s">
        <v>3407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3410</v>
      </c>
      <c r="X1863" s="34" t="s">
        <v>3446</v>
      </c>
      <c r="Y1863" s="34" t="s">
        <v>3409</v>
      </c>
      <c r="Z1863" s="34">
        <v>10</v>
      </c>
      <c r="AA1863" s="34" t="s">
        <v>6522</v>
      </c>
      <c r="AB1863" s="34" t="s">
        <v>6522</v>
      </c>
      <c r="AC1863" s="34" t="s">
        <v>6337</v>
      </c>
      <c r="AD1863" s="34" t="s">
        <v>6337</v>
      </c>
      <c r="AE1863" s="34" t="s">
        <v>3560</v>
      </c>
      <c r="AF1863" s="34" t="s">
        <v>3443</v>
      </c>
      <c r="AG1863" s="34" t="s">
        <v>3798</v>
      </c>
      <c r="AH1863" s="34" t="s">
        <v>6472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7" t="str">
        <f>IFERROR(INDEX(Структура_ассортимента[SuperCategory],MATCH(Товары[[#This Row],[SubGroup]],Структура_ассортимента[Subgroup],0)),"")</f>
        <v>W</v>
      </c>
      <c r="D1864" s="211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1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7" t="str">
        <f>IFERROR(INDEX(Структура_ассортимента[Product group],MATCH(Товары[[#This Row],[SubGroup]],Структура_ассортимента[Subgroup],0)),"")</f>
        <v>WSS_C</v>
      </c>
      <c r="G1864" s="67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7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3405</v>
      </c>
      <c r="O1864" s="37" t="s">
        <v>7950</v>
      </c>
      <c r="P1864" s="37" t="s">
        <v>7951</v>
      </c>
      <c r="Q1864" s="39" t="s">
        <v>3416</v>
      </c>
      <c r="R1864" s="34" t="s">
        <v>3407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3410</v>
      </c>
      <c r="X1864" s="34" t="s">
        <v>3446</v>
      </c>
      <c r="Y1864" s="34" t="s">
        <v>3409</v>
      </c>
      <c r="Z1864" s="34">
        <v>10</v>
      </c>
      <c r="AA1864" s="34" t="s">
        <v>5496</v>
      </c>
      <c r="AB1864" s="34" t="s">
        <v>5496</v>
      </c>
      <c r="AC1864" s="34" t="s">
        <v>5514</v>
      </c>
      <c r="AD1864" s="34" t="s">
        <v>5514</v>
      </c>
      <c r="AE1864" s="34" t="s">
        <v>3560</v>
      </c>
      <c r="AF1864" s="34" t="s">
        <v>3443</v>
      </c>
      <c r="AG1864" s="34" t="s">
        <v>3539</v>
      </c>
      <c r="AH1864" s="34" t="s">
        <v>6519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205" priority="9" operator="lessThanOrEqual">
      <formula>0.98</formula>
    </cfRule>
  </conditionalFormatting>
  <conditionalFormatting sqref="A5:AL1864">
    <cfRule type="expression" dxfId="1204" priority="10">
      <formula>$AM5="Новинка следующего года"</formula>
    </cfRule>
    <cfRule type="expression" dxfId="1203" priority="21">
      <formula>$AM5="Новинка текущего года"</formula>
    </cfRule>
    <cfRule type="expression" dxfId="1202" priority="22">
      <formula>$AM5="Выведено из ассортимента текущего года"</formula>
    </cfRule>
    <cfRule type="expression" dxfId="1201" priority="23">
      <formula>$AM5="Выведено из глобального ассортимента"</formula>
    </cfRule>
  </conditionalFormatting>
  <conditionalFormatting sqref="AN5:AN1864">
    <cfRule type="expression" dxfId="1200" priority="1">
      <formula>OR(AN5="Dealer",AN5="Regional",AN5="Online")</formula>
    </cfRule>
    <cfRule type="cellIs" dxfId="1199" priority="2" operator="equal">
      <formula>"DIY канал"</formula>
    </cfRule>
    <cfRule type="cellIs" dxfId="1198" priority="3" operator="equal">
      <formula>"ОБИ"</formula>
    </cfRule>
    <cfRule type="cellIs" dxfId="1197" priority="4" operator="equal">
      <formula>"ЛЕРУА МЕРЛЕН"</formula>
    </cfRule>
  </conditionalFormatting>
  <conditionalFormatting sqref="AM5:AO1864">
    <cfRule type="expression" dxfId="1196" priority="5">
      <formula>$AM5="Новинка текущего года"</formula>
    </cfRule>
    <cfRule type="expression" dxfId="1195" priority="6">
      <formula>$AM5="Новинка следующего года"</formula>
    </cfRule>
    <cfRule type="expression" dxfId="1194" priority="7">
      <formula>$AM5="Выведено из ассортимента текущего года"</formula>
    </cfRule>
    <cfRule type="expression" dxfId="1193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E11" sqref="E1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3" t="s">
        <v>7971</v>
      </c>
    </row>
    <row r="4" spans="1:8" x14ac:dyDescent="0.25">
      <c r="D4" s="11">
        <v>43952</v>
      </c>
    </row>
    <row r="5" spans="1:8" s="76" customFormat="1" x14ac:dyDescent="0.25">
      <c r="A5" s="75" t="s">
        <v>7975</v>
      </c>
      <c r="B5" s="73" t="s">
        <v>5</v>
      </c>
      <c r="C5" s="73" t="s">
        <v>18</v>
      </c>
      <c r="D5" s="76" t="s">
        <v>7973</v>
      </c>
      <c r="E5" s="76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74">
        <v>653</v>
      </c>
      <c r="E6" s="74">
        <v>381</v>
      </c>
      <c r="F6" s="74"/>
      <c r="G6" s="74"/>
      <c r="H6" s="74"/>
    </row>
    <row r="7" spans="1:8" x14ac:dyDescent="0.25">
      <c r="A7" t="s">
        <v>1593</v>
      </c>
      <c r="B7" t="s">
        <v>1359</v>
      </c>
      <c r="C7" t="s">
        <v>3526</v>
      </c>
      <c r="D7" s="74">
        <v>867</v>
      </c>
      <c r="E7" s="74">
        <v>506</v>
      </c>
      <c r="F7" s="74"/>
      <c r="G7" s="74"/>
      <c r="H7" s="74"/>
    </row>
    <row r="8" spans="1:8" x14ac:dyDescent="0.25">
      <c r="A8" t="s">
        <v>1594</v>
      </c>
      <c r="B8" t="s">
        <v>1359</v>
      </c>
      <c r="C8" t="s">
        <v>3532</v>
      </c>
      <c r="D8" s="74">
        <v>867</v>
      </c>
      <c r="E8" s="74">
        <v>506</v>
      </c>
      <c r="F8" s="74"/>
      <c r="G8" s="74"/>
      <c r="H8" s="74"/>
    </row>
    <row r="9" spans="1:8" x14ac:dyDescent="0.25">
      <c r="A9" t="s">
        <v>1595</v>
      </c>
      <c r="B9" t="s">
        <v>1359</v>
      </c>
      <c r="C9" t="s">
        <v>3535</v>
      </c>
      <c r="D9" s="74">
        <v>1850</v>
      </c>
      <c r="E9" s="74">
        <v>1079</v>
      </c>
      <c r="F9" s="74"/>
      <c r="G9" s="74"/>
      <c r="H9" s="74"/>
    </row>
    <row r="10" spans="1:8" x14ac:dyDescent="0.25">
      <c r="A10" t="s">
        <v>1596</v>
      </c>
      <c r="B10" t="s">
        <v>1359</v>
      </c>
      <c r="C10" t="s">
        <v>3541</v>
      </c>
      <c r="D10" s="74">
        <v>2118</v>
      </c>
      <c r="E10" s="74">
        <v>1236</v>
      </c>
      <c r="F10" s="74"/>
      <c r="G10" s="74"/>
      <c r="H10" s="74"/>
    </row>
    <row r="11" spans="1:8" x14ac:dyDescent="0.25">
      <c r="A11" t="s">
        <v>2888</v>
      </c>
      <c r="B11" t="s">
        <v>1529</v>
      </c>
      <c r="C11" t="s">
        <v>6859</v>
      </c>
      <c r="D11" s="74">
        <v>659</v>
      </c>
      <c r="E11" s="74">
        <v>412</v>
      </c>
      <c r="F11" s="74">
        <v>0</v>
      </c>
      <c r="G11" s="74">
        <v>0</v>
      </c>
      <c r="H11" s="74">
        <v>0</v>
      </c>
    </row>
    <row r="12" spans="1:8" x14ac:dyDescent="0.25">
      <c r="A12" t="s">
        <v>1737</v>
      </c>
      <c r="B12" t="s">
        <v>1373</v>
      </c>
      <c r="C12" t="s">
        <v>4075</v>
      </c>
      <c r="D12" s="74">
        <v>6390</v>
      </c>
      <c r="E12" s="74">
        <v>3887</v>
      </c>
      <c r="F12" s="74"/>
      <c r="G12" s="74"/>
      <c r="H12" s="74"/>
    </row>
    <row r="13" spans="1:8" x14ac:dyDescent="0.25">
      <c r="A13" t="s">
        <v>1711</v>
      </c>
      <c r="B13" t="s">
        <v>1375</v>
      </c>
      <c r="C13" t="s">
        <v>3955</v>
      </c>
      <c r="D13" s="74">
        <v>990</v>
      </c>
      <c r="E13" s="74">
        <v>578</v>
      </c>
      <c r="F13" s="74"/>
      <c r="G13" s="74"/>
      <c r="H13" s="74"/>
    </row>
    <row r="14" spans="1:8" x14ac:dyDescent="0.25">
      <c r="A14" t="s">
        <v>1759</v>
      </c>
      <c r="B14" t="s">
        <v>1383</v>
      </c>
      <c r="C14" t="s">
        <v>7972</v>
      </c>
      <c r="D14" s="74">
        <v>2790</v>
      </c>
      <c r="E14" s="74">
        <v>1744</v>
      </c>
      <c r="F14" s="74"/>
      <c r="G14" s="74"/>
      <c r="H14" s="74"/>
    </row>
    <row r="15" spans="1:8" x14ac:dyDescent="0.25">
      <c r="A15" t="s">
        <v>1760</v>
      </c>
      <c r="B15" t="s">
        <v>1383</v>
      </c>
      <c r="C15" t="s">
        <v>7972</v>
      </c>
      <c r="D15" s="74">
        <v>2990</v>
      </c>
      <c r="E15" s="74">
        <v>1744</v>
      </c>
      <c r="F15" s="74"/>
      <c r="G15" s="74"/>
      <c r="H15" s="74"/>
    </row>
    <row r="16" spans="1:8" x14ac:dyDescent="0.25">
      <c r="A16" t="s">
        <v>1766</v>
      </c>
      <c r="B16" t="s">
        <v>1383</v>
      </c>
      <c r="C16" t="s">
        <v>7972</v>
      </c>
      <c r="D16" s="74">
        <v>5290</v>
      </c>
      <c r="E16" s="74">
        <v>3086</v>
      </c>
      <c r="F16" s="74"/>
      <c r="G16" s="74"/>
      <c r="H16" s="74"/>
    </row>
    <row r="17" spans="1:8" x14ac:dyDescent="0.25">
      <c r="A17" t="s">
        <v>1767</v>
      </c>
      <c r="B17" t="s">
        <v>1383</v>
      </c>
      <c r="C17" t="s">
        <v>7972</v>
      </c>
      <c r="D17" s="74">
        <v>4990</v>
      </c>
      <c r="E17" s="74">
        <v>2911</v>
      </c>
      <c r="F17" s="74"/>
      <c r="G17" s="74"/>
      <c r="H17" s="74"/>
    </row>
    <row r="18" spans="1:8" x14ac:dyDescent="0.25">
      <c r="A18" t="s">
        <v>1768</v>
      </c>
      <c r="B18" t="s">
        <v>1383</v>
      </c>
      <c r="C18" t="s">
        <v>7972</v>
      </c>
      <c r="D18" s="74">
        <v>4590</v>
      </c>
      <c r="E18" s="74">
        <v>2678</v>
      </c>
      <c r="F18" s="74"/>
      <c r="G18" s="74"/>
      <c r="H18" s="74"/>
    </row>
    <row r="19" spans="1:8" x14ac:dyDescent="0.25">
      <c r="A19" t="s">
        <v>1770</v>
      </c>
      <c r="B19" t="s">
        <v>1383</v>
      </c>
      <c r="C19" t="s">
        <v>7972</v>
      </c>
      <c r="D19" s="74">
        <v>5490</v>
      </c>
      <c r="E19" s="74">
        <v>3203</v>
      </c>
      <c r="F19" s="74"/>
      <c r="G19" s="74"/>
      <c r="H19" s="74"/>
    </row>
    <row r="20" spans="1:8" x14ac:dyDescent="0.25">
      <c r="A20" t="s">
        <v>1763</v>
      </c>
      <c r="B20" t="s">
        <v>1383</v>
      </c>
      <c r="C20" t="s">
        <v>7972</v>
      </c>
      <c r="D20" s="74">
        <v>3790</v>
      </c>
      <c r="E20" s="74">
        <v>2211</v>
      </c>
      <c r="F20" s="74"/>
      <c r="G20" s="74"/>
      <c r="H20" s="74"/>
    </row>
    <row r="21" spans="1:8" x14ac:dyDescent="0.25">
      <c r="A21" t="s">
        <v>1764</v>
      </c>
      <c r="B21" t="s">
        <v>1383</v>
      </c>
      <c r="C21" t="s">
        <v>7972</v>
      </c>
      <c r="D21" s="74">
        <v>3190</v>
      </c>
      <c r="E21" s="74">
        <v>1861</v>
      </c>
      <c r="F21" s="74"/>
      <c r="G21" s="74"/>
      <c r="H21" s="74"/>
    </row>
    <row r="22" spans="1:8" x14ac:dyDescent="0.25">
      <c r="A22" t="s">
        <v>1629</v>
      </c>
      <c r="B22" t="s">
        <v>1361</v>
      </c>
      <c r="C22" t="s">
        <v>3680</v>
      </c>
      <c r="D22" s="74">
        <v>3890</v>
      </c>
      <c r="E22" s="74">
        <v>2496</v>
      </c>
      <c r="F22" s="74"/>
      <c r="G22" s="74"/>
      <c r="H22" s="74"/>
    </row>
    <row r="23" spans="1:8" x14ac:dyDescent="0.25">
      <c r="A23" t="s">
        <v>1630</v>
      </c>
      <c r="B23" t="s">
        <v>1361</v>
      </c>
      <c r="C23" t="s">
        <v>3688</v>
      </c>
      <c r="D23" s="74">
        <v>1990</v>
      </c>
      <c r="E23" s="74">
        <v>1277</v>
      </c>
      <c r="F23" s="74"/>
      <c r="G23" s="74"/>
      <c r="H23" s="74"/>
    </row>
    <row r="24" spans="1:8" x14ac:dyDescent="0.25">
      <c r="A24" t="s">
        <v>1633</v>
      </c>
      <c r="B24" t="s">
        <v>1361</v>
      </c>
      <c r="C24" t="s">
        <v>3698</v>
      </c>
      <c r="D24" s="74">
        <v>4190</v>
      </c>
      <c r="E24" s="74">
        <v>2689</v>
      </c>
      <c r="F24" s="74"/>
      <c r="G24" s="74"/>
      <c r="H24" s="74"/>
    </row>
    <row r="25" spans="1:8" x14ac:dyDescent="0.25">
      <c r="A25" t="s">
        <v>1634</v>
      </c>
      <c r="B25" t="s">
        <v>1361</v>
      </c>
      <c r="C25" t="s">
        <v>3710</v>
      </c>
      <c r="D25" s="74">
        <v>4190</v>
      </c>
      <c r="E25" s="74">
        <v>2689</v>
      </c>
      <c r="F25" s="74"/>
      <c r="G25" s="74"/>
      <c r="H25" s="74"/>
    </row>
    <row r="26" spans="1:8" x14ac:dyDescent="0.25">
      <c r="A26" t="s">
        <v>1635</v>
      </c>
      <c r="B26" t="s">
        <v>1361</v>
      </c>
      <c r="C26" t="s">
        <v>3715</v>
      </c>
      <c r="D26" s="74">
        <v>8190</v>
      </c>
      <c r="E26" s="74">
        <v>5119</v>
      </c>
      <c r="F26" s="74"/>
      <c r="G26" s="74"/>
      <c r="H26" s="74"/>
    </row>
    <row r="27" spans="1:8" x14ac:dyDescent="0.25">
      <c r="A27" t="s">
        <v>1615</v>
      </c>
      <c r="B27" t="s">
        <v>1359</v>
      </c>
      <c r="C27" t="s">
        <v>3605</v>
      </c>
      <c r="D27" s="74">
        <v>890</v>
      </c>
      <c r="E27" s="74">
        <v>519</v>
      </c>
      <c r="F27" s="74"/>
      <c r="G27" s="74"/>
      <c r="H27" s="74"/>
    </row>
    <row r="28" spans="1:8" x14ac:dyDescent="0.25">
      <c r="A28" t="s">
        <v>1616</v>
      </c>
      <c r="B28" t="s">
        <v>1359</v>
      </c>
      <c r="C28" t="s">
        <v>3615</v>
      </c>
      <c r="D28" s="74">
        <v>1719</v>
      </c>
      <c r="E28" s="74">
        <v>1003</v>
      </c>
      <c r="F28" s="74"/>
      <c r="G28" s="74"/>
      <c r="H28" s="74"/>
    </row>
    <row r="29" spans="1:8" x14ac:dyDescent="0.25">
      <c r="A29" t="s">
        <v>1617</v>
      </c>
      <c r="B29" t="s">
        <v>1359</v>
      </c>
      <c r="C29" t="s">
        <v>3626</v>
      </c>
      <c r="D29" s="74">
        <v>2039</v>
      </c>
      <c r="E29" s="74">
        <v>1189</v>
      </c>
      <c r="F29" s="74"/>
      <c r="G29" s="74"/>
      <c r="H29" s="74"/>
    </row>
    <row r="30" spans="1:8" x14ac:dyDescent="0.25">
      <c r="A30" t="s">
        <v>1618</v>
      </c>
      <c r="B30" t="s">
        <v>1359</v>
      </c>
      <c r="C30" t="s">
        <v>3636</v>
      </c>
      <c r="D30" s="74">
        <v>1719</v>
      </c>
      <c r="E30" s="74">
        <v>1003</v>
      </c>
      <c r="F30" s="74"/>
      <c r="G30" s="74"/>
      <c r="H30" s="74"/>
    </row>
    <row r="31" spans="1:8" x14ac:dyDescent="0.25">
      <c r="A31" t="s">
        <v>1636</v>
      </c>
      <c r="B31" t="s">
        <v>1363</v>
      </c>
      <c r="C31" t="s">
        <v>3726</v>
      </c>
      <c r="D31" s="74">
        <v>1190</v>
      </c>
      <c r="E31" s="74">
        <v>694</v>
      </c>
      <c r="F31" s="74"/>
      <c r="G31" s="74"/>
      <c r="H31" s="74"/>
    </row>
    <row r="32" spans="1:8" x14ac:dyDescent="0.25">
      <c r="A32" t="s">
        <v>1637</v>
      </c>
      <c r="B32" t="s">
        <v>1363</v>
      </c>
      <c r="C32" t="s">
        <v>3736</v>
      </c>
      <c r="D32" s="74">
        <v>2290</v>
      </c>
      <c r="E32" s="74">
        <v>1336</v>
      </c>
      <c r="F32" s="74"/>
      <c r="G32" s="74"/>
      <c r="H32" s="74"/>
    </row>
    <row r="33" spans="1:8" x14ac:dyDescent="0.25">
      <c r="A33" t="s">
        <v>1638</v>
      </c>
      <c r="B33" t="s">
        <v>1363</v>
      </c>
      <c r="C33" t="s">
        <v>3740</v>
      </c>
      <c r="D33" s="74">
        <v>3099</v>
      </c>
      <c r="E33" s="74">
        <v>1808</v>
      </c>
      <c r="F33" s="74"/>
      <c r="G33" s="74"/>
      <c r="H33" s="74"/>
    </row>
    <row r="34" spans="1:8" x14ac:dyDescent="0.25">
      <c r="A34" t="s">
        <v>1639</v>
      </c>
      <c r="B34" t="s">
        <v>1363</v>
      </c>
      <c r="C34" t="s">
        <v>3747</v>
      </c>
      <c r="D34" s="74">
        <v>1190</v>
      </c>
      <c r="E34" s="74">
        <v>694</v>
      </c>
      <c r="F34" s="74"/>
      <c r="G34" s="74"/>
      <c r="H34" s="74"/>
    </row>
    <row r="35" spans="1:8" x14ac:dyDescent="0.25">
      <c r="A35" t="s">
        <v>1640</v>
      </c>
      <c r="B35" t="s">
        <v>1363</v>
      </c>
      <c r="C35" t="s">
        <v>3755</v>
      </c>
      <c r="D35" s="74">
        <v>2290</v>
      </c>
      <c r="E35" s="74">
        <v>1336</v>
      </c>
      <c r="F35" s="74"/>
      <c r="G35" s="74"/>
      <c r="H35" s="74"/>
    </row>
    <row r="36" spans="1:8" x14ac:dyDescent="0.25">
      <c r="A36" t="s">
        <v>1641</v>
      </c>
      <c r="B36" t="s">
        <v>1363</v>
      </c>
      <c r="C36" t="s">
        <v>3763</v>
      </c>
      <c r="D36" s="74">
        <v>3099</v>
      </c>
      <c r="E36" s="74">
        <v>1808</v>
      </c>
      <c r="F36" s="74"/>
      <c r="G36" s="74"/>
      <c r="H36" s="74"/>
    </row>
    <row r="37" spans="1:8" x14ac:dyDescent="0.25">
      <c r="A37" t="s">
        <v>1658</v>
      </c>
      <c r="B37" t="s">
        <v>1365</v>
      </c>
      <c r="C37" t="s">
        <v>3860</v>
      </c>
      <c r="D37" s="74">
        <v>959</v>
      </c>
      <c r="E37" s="74">
        <v>519</v>
      </c>
      <c r="F37" s="74"/>
      <c r="G37" s="74"/>
      <c r="H37" s="74"/>
    </row>
    <row r="38" spans="1:8" x14ac:dyDescent="0.25">
      <c r="A38" t="s">
        <v>1659</v>
      </c>
      <c r="B38" t="s">
        <v>1365</v>
      </c>
      <c r="C38" t="s">
        <v>3867</v>
      </c>
      <c r="D38" s="74">
        <v>959</v>
      </c>
      <c r="E38" s="74">
        <v>519</v>
      </c>
      <c r="F38" s="74"/>
      <c r="G38" s="74"/>
      <c r="H38" s="74"/>
    </row>
    <row r="39" spans="1:8" x14ac:dyDescent="0.25">
      <c r="A39" t="s">
        <v>1660</v>
      </c>
      <c r="B39" t="s">
        <v>1365</v>
      </c>
      <c r="C39" t="s">
        <v>3871</v>
      </c>
      <c r="D39" s="74">
        <v>1599</v>
      </c>
      <c r="E39" s="74">
        <v>866</v>
      </c>
      <c r="F39" s="74"/>
      <c r="G39" s="74"/>
      <c r="H39" s="74"/>
    </row>
    <row r="40" spans="1:8" x14ac:dyDescent="0.25">
      <c r="A40" t="s">
        <v>1654</v>
      </c>
      <c r="B40" t="s">
        <v>1365</v>
      </c>
      <c r="C40" t="s">
        <v>3840</v>
      </c>
      <c r="D40" s="74">
        <v>1599</v>
      </c>
      <c r="E40" s="74">
        <v>866</v>
      </c>
      <c r="F40" s="74"/>
      <c r="G40" s="74"/>
      <c r="H40" s="74"/>
    </row>
    <row r="41" spans="1:8" x14ac:dyDescent="0.25">
      <c r="A41" t="s">
        <v>1655</v>
      </c>
      <c r="B41" t="s">
        <v>1365</v>
      </c>
      <c r="C41" t="s">
        <v>3846</v>
      </c>
      <c r="D41" s="74">
        <v>1599</v>
      </c>
      <c r="E41" s="74">
        <v>866</v>
      </c>
      <c r="F41" s="74"/>
      <c r="G41" s="74"/>
      <c r="H41" s="74"/>
    </row>
    <row r="42" spans="1:8" x14ac:dyDescent="0.25">
      <c r="A42" t="s">
        <v>1649</v>
      </c>
      <c r="B42" t="s">
        <v>1365</v>
      </c>
      <c r="C42" t="s">
        <v>3812</v>
      </c>
      <c r="D42" s="74">
        <v>2469</v>
      </c>
      <c r="E42" s="74">
        <v>1543</v>
      </c>
      <c r="F42" s="74"/>
      <c r="G42" s="74"/>
      <c r="H42" s="74"/>
    </row>
    <row r="43" spans="1:8" x14ac:dyDescent="0.25">
      <c r="A43" t="s">
        <v>1650</v>
      </c>
      <c r="B43" t="s">
        <v>1365</v>
      </c>
      <c r="C43" t="s">
        <v>3827</v>
      </c>
      <c r="D43" s="74">
        <v>2469</v>
      </c>
      <c r="E43" s="74">
        <v>1543</v>
      </c>
      <c r="F43" s="74"/>
      <c r="G43" s="74"/>
      <c r="H43" s="74"/>
    </row>
    <row r="44" spans="1:8" x14ac:dyDescent="0.25">
      <c r="A44" t="s">
        <v>1707</v>
      </c>
      <c r="B44" t="s">
        <v>1365</v>
      </c>
      <c r="C44" t="s">
        <v>3951</v>
      </c>
      <c r="D44" s="74">
        <v>2698</v>
      </c>
      <c r="E44" s="74">
        <v>1687</v>
      </c>
      <c r="F44" s="74"/>
      <c r="G44" s="74"/>
      <c r="H44" s="74"/>
    </row>
    <row r="45" spans="1:8" x14ac:dyDescent="0.25">
      <c r="A45" t="s">
        <v>1647</v>
      </c>
      <c r="B45" t="s">
        <v>1365</v>
      </c>
      <c r="C45" t="s">
        <v>3801</v>
      </c>
      <c r="D45" s="74">
        <v>6249</v>
      </c>
      <c r="E45" s="74">
        <v>3645</v>
      </c>
      <c r="F45" s="74"/>
      <c r="G45" s="74"/>
      <c r="H45" s="74"/>
    </row>
    <row r="46" spans="1:8" x14ac:dyDescent="0.25">
      <c r="A46" t="s">
        <v>1648</v>
      </c>
      <c r="B46" t="s">
        <v>1365</v>
      </c>
      <c r="C46" t="s">
        <v>3812</v>
      </c>
      <c r="D46" s="74">
        <v>7489</v>
      </c>
      <c r="E46" s="74">
        <v>4369</v>
      </c>
      <c r="F46" s="74"/>
      <c r="G46" s="74"/>
      <c r="H46" s="74"/>
    </row>
    <row r="47" spans="1:8" x14ac:dyDescent="0.25">
      <c r="A47" t="s">
        <v>1642</v>
      </c>
      <c r="B47" t="s">
        <v>1365</v>
      </c>
      <c r="C47" t="s">
        <v>3772</v>
      </c>
      <c r="D47" s="74">
        <v>11359</v>
      </c>
      <c r="E47" s="74">
        <v>6626</v>
      </c>
      <c r="F47" s="74"/>
      <c r="G47" s="74"/>
      <c r="H47" s="74"/>
    </row>
    <row r="48" spans="1:8" x14ac:dyDescent="0.25">
      <c r="A48" t="s">
        <v>1644</v>
      </c>
      <c r="B48" t="s">
        <v>1365</v>
      </c>
      <c r="C48" t="s">
        <v>3782</v>
      </c>
      <c r="D48" s="74">
        <v>1734</v>
      </c>
      <c r="E48" s="74">
        <v>982</v>
      </c>
      <c r="F48" s="74"/>
      <c r="G48" s="74"/>
      <c r="H48" s="74"/>
    </row>
    <row r="49" spans="1:8" x14ac:dyDescent="0.25">
      <c r="A49" t="s">
        <v>1645</v>
      </c>
      <c r="B49" t="s">
        <v>1365</v>
      </c>
      <c r="C49" t="s">
        <v>3788</v>
      </c>
      <c r="D49" s="74">
        <v>1061</v>
      </c>
      <c r="E49" s="74">
        <v>601</v>
      </c>
      <c r="F49" s="74"/>
      <c r="G49" s="74"/>
      <c r="H49" s="74"/>
    </row>
    <row r="50" spans="1:8" x14ac:dyDescent="0.25">
      <c r="A50" t="s">
        <v>1646</v>
      </c>
      <c r="B50" t="s">
        <v>1365</v>
      </c>
      <c r="C50" t="s">
        <v>3793</v>
      </c>
      <c r="D50" s="74">
        <v>3080</v>
      </c>
      <c r="E50" s="74">
        <v>1745</v>
      </c>
      <c r="F50" s="74"/>
      <c r="G50" s="74"/>
      <c r="H50" s="74"/>
    </row>
    <row r="51" spans="1:8" x14ac:dyDescent="0.25">
      <c r="A51" t="s">
        <v>2618</v>
      </c>
      <c r="B51" t="s">
        <v>1521</v>
      </c>
      <c r="C51" t="s">
        <v>6326</v>
      </c>
      <c r="D51" s="74">
        <v>1199</v>
      </c>
      <c r="E51" s="74">
        <v>729</v>
      </c>
      <c r="F51" s="74"/>
      <c r="G51" s="74"/>
      <c r="H51" s="74"/>
    </row>
    <row r="52" spans="1:8" x14ac:dyDescent="0.25">
      <c r="A52" t="s">
        <v>2607</v>
      </c>
      <c r="B52" t="s">
        <v>1521</v>
      </c>
      <c r="C52" t="s">
        <v>6326</v>
      </c>
      <c r="D52" s="74">
        <v>1309</v>
      </c>
      <c r="E52" s="74">
        <v>796</v>
      </c>
      <c r="F52" s="74"/>
      <c r="G52" s="74"/>
      <c r="H52" s="74"/>
    </row>
    <row r="53" spans="1:8" x14ac:dyDescent="0.25">
      <c r="A53" t="s">
        <v>2786</v>
      </c>
      <c r="B53" t="s">
        <v>1526</v>
      </c>
      <c r="C53" t="s">
        <v>6593</v>
      </c>
      <c r="D53" s="74">
        <v>529</v>
      </c>
      <c r="E53" s="74">
        <v>309</v>
      </c>
      <c r="F53" s="74"/>
      <c r="G53" s="74"/>
      <c r="H53" s="74"/>
    </row>
    <row r="54" spans="1:8" x14ac:dyDescent="0.25">
      <c r="A54" t="s">
        <v>3391</v>
      </c>
      <c r="B54" t="s">
        <v>1544</v>
      </c>
      <c r="C54" t="s">
        <v>7929</v>
      </c>
      <c r="D54" s="74">
        <v>209</v>
      </c>
      <c r="E54" s="74">
        <v>122</v>
      </c>
      <c r="F54" s="74"/>
      <c r="G54" s="74"/>
      <c r="H54" s="74"/>
    </row>
    <row r="55" spans="1:8" x14ac:dyDescent="0.25">
      <c r="A55" t="s">
        <v>3392</v>
      </c>
      <c r="B55" t="s">
        <v>1544</v>
      </c>
      <c r="C55" t="s">
        <v>7929</v>
      </c>
      <c r="D55" s="74">
        <v>209</v>
      </c>
      <c r="E55" s="74">
        <v>122</v>
      </c>
      <c r="F55" s="74"/>
      <c r="G55" s="74"/>
      <c r="H55" s="74"/>
    </row>
    <row r="56" spans="1:8" x14ac:dyDescent="0.25">
      <c r="A56" t="s">
        <v>3154</v>
      </c>
      <c r="B56" t="s">
        <v>1536</v>
      </c>
      <c r="C56" t="s">
        <v>7463</v>
      </c>
      <c r="D56" s="74">
        <v>2590</v>
      </c>
      <c r="E56" s="74">
        <v>1511</v>
      </c>
      <c r="F56" s="74"/>
      <c r="G56" s="74"/>
      <c r="H56" s="74"/>
    </row>
    <row r="57" spans="1:8" x14ac:dyDescent="0.25">
      <c r="A57" t="s">
        <v>3142</v>
      </c>
      <c r="B57" t="s">
        <v>1536</v>
      </c>
      <c r="C57" t="s">
        <v>7423</v>
      </c>
      <c r="D57" s="74">
        <v>1290</v>
      </c>
      <c r="E57" s="74">
        <v>753</v>
      </c>
      <c r="F57" s="74"/>
      <c r="G57" s="74"/>
      <c r="H57" s="74"/>
    </row>
    <row r="58" spans="1:8" x14ac:dyDescent="0.25">
      <c r="A58" t="s">
        <v>3143</v>
      </c>
      <c r="B58" t="s">
        <v>1536</v>
      </c>
      <c r="C58" t="s">
        <v>7426</v>
      </c>
      <c r="D58" s="74">
        <v>7590</v>
      </c>
      <c r="E58" s="74">
        <v>4428</v>
      </c>
      <c r="F58" s="74"/>
      <c r="G58" s="74"/>
      <c r="H58" s="74"/>
    </row>
    <row r="59" spans="1:8" x14ac:dyDescent="0.25">
      <c r="A59" t="s">
        <v>3144</v>
      </c>
      <c r="B59" t="s">
        <v>1536</v>
      </c>
      <c r="C59" t="s">
        <v>7431</v>
      </c>
      <c r="D59" s="74">
        <v>9590</v>
      </c>
      <c r="E59" s="74">
        <v>5594</v>
      </c>
      <c r="F59" s="74"/>
      <c r="G59" s="74"/>
      <c r="H59" s="74"/>
    </row>
    <row r="60" spans="1:8" x14ac:dyDescent="0.25">
      <c r="A60" t="s">
        <v>3171</v>
      </c>
      <c r="B60" t="s">
        <v>1536</v>
      </c>
      <c r="C60" t="s">
        <v>7492</v>
      </c>
      <c r="D60" s="74">
        <v>9390</v>
      </c>
      <c r="E60" s="74">
        <v>5478</v>
      </c>
      <c r="F60" s="74"/>
      <c r="G60" s="74"/>
      <c r="H60" s="74"/>
    </row>
    <row r="61" spans="1:8" x14ac:dyDescent="0.25">
      <c r="A61" t="s">
        <v>3145</v>
      </c>
      <c r="B61" t="s">
        <v>1536</v>
      </c>
      <c r="C61" t="s">
        <v>7435</v>
      </c>
      <c r="D61" s="74">
        <v>5490</v>
      </c>
      <c r="E61" s="74">
        <v>3203</v>
      </c>
      <c r="F61" s="74"/>
      <c r="G61" s="74"/>
      <c r="H61" s="74"/>
    </row>
    <row r="62" spans="1:8" x14ac:dyDescent="0.25">
      <c r="A62" t="s">
        <v>3146</v>
      </c>
      <c r="B62" t="s">
        <v>1536</v>
      </c>
      <c r="C62" t="s">
        <v>7439</v>
      </c>
      <c r="D62" s="74">
        <v>8190</v>
      </c>
      <c r="E62" s="74">
        <v>4778</v>
      </c>
      <c r="F62" s="74"/>
      <c r="G62" s="74"/>
      <c r="H62" s="74"/>
    </row>
    <row r="63" spans="1:8" x14ac:dyDescent="0.25">
      <c r="A63" t="s">
        <v>3147</v>
      </c>
      <c r="B63" t="s">
        <v>1536</v>
      </c>
      <c r="C63" t="s">
        <v>7442</v>
      </c>
      <c r="D63" s="74">
        <v>5490</v>
      </c>
      <c r="E63" s="74">
        <v>3203</v>
      </c>
      <c r="F63" s="74"/>
      <c r="G63" s="74"/>
      <c r="H63" s="74"/>
    </row>
    <row r="64" spans="1:8" x14ac:dyDescent="0.25">
      <c r="A64" t="s">
        <v>3148</v>
      </c>
      <c r="B64" t="s">
        <v>1536</v>
      </c>
      <c r="C64" t="s">
        <v>7445</v>
      </c>
      <c r="D64" s="74">
        <v>10490</v>
      </c>
      <c r="E64" s="74">
        <v>6119</v>
      </c>
      <c r="F64" s="74"/>
      <c r="G64" s="74"/>
      <c r="H64" s="74"/>
    </row>
    <row r="65" spans="1:8" x14ac:dyDescent="0.25">
      <c r="A65" t="s">
        <v>3359</v>
      </c>
      <c r="B65" t="s">
        <v>1545</v>
      </c>
      <c r="C65" t="s">
        <v>7830</v>
      </c>
      <c r="D65" s="74">
        <v>10989</v>
      </c>
      <c r="E65" s="74">
        <v>6593</v>
      </c>
      <c r="F65" s="74"/>
      <c r="G65" s="74"/>
      <c r="H65" s="74"/>
    </row>
    <row r="66" spans="1:8" x14ac:dyDescent="0.25">
      <c r="A66" t="s">
        <v>3360</v>
      </c>
      <c r="B66" t="s">
        <v>1545</v>
      </c>
      <c r="C66" t="s">
        <v>7834</v>
      </c>
      <c r="D66" s="74">
        <v>12199</v>
      </c>
      <c r="E66" s="74">
        <v>7319</v>
      </c>
      <c r="F66" s="74"/>
      <c r="G66" s="74"/>
      <c r="H66" s="74"/>
    </row>
    <row r="67" spans="1:8" x14ac:dyDescent="0.25">
      <c r="A67" t="s">
        <v>3172</v>
      </c>
      <c r="B67" t="s">
        <v>1536</v>
      </c>
      <c r="C67" t="s">
        <v>7972</v>
      </c>
      <c r="D67" s="74">
        <v>6990</v>
      </c>
      <c r="E67" s="74">
        <v>4078</v>
      </c>
      <c r="F67" s="74"/>
      <c r="G67" s="74"/>
      <c r="H67" s="74"/>
    </row>
    <row r="68" spans="1:8" x14ac:dyDescent="0.25">
      <c r="A68" t="s">
        <v>3150</v>
      </c>
      <c r="B68" t="s">
        <v>1536</v>
      </c>
      <c r="C68" t="s">
        <v>7449</v>
      </c>
      <c r="D68" s="74">
        <v>5290</v>
      </c>
      <c r="E68" s="74">
        <v>3086</v>
      </c>
      <c r="F68" s="74"/>
      <c r="G68" s="74"/>
      <c r="H68" s="74"/>
    </row>
    <row r="69" spans="1:8" x14ac:dyDescent="0.25">
      <c r="A69" t="s">
        <v>3151</v>
      </c>
      <c r="B69" t="s">
        <v>1536</v>
      </c>
      <c r="C69" t="s">
        <v>7452</v>
      </c>
      <c r="D69" s="74">
        <v>6290</v>
      </c>
      <c r="E69" s="74">
        <v>3669</v>
      </c>
      <c r="F69" s="74"/>
      <c r="G69" s="74"/>
      <c r="H69" s="74"/>
    </row>
    <row r="70" spans="1:8" x14ac:dyDescent="0.25">
      <c r="A70" t="s">
        <v>3152</v>
      </c>
      <c r="B70" t="s">
        <v>1536</v>
      </c>
      <c r="C70" t="s">
        <v>7456</v>
      </c>
      <c r="D70" s="74">
        <v>1990</v>
      </c>
      <c r="E70" s="74">
        <v>1161</v>
      </c>
      <c r="F70" s="74"/>
      <c r="G70" s="74"/>
      <c r="H70" s="74"/>
    </row>
    <row r="71" spans="1:8" x14ac:dyDescent="0.25">
      <c r="A71" t="s">
        <v>3153</v>
      </c>
      <c r="B71" t="s">
        <v>1536</v>
      </c>
      <c r="C71" t="s">
        <v>7459</v>
      </c>
      <c r="D71" s="74">
        <v>9890</v>
      </c>
      <c r="E71" s="74">
        <v>5769</v>
      </c>
      <c r="F71" s="74"/>
      <c r="G71" s="74"/>
      <c r="H71" s="74"/>
    </row>
    <row r="72" spans="1:8" x14ac:dyDescent="0.25">
      <c r="A72" t="s">
        <v>3308</v>
      </c>
      <c r="B72" t="s">
        <v>1545</v>
      </c>
      <c r="C72" t="s">
        <v>7731</v>
      </c>
      <c r="D72" s="74">
        <v>539</v>
      </c>
      <c r="E72" s="74">
        <v>314</v>
      </c>
      <c r="F72" s="74"/>
      <c r="G72" s="74"/>
      <c r="H72" s="74"/>
    </row>
    <row r="73" spans="1:8" x14ac:dyDescent="0.25">
      <c r="A73" t="s">
        <v>3338</v>
      </c>
      <c r="B73" t="s">
        <v>1545</v>
      </c>
      <c r="C73" t="s">
        <v>7784</v>
      </c>
      <c r="D73" s="74">
        <v>539</v>
      </c>
      <c r="E73" s="74">
        <v>328</v>
      </c>
      <c r="F73" s="74"/>
      <c r="G73" s="74"/>
      <c r="H73" s="74"/>
    </row>
    <row r="74" spans="1:8" x14ac:dyDescent="0.25">
      <c r="A74" t="s">
        <v>3320</v>
      </c>
      <c r="B74" t="s">
        <v>1545</v>
      </c>
      <c r="C74" t="s">
        <v>7748</v>
      </c>
      <c r="D74" s="74">
        <v>1199</v>
      </c>
      <c r="E74" s="74">
        <v>699</v>
      </c>
      <c r="F74" s="74"/>
      <c r="G74" s="74"/>
      <c r="H74" s="74"/>
    </row>
    <row r="75" spans="1:8" x14ac:dyDescent="0.25">
      <c r="A75" t="s">
        <v>3322</v>
      </c>
      <c r="B75" t="s">
        <v>1545</v>
      </c>
      <c r="C75" t="s">
        <v>7756</v>
      </c>
      <c r="D75" s="74">
        <v>1199</v>
      </c>
      <c r="E75" s="74">
        <v>699</v>
      </c>
      <c r="F75" s="74"/>
      <c r="G75" s="74"/>
      <c r="H75" s="74"/>
    </row>
    <row r="76" spans="1:8" x14ac:dyDescent="0.25">
      <c r="A76" t="s">
        <v>3333</v>
      </c>
      <c r="B76" t="s">
        <v>1545</v>
      </c>
      <c r="C76" t="s">
        <v>7776</v>
      </c>
      <c r="D76" s="74">
        <v>1749</v>
      </c>
      <c r="E76" s="74">
        <v>1020</v>
      </c>
      <c r="F76" s="74"/>
      <c r="G76" s="74"/>
      <c r="H76" s="74"/>
    </row>
    <row r="77" spans="1:8" x14ac:dyDescent="0.25">
      <c r="A77" t="s">
        <v>3332</v>
      </c>
      <c r="B77" t="s">
        <v>1545</v>
      </c>
      <c r="C77" t="s">
        <v>7770</v>
      </c>
      <c r="D77" s="74">
        <v>2959</v>
      </c>
      <c r="E77" s="74">
        <v>1775</v>
      </c>
      <c r="F77" s="74"/>
      <c r="G77" s="74"/>
      <c r="H77" s="74"/>
    </row>
    <row r="78" spans="1:8" x14ac:dyDescent="0.25">
      <c r="A78" t="s">
        <v>3334</v>
      </c>
      <c r="B78" t="s">
        <v>1545</v>
      </c>
      <c r="C78" t="s">
        <v>7780</v>
      </c>
      <c r="D78" s="74">
        <v>869</v>
      </c>
      <c r="E78" s="74">
        <v>507</v>
      </c>
      <c r="F78" s="74"/>
      <c r="G78" s="74"/>
      <c r="H78" s="74"/>
    </row>
    <row r="79" spans="1:8" x14ac:dyDescent="0.25">
      <c r="A79" t="s">
        <v>3288</v>
      </c>
      <c r="B79" t="s">
        <v>1545</v>
      </c>
      <c r="C79" t="s">
        <v>7693</v>
      </c>
      <c r="D79" s="74">
        <v>2959</v>
      </c>
      <c r="E79" s="74">
        <v>1726</v>
      </c>
      <c r="F79" s="74"/>
      <c r="G79" s="74"/>
      <c r="H79" s="74"/>
    </row>
    <row r="80" spans="1:8" x14ac:dyDescent="0.25">
      <c r="A80" t="s">
        <v>3289</v>
      </c>
      <c r="B80" t="s">
        <v>1545</v>
      </c>
      <c r="C80" t="s">
        <v>7696</v>
      </c>
      <c r="D80" s="74">
        <v>1859</v>
      </c>
      <c r="E80" s="74">
        <v>1084</v>
      </c>
      <c r="F80" s="74"/>
      <c r="G80" s="74"/>
      <c r="H80" s="74"/>
    </row>
    <row r="81" spans="1:8" x14ac:dyDescent="0.25">
      <c r="A81" t="s">
        <v>3356</v>
      </c>
      <c r="B81" t="s">
        <v>1545</v>
      </c>
      <c r="C81" t="s">
        <v>7819</v>
      </c>
      <c r="D81" s="74">
        <v>1749</v>
      </c>
      <c r="E81" s="74">
        <v>1049</v>
      </c>
      <c r="F81" s="74"/>
      <c r="G81" s="74"/>
      <c r="H81" s="74"/>
    </row>
    <row r="82" spans="1:8" x14ac:dyDescent="0.25">
      <c r="A82" t="s">
        <v>3343</v>
      </c>
      <c r="B82" t="s">
        <v>1545</v>
      </c>
      <c r="C82" t="s">
        <v>7795</v>
      </c>
      <c r="D82" s="74">
        <v>539</v>
      </c>
      <c r="E82" s="74">
        <v>314</v>
      </c>
      <c r="F82" s="74"/>
      <c r="G82" s="74"/>
      <c r="H82" s="74"/>
    </row>
    <row r="83" spans="1:8" x14ac:dyDescent="0.25">
      <c r="A83" t="s">
        <v>3352</v>
      </c>
      <c r="B83" t="s">
        <v>1545</v>
      </c>
      <c r="C83" t="s">
        <v>7810</v>
      </c>
      <c r="D83" s="74">
        <v>539</v>
      </c>
      <c r="E83" s="74">
        <v>314</v>
      </c>
      <c r="F83" s="74"/>
      <c r="G83" s="74"/>
      <c r="H83" s="74"/>
    </row>
    <row r="84" spans="1:8" x14ac:dyDescent="0.25">
      <c r="A84" t="s">
        <v>3353</v>
      </c>
      <c r="B84" t="s">
        <v>1545</v>
      </c>
      <c r="C84" t="s">
        <v>7812</v>
      </c>
      <c r="D84" s="74">
        <v>539</v>
      </c>
      <c r="E84" s="74">
        <v>314</v>
      </c>
      <c r="F84" s="74"/>
      <c r="G84" s="74"/>
      <c r="H84" s="74"/>
    </row>
    <row r="85" spans="1:8" x14ac:dyDescent="0.25">
      <c r="A85" t="s">
        <v>3344</v>
      </c>
      <c r="B85" t="s">
        <v>1545</v>
      </c>
      <c r="C85" t="s">
        <v>7797</v>
      </c>
      <c r="D85" s="74">
        <v>539</v>
      </c>
      <c r="E85" s="74">
        <v>314</v>
      </c>
      <c r="F85" s="74"/>
      <c r="G85" s="74"/>
      <c r="H85" s="74"/>
    </row>
    <row r="86" spans="1:8" x14ac:dyDescent="0.25">
      <c r="A86" t="s">
        <v>3346</v>
      </c>
      <c r="B86" t="s">
        <v>1545</v>
      </c>
      <c r="C86" t="s">
        <v>7800</v>
      </c>
      <c r="D86" s="74">
        <v>539</v>
      </c>
      <c r="E86" s="74">
        <v>314</v>
      </c>
      <c r="F86" s="74"/>
      <c r="G86" s="74"/>
      <c r="H86" s="74"/>
    </row>
    <row r="87" spans="1:8" x14ac:dyDescent="0.25">
      <c r="A87" t="s">
        <v>3347</v>
      </c>
      <c r="B87" t="s">
        <v>1545</v>
      </c>
      <c r="C87" t="s">
        <v>7802</v>
      </c>
      <c r="D87" s="74">
        <v>539</v>
      </c>
      <c r="E87" s="74">
        <v>314</v>
      </c>
      <c r="F87" s="74"/>
      <c r="G87" s="74"/>
      <c r="H87" s="74"/>
    </row>
    <row r="88" spans="1:8" x14ac:dyDescent="0.25">
      <c r="A88" t="s">
        <v>3349</v>
      </c>
      <c r="B88" t="s">
        <v>1545</v>
      </c>
      <c r="C88" t="s">
        <v>7804</v>
      </c>
      <c r="D88" s="74">
        <v>539</v>
      </c>
      <c r="E88" s="74">
        <v>314</v>
      </c>
      <c r="F88" s="74"/>
      <c r="G88" s="74"/>
      <c r="H88" s="74"/>
    </row>
    <row r="89" spans="1:8" x14ac:dyDescent="0.25">
      <c r="A89" t="s">
        <v>3213</v>
      </c>
      <c r="B89" t="s">
        <v>1545</v>
      </c>
      <c r="C89" t="s">
        <v>7499</v>
      </c>
      <c r="D89" s="74">
        <v>5159</v>
      </c>
      <c r="E89" s="74">
        <v>3224</v>
      </c>
      <c r="F89" s="74"/>
      <c r="G89" s="74"/>
      <c r="H89" s="74"/>
    </row>
    <row r="90" spans="1:8" x14ac:dyDescent="0.25">
      <c r="A90" t="s">
        <v>3291</v>
      </c>
      <c r="B90" t="s">
        <v>1545</v>
      </c>
      <c r="C90" t="s">
        <v>7698</v>
      </c>
      <c r="D90" s="74">
        <v>1089</v>
      </c>
      <c r="E90" s="74">
        <v>635</v>
      </c>
      <c r="F90" s="74"/>
      <c r="G90" s="74"/>
      <c r="H90" s="74"/>
    </row>
    <row r="91" spans="1:8" x14ac:dyDescent="0.25">
      <c r="A91" t="s">
        <v>3292</v>
      </c>
      <c r="B91" t="s">
        <v>1545</v>
      </c>
      <c r="C91" t="s">
        <v>7701</v>
      </c>
      <c r="D91" s="74">
        <v>539</v>
      </c>
      <c r="E91" s="74">
        <v>314</v>
      </c>
      <c r="F91" s="74"/>
      <c r="G91" s="74"/>
      <c r="H91" s="74"/>
    </row>
    <row r="92" spans="1:8" x14ac:dyDescent="0.25">
      <c r="A92" t="s">
        <v>3319</v>
      </c>
      <c r="B92" t="s">
        <v>1545</v>
      </c>
      <c r="C92" t="s">
        <v>7752</v>
      </c>
      <c r="D92" s="74">
        <v>979</v>
      </c>
      <c r="E92" s="74">
        <v>571</v>
      </c>
      <c r="F92" s="74"/>
      <c r="G92" s="74"/>
      <c r="H92" s="74"/>
    </row>
    <row r="93" spans="1:8" x14ac:dyDescent="0.25">
      <c r="A93" t="s">
        <v>3358</v>
      </c>
      <c r="B93" t="s">
        <v>1545</v>
      </c>
      <c r="C93" t="s">
        <v>7827</v>
      </c>
      <c r="D93" s="74">
        <v>9119</v>
      </c>
      <c r="E93" s="74">
        <v>5319</v>
      </c>
      <c r="F93" s="74"/>
      <c r="G93" s="74"/>
      <c r="H93" s="74"/>
    </row>
    <row r="94" spans="1:8" x14ac:dyDescent="0.25">
      <c r="A94" t="s">
        <v>3350</v>
      </c>
      <c r="B94" t="s">
        <v>1545</v>
      </c>
      <c r="C94" t="s">
        <v>7806</v>
      </c>
      <c r="D94" s="74">
        <v>649</v>
      </c>
      <c r="E94" s="74">
        <v>379</v>
      </c>
      <c r="F94" s="74"/>
      <c r="G94" s="74"/>
      <c r="H94" s="74"/>
    </row>
    <row r="95" spans="1:8" x14ac:dyDescent="0.25">
      <c r="A95" t="s">
        <v>3361</v>
      </c>
      <c r="B95" t="s">
        <v>1545</v>
      </c>
      <c r="C95" t="s">
        <v>7841</v>
      </c>
      <c r="D95" s="74">
        <v>14179</v>
      </c>
      <c r="E95" s="74">
        <v>8271</v>
      </c>
      <c r="F95" s="74"/>
      <c r="G95" s="74"/>
      <c r="H95" s="74"/>
    </row>
    <row r="96" spans="1:8" x14ac:dyDescent="0.25">
      <c r="A96" t="s">
        <v>2919</v>
      </c>
      <c r="B96" t="s">
        <v>1498</v>
      </c>
      <c r="C96" t="s">
        <v>6916</v>
      </c>
      <c r="D96" s="74">
        <v>3839</v>
      </c>
      <c r="E96" s="74">
        <v>2150</v>
      </c>
      <c r="F96" s="74"/>
      <c r="G96" s="74"/>
      <c r="H96" s="74"/>
    </row>
    <row r="97" spans="1:8" x14ac:dyDescent="0.25">
      <c r="A97" t="s">
        <v>3033</v>
      </c>
      <c r="B97" t="s">
        <v>1498</v>
      </c>
      <c r="C97" t="s">
        <v>7046</v>
      </c>
      <c r="D97" s="74">
        <v>2739</v>
      </c>
      <c r="E97" s="74">
        <v>1506</v>
      </c>
      <c r="F97" s="74"/>
      <c r="G97" s="74"/>
      <c r="H97" s="74"/>
    </row>
    <row r="98" spans="1:8" x14ac:dyDescent="0.25">
      <c r="A98" t="s">
        <v>3034</v>
      </c>
      <c r="B98" t="s">
        <v>1498</v>
      </c>
      <c r="C98" t="s">
        <v>7049</v>
      </c>
      <c r="D98" s="74">
        <v>5379</v>
      </c>
      <c r="E98" s="74">
        <v>3013</v>
      </c>
      <c r="F98" s="74"/>
      <c r="G98" s="74"/>
      <c r="H98" s="74"/>
    </row>
    <row r="99" spans="1:8" x14ac:dyDescent="0.25">
      <c r="A99" t="s">
        <v>3119</v>
      </c>
      <c r="B99" t="s">
        <v>1492</v>
      </c>
      <c r="C99" t="s">
        <v>7972</v>
      </c>
      <c r="D99" s="74">
        <v>19390</v>
      </c>
      <c r="E99" s="74">
        <v>11964</v>
      </c>
      <c r="F99" s="74"/>
      <c r="G99" s="74"/>
      <c r="H99" s="74"/>
    </row>
    <row r="100" spans="1:8" x14ac:dyDescent="0.25">
      <c r="A100" t="s">
        <v>3035</v>
      </c>
      <c r="B100" t="s">
        <v>1492</v>
      </c>
      <c r="C100" t="s">
        <v>7052</v>
      </c>
      <c r="D100" s="74">
        <v>36890</v>
      </c>
      <c r="E100" s="74">
        <v>22169</v>
      </c>
      <c r="F100" s="74"/>
      <c r="G100" s="74"/>
      <c r="H100" s="74"/>
    </row>
    <row r="101" spans="1:8" x14ac:dyDescent="0.25">
      <c r="A101" t="s">
        <v>3036</v>
      </c>
      <c r="B101" t="s">
        <v>1492</v>
      </c>
      <c r="C101" t="s">
        <v>7058</v>
      </c>
      <c r="D101" s="74">
        <v>30790</v>
      </c>
      <c r="E101" s="74">
        <v>19736</v>
      </c>
      <c r="F101" s="74"/>
      <c r="G101" s="74"/>
      <c r="H101" s="74"/>
    </row>
    <row r="102" spans="1:8" x14ac:dyDescent="0.25">
      <c r="A102" t="s">
        <v>3038</v>
      </c>
      <c r="B102" t="s">
        <v>1492</v>
      </c>
      <c r="C102" t="s">
        <v>7064</v>
      </c>
      <c r="D102" s="74">
        <v>34890</v>
      </c>
      <c r="E102" s="74">
        <v>22388</v>
      </c>
      <c r="F102" s="74"/>
      <c r="G102" s="74"/>
      <c r="H102" s="74"/>
    </row>
    <row r="103" spans="1:8" x14ac:dyDescent="0.25">
      <c r="A103" t="s">
        <v>3284</v>
      </c>
      <c r="B103" t="s">
        <v>1546</v>
      </c>
      <c r="C103" t="s">
        <v>7972</v>
      </c>
      <c r="D103" s="74">
        <v>2131</v>
      </c>
      <c r="E103" s="74">
        <v>1243</v>
      </c>
      <c r="F103" s="74"/>
      <c r="G103" s="74"/>
      <c r="H103" s="74"/>
    </row>
    <row r="104" spans="1:8" x14ac:dyDescent="0.25">
      <c r="A104" t="s">
        <v>3279</v>
      </c>
      <c r="B104" t="s">
        <v>1546</v>
      </c>
      <c r="C104" t="s">
        <v>7676</v>
      </c>
      <c r="D104" s="74">
        <v>2189</v>
      </c>
      <c r="E104" s="74">
        <v>1277</v>
      </c>
      <c r="F104" s="74"/>
      <c r="G104" s="74"/>
      <c r="H104" s="74"/>
    </row>
    <row r="105" spans="1:8" x14ac:dyDescent="0.25">
      <c r="A105" t="s">
        <v>3280</v>
      </c>
      <c r="B105" t="s">
        <v>1546</v>
      </c>
      <c r="C105" t="s">
        <v>7679</v>
      </c>
      <c r="D105" s="74">
        <v>759</v>
      </c>
      <c r="E105" s="74">
        <v>443</v>
      </c>
      <c r="F105" s="74"/>
      <c r="G105" s="74"/>
      <c r="H105" s="74"/>
    </row>
    <row r="106" spans="1:8" x14ac:dyDescent="0.25">
      <c r="A106" t="s">
        <v>3246</v>
      </c>
      <c r="B106" t="s">
        <v>1546</v>
      </c>
      <c r="C106" t="s">
        <v>7586</v>
      </c>
      <c r="D106" s="74">
        <v>979</v>
      </c>
      <c r="E106" s="74">
        <v>571</v>
      </c>
      <c r="F106" s="74"/>
      <c r="G106" s="74"/>
      <c r="H106" s="74"/>
    </row>
    <row r="107" spans="1:8" x14ac:dyDescent="0.25">
      <c r="A107" t="s">
        <v>3247</v>
      </c>
      <c r="B107" t="s">
        <v>1546</v>
      </c>
      <c r="C107" t="s">
        <v>7588</v>
      </c>
      <c r="D107" s="74">
        <v>979</v>
      </c>
      <c r="E107" s="74">
        <v>571</v>
      </c>
      <c r="F107" s="74"/>
      <c r="G107" s="74"/>
      <c r="H107" s="74"/>
    </row>
    <row r="108" spans="1:8" x14ac:dyDescent="0.25">
      <c r="A108" t="s">
        <v>3248</v>
      </c>
      <c r="B108" t="s">
        <v>1546</v>
      </c>
      <c r="C108" t="s">
        <v>7590</v>
      </c>
      <c r="D108" s="74">
        <v>979</v>
      </c>
      <c r="E108" s="74">
        <v>571</v>
      </c>
      <c r="F108" s="74"/>
      <c r="G108" s="74"/>
      <c r="H108" s="74"/>
    </row>
    <row r="109" spans="1:8" x14ac:dyDescent="0.25">
      <c r="A109" t="s">
        <v>3249</v>
      </c>
      <c r="B109" t="s">
        <v>1546</v>
      </c>
      <c r="C109" t="s">
        <v>7592</v>
      </c>
      <c r="D109" s="74">
        <v>979</v>
      </c>
      <c r="E109" s="74">
        <v>571</v>
      </c>
      <c r="F109" s="74"/>
      <c r="G109" s="74"/>
      <c r="H109" s="74"/>
    </row>
    <row r="110" spans="1:8" x14ac:dyDescent="0.25">
      <c r="A110" t="s">
        <v>3242</v>
      </c>
      <c r="B110" t="s">
        <v>1546</v>
      </c>
      <c r="C110" t="s">
        <v>7580</v>
      </c>
      <c r="D110" s="74">
        <v>2629</v>
      </c>
      <c r="E110" s="74">
        <v>1534</v>
      </c>
      <c r="F110" s="74"/>
      <c r="G110" s="74"/>
      <c r="H110" s="74"/>
    </row>
    <row r="111" spans="1:8" x14ac:dyDescent="0.25">
      <c r="A111" t="s">
        <v>3244</v>
      </c>
      <c r="B111" t="s">
        <v>1546</v>
      </c>
      <c r="C111" t="s">
        <v>7584</v>
      </c>
      <c r="D111" s="74">
        <v>979</v>
      </c>
      <c r="E111" s="74">
        <v>571</v>
      </c>
      <c r="F111" s="74"/>
      <c r="G111" s="74"/>
      <c r="H111" s="74"/>
    </row>
    <row r="112" spans="1:8" x14ac:dyDescent="0.25">
      <c r="A112" t="s">
        <v>3245</v>
      </c>
      <c r="B112" t="s">
        <v>1546</v>
      </c>
      <c r="C112" t="s">
        <v>7584</v>
      </c>
      <c r="D112" s="74">
        <v>979</v>
      </c>
      <c r="E112" s="74">
        <v>571</v>
      </c>
      <c r="F112" s="74"/>
      <c r="G112" s="74"/>
      <c r="H112" s="74"/>
    </row>
    <row r="113" spans="1:8" x14ac:dyDescent="0.25">
      <c r="A113" t="s">
        <v>3136</v>
      </c>
      <c r="B113" t="s">
        <v>1496</v>
      </c>
      <c r="C113" t="s">
        <v>7409</v>
      </c>
      <c r="D113" s="74">
        <v>6390</v>
      </c>
      <c r="E113" s="74">
        <v>4045</v>
      </c>
      <c r="F113" s="74"/>
      <c r="G113" s="74"/>
      <c r="H113" s="74"/>
    </row>
    <row r="114" spans="1:8" x14ac:dyDescent="0.25">
      <c r="A114" t="s">
        <v>3041</v>
      </c>
      <c r="B114" t="s">
        <v>1496</v>
      </c>
      <c r="C114" t="s">
        <v>7076</v>
      </c>
      <c r="D114" s="74">
        <v>6690</v>
      </c>
      <c r="E114" s="74">
        <v>4235</v>
      </c>
      <c r="F114" s="74"/>
      <c r="G114" s="74"/>
      <c r="H114" s="74"/>
    </row>
    <row r="115" spans="1:8" x14ac:dyDescent="0.25">
      <c r="A115" t="s">
        <v>3043</v>
      </c>
      <c r="B115" t="s">
        <v>1493</v>
      </c>
      <c r="C115" t="s">
        <v>7084</v>
      </c>
      <c r="D115" s="74">
        <v>8990</v>
      </c>
      <c r="E115" s="74">
        <v>5835</v>
      </c>
      <c r="F115" s="74"/>
      <c r="G115" s="74"/>
      <c r="H115" s="74"/>
    </row>
    <row r="116" spans="1:8" x14ac:dyDescent="0.25">
      <c r="A116" t="s">
        <v>3044</v>
      </c>
      <c r="B116" t="s">
        <v>1493</v>
      </c>
      <c r="C116" t="s">
        <v>7088</v>
      </c>
      <c r="D116" s="74">
        <v>9790</v>
      </c>
      <c r="E116" s="74">
        <v>6276</v>
      </c>
      <c r="F116" s="74"/>
      <c r="G116" s="74"/>
      <c r="H116" s="74"/>
    </row>
    <row r="117" spans="1:8" x14ac:dyDescent="0.25">
      <c r="A117" t="s">
        <v>3046</v>
      </c>
      <c r="B117" t="s">
        <v>1493</v>
      </c>
      <c r="C117" t="s">
        <v>7090</v>
      </c>
      <c r="D117" s="74">
        <v>10790</v>
      </c>
      <c r="E117" s="74">
        <v>6917</v>
      </c>
      <c r="F117" s="74"/>
      <c r="G117" s="74"/>
      <c r="H117" s="74"/>
    </row>
    <row r="118" spans="1:8" x14ac:dyDescent="0.25">
      <c r="A118" t="s">
        <v>2920</v>
      </c>
      <c r="B118" t="s">
        <v>1498</v>
      </c>
      <c r="C118" t="s">
        <v>6919</v>
      </c>
      <c r="D118" s="74">
        <v>539</v>
      </c>
      <c r="E118" s="74">
        <v>294</v>
      </c>
      <c r="F118" s="74"/>
      <c r="G118" s="74"/>
      <c r="H118" s="74"/>
    </row>
    <row r="119" spans="1:8" x14ac:dyDescent="0.25">
      <c r="A119" t="s">
        <v>2921</v>
      </c>
      <c r="B119" t="s">
        <v>1498</v>
      </c>
      <c r="C119" t="s">
        <v>6922</v>
      </c>
      <c r="D119" s="74">
        <v>539</v>
      </c>
      <c r="E119" s="74">
        <v>294</v>
      </c>
      <c r="F119" s="74"/>
      <c r="G119" s="74"/>
      <c r="H119" s="74"/>
    </row>
    <row r="120" spans="1:8" x14ac:dyDescent="0.25">
      <c r="A120" t="s">
        <v>3049</v>
      </c>
      <c r="B120" t="s">
        <v>1498</v>
      </c>
      <c r="C120" t="s">
        <v>7097</v>
      </c>
      <c r="D120" s="74">
        <v>649</v>
      </c>
      <c r="E120" s="74">
        <v>355</v>
      </c>
      <c r="F120" s="74"/>
      <c r="G120" s="74"/>
      <c r="H120" s="74"/>
    </row>
    <row r="121" spans="1:8" x14ac:dyDescent="0.25">
      <c r="A121" t="s">
        <v>3050</v>
      </c>
      <c r="B121" t="s">
        <v>1498</v>
      </c>
      <c r="C121" t="s">
        <v>7100</v>
      </c>
      <c r="D121" s="74">
        <v>759</v>
      </c>
      <c r="E121" s="74">
        <v>416</v>
      </c>
      <c r="F121" s="74"/>
      <c r="G121" s="74"/>
      <c r="H121" s="74"/>
    </row>
    <row r="122" spans="1:8" x14ac:dyDescent="0.25">
      <c r="A122" t="s">
        <v>3051</v>
      </c>
      <c r="B122" t="s">
        <v>1498</v>
      </c>
      <c r="C122" t="s">
        <v>7102</v>
      </c>
      <c r="D122" s="74">
        <v>1529</v>
      </c>
      <c r="E122" s="74">
        <v>833</v>
      </c>
      <c r="F122" s="74"/>
      <c r="G122" s="74"/>
      <c r="H122" s="74"/>
    </row>
    <row r="123" spans="1:8" x14ac:dyDescent="0.25">
      <c r="A123" t="s">
        <v>3052</v>
      </c>
      <c r="B123" t="s">
        <v>1498</v>
      </c>
      <c r="C123" t="s">
        <v>7102</v>
      </c>
      <c r="D123" s="74">
        <v>1639</v>
      </c>
      <c r="E123" s="74">
        <v>893</v>
      </c>
      <c r="F123" s="74"/>
      <c r="G123" s="74"/>
      <c r="H123" s="74"/>
    </row>
    <row r="124" spans="1:8" x14ac:dyDescent="0.25">
      <c r="A124" t="s">
        <v>3054</v>
      </c>
      <c r="B124" t="s">
        <v>1498</v>
      </c>
      <c r="C124" t="s">
        <v>7110</v>
      </c>
      <c r="D124" s="74">
        <v>1859</v>
      </c>
      <c r="E124" s="74">
        <v>1018</v>
      </c>
      <c r="F124" s="74"/>
      <c r="G124" s="74"/>
      <c r="H124" s="74"/>
    </row>
    <row r="125" spans="1:8" x14ac:dyDescent="0.25">
      <c r="A125" t="s">
        <v>3055</v>
      </c>
      <c r="B125" t="s">
        <v>1498</v>
      </c>
      <c r="C125" t="s">
        <v>7113</v>
      </c>
      <c r="D125" s="74">
        <v>5379</v>
      </c>
      <c r="E125" s="74">
        <v>2944</v>
      </c>
      <c r="F125" s="74"/>
      <c r="G125" s="74"/>
      <c r="H125" s="74"/>
    </row>
    <row r="126" spans="1:8" x14ac:dyDescent="0.25">
      <c r="A126" t="s">
        <v>3056</v>
      </c>
      <c r="B126" t="s">
        <v>1498</v>
      </c>
      <c r="C126" t="s">
        <v>7117</v>
      </c>
      <c r="D126" s="74">
        <v>4829</v>
      </c>
      <c r="E126" s="74">
        <v>2643</v>
      </c>
      <c r="F126" s="74"/>
      <c r="G126" s="74"/>
      <c r="H126" s="74"/>
    </row>
    <row r="127" spans="1:8" x14ac:dyDescent="0.25">
      <c r="A127" t="s">
        <v>3057</v>
      </c>
      <c r="B127" t="s">
        <v>1493</v>
      </c>
      <c r="C127" t="s">
        <v>7122</v>
      </c>
      <c r="D127" s="74">
        <v>14790</v>
      </c>
      <c r="E127" s="74">
        <v>9481</v>
      </c>
      <c r="F127" s="74"/>
      <c r="G127" s="74"/>
      <c r="H127" s="74"/>
    </row>
    <row r="128" spans="1:8" x14ac:dyDescent="0.25">
      <c r="A128" t="s">
        <v>3058</v>
      </c>
      <c r="B128" t="s">
        <v>1493</v>
      </c>
      <c r="C128" t="s">
        <v>7126</v>
      </c>
      <c r="D128" s="74">
        <v>18090</v>
      </c>
      <c r="E128" s="74">
        <v>11596</v>
      </c>
      <c r="F128" s="74"/>
      <c r="G128" s="74"/>
      <c r="H128" s="74"/>
    </row>
    <row r="129" spans="1:8" x14ac:dyDescent="0.25">
      <c r="A129" t="s">
        <v>3059</v>
      </c>
      <c r="B129" t="s">
        <v>1493</v>
      </c>
      <c r="C129" t="s">
        <v>7130</v>
      </c>
      <c r="D129" s="74">
        <v>23190</v>
      </c>
      <c r="E129" s="74">
        <v>14865</v>
      </c>
      <c r="F129" s="74"/>
      <c r="G129" s="74"/>
      <c r="H129" s="74"/>
    </row>
    <row r="130" spans="1:8" x14ac:dyDescent="0.25">
      <c r="A130" t="s">
        <v>3060</v>
      </c>
      <c r="B130" t="s">
        <v>1498</v>
      </c>
      <c r="C130" t="s">
        <v>7134</v>
      </c>
      <c r="D130" s="74">
        <v>12749</v>
      </c>
      <c r="E130" s="74">
        <v>7974</v>
      </c>
      <c r="F130" s="74"/>
      <c r="G130" s="74"/>
      <c r="H130" s="74"/>
    </row>
    <row r="131" spans="1:8" x14ac:dyDescent="0.25">
      <c r="A131" t="s">
        <v>3122</v>
      </c>
      <c r="B131" t="s">
        <v>1492</v>
      </c>
      <c r="C131" t="s">
        <v>7972</v>
      </c>
      <c r="D131" s="74">
        <v>9190</v>
      </c>
      <c r="E131" s="74">
        <v>5670</v>
      </c>
      <c r="F131" s="74"/>
      <c r="G131" s="74"/>
      <c r="H131" s="74"/>
    </row>
    <row r="132" spans="1:8" x14ac:dyDescent="0.25">
      <c r="A132" t="s">
        <v>3123</v>
      </c>
      <c r="B132" t="s">
        <v>1498</v>
      </c>
      <c r="C132" t="s">
        <v>7972</v>
      </c>
      <c r="D132" s="74">
        <v>7919</v>
      </c>
      <c r="E132" s="74">
        <v>4953</v>
      </c>
      <c r="F132" s="74"/>
      <c r="G132" s="74"/>
      <c r="H132" s="74"/>
    </row>
    <row r="133" spans="1:8" x14ac:dyDescent="0.25">
      <c r="A133" t="s">
        <v>3124</v>
      </c>
      <c r="B133" t="s">
        <v>1492</v>
      </c>
      <c r="C133" t="s">
        <v>7972</v>
      </c>
      <c r="D133" s="74">
        <v>12890</v>
      </c>
      <c r="E133" s="74">
        <v>7953</v>
      </c>
      <c r="F133" s="74"/>
      <c r="G133" s="74"/>
      <c r="H133" s="74"/>
    </row>
    <row r="134" spans="1:8" x14ac:dyDescent="0.25">
      <c r="A134" t="s">
        <v>3061</v>
      </c>
      <c r="B134" t="s">
        <v>1498</v>
      </c>
      <c r="C134" t="s">
        <v>7138</v>
      </c>
      <c r="D134" s="74">
        <v>649</v>
      </c>
      <c r="E134" s="74">
        <v>355</v>
      </c>
      <c r="F134" s="74"/>
      <c r="G134" s="74"/>
      <c r="H134" s="74"/>
    </row>
    <row r="135" spans="1:8" x14ac:dyDescent="0.25">
      <c r="A135" t="s">
        <v>3062</v>
      </c>
      <c r="B135" t="s">
        <v>1498</v>
      </c>
      <c r="C135" t="s">
        <v>7140</v>
      </c>
      <c r="D135" s="74">
        <v>759</v>
      </c>
      <c r="E135" s="74">
        <v>416</v>
      </c>
      <c r="F135" s="74"/>
      <c r="G135" s="74"/>
      <c r="H135" s="74"/>
    </row>
    <row r="136" spans="1:8" x14ac:dyDescent="0.25">
      <c r="A136" t="s">
        <v>3063</v>
      </c>
      <c r="B136" t="s">
        <v>1498</v>
      </c>
      <c r="C136" t="s">
        <v>7142</v>
      </c>
      <c r="D136" s="74">
        <v>429</v>
      </c>
      <c r="E136" s="74">
        <v>234</v>
      </c>
      <c r="F136" s="74"/>
      <c r="G136" s="74"/>
      <c r="H136" s="74"/>
    </row>
    <row r="137" spans="1:8" x14ac:dyDescent="0.25">
      <c r="A137" t="s">
        <v>3139</v>
      </c>
      <c r="B137" t="s">
        <v>1489</v>
      </c>
      <c r="C137" t="s">
        <v>7415</v>
      </c>
      <c r="D137" s="74">
        <v>12290</v>
      </c>
      <c r="E137" s="74">
        <v>7780</v>
      </c>
      <c r="F137" s="74"/>
      <c r="G137" s="74"/>
      <c r="H137" s="74"/>
    </row>
    <row r="138" spans="1:8" x14ac:dyDescent="0.25">
      <c r="A138" t="s">
        <v>3140</v>
      </c>
      <c r="B138" t="s">
        <v>1489</v>
      </c>
      <c r="C138" t="s">
        <v>7419</v>
      </c>
      <c r="D138" s="74">
        <v>12790</v>
      </c>
      <c r="E138" s="74">
        <v>8096</v>
      </c>
      <c r="F138" s="74"/>
      <c r="G138" s="74"/>
      <c r="H138" s="74"/>
    </row>
    <row r="139" spans="1:8" x14ac:dyDescent="0.25">
      <c r="A139" t="s">
        <v>2918</v>
      </c>
      <c r="B139" t="s">
        <v>1494</v>
      </c>
      <c r="C139" t="s">
        <v>7972</v>
      </c>
      <c r="D139" s="74">
        <v>11590</v>
      </c>
      <c r="E139" s="74">
        <v>6886</v>
      </c>
      <c r="F139" s="74"/>
      <c r="G139" s="74"/>
      <c r="H139" s="74"/>
    </row>
    <row r="140" spans="1:8" x14ac:dyDescent="0.25">
      <c r="A140" t="s">
        <v>3065</v>
      </c>
      <c r="B140" t="s">
        <v>1498</v>
      </c>
      <c r="C140" t="s">
        <v>7146</v>
      </c>
      <c r="D140" s="74">
        <v>1419</v>
      </c>
      <c r="E140" s="74">
        <v>777</v>
      </c>
      <c r="F140" s="74"/>
      <c r="G140" s="74"/>
      <c r="H140" s="74"/>
    </row>
    <row r="141" spans="1:8" x14ac:dyDescent="0.25">
      <c r="A141" t="s">
        <v>3066</v>
      </c>
      <c r="B141" t="s">
        <v>1494</v>
      </c>
      <c r="C141" t="s">
        <v>7150</v>
      </c>
      <c r="D141" s="74">
        <v>15390</v>
      </c>
      <c r="E141" s="74">
        <v>9143</v>
      </c>
      <c r="F141" s="74"/>
      <c r="G141" s="74"/>
      <c r="H141" s="74"/>
    </row>
    <row r="142" spans="1:8" x14ac:dyDescent="0.25">
      <c r="A142" t="s">
        <v>3067</v>
      </c>
      <c r="B142" t="s">
        <v>1494</v>
      </c>
      <c r="C142" t="s">
        <v>7158</v>
      </c>
      <c r="D142" s="74">
        <v>22090</v>
      </c>
      <c r="E142" s="74">
        <v>13124</v>
      </c>
      <c r="F142" s="74"/>
      <c r="G142" s="74"/>
      <c r="H142" s="74"/>
    </row>
    <row r="143" spans="1:8" x14ac:dyDescent="0.25">
      <c r="A143" t="s">
        <v>3068</v>
      </c>
      <c r="B143" t="s">
        <v>1494</v>
      </c>
      <c r="C143" t="s">
        <v>7163</v>
      </c>
      <c r="D143" s="74">
        <v>26490</v>
      </c>
      <c r="E143" s="74">
        <v>15531</v>
      </c>
      <c r="F143" s="74"/>
      <c r="G143" s="74"/>
      <c r="H143" s="74"/>
    </row>
    <row r="144" spans="1:8" x14ac:dyDescent="0.25">
      <c r="A144" t="s">
        <v>3069</v>
      </c>
      <c r="B144" t="s">
        <v>1494</v>
      </c>
      <c r="C144" t="s">
        <v>7169</v>
      </c>
      <c r="D144" s="74">
        <v>30190</v>
      </c>
      <c r="E144" s="74">
        <v>17701</v>
      </c>
      <c r="F144" s="74"/>
      <c r="G144" s="74"/>
      <c r="H144" s="74"/>
    </row>
    <row r="145" spans="1:8" x14ac:dyDescent="0.25">
      <c r="A145" t="s">
        <v>3125</v>
      </c>
      <c r="B145" t="s">
        <v>1495</v>
      </c>
      <c r="C145" t="s">
        <v>7390</v>
      </c>
      <c r="D145" s="74">
        <v>17090</v>
      </c>
      <c r="E145" s="74">
        <v>10421</v>
      </c>
      <c r="F145" s="74"/>
      <c r="G145" s="74"/>
      <c r="H145" s="74"/>
    </row>
    <row r="146" spans="1:8" x14ac:dyDescent="0.25">
      <c r="A146" t="s">
        <v>3070</v>
      </c>
      <c r="B146" t="s">
        <v>1495</v>
      </c>
      <c r="C146" t="s">
        <v>7173</v>
      </c>
      <c r="D146" s="74">
        <v>21490</v>
      </c>
      <c r="E146" s="74">
        <v>13104</v>
      </c>
      <c r="F146" s="74"/>
      <c r="G146" s="74"/>
      <c r="H146" s="74"/>
    </row>
    <row r="147" spans="1:8" x14ac:dyDescent="0.25">
      <c r="A147" t="s">
        <v>3072</v>
      </c>
      <c r="B147" t="s">
        <v>1495</v>
      </c>
      <c r="C147" t="s">
        <v>7185</v>
      </c>
      <c r="D147" s="74">
        <v>26390</v>
      </c>
      <c r="E147" s="74">
        <v>15473</v>
      </c>
      <c r="F147" s="74"/>
      <c r="G147" s="74"/>
      <c r="H147" s="74"/>
    </row>
    <row r="148" spans="1:8" x14ac:dyDescent="0.25">
      <c r="A148" t="s">
        <v>3073</v>
      </c>
      <c r="B148" t="s">
        <v>1495</v>
      </c>
      <c r="C148" t="s">
        <v>7189</v>
      </c>
      <c r="D148" s="74">
        <v>32190</v>
      </c>
      <c r="E148" s="74">
        <v>18873</v>
      </c>
      <c r="F148" s="74"/>
      <c r="G148" s="74"/>
      <c r="H148" s="74"/>
    </row>
    <row r="149" spans="1:8" x14ac:dyDescent="0.25">
      <c r="A149" t="s">
        <v>3074</v>
      </c>
      <c r="B149" t="s">
        <v>1492</v>
      </c>
      <c r="C149" t="s">
        <v>7196</v>
      </c>
      <c r="D149" s="74">
        <v>4990</v>
      </c>
      <c r="E149" s="74">
        <v>3077</v>
      </c>
      <c r="F149" s="74"/>
      <c r="G149" s="74"/>
      <c r="H149" s="74"/>
    </row>
    <row r="150" spans="1:8" x14ac:dyDescent="0.25">
      <c r="A150" t="s">
        <v>3075</v>
      </c>
      <c r="B150" t="s">
        <v>1492</v>
      </c>
      <c r="C150" t="s">
        <v>7204</v>
      </c>
      <c r="D150" s="74">
        <v>7790</v>
      </c>
      <c r="E150" s="74">
        <v>4804</v>
      </c>
      <c r="F150" s="74"/>
      <c r="G150" s="74"/>
      <c r="H150" s="74"/>
    </row>
    <row r="151" spans="1:8" x14ac:dyDescent="0.25">
      <c r="A151" t="s">
        <v>3076</v>
      </c>
      <c r="B151" t="s">
        <v>1492</v>
      </c>
      <c r="C151" t="s">
        <v>7210</v>
      </c>
      <c r="D151" s="74">
        <v>10590</v>
      </c>
      <c r="E151" s="74">
        <v>6531</v>
      </c>
      <c r="F151" s="74"/>
      <c r="G151" s="74"/>
      <c r="H151" s="74"/>
    </row>
    <row r="152" spans="1:8" x14ac:dyDescent="0.25">
      <c r="A152" t="s">
        <v>3077</v>
      </c>
      <c r="B152" t="s">
        <v>1492</v>
      </c>
      <c r="C152" t="s">
        <v>7216</v>
      </c>
      <c r="D152" s="74">
        <v>14790</v>
      </c>
      <c r="E152" s="74">
        <v>9490</v>
      </c>
      <c r="F152" s="74"/>
      <c r="G152" s="74"/>
      <c r="H152" s="74"/>
    </row>
    <row r="153" spans="1:8" x14ac:dyDescent="0.25">
      <c r="A153" t="s">
        <v>3078</v>
      </c>
      <c r="B153" t="s">
        <v>1492</v>
      </c>
      <c r="C153" t="s">
        <v>7222</v>
      </c>
      <c r="D153" s="74">
        <v>20490</v>
      </c>
      <c r="E153" s="74">
        <v>13148</v>
      </c>
      <c r="F153" s="74"/>
      <c r="G153" s="74"/>
      <c r="H153" s="74"/>
    </row>
    <row r="154" spans="1:8" x14ac:dyDescent="0.25">
      <c r="A154" t="s">
        <v>3079</v>
      </c>
      <c r="B154" t="s">
        <v>1492</v>
      </c>
      <c r="C154" t="s">
        <v>7228</v>
      </c>
      <c r="D154" s="74">
        <v>24590</v>
      </c>
      <c r="E154" s="74">
        <v>15779</v>
      </c>
      <c r="F154" s="74"/>
      <c r="G154" s="74"/>
      <c r="H154" s="74"/>
    </row>
    <row r="155" spans="1:8" x14ac:dyDescent="0.25">
      <c r="A155" t="s">
        <v>3080</v>
      </c>
      <c r="B155" t="s">
        <v>1496</v>
      </c>
      <c r="C155" t="s">
        <v>7233</v>
      </c>
      <c r="D155" s="74">
        <v>9090</v>
      </c>
      <c r="E155" s="74">
        <v>5542</v>
      </c>
      <c r="F155" s="74"/>
      <c r="G155" s="74"/>
      <c r="H155" s="74"/>
    </row>
    <row r="156" spans="1:8" x14ac:dyDescent="0.25">
      <c r="A156" t="s">
        <v>3083</v>
      </c>
      <c r="B156" t="s">
        <v>1496</v>
      </c>
      <c r="C156" t="s">
        <v>7241</v>
      </c>
      <c r="D156" s="74">
        <v>15990</v>
      </c>
      <c r="E156" s="74">
        <v>9375</v>
      </c>
      <c r="F156" s="74"/>
      <c r="G156" s="74"/>
      <c r="H156" s="74"/>
    </row>
    <row r="157" spans="1:8" x14ac:dyDescent="0.25">
      <c r="A157" t="s">
        <v>3084</v>
      </c>
      <c r="B157" t="s">
        <v>1496</v>
      </c>
      <c r="C157" t="s">
        <v>7246</v>
      </c>
      <c r="D157" s="74">
        <v>19790</v>
      </c>
      <c r="E157" s="74">
        <v>11602</v>
      </c>
      <c r="F157" s="74"/>
      <c r="G157" s="74"/>
      <c r="H157" s="74"/>
    </row>
    <row r="158" spans="1:8" x14ac:dyDescent="0.25">
      <c r="A158" t="s">
        <v>3085</v>
      </c>
      <c r="B158" t="s">
        <v>1496</v>
      </c>
      <c r="C158" t="s">
        <v>7251</v>
      </c>
      <c r="D158" s="74">
        <v>9990</v>
      </c>
      <c r="E158" s="74">
        <v>6091</v>
      </c>
      <c r="F158" s="74"/>
      <c r="G158" s="74"/>
      <c r="H158" s="74"/>
    </row>
    <row r="159" spans="1:8" x14ac:dyDescent="0.25">
      <c r="A159" t="s">
        <v>3086</v>
      </c>
      <c r="B159" t="s">
        <v>1496</v>
      </c>
      <c r="C159" t="s">
        <v>7255</v>
      </c>
      <c r="D159" s="74">
        <v>14090</v>
      </c>
      <c r="E159" s="74">
        <v>8261</v>
      </c>
      <c r="F159" s="74"/>
      <c r="G159" s="74"/>
      <c r="H159" s="74"/>
    </row>
    <row r="160" spans="1:8" x14ac:dyDescent="0.25">
      <c r="A160" t="s">
        <v>3087</v>
      </c>
      <c r="B160" t="s">
        <v>1496</v>
      </c>
      <c r="C160" t="s">
        <v>7260</v>
      </c>
      <c r="D160" s="74">
        <v>16590</v>
      </c>
      <c r="E160" s="74">
        <v>9726</v>
      </c>
      <c r="F160" s="74"/>
      <c r="G160" s="74"/>
      <c r="H160" s="74"/>
    </row>
    <row r="161" spans="1:8" x14ac:dyDescent="0.25">
      <c r="A161" t="s">
        <v>3088</v>
      </c>
      <c r="B161" t="s">
        <v>1496</v>
      </c>
      <c r="C161" t="s">
        <v>7264</v>
      </c>
      <c r="D161" s="74">
        <v>20690</v>
      </c>
      <c r="E161" s="74">
        <v>12130</v>
      </c>
      <c r="F161" s="74"/>
      <c r="G161" s="74"/>
      <c r="H161" s="74"/>
    </row>
    <row r="162" spans="1:8" x14ac:dyDescent="0.25">
      <c r="A162" t="s">
        <v>3155</v>
      </c>
      <c r="B162" t="s">
        <v>1536</v>
      </c>
      <c r="C162" t="s">
        <v>7466</v>
      </c>
      <c r="D162" s="74">
        <v>13790</v>
      </c>
      <c r="E162" s="74">
        <v>8044</v>
      </c>
      <c r="F162" s="74"/>
      <c r="G162" s="74"/>
      <c r="H162" s="74"/>
    </row>
    <row r="163" spans="1:8" x14ac:dyDescent="0.25">
      <c r="A163" t="s">
        <v>3156</v>
      </c>
      <c r="B163" t="s">
        <v>1536</v>
      </c>
      <c r="C163" t="s">
        <v>7469</v>
      </c>
      <c r="D163" s="74">
        <v>3890</v>
      </c>
      <c r="E163" s="74">
        <v>2269</v>
      </c>
      <c r="F163" s="74"/>
      <c r="G163" s="74"/>
      <c r="H163" s="74"/>
    </row>
    <row r="164" spans="1:8" x14ac:dyDescent="0.25">
      <c r="A164" t="s">
        <v>3158</v>
      </c>
      <c r="B164" t="s">
        <v>1536</v>
      </c>
      <c r="C164" t="s">
        <v>7475</v>
      </c>
      <c r="D164" s="74">
        <v>4690</v>
      </c>
      <c r="E164" s="74">
        <v>2736</v>
      </c>
      <c r="F164" s="74"/>
      <c r="G164" s="74"/>
      <c r="H164" s="74"/>
    </row>
    <row r="165" spans="1:8" x14ac:dyDescent="0.25">
      <c r="A165" t="s">
        <v>3159</v>
      </c>
      <c r="B165" t="s">
        <v>1536</v>
      </c>
      <c r="C165" t="s">
        <v>7478</v>
      </c>
      <c r="D165" s="74">
        <v>9090</v>
      </c>
      <c r="E165" s="74">
        <v>5303</v>
      </c>
      <c r="F165" s="74"/>
      <c r="G165" s="74"/>
      <c r="H165" s="74"/>
    </row>
    <row r="166" spans="1:8" x14ac:dyDescent="0.25">
      <c r="A166" t="s">
        <v>2780</v>
      </c>
      <c r="B166" t="s">
        <v>1526</v>
      </c>
      <c r="C166" t="s">
        <v>6579</v>
      </c>
      <c r="D166" s="74">
        <v>2290</v>
      </c>
      <c r="E166" s="74">
        <v>1336</v>
      </c>
      <c r="F166" s="74"/>
      <c r="G166" s="74"/>
      <c r="H166" s="74"/>
    </row>
    <row r="167" spans="1:8" x14ac:dyDescent="0.25">
      <c r="A167" t="s">
        <v>2783</v>
      </c>
      <c r="B167" t="s">
        <v>1526</v>
      </c>
      <c r="C167" t="s">
        <v>6586</v>
      </c>
      <c r="D167" s="74">
        <v>1290</v>
      </c>
      <c r="E167" s="74">
        <v>753</v>
      </c>
      <c r="F167" s="74"/>
      <c r="G167" s="74"/>
      <c r="H167" s="74"/>
    </row>
    <row r="168" spans="1:8" x14ac:dyDescent="0.25">
      <c r="A168" t="s">
        <v>2809</v>
      </c>
      <c r="B168" t="s">
        <v>1526</v>
      </c>
      <c r="C168" t="s">
        <v>6635</v>
      </c>
      <c r="D168" s="74">
        <v>2490</v>
      </c>
      <c r="E168" s="74">
        <v>1536</v>
      </c>
      <c r="F168" s="74"/>
      <c r="G168" s="74"/>
      <c r="H168" s="74"/>
    </row>
    <row r="169" spans="1:8" x14ac:dyDescent="0.25">
      <c r="A169" t="s">
        <v>2812</v>
      </c>
      <c r="B169" t="s">
        <v>1526</v>
      </c>
      <c r="C169" t="s">
        <v>6644</v>
      </c>
      <c r="D169" s="74">
        <v>3890</v>
      </c>
      <c r="E169" s="74">
        <v>2399</v>
      </c>
      <c r="F169" s="74"/>
      <c r="G169" s="74"/>
      <c r="H169" s="74"/>
    </row>
    <row r="170" spans="1:8" x14ac:dyDescent="0.25">
      <c r="A170" t="s">
        <v>2792</v>
      </c>
      <c r="B170" t="s">
        <v>1526</v>
      </c>
      <c r="C170" t="s">
        <v>7972</v>
      </c>
      <c r="D170" s="74">
        <v>3290</v>
      </c>
      <c r="E170" s="74">
        <v>1919</v>
      </c>
      <c r="F170" s="74"/>
      <c r="G170" s="74"/>
      <c r="H170" s="74"/>
    </row>
    <row r="171" spans="1:8" x14ac:dyDescent="0.25">
      <c r="A171" t="s">
        <v>2793</v>
      </c>
      <c r="B171" t="s">
        <v>1526</v>
      </c>
      <c r="C171" t="s">
        <v>7972</v>
      </c>
      <c r="D171" s="74">
        <v>3790</v>
      </c>
      <c r="E171" s="74">
        <v>2212</v>
      </c>
      <c r="F171" s="74"/>
      <c r="G171" s="74"/>
      <c r="H171" s="74"/>
    </row>
    <row r="172" spans="1:8" x14ac:dyDescent="0.25">
      <c r="A172" t="s">
        <v>2794</v>
      </c>
      <c r="B172" t="s">
        <v>1526</v>
      </c>
      <c r="C172" t="s">
        <v>7972</v>
      </c>
      <c r="D172" s="74">
        <v>4890</v>
      </c>
      <c r="E172" s="74">
        <v>2853</v>
      </c>
      <c r="F172" s="74"/>
      <c r="G172" s="74"/>
      <c r="H172" s="74"/>
    </row>
    <row r="173" spans="1:8" x14ac:dyDescent="0.25">
      <c r="A173" t="s">
        <v>2791</v>
      </c>
      <c r="B173" t="s">
        <v>1526</v>
      </c>
      <c r="C173" t="s">
        <v>7972</v>
      </c>
      <c r="D173" s="74">
        <v>6290</v>
      </c>
      <c r="E173" s="74">
        <v>3670</v>
      </c>
      <c r="F173" s="74"/>
      <c r="G173" s="74"/>
      <c r="H173" s="74"/>
    </row>
    <row r="174" spans="1:8" x14ac:dyDescent="0.25">
      <c r="A174" t="s">
        <v>2810</v>
      </c>
      <c r="B174" t="s">
        <v>1526</v>
      </c>
      <c r="C174" t="s">
        <v>6638</v>
      </c>
      <c r="D174" s="74">
        <v>199</v>
      </c>
      <c r="E174" s="74">
        <v>123</v>
      </c>
      <c r="F174" s="74"/>
      <c r="G174" s="74"/>
      <c r="H174" s="74"/>
    </row>
    <row r="175" spans="1:8" x14ac:dyDescent="0.25">
      <c r="A175" t="s">
        <v>2811</v>
      </c>
      <c r="B175" t="s">
        <v>1526</v>
      </c>
      <c r="C175" t="s">
        <v>6641</v>
      </c>
      <c r="D175" s="74">
        <v>1390</v>
      </c>
      <c r="E175" s="74">
        <v>857</v>
      </c>
      <c r="F175" s="74"/>
      <c r="G175" s="74"/>
      <c r="H175" s="74"/>
    </row>
    <row r="176" spans="1:8" x14ac:dyDescent="0.25">
      <c r="A176" t="s">
        <v>2819</v>
      </c>
      <c r="B176" t="s">
        <v>1526</v>
      </c>
      <c r="C176" t="s">
        <v>6662</v>
      </c>
      <c r="D176" s="74">
        <v>2790</v>
      </c>
      <c r="E176" s="74">
        <v>1721</v>
      </c>
      <c r="F176" s="74"/>
      <c r="G176" s="74"/>
      <c r="H176" s="74"/>
    </row>
    <row r="177" spans="1:8" x14ac:dyDescent="0.25">
      <c r="A177" t="s">
        <v>2816</v>
      </c>
      <c r="B177" t="s">
        <v>1526</v>
      </c>
      <c r="C177" t="s">
        <v>6653</v>
      </c>
      <c r="D177" s="74">
        <v>4290</v>
      </c>
      <c r="E177" s="74">
        <v>2646</v>
      </c>
      <c r="F177" s="74"/>
      <c r="G177" s="74"/>
      <c r="H177" s="74"/>
    </row>
    <row r="178" spans="1:8" x14ac:dyDescent="0.25">
      <c r="A178" t="s">
        <v>2773</v>
      </c>
      <c r="B178" t="s">
        <v>1526</v>
      </c>
      <c r="C178" t="s">
        <v>6565</v>
      </c>
      <c r="D178" s="74">
        <v>2690</v>
      </c>
      <c r="E178" s="74">
        <v>1569</v>
      </c>
      <c r="F178" s="74"/>
      <c r="G178" s="74"/>
      <c r="H178" s="74"/>
    </row>
    <row r="179" spans="1:8" x14ac:dyDescent="0.25">
      <c r="A179" t="s">
        <v>2774</v>
      </c>
      <c r="B179" t="s">
        <v>1526</v>
      </c>
      <c r="C179" t="s">
        <v>6568</v>
      </c>
      <c r="D179" s="74">
        <v>3690</v>
      </c>
      <c r="E179" s="74">
        <v>2153</v>
      </c>
      <c r="F179" s="74"/>
      <c r="G179" s="74"/>
      <c r="H179" s="74"/>
    </row>
    <row r="180" spans="1:8" x14ac:dyDescent="0.25">
      <c r="A180" t="s">
        <v>2777</v>
      </c>
      <c r="B180" t="s">
        <v>1526</v>
      </c>
      <c r="C180" t="s">
        <v>6573</v>
      </c>
      <c r="D180" s="74">
        <v>2090</v>
      </c>
      <c r="E180" s="74">
        <v>1219</v>
      </c>
      <c r="F180" s="74"/>
      <c r="G180" s="74"/>
      <c r="H180" s="74"/>
    </row>
    <row r="181" spans="1:8" x14ac:dyDescent="0.25">
      <c r="A181" t="s">
        <v>2808</v>
      </c>
      <c r="B181" t="s">
        <v>1526</v>
      </c>
      <c r="C181" t="s">
        <v>7972</v>
      </c>
      <c r="D181" s="74">
        <v>1290</v>
      </c>
      <c r="E181" s="74">
        <v>753</v>
      </c>
      <c r="F181" s="74"/>
      <c r="G181" s="74"/>
      <c r="H181" s="74"/>
    </row>
    <row r="182" spans="1:8" x14ac:dyDescent="0.25">
      <c r="A182" t="s">
        <v>2803</v>
      </c>
      <c r="B182" t="s">
        <v>1526</v>
      </c>
      <c r="C182" t="s">
        <v>7972</v>
      </c>
      <c r="D182" s="74">
        <v>2190</v>
      </c>
      <c r="E182" s="74">
        <v>1278</v>
      </c>
      <c r="F182" s="74"/>
      <c r="G182" s="74"/>
      <c r="H182" s="74"/>
    </row>
    <row r="183" spans="1:8" x14ac:dyDescent="0.25">
      <c r="A183" t="s">
        <v>2801</v>
      </c>
      <c r="B183" t="s">
        <v>1526</v>
      </c>
      <c r="C183" t="s">
        <v>7972</v>
      </c>
      <c r="D183" s="74">
        <v>3390</v>
      </c>
      <c r="E183" s="74">
        <v>1979</v>
      </c>
      <c r="F183" s="74"/>
      <c r="G183" s="74"/>
      <c r="H183" s="74"/>
    </row>
    <row r="184" spans="1:8" x14ac:dyDescent="0.25">
      <c r="A184" t="s">
        <v>2222</v>
      </c>
      <c r="B184" t="s">
        <v>1446</v>
      </c>
      <c r="C184" t="s">
        <v>7979</v>
      </c>
      <c r="D184" s="74">
        <v>2629</v>
      </c>
      <c r="E184" s="74">
        <v>1643</v>
      </c>
      <c r="F184" s="74"/>
      <c r="G184" s="74"/>
      <c r="H184" s="74"/>
    </row>
    <row r="185" spans="1:8" x14ac:dyDescent="0.25">
      <c r="A185" t="s">
        <v>2223</v>
      </c>
      <c r="B185" t="s">
        <v>1446</v>
      </c>
      <c r="C185" t="s">
        <v>7980</v>
      </c>
      <c r="D185" s="74">
        <v>3179</v>
      </c>
      <c r="E185" s="74">
        <v>1987</v>
      </c>
      <c r="F185" s="74"/>
      <c r="G185" s="74"/>
      <c r="H185" s="74"/>
    </row>
    <row r="186" spans="1:8" x14ac:dyDescent="0.25">
      <c r="A186" t="s">
        <v>2224</v>
      </c>
      <c r="B186" t="s">
        <v>1446</v>
      </c>
      <c r="C186" t="s">
        <v>7981</v>
      </c>
      <c r="D186" s="74">
        <v>3839</v>
      </c>
      <c r="E186" s="74">
        <v>2399</v>
      </c>
      <c r="F186" s="74"/>
      <c r="G186" s="74"/>
      <c r="H186" s="74"/>
    </row>
    <row r="187" spans="1:8" x14ac:dyDescent="0.25">
      <c r="A187" t="s">
        <v>2220</v>
      </c>
      <c r="B187" t="s">
        <v>1446</v>
      </c>
      <c r="C187" t="s">
        <v>5526</v>
      </c>
      <c r="D187" s="74">
        <v>2629</v>
      </c>
      <c r="E187" s="74">
        <v>1643</v>
      </c>
      <c r="F187" s="74"/>
      <c r="G187" s="74"/>
      <c r="H187" s="74"/>
    </row>
    <row r="188" spans="1:8" x14ac:dyDescent="0.25">
      <c r="A188" t="s">
        <v>2221</v>
      </c>
      <c r="B188" t="s">
        <v>1446</v>
      </c>
      <c r="C188" t="s">
        <v>5528</v>
      </c>
      <c r="D188" s="74">
        <v>2959</v>
      </c>
      <c r="E188" s="74">
        <v>1849</v>
      </c>
      <c r="F188" s="74"/>
      <c r="G188" s="74"/>
      <c r="H188" s="74"/>
    </row>
    <row r="189" spans="1:8" x14ac:dyDescent="0.25">
      <c r="A189" t="s">
        <v>2851</v>
      </c>
      <c r="B189" t="s">
        <v>1529</v>
      </c>
      <c r="C189" t="s">
        <v>6756</v>
      </c>
      <c r="D189" s="74">
        <v>24190</v>
      </c>
      <c r="E189" s="74">
        <v>15119</v>
      </c>
      <c r="F189" s="74"/>
      <c r="G189" s="74"/>
      <c r="H189" s="74"/>
    </row>
    <row r="190" spans="1:8" x14ac:dyDescent="0.25">
      <c r="A190" t="s">
        <v>2844</v>
      </c>
      <c r="B190" t="s">
        <v>1529</v>
      </c>
      <c r="C190" t="s">
        <v>6734</v>
      </c>
      <c r="D190" s="74">
        <v>4390</v>
      </c>
      <c r="E190" s="74">
        <v>2744</v>
      </c>
      <c r="F190" s="74"/>
      <c r="G190" s="74"/>
      <c r="H190" s="74"/>
    </row>
    <row r="191" spans="1:8" x14ac:dyDescent="0.25">
      <c r="A191" t="s">
        <v>3278</v>
      </c>
      <c r="B191" t="s">
        <v>1546</v>
      </c>
      <c r="C191" t="s">
        <v>7674</v>
      </c>
      <c r="D191" s="74">
        <v>2959</v>
      </c>
      <c r="E191" s="74">
        <v>1726</v>
      </c>
      <c r="F191" s="74"/>
      <c r="G191" s="74"/>
      <c r="H191" s="74"/>
    </row>
    <row r="192" spans="1:8" x14ac:dyDescent="0.25">
      <c r="A192" t="s">
        <v>3282</v>
      </c>
      <c r="B192" t="s">
        <v>1546</v>
      </c>
      <c r="C192" t="s">
        <v>7682</v>
      </c>
      <c r="D192" s="74">
        <v>3729</v>
      </c>
      <c r="E192" s="74">
        <v>2175</v>
      </c>
      <c r="F192" s="74"/>
      <c r="G192" s="74"/>
      <c r="H192" s="74"/>
    </row>
    <row r="193" spans="1:8" x14ac:dyDescent="0.25">
      <c r="A193" t="s">
        <v>3269</v>
      </c>
      <c r="B193" t="s">
        <v>1546</v>
      </c>
      <c r="C193" t="s">
        <v>7653</v>
      </c>
      <c r="D193" s="74">
        <v>1089</v>
      </c>
      <c r="E193" s="74">
        <v>635</v>
      </c>
      <c r="F193" s="74"/>
      <c r="G193" s="74"/>
      <c r="H193" s="74"/>
    </row>
    <row r="194" spans="1:8" x14ac:dyDescent="0.25">
      <c r="A194" t="s">
        <v>3270</v>
      </c>
      <c r="B194" t="s">
        <v>1546</v>
      </c>
      <c r="C194" t="s">
        <v>7655</v>
      </c>
      <c r="D194" s="74">
        <v>1089</v>
      </c>
      <c r="E194" s="74">
        <v>635</v>
      </c>
      <c r="F194" s="74"/>
      <c r="G194" s="74"/>
      <c r="H194" s="74"/>
    </row>
    <row r="195" spans="1:8" x14ac:dyDescent="0.25">
      <c r="A195" t="s">
        <v>3271</v>
      </c>
      <c r="B195" t="s">
        <v>1546</v>
      </c>
      <c r="C195" t="s">
        <v>7658</v>
      </c>
      <c r="D195" s="74">
        <v>209</v>
      </c>
      <c r="E195" s="74">
        <v>122</v>
      </c>
      <c r="F195" s="74"/>
      <c r="G195" s="74"/>
      <c r="H195" s="74"/>
    </row>
    <row r="196" spans="1:8" x14ac:dyDescent="0.25">
      <c r="A196" t="s">
        <v>3272</v>
      </c>
      <c r="B196" t="s">
        <v>1546</v>
      </c>
      <c r="C196" t="s">
        <v>7661</v>
      </c>
      <c r="D196" s="74">
        <v>209</v>
      </c>
      <c r="E196" s="74">
        <v>122</v>
      </c>
      <c r="F196" s="74"/>
      <c r="G196" s="74"/>
      <c r="H196" s="74"/>
    </row>
    <row r="197" spans="1:8" x14ac:dyDescent="0.25">
      <c r="A197" t="s">
        <v>3214</v>
      </c>
      <c r="B197" t="s">
        <v>1546</v>
      </c>
      <c r="C197" t="s">
        <v>7502</v>
      </c>
      <c r="D197" s="74">
        <v>1529</v>
      </c>
      <c r="E197" s="74">
        <v>892</v>
      </c>
      <c r="F197" s="74"/>
      <c r="G197" s="74"/>
      <c r="H197" s="74"/>
    </row>
    <row r="198" spans="1:8" x14ac:dyDescent="0.25">
      <c r="A198" t="s">
        <v>3215</v>
      </c>
      <c r="B198" t="s">
        <v>1546</v>
      </c>
      <c r="C198" t="s">
        <v>7505</v>
      </c>
      <c r="D198" s="74">
        <v>869</v>
      </c>
      <c r="E198" s="74">
        <v>507</v>
      </c>
      <c r="F198" s="74"/>
      <c r="G198" s="74"/>
      <c r="H198" s="74"/>
    </row>
    <row r="199" spans="1:8" x14ac:dyDescent="0.25">
      <c r="A199" t="s">
        <v>3217</v>
      </c>
      <c r="B199" t="s">
        <v>1546</v>
      </c>
      <c r="C199" t="s">
        <v>7510</v>
      </c>
      <c r="D199" s="74">
        <v>869</v>
      </c>
      <c r="E199" s="74">
        <v>507</v>
      </c>
      <c r="F199" s="74"/>
      <c r="G199" s="74"/>
      <c r="H199" s="74"/>
    </row>
    <row r="200" spans="1:8" x14ac:dyDescent="0.25">
      <c r="A200" t="s">
        <v>3218</v>
      </c>
      <c r="B200" t="s">
        <v>1546</v>
      </c>
      <c r="C200" t="s">
        <v>7512</v>
      </c>
      <c r="D200" s="74">
        <v>319</v>
      </c>
      <c r="E200" s="74">
        <v>186</v>
      </c>
      <c r="F200" s="74"/>
      <c r="G200" s="74"/>
      <c r="H200" s="74"/>
    </row>
    <row r="201" spans="1:8" x14ac:dyDescent="0.25">
      <c r="A201" t="s">
        <v>3219</v>
      </c>
      <c r="B201" t="s">
        <v>1546</v>
      </c>
      <c r="C201" t="s">
        <v>7514</v>
      </c>
      <c r="D201" s="74">
        <v>319</v>
      </c>
      <c r="E201" s="74">
        <v>186</v>
      </c>
      <c r="F201" s="74"/>
      <c r="G201" s="74"/>
      <c r="H201" s="74"/>
    </row>
    <row r="202" spans="1:8" x14ac:dyDescent="0.25">
      <c r="A202" t="s">
        <v>3216</v>
      </c>
      <c r="B202" t="s">
        <v>1546</v>
      </c>
      <c r="C202" t="s">
        <v>7508</v>
      </c>
      <c r="D202" s="74">
        <v>759</v>
      </c>
      <c r="E202" s="74">
        <v>443</v>
      </c>
      <c r="F202" s="74"/>
      <c r="G202" s="74"/>
      <c r="H202" s="74"/>
    </row>
    <row r="203" spans="1:8" x14ac:dyDescent="0.25">
      <c r="A203" t="s">
        <v>3220</v>
      </c>
      <c r="B203" t="s">
        <v>1546</v>
      </c>
      <c r="C203" t="s">
        <v>7516</v>
      </c>
      <c r="D203" s="74">
        <v>319</v>
      </c>
      <c r="E203" s="74">
        <v>186</v>
      </c>
      <c r="F203" s="74"/>
      <c r="G203" s="74"/>
      <c r="H203" s="74"/>
    </row>
    <row r="204" spans="1:8" x14ac:dyDescent="0.25">
      <c r="A204" t="s">
        <v>3276</v>
      </c>
      <c r="B204" t="s">
        <v>1546</v>
      </c>
      <c r="C204" t="s">
        <v>7672</v>
      </c>
      <c r="D204" s="74">
        <v>1419</v>
      </c>
      <c r="E204" s="74">
        <v>828</v>
      </c>
      <c r="F204" s="74"/>
      <c r="G204" s="74"/>
      <c r="H204" s="74"/>
    </row>
    <row r="205" spans="1:8" x14ac:dyDescent="0.25">
      <c r="A205" t="s">
        <v>3262</v>
      </c>
      <c r="B205" t="s">
        <v>1546</v>
      </c>
      <c r="C205" t="s">
        <v>7633</v>
      </c>
      <c r="D205" s="74">
        <v>429</v>
      </c>
      <c r="E205" s="74">
        <v>250</v>
      </c>
      <c r="F205" s="74"/>
      <c r="G205" s="74"/>
      <c r="H205" s="74"/>
    </row>
    <row r="206" spans="1:8" x14ac:dyDescent="0.25">
      <c r="A206" t="s">
        <v>3263</v>
      </c>
      <c r="B206" t="s">
        <v>1546</v>
      </c>
      <c r="C206" t="s">
        <v>7635</v>
      </c>
      <c r="D206" s="74">
        <v>429</v>
      </c>
      <c r="E206" s="74">
        <v>250</v>
      </c>
      <c r="F206" s="74"/>
      <c r="G206" s="74"/>
      <c r="H206" s="74"/>
    </row>
    <row r="207" spans="1:8" x14ac:dyDescent="0.25">
      <c r="A207" t="s">
        <v>3264</v>
      </c>
      <c r="B207" t="s">
        <v>1546</v>
      </c>
      <c r="C207" t="s">
        <v>7638</v>
      </c>
      <c r="D207" s="74">
        <v>429</v>
      </c>
      <c r="E207" s="74">
        <v>250</v>
      </c>
      <c r="F207" s="74"/>
      <c r="G207" s="74"/>
      <c r="H207" s="74"/>
    </row>
    <row r="208" spans="1:8" x14ac:dyDescent="0.25">
      <c r="A208" t="s">
        <v>3268</v>
      </c>
      <c r="B208" t="s">
        <v>1546</v>
      </c>
      <c r="C208" t="s">
        <v>7650</v>
      </c>
      <c r="D208" s="74">
        <v>869</v>
      </c>
      <c r="E208" s="74">
        <v>507</v>
      </c>
      <c r="F208" s="74"/>
      <c r="G208" s="74"/>
      <c r="H208" s="74"/>
    </row>
    <row r="209" spans="1:8" x14ac:dyDescent="0.25">
      <c r="A209" t="s">
        <v>3273</v>
      </c>
      <c r="B209" t="s">
        <v>1546</v>
      </c>
      <c r="C209" t="s">
        <v>7664</v>
      </c>
      <c r="D209" s="74">
        <v>649</v>
      </c>
      <c r="E209" s="74">
        <v>379</v>
      </c>
      <c r="F209" s="74"/>
      <c r="G209" s="74"/>
      <c r="H209" s="74"/>
    </row>
    <row r="210" spans="1:8" x14ac:dyDescent="0.25">
      <c r="A210" t="s">
        <v>3274</v>
      </c>
      <c r="B210" t="s">
        <v>1546</v>
      </c>
      <c r="C210" t="s">
        <v>7667</v>
      </c>
      <c r="D210" s="74">
        <v>649</v>
      </c>
      <c r="E210" s="74">
        <v>379</v>
      </c>
      <c r="F210" s="74"/>
      <c r="G210" s="74"/>
      <c r="H210" s="74"/>
    </row>
    <row r="211" spans="1:8" x14ac:dyDescent="0.25">
      <c r="A211" t="s">
        <v>3275</v>
      </c>
      <c r="B211" t="s">
        <v>1546</v>
      </c>
      <c r="C211" t="s">
        <v>7670</v>
      </c>
      <c r="D211" s="74">
        <v>649</v>
      </c>
      <c r="E211" s="74">
        <v>379</v>
      </c>
      <c r="F211" s="74"/>
      <c r="G211" s="74"/>
      <c r="H211" s="74"/>
    </row>
    <row r="212" spans="1:8" x14ac:dyDescent="0.25">
      <c r="A212" t="s">
        <v>3226</v>
      </c>
      <c r="B212" t="s">
        <v>1546</v>
      </c>
      <c r="C212" t="s">
        <v>7530</v>
      </c>
      <c r="D212" s="74">
        <v>759</v>
      </c>
      <c r="E212" s="74">
        <v>443</v>
      </c>
      <c r="F212" s="74"/>
      <c r="G212" s="74"/>
      <c r="H212" s="74"/>
    </row>
    <row r="213" spans="1:8" x14ac:dyDescent="0.25">
      <c r="A213" t="s">
        <v>3230</v>
      </c>
      <c r="B213" t="s">
        <v>1546</v>
      </c>
      <c r="C213" t="s">
        <v>7543</v>
      </c>
      <c r="D213" s="74">
        <v>1199</v>
      </c>
      <c r="E213" s="74">
        <v>699</v>
      </c>
      <c r="F213" s="74"/>
      <c r="G213" s="74"/>
      <c r="H213" s="74"/>
    </row>
    <row r="214" spans="1:8" x14ac:dyDescent="0.25">
      <c r="A214" t="s">
        <v>3227</v>
      </c>
      <c r="B214" t="s">
        <v>1546</v>
      </c>
      <c r="C214" t="s">
        <v>7533</v>
      </c>
      <c r="D214" s="74">
        <v>649</v>
      </c>
      <c r="E214" s="74">
        <v>379</v>
      </c>
      <c r="F214" s="74"/>
      <c r="G214" s="74"/>
      <c r="H214" s="74"/>
    </row>
    <row r="215" spans="1:8" x14ac:dyDescent="0.25">
      <c r="A215" t="s">
        <v>3231</v>
      </c>
      <c r="B215" t="s">
        <v>1546</v>
      </c>
      <c r="C215" t="s">
        <v>7546</v>
      </c>
      <c r="D215" s="74">
        <v>869</v>
      </c>
      <c r="E215" s="74">
        <v>507</v>
      </c>
      <c r="F215" s="74"/>
      <c r="G215" s="74"/>
      <c r="H215" s="74"/>
    </row>
    <row r="216" spans="1:8" x14ac:dyDescent="0.25">
      <c r="A216" t="s">
        <v>3228</v>
      </c>
      <c r="B216" t="s">
        <v>1546</v>
      </c>
      <c r="C216" t="s">
        <v>7536</v>
      </c>
      <c r="D216" s="74">
        <v>539</v>
      </c>
      <c r="E216" s="74">
        <v>314</v>
      </c>
      <c r="F216" s="74"/>
      <c r="G216" s="74"/>
      <c r="H216" s="74"/>
    </row>
    <row r="217" spans="1:8" x14ac:dyDescent="0.25">
      <c r="A217" t="s">
        <v>3232</v>
      </c>
      <c r="B217" t="s">
        <v>1546</v>
      </c>
      <c r="C217" t="s">
        <v>7549</v>
      </c>
      <c r="D217" s="74">
        <v>869</v>
      </c>
      <c r="E217" s="74">
        <v>507</v>
      </c>
      <c r="F217" s="74"/>
      <c r="G217" s="74"/>
      <c r="H217" s="74"/>
    </row>
    <row r="218" spans="1:8" x14ac:dyDescent="0.25">
      <c r="A218" t="s">
        <v>3233</v>
      </c>
      <c r="B218" t="s">
        <v>1546</v>
      </c>
      <c r="C218" t="s">
        <v>7552</v>
      </c>
      <c r="D218" s="74">
        <v>869</v>
      </c>
      <c r="E218" s="74">
        <v>507</v>
      </c>
      <c r="F218" s="74"/>
      <c r="G218" s="74"/>
      <c r="H218" s="74"/>
    </row>
    <row r="219" spans="1:8" x14ac:dyDescent="0.25">
      <c r="A219" t="s">
        <v>3229</v>
      </c>
      <c r="B219" t="s">
        <v>1546</v>
      </c>
      <c r="C219" t="s">
        <v>7540</v>
      </c>
      <c r="D219" s="74">
        <v>429</v>
      </c>
      <c r="E219" s="74">
        <v>250</v>
      </c>
      <c r="F219" s="74"/>
      <c r="G219" s="74"/>
      <c r="H219" s="74"/>
    </row>
    <row r="220" spans="1:8" x14ac:dyDescent="0.25">
      <c r="A220" t="s">
        <v>3234</v>
      </c>
      <c r="B220" t="s">
        <v>1546</v>
      </c>
      <c r="C220" t="s">
        <v>7555</v>
      </c>
      <c r="D220" s="74">
        <v>759</v>
      </c>
      <c r="E220" s="74">
        <v>443</v>
      </c>
      <c r="F220" s="74"/>
      <c r="G220" s="74"/>
      <c r="H220" s="74"/>
    </row>
    <row r="221" spans="1:8" x14ac:dyDescent="0.25">
      <c r="A221" t="s">
        <v>3255</v>
      </c>
      <c r="B221" t="s">
        <v>1546</v>
      </c>
      <c r="C221" t="s">
        <v>7613</v>
      </c>
      <c r="D221" s="74">
        <v>539</v>
      </c>
      <c r="E221" s="74">
        <v>314</v>
      </c>
      <c r="F221" s="74"/>
      <c r="G221" s="74"/>
      <c r="H221" s="74"/>
    </row>
    <row r="222" spans="1:8" x14ac:dyDescent="0.25">
      <c r="A222" t="s">
        <v>3256</v>
      </c>
      <c r="B222" t="s">
        <v>1546</v>
      </c>
      <c r="C222" t="s">
        <v>7617</v>
      </c>
      <c r="D222" s="74">
        <v>539</v>
      </c>
      <c r="E222" s="74">
        <v>314</v>
      </c>
      <c r="F222" s="74"/>
      <c r="G222" s="74"/>
      <c r="H222" s="74"/>
    </row>
    <row r="223" spans="1:8" x14ac:dyDescent="0.25">
      <c r="A223" t="s">
        <v>3257</v>
      </c>
      <c r="B223" t="s">
        <v>1546</v>
      </c>
      <c r="C223" t="s">
        <v>7620</v>
      </c>
      <c r="D223" s="74">
        <v>759</v>
      </c>
      <c r="E223" s="74">
        <v>443</v>
      </c>
      <c r="F223" s="74"/>
      <c r="G223" s="74"/>
      <c r="H223" s="74"/>
    </row>
    <row r="224" spans="1:8" x14ac:dyDescent="0.25">
      <c r="A224" t="s">
        <v>3258</v>
      </c>
      <c r="B224" t="s">
        <v>1546</v>
      </c>
      <c r="C224" t="s">
        <v>7623</v>
      </c>
      <c r="D224" s="74">
        <v>759</v>
      </c>
      <c r="E224" s="74">
        <v>443</v>
      </c>
      <c r="F224" s="74"/>
      <c r="G224" s="74"/>
      <c r="H224" s="74"/>
    </row>
    <row r="225" spans="1:8" x14ac:dyDescent="0.25">
      <c r="A225" t="s">
        <v>3266</v>
      </c>
      <c r="B225" t="s">
        <v>1546</v>
      </c>
      <c r="C225" t="s">
        <v>7644</v>
      </c>
      <c r="D225" s="74">
        <v>539</v>
      </c>
      <c r="E225" s="74">
        <v>314</v>
      </c>
      <c r="F225" s="74"/>
      <c r="G225" s="74"/>
      <c r="H225" s="74"/>
    </row>
    <row r="226" spans="1:8" x14ac:dyDescent="0.25">
      <c r="A226" t="s">
        <v>3267</v>
      </c>
      <c r="B226" t="s">
        <v>1546</v>
      </c>
      <c r="C226" t="s">
        <v>7647</v>
      </c>
      <c r="D226" s="74">
        <v>759</v>
      </c>
      <c r="E226" s="74">
        <v>443</v>
      </c>
      <c r="F226" s="74"/>
      <c r="G226" s="74"/>
      <c r="H226" s="74"/>
    </row>
    <row r="227" spans="1:8" x14ac:dyDescent="0.25">
      <c r="A227" t="s">
        <v>3259</v>
      </c>
      <c r="B227" t="s">
        <v>1546</v>
      </c>
      <c r="C227" t="s">
        <v>7613</v>
      </c>
      <c r="D227" s="74">
        <v>759</v>
      </c>
      <c r="E227" s="74">
        <v>443</v>
      </c>
      <c r="F227" s="74"/>
      <c r="G227" s="74"/>
      <c r="H227" s="74"/>
    </row>
    <row r="228" spans="1:8" x14ac:dyDescent="0.25">
      <c r="A228" t="s">
        <v>3260</v>
      </c>
      <c r="B228" t="s">
        <v>1546</v>
      </c>
      <c r="C228" t="s">
        <v>7628</v>
      </c>
      <c r="D228" s="74">
        <v>759</v>
      </c>
      <c r="E228" s="74">
        <v>443</v>
      </c>
      <c r="F228" s="74"/>
      <c r="G228" s="74"/>
      <c r="H228" s="74"/>
    </row>
    <row r="229" spans="1:8" x14ac:dyDescent="0.25">
      <c r="A229" t="s">
        <v>3261</v>
      </c>
      <c r="B229" t="s">
        <v>1546</v>
      </c>
      <c r="C229" t="s">
        <v>7630</v>
      </c>
      <c r="D229" s="74">
        <v>759</v>
      </c>
      <c r="E229" s="74">
        <v>443</v>
      </c>
      <c r="F229" s="74"/>
      <c r="G229" s="74"/>
      <c r="H229" s="74"/>
    </row>
    <row r="230" spans="1:8" x14ac:dyDescent="0.25">
      <c r="A230" t="s">
        <v>3265</v>
      </c>
      <c r="B230" t="s">
        <v>1546</v>
      </c>
      <c r="C230" t="s">
        <v>7641</v>
      </c>
      <c r="D230" s="74">
        <v>869</v>
      </c>
      <c r="E230" s="74">
        <v>507</v>
      </c>
      <c r="F230" s="74"/>
      <c r="G230" s="74"/>
      <c r="H230" s="74"/>
    </row>
    <row r="231" spans="1:8" x14ac:dyDescent="0.25">
      <c r="A231" t="s">
        <v>3223</v>
      </c>
      <c r="B231" t="s">
        <v>1546</v>
      </c>
      <c r="C231" t="s">
        <v>7522</v>
      </c>
      <c r="D231" s="74">
        <v>4939</v>
      </c>
      <c r="E231" s="74">
        <v>2881</v>
      </c>
      <c r="F231" s="74"/>
      <c r="G231" s="74"/>
      <c r="H231" s="74"/>
    </row>
    <row r="232" spans="1:8" x14ac:dyDescent="0.25">
      <c r="A232" t="s">
        <v>3224</v>
      </c>
      <c r="B232" t="s">
        <v>1546</v>
      </c>
      <c r="C232" t="s">
        <v>7525</v>
      </c>
      <c r="D232" s="74">
        <v>9559</v>
      </c>
      <c r="E232" s="74">
        <v>5576</v>
      </c>
      <c r="F232" s="74"/>
      <c r="G232" s="74"/>
      <c r="H232" s="74"/>
    </row>
    <row r="233" spans="1:8" x14ac:dyDescent="0.25">
      <c r="A233" t="s">
        <v>3225</v>
      </c>
      <c r="B233" t="s">
        <v>1546</v>
      </c>
      <c r="C233" t="s">
        <v>7527</v>
      </c>
      <c r="D233" s="74">
        <v>12969</v>
      </c>
      <c r="E233" s="74">
        <v>7565</v>
      </c>
      <c r="F233" s="74"/>
      <c r="G233" s="74"/>
      <c r="H233" s="74"/>
    </row>
    <row r="234" spans="1:8" x14ac:dyDescent="0.25">
      <c r="A234" t="s">
        <v>2705</v>
      </c>
      <c r="B234" t="s">
        <v>1524</v>
      </c>
      <c r="C234" t="s">
        <v>6501</v>
      </c>
      <c r="D234" s="74">
        <v>429</v>
      </c>
      <c r="E234" s="74">
        <v>250</v>
      </c>
      <c r="F234" s="74"/>
      <c r="G234" s="74"/>
      <c r="H234" s="74"/>
    </row>
    <row r="235" spans="1:8" x14ac:dyDescent="0.25">
      <c r="A235" t="s">
        <v>2708</v>
      </c>
      <c r="B235" t="s">
        <v>1524</v>
      </c>
      <c r="C235" t="s">
        <v>6507</v>
      </c>
      <c r="D235" s="74">
        <v>429</v>
      </c>
      <c r="E235" s="74">
        <v>250</v>
      </c>
      <c r="F235" s="74"/>
      <c r="G235" s="74"/>
      <c r="H235" s="74"/>
    </row>
    <row r="236" spans="1:8" x14ac:dyDescent="0.25">
      <c r="A236" t="s">
        <v>2719</v>
      </c>
      <c r="B236" t="s">
        <v>1524</v>
      </c>
      <c r="C236" t="s">
        <v>6528</v>
      </c>
      <c r="D236" s="74">
        <v>979</v>
      </c>
      <c r="E236" s="74">
        <v>571</v>
      </c>
      <c r="F236" s="74"/>
      <c r="G236" s="74"/>
      <c r="H236" s="74"/>
    </row>
    <row r="237" spans="1:8" x14ac:dyDescent="0.25">
      <c r="A237" t="s">
        <v>2707</v>
      </c>
      <c r="B237" t="s">
        <v>1524</v>
      </c>
      <c r="C237" t="s">
        <v>6505</v>
      </c>
      <c r="D237" s="74">
        <v>979</v>
      </c>
      <c r="E237" s="74">
        <v>571</v>
      </c>
      <c r="F237" s="74"/>
      <c r="G237" s="74"/>
      <c r="H237" s="74"/>
    </row>
    <row r="238" spans="1:8" x14ac:dyDescent="0.25">
      <c r="A238" t="s">
        <v>2721</v>
      </c>
      <c r="B238" t="s">
        <v>1524</v>
      </c>
      <c r="C238" t="s">
        <v>6533</v>
      </c>
      <c r="D238" s="74">
        <v>1089</v>
      </c>
      <c r="E238" s="74">
        <v>635</v>
      </c>
      <c r="F238" s="74"/>
      <c r="G238" s="74"/>
      <c r="H238" s="74"/>
    </row>
    <row r="239" spans="1:8" x14ac:dyDescent="0.25">
      <c r="A239" t="s">
        <v>2720</v>
      </c>
      <c r="B239" t="s">
        <v>1524</v>
      </c>
      <c r="C239" t="s">
        <v>6530</v>
      </c>
      <c r="D239" s="74">
        <v>1639</v>
      </c>
      <c r="E239" s="74">
        <v>956</v>
      </c>
      <c r="F239" s="74"/>
      <c r="G239" s="74"/>
      <c r="H239" s="74"/>
    </row>
    <row r="240" spans="1:8" x14ac:dyDescent="0.25">
      <c r="A240" t="s">
        <v>2710</v>
      </c>
      <c r="B240" t="s">
        <v>1524</v>
      </c>
      <c r="C240" t="s">
        <v>6510</v>
      </c>
      <c r="D240" s="74">
        <v>429</v>
      </c>
      <c r="E240" s="74">
        <v>250</v>
      </c>
      <c r="F240" s="74"/>
      <c r="G240" s="74"/>
      <c r="H240" s="74"/>
    </row>
    <row r="241" spans="1:8" x14ac:dyDescent="0.25">
      <c r="A241" t="s">
        <v>2713</v>
      </c>
      <c r="B241" t="s">
        <v>1524</v>
      </c>
      <c r="C241" t="s">
        <v>6513</v>
      </c>
      <c r="D241" s="74">
        <v>539</v>
      </c>
      <c r="E241" s="74">
        <v>314</v>
      </c>
      <c r="F241" s="74"/>
      <c r="G241" s="74"/>
      <c r="H241" s="74"/>
    </row>
    <row r="242" spans="1:8" x14ac:dyDescent="0.25">
      <c r="A242" t="s">
        <v>2715</v>
      </c>
      <c r="B242" t="s">
        <v>1524</v>
      </c>
      <c r="C242" t="s">
        <v>6517</v>
      </c>
      <c r="D242" s="74">
        <v>539</v>
      </c>
      <c r="E242" s="74">
        <v>314</v>
      </c>
      <c r="F242" s="74"/>
      <c r="G242" s="74"/>
      <c r="H242" s="74"/>
    </row>
    <row r="243" spans="1:8" x14ac:dyDescent="0.25">
      <c r="A243" t="s">
        <v>2718</v>
      </c>
      <c r="B243" t="s">
        <v>1524</v>
      </c>
      <c r="C243" t="s">
        <v>6526</v>
      </c>
      <c r="D243" s="74">
        <v>759</v>
      </c>
      <c r="E243" s="74">
        <v>443</v>
      </c>
      <c r="F243" s="74"/>
      <c r="G243" s="74"/>
      <c r="H243" s="74"/>
    </row>
    <row r="244" spans="1:8" x14ac:dyDescent="0.25">
      <c r="A244" t="s">
        <v>2716</v>
      </c>
      <c r="B244" t="s">
        <v>1524</v>
      </c>
      <c r="C244" t="s">
        <v>6520</v>
      </c>
      <c r="D244" s="74">
        <v>759</v>
      </c>
      <c r="E244" s="74">
        <v>443</v>
      </c>
      <c r="F244" s="74"/>
      <c r="G244" s="74"/>
      <c r="H244" s="74"/>
    </row>
    <row r="245" spans="1:8" x14ac:dyDescent="0.25">
      <c r="A245" t="s">
        <v>2717</v>
      </c>
      <c r="B245" t="s">
        <v>1524</v>
      </c>
      <c r="C245" t="s">
        <v>6523</v>
      </c>
      <c r="D245" s="74">
        <v>759</v>
      </c>
      <c r="E245" s="74">
        <v>443</v>
      </c>
      <c r="F245" s="74"/>
      <c r="G245" s="74"/>
      <c r="H245" s="74"/>
    </row>
    <row r="246" spans="1:8" x14ac:dyDescent="0.25">
      <c r="A246" t="s">
        <v>217</v>
      </c>
      <c r="B246" t="s">
        <v>1521</v>
      </c>
      <c r="C246" t="s">
        <v>6305</v>
      </c>
      <c r="D246" s="74">
        <v>129</v>
      </c>
      <c r="E246" s="74">
        <v>80</v>
      </c>
      <c r="F246" s="74"/>
      <c r="G246" s="74"/>
      <c r="H246" s="74"/>
    </row>
    <row r="247" spans="1:8" x14ac:dyDescent="0.25">
      <c r="A247" t="s">
        <v>220</v>
      </c>
      <c r="B247" t="s">
        <v>1521</v>
      </c>
      <c r="C247" t="s">
        <v>6316</v>
      </c>
      <c r="D247" s="74">
        <v>129</v>
      </c>
      <c r="E247" s="74">
        <v>80</v>
      </c>
      <c r="F247" s="74"/>
      <c r="G247" s="74"/>
      <c r="H247" s="74"/>
    </row>
    <row r="248" spans="1:8" x14ac:dyDescent="0.25">
      <c r="A248" t="s">
        <v>223</v>
      </c>
      <c r="B248" t="s">
        <v>1521</v>
      </c>
      <c r="C248" t="s">
        <v>6321</v>
      </c>
      <c r="D248" s="74">
        <v>129</v>
      </c>
      <c r="E248" s="74">
        <v>80</v>
      </c>
      <c r="F248" s="74"/>
      <c r="G248" s="74"/>
      <c r="H248" s="74"/>
    </row>
    <row r="249" spans="1:8" x14ac:dyDescent="0.25">
      <c r="A249" t="s">
        <v>2617</v>
      </c>
      <c r="B249" t="s">
        <v>1521</v>
      </c>
      <c r="C249" t="s">
        <v>6344</v>
      </c>
      <c r="D249" s="74">
        <v>826</v>
      </c>
      <c r="E249" s="74">
        <v>502</v>
      </c>
      <c r="F249" s="74"/>
      <c r="G249" s="74"/>
      <c r="H249" s="74"/>
    </row>
    <row r="250" spans="1:8" x14ac:dyDescent="0.25">
      <c r="A250" t="s">
        <v>2670</v>
      </c>
      <c r="B250" t="s">
        <v>1521</v>
      </c>
      <c r="C250" t="s">
        <v>6447</v>
      </c>
      <c r="D250" s="74">
        <v>267</v>
      </c>
      <c r="E250" s="74">
        <v>165</v>
      </c>
      <c r="F250" s="74"/>
      <c r="G250" s="74"/>
      <c r="H250" s="74"/>
    </row>
    <row r="251" spans="1:8" x14ac:dyDescent="0.25">
      <c r="A251" t="s">
        <v>2671</v>
      </c>
      <c r="B251" t="s">
        <v>1521</v>
      </c>
      <c r="C251" t="s">
        <v>6449</v>
      </c>
      <c r="D251" s="74">
        <v>292</v>
      </c>
      <c r="E251" s="74">
        <v>180</v>
      </c>
      <c r="F251" s="74"/>
      <c r="G251" s="74"/>
      <c r="H251" s="74"/>
    </row>
    <row r="252" spans="1:8" x14ac:dyDescent="0.25">
      <c r="A252" t="s">
        <v>2620</v>
      </c>
      <c r="B252" t="s">
        <v>1521</v>
      </c>
      <c r="C252" t="s">
        <v>6351</v>
      </c>
      <c r="D252" s="74">
        <v>232</v>
      </c>
      <c r="E252" s="74">
        <v>143</v>
      </c>
      <c r="F252" s="74"/>
      <c r="G252" s="74"/>
      <c r="H252" s="74"/>
    </row>
    <row r="253" spans="1:8" x14ac:dyDescent="0.25">
      <c r="A253" t="s">
        <v>2621</v>
      </c>
      <c r="B253" t="s">
        <v>1521</v>
      </c>
      <c r="C253" t="s">
        <v>6354</v>
      </c>
      <c r="D253" s="74">
        <v>256</v>
      </c>
      <c r="E253" s="74">
        <v>158</v>
      </c>
      <c r="F253" s="74"/>
      <c r="G253" s="74"/>
      <c r="H253" s="74"/>
    </row>
    <row r="254" spans="1:8" x14ac:dyDescent="0.25">
      <c r="A254" t="s">
        <v>2668</v>
      </c>
      <c r="B254" t="s">
        <v>1521</v>
      </c>
      <c r="C254" t="s">
        <v>6444</v>
      </c>
      <c r="D254" s="74">
        <v>319</v>
      </c>
      <c r="E254" s="74">
        <v>197</v>
      </c>
      <c r="F254" s="74"/>
      <c r="G254" s="74"/>
      <c r="H254" s="74"/>
    </row>
    <row r="255" spans="1:8" x14ac:dyDescent="0.25">
      <c r="A255" t="s">
        <v>2659</v>
      </c>
      <c r="B255" t="s">
        <v>1521</v>
      </c>
      <c r="C255" t="s">
        <v>6431</v>
      </c>
      <c r="D255" s="74">
        <v>319</v>
      </c>
      <c r="E255" s="74">
        <v>197</v>
      </c>
      <c r="F255" s="74"/>
      <c r="G255" s="74"/>
      <c r="H255" s="74"/>
    </row>
    <row r="256" spans="1:8" x14ac:dyDescent="0.25">
      <c r="A256" t="s">
        <v>2660</v>
      </c>
      <c r="B256" t="s">
        <v>1521</v>
      </c>
      <c r="C256" t="s">
        <v>6433</v>
      </c>
      <c r="D256" s="74">
        <v>175</v>
      </c>
      <c r="E256" s="74">
        <v>108</v>
      </c>
      <c r="F256" s="74"/>
      <c r="G256" s="74"/>
      <c r="H256" s="74"/>
    </row>
    <row r="257" spans="1:8" x14ac:dyDescent="0.25">
      <c r="A257" t="s">
        <v>2661</v>
      </c>
      <c r="B257" t="s">
        <v>1521</v>
      </c>
      <c r="C257" t="s">
        <v>6435</v>
      </c>
      <c r="D257" s="74">
        <v>198</v>
      </c>
      <c r="E257" s="74">
        <v>122</v>
      </c>
      <c r="F257" s="74"/>
      <c r="G257" s="74"/>
      <c r="H257" s="74"/>
    </row>
    <row r="258" spans="1:8" x14ac:dyDescent="0.25">
      <c r="A258" t="s">
        <v>2655</v>
      </c>
      <c r="B258" t="s">
        <v>1521</v>
      </c>
      <c r="C258" t="s">
        <v>6421</v>
      </c>
      <c r="D258" s="74">
        <v>429</v>
      </c>
      <c r="E258" s="74">
        <v>265</v>
      </c>
      <c r="F258" s="74"/>
      <c r="G258" s="74"/>
      <c r="H258" s="74"/>
    </row>
    <row r="259" spans="1:8" x14ac:dyDescent="0.25">
      <c r="A259" t="s">
        <v>2667</v>
      </c>
      <c r="B259" t="s">
        <v>1521</v>
      </c>
      <c r="C259" t="s">
        <v>6442</v>
      </c>
      <c r="D259" s="74">
        <v>979</v>
      </c>
      <c r="E259" s="74">
        <v>596</v>
      </c>
      <c r="F259" s="74"/>
      <c r="G259" s="74"/>
      <c r="H259" s="74"/>
    </row>
    <row r="260" spans="1:8" x14ac:dyDescent="0.25">
      <c r="A260" t="s">
        <v>2673</v>
      </c>
      <c r="B260" t="s">
        <v>1521</v>
      </c>
      <c r="C260" t="s">
        <v>6453</v>
      </c>
      <c r="D260" s="74">
        <v>1089</v>
      </c>
      <c r="E260" s="74">
        <v>662</v>
      </c>
      <c r="F260" s="74"/>
      <c r="G260" s="74"/>
      <c r="H260" s="74"/>
    </row>
    <row r="261" spans="1:8" x14ac:dyDescent="0.25">
      <c r="A261" t="s">
        <v>2656</v>
      </c>
      <c r="B261" t="s">
        <v>1521</v>
      </c>
      <c r="C261" t="s">
        <v>6424</v>
      </c>
      <c r="D261" s="74">
        <v>1309</v>
      </c>
      <c r="E261" s="74">
        <v>807</v>
      </c>
      <c r="F261" s="74"/>
      <c r="G261" s="74"/>
      <c r="H261" s="74"/>
    </row>
    <row r="262" spans="1:8" x14ac:dyDescent="0.25">
      <c r="A262" t="s">
        <v>2657</v>
      </c>
      <c r="B262" t="s">
        <v>1521</v>
      </c>
      <c r="C262" t="s">
        <v>6427</v>
      </c>
      <c r="D262" s="74">
        <v>1309</v>
      </c>
      <c r="E262" s="74">
        <v>807</v>
      </c>
      <c r="F262" s="74"/>
      <c r="G262" s="74"/>
      <c r="H262" s="74"/>
    </row>
    <row r="263" spans="1:8" x14ac:dyDescent="0.25">
      <c r="A263" t="s">
        <v>2616</v>
      </c>
      <c r="B263" t="s">
        <v>1521</v>
      </c>
      <c r="C263" t="s">
        <v>6341</v>
      </c>
      <c r="D263" s="74">
        <v>779</v>
      </c>
      <c r="E263" s="74">
        <v>474</v>
      </c>
      <c r="F263" s="74"/>
      <c r="G263" s="74"/>
      <c r="H263" s="74"/>
    </row>
    <row r="264" spans="1:8" x14ac:dyDescent="0.25">
      <c r="A264" t="s">
        <v>2623</v>
      </c>
      <c r="B264" t="s">
        <v>1521</v>
      </c>
      <c r="C264" t="s">
        <v>6359</v>
      </c>
      <c r="D264" s="74">
        <v>779</v>
      </c>
      <c r="E264" s="74">
        <v>474</v>
      </c>
      <c r="F264" s="74"/>
      <c r="G264" s="74"/>
      <c r="H264" s="74"/>
    </row>
    <row r="265" spans="1:8" x14ac:dyDescent="0.25">
      <c r="A265" t="s">
        <v>1914</v>
      </c>
      <c r="B265" t="s">
        <v>1388</v>
      </c>
      <c r="C265" t="s">
        <v>4564</v>
      </c>
      <c r="D265" s="74">
        <v>2390</v>
      </c>
      <c r="E265" s="74">
        <v>1434</v>
      </c>
      <c r="F265" s="74"/>
      <c r="G265" s="74"/>
      <c r="H265" s="74"/>
    </row>
    <row r="266" spans="1:8" x14ac:dyDescent="0.25">
      <c r="A266" t="s">
        <v>1915</v>
      </c>
      <c r="B266" t="s">
        <v>1389</v>
      </c>
      <c r="C266" t="s">
        <v>4568</v>
      </c>
      <c r="D266" s="74">
        <v>2190</v>
      </c>
      <c r="E266" s="74">
        <v>1460</v>
      </c>
      <c r="F266" s="74"/>
      <c r="G266" s="74"/>
      <c r="H266" s="74"/>
    </row>
    <row r="267" spans="1:8" x14ac:dyDescent="0.25">
      <c r="A267" t="s">
        <v>1913</v>
      </c>
      <c r="B267" t="s">
        <v>1388</v>
      </c>
      <c r="C267" t="s">
        <v>4560</v>
      </c>
      <c r="D267" s="74">
        <v>1790</v>
      </c>
      <c r="E267" s="74">
        <v>1193</v>
      </c>
      <c r="F267" s="74"/>
      <c r="G267" s="74"/>
      <c r="H267" s="74"/>
    </row>
    <row r="268" spans="1:8" x14ac:dyDescent="0.25">
      <c r="A268" t="s">
        <v>1971</v>
      </c>
      <c r="B268" t="s">
        <v>1391</v>
      </c>
      <c r="C268" t="s">
        <v>4815</v>
      </c>
      <c r="D268" s="74">
        <v>919</v>
      </c>
      <c r="E268" s="74">
        <v>596</v>
      </c>
      <c r="F268" s="74"/>
      <c r="G268" s="74"/>
      <c r="H268" s="74"/>
    </row>
    <row r="269" spans="1:8" x14ac:dyDescent="0.25">
      <c r="A269" t="s">
        <v>1931</v>
      </c>
      <c r="B269" t="s">
        <v>1389</v>
      </c>
      <c r="C269" t="s">
        <v>4629</v>
      </c>
      <c r="D269" s="74">
        <v>1790</v>
      </c>
      <c r="E269" s="74">
        <v>1074</v>
      </c>
      <c r="F269" s="74"/>
      <c r="G269" s="74"/>
      <c r="H269" s="74"/>
    </row>
    <row r="270" spans="1:8" x14ac:dyDescent="0.25">
      <c r="A270" t="s">
        <v>1933</v>
      </c>
      <c r="B270" t="s">
        <v>1389</v>
      </c>
      <c r="C270" t="s">
        <v>4637</v>
      </c>
      <c r="D270" s="74">
        <v>1990</v>
      </c>
      <c r="E270" s="74">
        <v>1194</v>
      </c>
      <c r="F270" s="74"/>
      <c r="G270" s="74"/>
      <c r="H270" s="74"/>
    </row>
    <row r="271" spans="1:8" x14ac:dyDescent="0.25">
      <c r="A271" t="s">
        <v>1916</v>
      </c>
      <c r="B271" t="s">
        <v>1389</v>
      </c>
      <c r="C271" t="s">
        <v>4572</v>
      </c>
      <c r="D271" s="74">
        <v>1790</v>
      </c>
      <c r="E271" s="74">
        <v>1074</v>
      </c>
      <c r="F271" s="74"/>
      <c r="G271" s="74"/>
      <c r="H271" s="74"/>
    </row>
    <row r="272" spans="1:8" x14ac:dyDescent="0.25">
      <c r="A272" t="s">
        <v>1919</v>
      </c>
      <c r="B272" t="s">
        <v>1389</v>
      </c>
      <c r="C272" t="s">
        <v>4584</v>
      </c>
      <c r="D272" s="74">
        <v>1190</v>
      </c>
      <c r="E272" s="74">
        <v>714</v>
      </c>
      <c r="F272" s="74"/>
      <c r="G272" s="74"/>
      <c r="H272" s="74"/>
    </row>
    <row r="273" spans="1:8" x14ac:dyDescent="0.25">
      <c r="A273" t="s">
        <v>1918</v>
      </c>
      <c r="B273" t="s">
        <v>1389</v>
      </c>
      <c r="C273" t="s">
        <v>4579</v>
      </c>
      <c r="D273" s="74">
        <v>2390</v>
      </c>
      <c r="E273" s="74">
        <v>1434</v>
      </c>
      <c r="F273" s="74"/>
      <c r="G273" s="74"/>
      <c r="H273" s="74"/>
    </row>
    <row r="274" spans="1:8" x14ac:dyDescent="0.25">
      <c r="A274" t="s">
        <v>1927</v>
      </c>
      <c r="B274" t="s">
        <v>1389</v>
      </c>
      <c r="C274" t="s">
        <v>4617</v>
      </c>
      <c r="D274" s="74">
        <v>2790</v>
      </c>
      <c r="E274" s="74">
        <v>1674</v>
      </c>
      <c r="F274" s="74"/>
      <c r="G274" s="74"/>
      <c r="H274" s="74"/>
    </row>
    <row r="275" spans="1:8" x14ac:dyDescent="0.25">
      <c r="A275" t="s">
        <v>1891</v>
      </c>
      <c r="B275" t="s">
        <v>1388</v>
      </c>
      <c r="C275" t="s">
        <v>4465</v>
      </c>
      <c r="D275" s="74">
        <v>3690</v>
      </c>
      <c r="E275" s="74">
        <v>2199</v>
      </c>
      <c r="F275" s="74"/>
      <c r="G275" s="74"/>
      <c r="H275" s="74"/>
    </row>
    <row r="276" spans="1:8" x14ac:dyDescent="0.25">
      <c r="A276" t="s">
        <v>1896</v>
      </c>
      <c r="B276" t="s">
        <v>1388</v>
      </c>
      <c r="C276" t="s">
        <v>4490</v>
      </c>
      <c r="D276" s="74">
        <v>1290</v>
      </c>
      <c r="E276" s="74">
        <v>774</v>
      </c>
      <c r="F276" s="74"/>
      <c r="G276" s="74"/>
      <c r="H276" s="74"/>
    </row>
    <row r="277" spans="1:8" x14ac:dyDescent="0.25">
      <c r="A277" t="s">
        <v>1893</v>
      </c>
      <c r="B277" t="s">
        <v>1388</v>
      </c>
      <c r="C277" t="s">
        <v>4477</v>
      </c>
      <c r="D277" s="74">
        <v>1790</v>
      </c>
      <c r="E277" s="74">
        <v>1074</v>
      </c>
      <c r="F277" s="74"/>
      <c r="G277" s="74"/>
      <c r="H277" s="74"/>
    </row>
    <row r="278" spans="1:8" x14ac:dyDescent="0.25">
      <c r="A278" t="s">
        <v>1894</v>
      </c>
      <c r="B278" t="s">
        <v>1388</v>
      </c>
      <c r="C278" t="s">
        <v>4484</v>
      </c>
      <c r="D278" s="74">
        <v>5390</v>
      </c>
      <c r="E278" s="74">
        <v>3234</v>
      </c>
      <c r="F278" s="74"/>
      <c r="G278" s="74"/>
      <c r="H278" s="74"/>
    </row>
    <row r="279" spans="1:8" x14ac:dyDescent="0.25">
      <c r="A279" t="s">
        <v>2046</v>
      </c>
      <c r="B279" t="s">
        <v>1388</v>
      </c>
      <c r="C279" t="s">
        <v>5143</v>
      </c>
      <c r="D279" s="74">
        <v>1790</v>
      </c>
      <c r="E279" s="74">
        <v>1074</v>
      </c>
      <c r="F279" s="74"/>
      <c r="G279" s="74"/>
      <c r="H279" s="74"/>
    </row>
    <row r="280" spans="1:8" x14ac:dyDescent="0.25">
      <c r="A280" t="s">
        <v>1883</v>
      </c>
      <c r="B280" t="s">
        <v>1388</v>
      </c>
      <c r="C280" t="s">
        <v>4438</v>
      </c>
      <c r="D280" s="74">
        <v>990</v>
      </c>
      <c r="E280" s="74">
        <v>594</v>
      </c>
      <c r="F280" s="74"/>
      <c r="G280" s="74"/>
      <c r="H280" s="74"/>
    </row>
    <row r="281" spans="1:8" x14ac:dyDescent="0.25">
      <c r="A281" t="s">
        <v>1885</v>
      </c>
      <c r="B281" t="s">
        <v>1388</v>
      </c>
      <c r="C281" t="s">
        <v>4445</v>
      </c>
      <c r="D281" s="74">
        <v>990</v>
      </c>
      <c r="E281" s="74">
        <v>594</v>
      </c>
      <c r="F281" s="74"/>
      <c r="G281" s="74"/>
      <c r="H281" s="74"/>
    </row>
    <row r="282" spans="1:8" x14ac:dyDescent="0.25">
      <c r="A282" t="s">
        <v>1906</v>
      </c>
      <c r="B282" t="s">
        <v>1388</v>
      </c>
      <c r="C282" t="s">
        <v>4534</v>
      </c>
      <c r="D282" s="74">
        <v>1690</v>
      </c>
      <c r="E282" s="74">
        <v>1014</v>
      </c>
      <c r="F282" s="74"/>
      <c r="G282" s="74"/>
      <c r="H282" s="74"/>
    </row>
    <row r="283" spans="1:8" x14ac:dyDescent="0.25">
      <c r="A283" t="s">
        <v>1908</v>
      </c>
      <c r="B283" t="s">
        <v>1388</v>
      </c>
      <c r="C283" t="s">
        <v>4543</v>
      </c>
      <c r="D283" s="74">
        <v>1190</v>
      </c>
      <c r="E283" s="74">
        <v>714</v>
      </c>
      <c r="F283" s="74"/>
      <c r="G283" s="74"/>
      <c r="H283" s="74"/>
    </row>
    <row r="284" spans="1:8" x14ac:dyDescent="0.25">
      <c r="A284" t="s">
        <v>1910</v>
      </c>
      <c r="B284" t="s">
        <v>1388</v>
      </c>
      <c r="C284" t="s">
        <v>4553</v>
      </c>
      <c r="D284" s="74">
        <v>1590</v>
      </c>
      <c r="E284" s="74">
        <v>954</v>
      </c>
      <c r="F284" s="74"/>
      <c r="G284" s="74"/>
      <c r="H284" s="74"/>
    </row>
    <row r="285" spans="1:8" x14ac:dyDescent="0.25">
      <c r="A285" t="s">
        <v>1898</v>
      </c>
      <c r="B285" t="s">
        <v>1388</v>
      </c>
      <c r="C285" t="s">
        <v>7982</v>
      </c>
      <c r="D285" s="74">
        <v>1190</v>
      </c>
      <c r="E285" s="74">
        <v>714</v>
      </c>
      <c r="F285" s="74"/>
      <c r="G285" s="74"/>
      <c r="H285" s="74"/>
    </row>
    <row r="286" spans="1:8" x14ac:dyDescent="0.25">
      <c r="A286" t="s">
        <v>1899</v>
      </c>
      <c r="B286" t="s">
        <v>1388</v>
      </c>
      <c r="C286" t="s">
        <v>7982</v>
      </c>
      <c r="D286" s="74">
        <v>1290</v>
      </c>
      <c r="E286" s="74">
        <v>774</v>
      </c>
      <c r="F286" s="74"/>
      <c r="G286" s="74"/>
      <c r="H286" s="74"/>
    </row>
    <row r="287" spans="1:8" x14ac:dyDescent="0.25">
      <c r="A287" t="s">
        <v>1902</v>
      </c>
      <c r="B287" t="s">
        <v>1388</v>
      </c>
      <c r="C287" t="s">
        <v>4516</v>
      </c>
      <c r="D287" s="74">
        <v>1390</v>
      </c>
      <c r="E287" s="74">
        <v>834</v>
      </c>
      <c r="F287" s="74"/>
      <c r="G287" s="74"/>
      <c r="H287" s="74"/>
    </row>
    <row r="288" spans="1:8" x14ac:dyDescent="0.25">
      <c r="A288" t="s">
        <v>1887</v>
      </c>
      <c r="B288" t="s">
        <v>1388</v>
      </c>
      <c r="C288" t="s">
        <v>4451</v>
      </c>
      <c r="D288" s="74">
        <v>3390</v>
      </c>
      <c r="E288" s="74">
        <v>2034</v>
      </c>
      <c r="F288" s="74"/>
      <c r="G288" s="74"/>
      <c r="H288" s="74"/>
    </row>
    <row r="289" spans="1:8" x14ac:dyDescent="0.25">
      <c r="A289" t="s">
        <v>1903</v>
      </c>
      <c r="B289" t="s">
        <v>1388</v>
      </c>
      <c r="C289" t="s">
        <v>4520</v>
      </c>
      <c r="D289" s="74">
        <v>1290</v>
      </c>
      <c r="E289" s="74">
        <v>774</v>
      </c>
      <c r="F289" s="74"/>
      <c r="G289" s="74"/>
      <c r="H289" s="74"/>
    </row>
    <row r="290" spans="1:8" x14ac:dyDescent="0.25">
      <c r="A290" t="s">
        <v>1905</v>
      </c>
      <c r="B290" t="s">
        <v>1388</v>
      </c>
      <c r="C290" t="s">
        <v>4528</v>
      </c>
      <c r="D290" s="74">
        <v>1590</v>
      </c>
      <c r="E290" s="74">
        <v>954</v>
      </c>
      <c r="F290" s="74"/>
      <c r="G290" s="74"/>
      <c r="H290" s="74"/>
    </row>
    <row r="291" spans="1:8" x14ac:dyDescent="0.25">
      <c r="A291" t="s">
        <v>1946</v>
      </c>
      <c r="B291" t="s">
        <v>1394</v>
      </c>
      <c r="C291" t="s">
        <v>4690</v>
      </c>
      <c r="D291" s="74">
        <v>1490</v>
      </c>
      <c r="E291" s="74">
        <v>870</v>
      </c>
      <c r="F291" s="74"/>
      <c r="G291" s="74"/>
      <c r="H291" s="74"/>
    </row>
    <row r="292" spans="1:8" x14ac:dyDescent="0.25">
      <c r="A292" t="s">
        <v>1947</v>
      </c>
      <c r="B292" t="s">
        <v>1394</v>
      </c>
      <c r="C292" t="s">
        <v>4694</v>
      </c>
      <c r="D292" s="74">
        <v>1890</v>
      </c>
      <c r="E292" s="74">
        <v>1103</v>
      </c>
      <c r="F292" s="74"/>
      <c r="G292" s="74"/>
      <c r="H292" s="74"/>
    </row>
    <row r="293" spans="1:8" x14ac:dyDescent="0.25">
      <c r="A293" t="s">
        <v>1948</v>
      </c>
      <c r="B293" t="s">
        <v>1394</v>
      </c>
      <c r="C293" t="s">
        <v>4698</v>
      </c>
      <c r="D293" s="74">
        <v>1490</v>
      </c>
      <c r="E293" s="74">
        <v>870</v>
      </c>
      <c r="F293" s="74"/>
      <c r="G293" s="74"/>
      <c r="H293" s="74"/>
    </row>
    <row r="294" spans="1:8" x14ac:dyDescent="0.25">
      <c r="A294" t="s">
        <v>1949</v>
      </c>
      <c r="B294" t="s">
        <v>1394</v>
      </c>
      <c r="C294" t="s">
        <v>4704</v>
      </c>
      <c r="D294" s="74">
        <v>1790</v>
      </c>
      <c r="E294" s="74">
        <v>1045</v>
      </c>
      <c r="F294" s="74"/>
      <c r="G294" s="74"/>
      <c r="H294" s="74"/>
    </row>
    <row r="295" spans="1:8" x14ac:dyDescent="0.25">
      <c r="A295" t="s">
        <v>1950</v>
      </c>
      <c r="B295" t="s">
        <v>1394</v>
      </c>
      <c r="C295" t="s">
        <v>4708</v>
      </c>
      <c r="D295" s="74">
        <v>1019</v>
      </c>
      <c r="E295" s="74">
        <v>595</v>
      </c>
      <c r="F295" s="74"/>
      <c r="G295" s="74"/>
      <c r="H295" s="74"/>
    </row>
    <row r="296" spans="1:8" x14ac:dyDescent="0.25">
      <c r="A296" t="s">
        <v>1953</v>
      </c>
      <c r="B296" t="s">
        <v>1395</v>
      </c>
      <c r="C296" t="s">
        <v>4718</v>
      </c>
      <c r="D296" s="74">
        <v>890</v>
      </c>
      <c r="E296" s="74">
        <v>519</v>
      </c>
      <c r="F296" s="74"/>
      <c r="G296" s="74"/>
      <c r="H296" s="74"/>
    </row>
    <row r="297" spans="1:8" x14ac:dyDescent="0.25">
      <c r="A297" t="s">
        <v>1954</v>
      </c>
      <c r="B297" t="s">
        <v>1395</v>
      </c>
      <c r="C297" t="s">
        <v>4722</v>
      </c>
      <c r="D297" s="74">
        <v>6990</v>
      </c>
      <c r="E297" s="74">
        <v>4079</v>
      </c>
      <c r="F297" s="74"/>
      <c r="G297" s="74"/>
      <c r="H297" s="74"/>
    </row>
    <row r="298" spans="1:8" x14ac:dyDescent="0.25">
      <c r="A298" t="s">
        <v>1921</v>
      </c>
      <c r="B298" t="s">
        <v>1389</v>
      </c>
      <c r="C298" t="s">
        <v>4592</v>
      </c>
      <c r="D298" s="74">
        <v>2490</v>
      </c>
      <c r="E298" s="74">
        <v>1494</v>
      </c>
      <c r="F298" s="74"/>
      <c r="G298" s="74"/>
      <c r="H298" s="74"/>
    </row>
    <row r="299" spans="1:8" x14ac:dyDescent="0.25">
      <c r="A299" t="s">
        <v>1925</v>
      </c>
      <c r="B299" t="s">
        <v>1389</v>
      </c>
      <c r="C299" t="s">
        <v>4611</v>
      </c>
      <c r="D299" s="74">
        <v>2490</v>
      </c>
      <c r="E299" s="74">
        <v>1494</v>
      </c>
      <c r="F299" s="74"/>
      <c r="G299" s="74"/>
      <c r="H299" s="74"/>
    </row>
    <row r="300" spans="1:8" x14ac:dyDescent="0.25">
      <c r="A300" t="s">
        <v>1924</v>
      </c>
      <c r="B300" t="s">
        <v>1389</v>
      </c>
      <c r="C300" t="s">
        <v>4605</v>
      </c>
      <c r="D300" s="74">
        <v>6290</v>
      </c>
      <c r="E300" s="74">
        <v>3774</v>
      </c>
      <c r="F300" s="74"/>
      <c r="G300" s="74"/>
      <c r="H300" s="74"/>
    </row>
    <row r="301" spans="1:8" x14ac:dyDescent="0.25">
      <c r="A301" t="s">
        <v>1970</v>
      </c>
      <c r="B301" t="s">
        <v>1391</v>
      </c>
      <c r="C301" t="s">
        <v>4811</v>
      </c>
      <c r="D301" s="74">
        <v>919</v>
      </c>
      <c r="E301" s="74">
        <v>537</v>
      </c>
      <c r="F301" s="74"/>
      <c r="G301" s="74"/>
      <c r="H301" s="74"/>
    </row>
    <row r="302" spans="1:8" x14ac:dyDescent="0.25">
      <c r="A302" t="s">
        <v>1972</v>
      </c>
      <c r="B302" t="s">
        <v>1391</v>
      </c>
      <c r="C302" t="s">
        <v>4820</v>
      </c>
      <c r="D302" s="74">
        <v>919</v>
      </c>
      <c r="E302" s="74">
        <v>535</v>
      </c>
      <c r="F302" s="74"/>
      <c r="G302" s="74"/>
      <c r="H302" s="74"/>
    </row>
    <row r="303" spans="1:8" x14ac:dyDescent="0.25">
      <c r="A303" t="s">
        <v>2021</v>
      </c>
      <c r="B303" t="s">
        <v>1388</v>
      </c>
      <c r="C303" t="s">
        <v>5034</v>
      </c>
      <c r="D303" s="74">
        <v>2490</v>
      </c>
      <c r="E303" s="74">
        <v>1453</v>
      </c>
      <c r="F303" s="74"/>
      <c r="G303" s="74"/>
      <c r="H303" s="74"/>
    </row>
    <row r="304" spans="1:8" x14ac:dyDescent="0.25">
      <c r="A304" t="s">
        <v>2022</v>
      </c>
      <c r="B304" t="s">
        <v>1388</v>
      </c>
      <c r="C304" t="s">
        <v>5040</v>
      </c>
      <c r="D304" s="74">
        <v>490</v>
      </c>
      <c r="E304" s="74">
        <v>286</v>
      </c>
      <c r="F304" s="74"/>
      <c r="G304" s="74"/>
      <c r="H304" s="74"/>
    </row>
    <row r="305" spans="1:8" x14ac:dyDescent="0.25">
      <c r="A305" t="s">
        <v>1600</v>
      </c>
      <c r="B305" t="s">
        <v>1359</v>
      </c>
      <c r="C305" t="s">
        <v>3568</v>
      </c>
      <c r="D305" s="74">
        <v>4390</v>
      </c>
      <c r="E305" s="74">
        <v>2634</v>
      </c>
      <c r="F305" s="74"/>
      <c r="G305" s="74"/>
      <c r="H305" s="74"/>
    </row>
    <row r="306" spans="1:8" x14ac:dyDescent="0.25">
      <c r="A306" t="s">
        <v>1663</v>
      </c>
      <c r="B306" t="s">
        <v>1359</v>
      </c>
      <c r="C306" t="s">
        <v>3875</v>
      </c>
      <c r="D306" s="74">
        <v>12890</v>
      </c>
      <c r="E306" s="74">
        <v>8056</v>
      </c>
      <c r="F306" s="74"/>
      <c r="G306" s="74"/>
      <c r="H306" s="74"/>
    </row>
    <row r="307" spans="1:8" x14ac:dyDescent="0.25">
      <c r="A307" t="s">
        <v>1935</v>
      </c>
      <c r="B307" t="s">
        <v>1392</v>
      </c>
      <c r="C307" t="s">
        <v>4644</v>
      </c>
      <c r="D307" s="74">
        <v>1190</v>
      </c>
      <c r="E307" s="74">
        <v>704</v>
      </c>
      <c r="F307" s="74"/>
      <c r="G307" s="74"/>
      <c r="H307" s="74"/>
    </row>
    <row r="308" spans="1:8" x14ac:dyDescent="0.25">
      <c r="A308" t="s">
        <v>1945</v>
      </c>
      <c r="B308" t="s">
        <v>1392</v>
      </c>
      <c r="C308" t="s">
        <v>4684</v>
      </c>
      <c r="D308" s="74">
        <v>1590</v>
      </c>
      <c r="E308" s="74">
        <v>941</v>
      </c>
      <c r="F308" s="74"/>
      <c r="G308" s="74"/>
      <c r="H308" s="74"/>
    </row>
    <row r="309" spans="1:8" x14ac:dyDescent="0.25">
      <c r="A309" t="s">
        <v>1940</v>
      </c>
      <c r="B309" t="s">
        <v>1392</v>
      </c>
      <c r="C309" t="s">
        <v>4655</v>
      </c>
      <c r="D309" s="74">
        <v>1790</v>
      </c>
      <c r="E309" s="74">
        <v>1059</v>
      </c>
      <c r="F309" s="74"/>
      <c r="G309" s="74"/>
      <c r="H309" s="74"/>
    </row>
    <row r="310" spans="1:8" x14ac:dyDescent="0.25">
      <c r="A310" t="s">
        <v>1941</v>
      </c>
      <c r="B310" t="s">
        <v>1392</v>
      </c>
      <c r="C310" t="s">
        <v>4662</v>
      </c>
      <c r="D310" s="74">
        <v>1790</v>
      </c>
      <c r="E310" s="74">
        <v>1193</v>
      </c>
      <c r="F310" s="74"/>
      <c r="G310" s="74"/>
      <c r="H310" s="74"/>
    </row>
    <row r="311" spans="1:8" x14ac:dyDescent="0.25">
      <c r="A311" t="s">
        <v>1942</v>
      </c>
      <c r="B311" t="s">
        <v>1392</v>
      </c>
      <c r="C311" t="s">
        <v>4665</v>
      </c>
      <c r="D311" s="74">
        <v>2090</v>
      </c>
      <c r="E311" s="74">
        <v>1237</v>
      </c>
      <c r="F311" s="74"/>
      <c r="G311" s="74"/>
      <c r="H311" s="74"/>
    </row>
    <row r="312" spans="1:8" x14ac:dyDescent="0.25">
      <c r="A312" t="s">
        <v>1943</v>
      </c>
      <c r="B312" t="s">
        <v>1392</v>
      </c>
      <c r="C312" t="s">
        <v>4673</v>
      </c>
      <c r="D312" s="74">
        <v>2190</v>
      </c>
      <c r="E312" s="74">
        <v>1296</v>
      </c>
      <c r="F312" s="74"/>
      <c r="G312" s="74"/>
      <c r="H312" s="74"/>
    </row>
    <row r="313" spans="1:8" x14ac:dyDescent="0.25">
      <c r="A313" t="s">
        <v>1944</v>
      </c>
      <c r="B313" t="s">
        <v>1392</v>
      </c>
      <c r="C313" t="s">
        <v>4679</v>
      </c>
      <c r="D313" s="74">
        <v>5890</v>
      </c>
      <c r="E313" s="74">
        <v>3485</v>
      </c>
      <c r="F313" s="74"/>
      <c r="G313" s="74"/>
      <c r="H313" s="74"/>
    </row>
    <row r="314" spans="1:8" x14ac:dyDescent="0.25">
      <c r="A314" t="s">
        <v>2012</v>
      </c>
      <c r="B314" t="s">
        <v>1388</v>
      </c>
      <c r="C314" t="s">
        <v>4989</v>
      </c>
      <c r="D314" s="74">
        <v>1590</v>
      </c>
      <c r="E314" s="74">
        <v>981</v>
      </c>
      <c r="F314" s="74"/>
      <c r="G314" s="74"/>
      <c r="H314" s="74"/>
    </row>
    <row r="315" spans="1:8" x14ac:dyDescent="0.25">
      <c r="A315" t="s">
        <v>2013</v>
      </c>
      <c r="B315" t="s">
        <v>1388</v>
      </c>
      <c r="C315" t="s">
        <v>4995</v>
      </c>
      <c r="D315" s="74">
        <v>1790</v>
      </c>
      <c r="E315" s="74">
        <v>1104</v>
      </c>
      <c r="F315" s="74"/>
      <c r="G315" s="74"/>
      <c r="H315" s="74"/>
    </row>
    <row r="316" spans="1:8" x14ac:dyDescent="0.25">
      <c r="A316" t="s">
        <v>2019</v>
      </c>
      <c r="B316" t="s">
        <v>1388</v>
      </c>
      <c r="C316" t="s">
        <v>5024</v>
      </c>
      <c r="D316" s="74">
        <v>2190</v>
      </c>
      <c r="E316" s="74">
        <v>1351</v>
      </c>
      <c r="F316" s="74"/>
      <c r="G316" s="74"/>
      <c r="H316" s="74"/>
    </row>
    <row r="317" spans="1:8" x14ac:dyDescent="0.25">
      <c r="A317" t="s">
        <v>2017</v>
      </c>
      <c r="B317" t="s">
        <v>1388</v>
      </c>
      <c r="C317" t="s">
        <v>5013</v>
      </c>
      <c r="D317" s="74">
        <v>3490</v>
      </c>
      <c r="E317" s="74">
        <v>2152</v>
      </c>
      <c r="F317" s="74"/>
      <c r="G317" s="74"/>
      <c r="H317" s="74"/>
    </row>
    <row r="318" spans="1:8" x14ac:dyDescent="0.25">
      <c r="A318" t="s">
        <v>2018</v>
      </c>
      <c r="B318" t="s">
        <v>1388</v>
      </c>
      <c r="C318" t="s">
        <v>5018</v>
      </c>
      <c r="D318" s="74">
        <v>4290</v>
      </c>
      <c r="E318" s="74">
        <v>2646</v>
      </c>
      <c r="F318" s="74"/>
      <c r="G318" s="74"/>
      <c r="H318" s="74"/>
    </row>
    <row r="319" spans="1:8" x14ac:dyDescent="0.25">
      <c r="A319" t="s">
        <v>2014</v>
      </c>
      <c r="B319" t="s">
        <v>1388</v>
      </c>
      <c r="C319" t="s">
        <v>5000</v>
      </c>
      <c r="D319" s="74">
        <v>990</v>
      </c>
      <c r="E319" s="74">
        <v>611</v>
      </c>
      <c r="F319" s="74"/>
      <c r="G319" s="74"/>
      <c r="H319" s="74"/>
    </row>
    <row r="320" spans="1:8" x14ac:dyDescent="0.25">
      <c r="A320" t="s">
        <v>2015</v>
      </c>
      <c r="B320" t="s">
        <v>1388</v>
      </c>
      <c r="C320" t="s">
        <v>5004</v>
      </c>
      <c r="D320" s="74">
        <v>1390</v>
      </c>
      <c r="E320" s="74">
        <v>857</v>
      </c>
      <c r="F320" s="74"/>
      <c r="G320" s="74"/>
      <c r="H320" s="74"/>
    </row>
    <row r="321" spans="1:8" x14ac:dyDescent="0.25">
      <c r="A321" t="s">
        <v>2016</v>
      </c>
      <c r="B321" t="s">
        <v>1388</v>
      </c>
      <c r="C321" t="s">
        <v>5009</v>
      </c>
      <c r="D321" s="74">
        <v>1690</v>
      </c>
      <c r="E321" s="74">
        <v>1042</v>
      </c>
      <c r="F321" s="74"/>
      <c r="G321" s="74"/>
      <c r="H321" s="74"/>
    </row>
    <row r="322" spans="1:8" x14ac:dyDescent="0.25">
      <c r="A322" t="s">
        <v>2011</v>
      </c>
      <c r="B322" t="s">
        <v>1388</v>
      </c>
      <c r="C322" t="s">
        <v>4984</v>
      </c>
      <c r="D322" s="74">
        <v>1590</v>
      </c>
      <c r="E322" s="74">
        <v>994</v>
      </c>
      <c r="F322" s="74"/>
      <c r="G322" s="74"/>
      <c r="H322" s="74"/>
    </row>
    <row r="323" spans="1:8" x14ac:dyDescent="0.25">
      <c r="A323" t="s">
        <v>2350</v>
      </c>
      <c r="B323" t="s">
        <v>1509</v>
      </c>
      <c r="C323" t="s">
        <v>5814</v>
      </c>
      <c r="D323" s="74">
        <v>2409</v>
      </c>
      <c r="E323" s="74">
        <v>1425</v>
      </c>
      <c r="F323" s="74"/>
      <c r="G323" s="74"/>
      <c r="H323" s="74"/>
    </row>
    <row r="324" spans="1:8" x14ac:dyDescent="0.25">
      <c r="A324" t="s">
        <v>2351</v>
      </c>
      <c r="B324" t="s">
        <v>1509</v>
      </c>
      <c r="C324" t="s">
        <v>5820</v>
      </c>
      <c r="D324" s="74">
        <v>2739</v>
      </c>
      <c r="E324" s="74">
        <v>1621</v>
      </c>
      <c r="F324" s="74"/>
      <c r="G324" s="74"/>
      <c r="H324" s="74"/>
    </row>
    <row r="325" spans="1:8" x14ac:dyDescent="0.25">
      <c r="A325" t="s">
        <v>2270</v>
      </c>
      <c r="B325" t="s">
        <v>1404</v>
      </c>
      <c r="C325" t="s">
        <v>5680</v>
      </c>
      <c r="D325" s="74">
        <v>8890</v>
      </c>
      <c r="E325" s="74">
        <v>6075</v>
      </c>
      <c r="F325" s="74"/>
      <c r="G325" s="74"/>
      <c r="H325" s="74"/>
    </row>
    <row r="326" spans="1:8" x14ac:dyDescent="0.25">
      <c r="A326" t="s">
        <v>2272</v>
      </c>
      <c r="B326" t="s">
        <v>1404</v>
      </c>
      <c r="C326" t="s">
        <v>5694</v>
      </c>
      <c r="D326" s="74">
        <v>12090</v>
      </c>
      <c r="E326" s="74">
        <v>8262</v>
      </c>
      <c r="F326" s="74"/>
      <c r="G326" s="74"/>
      <c r="H326" s="74"/>
    </row>
    <row r="327" spans="1:8" x14ac:dyDescent="0.25">
      <c r="A327" t="s">
        <v>2273</v>
      </c>
      <c r="B327" t="s">
        <v>1404</v>
      </c>
      <c r="C327" t="s">
        <v>5698</v>
      </c>
      <c r="D327" s="74">
        <v>6990</v>
      </c>
      <c r="E327" s="74">
        <v>4776</v>
      </c>
      <c r="F327" s="74"/>
      <c r="G327" s="74"/>
      <c r="H327" s="74"/>
    </row>
    <row r="328" spans="1:8" x14ac:dyDescent="0.25">
      <c r="A328" t="s">
        <v>2267</v>
      </c>
      <c r="B328" t="s">
        <v>1404</v>
      </c>
      <c r="C328" t="s">
        <v>5669</v>
      </c>
      <c r="D328" s="74">
        <v>3490</v>
      </c>
      <c r="E328" s="74">
        <v>2385</v>
      </c>
      <c r="F328" s="74"/>
      <c r="G328" s="74"/>
      <c r="H328" s="74"/>
    </row>
    <row r="329" spans="1:8" x14ac:dyDescent="0.25">
      <c r="A329" t="s">
        <v>2335</v>
      </c>
      <c r="B329" t="s">
        <v>1507</v>
      </c>
      <c r="C329" t="s">
        <v>5780</v>
      </c>
      <c r="D329" s="74">
        <v>4609</v>
      </c>
      <c r="E329" s="74">
        <v>2497</v>
      </c>
      <c r="F329" s="74"/>
      <c r="G329" s="74"/>
      <c r="H329" s="74"/>
    </row>
    <row r="330" spans="1:8" x14ac:dyDescent="0.25">
      <c r="A330" t="s">
        <v>2334</v>
      </c>
      <c r="B330" t="s">
        <v>1507</v>
      </c>
      <c r="C330" t="s">
        <v>7972</v>
      </c>
      <c r="D330" s="74">
        <v>1408</v>
      </c>
      <c r="E330" s="74">
        <v>763</v>
      </c>
      <c r="F330" s="74"/>
      <c r="G330" s="74"/>
      <c r="H330" s="74"/>
    </row>
    <row r="331" spans="1:8" x14ac:dyDescent="0.25">
      <c r="A331" t="s">
        <v>2346</v>
      </c>
      <c r="B331" t="s">
        <v>1509</v>
      </c>
      <c r="C331" t="s">
        <v>5801</v>
      </c>
      <c r="D331" s="74">
        <v>4890</v>
      </c>
      <c r="E331" s="74">
        <v>3342</v>
      </c>
      <c r="F331" s="74"/>
      <c r="G331" s="74"/>
      <c r="H331" s="74"/>
    </row>
    <row r="332" spans="1:8" x14ac:dyDescent="0.25">
      <c r="A332" t="s">
        <v>2266</v>
      </c>
      <c r="B332" t="s">
        <v>1467</v>
      </c>
      <c r="C332" t="s">
        <v>5665</v>
      </c>
      <c r="D332" s="74">
        <v>13690</v>
      </c>
      <c r="E332" s="74">
        <v>9355</v>
      </c>
      <c r="F332" s="74"/>
      <c r="G332" s="74"/>
      <c r="H332" s="74"/>
    </row>
    <row r="333" spans="1:8" x14ac:dyDescent="0.25">
      <c r="A333" t="s">
        <v>2264</v>
      </c>
      <c r="B333" t="s">
        <v>1467</v>
      </c>
      <c r="C333" t="s">
        <v>5659</v>
      </c>
      <c r="D333" s="74">
        <v>18390</v>
      </c>
      <c r="E333" s="74">
        <v>12567</v>
      </c>
      <c r="F333" s="74"/>
      <c r="G333" s="74"/>
      <c r="H333" s="74"/>
    </row>
    <row r="334" spans="1:8" x14ac:dyDescent="0.25">
      <c r="A334" t="s">
        <v>2347</v>
      </c>
      <c r="B334" t="s">
        <v>1509</v>
      </c>
      <c r="C334" t="s">
        <v>7983</v>
      </c>
      <c r="D334" s="74">
        <v>2079</v>
      </c>
      <c r="E334" s="74">
        <v>1230</v>
      </c>
      <c r="F334" s="74"/>
      <c r="G334" s="74"/>
      <c r="H334" s="74"/>
    </row>
    <row r="335" spans="1:8" x14ac:dyDescent="0.25">
      <c r="A335" t="s">
        <v>2348</v>
      </c>
      <c r="B335" t="s">
        <v>1509</v>
      </c>
      <c r="C335" t="s">
        <v>5809</v>
      </c>
      <c r="D335" s="74">
        <v>2519</v>
      </c>
      <c r="E335" s="74">
        <v>1490</v>
      </c>
      <c r="F335" s="74"/>
      <c r="G335" s="74"/>
      <c r="H335" s="74"/>
    </row>
    <row r="336" spans="1:8" x14ac:dyDescent="0.25">
      <c r="A336" t="s">
        <v>2349</v>
      </c>
      <c r="B336" t="s">
        <v>1509</v>
      </c>
      <c r="C336" t="s">
        <v>5812</v>
      </c>
      <c r="D336" s="74">
        <v>2739</v>
      </c>
      <c r="E336" s="74">
        <v>1621</v>
      </c>
      <c r="F336" s="74"/>
      <c r="G336" s="74"/>
      <c r="H336" s="74"/>
    </row>
    <row r="337" spans="1:8" x14ac:dyDescent="0.25">
      <c r="A337" t="s">
        <v>2326</v>
      </c>
      <c r="B337" t="s">
        <v>1507</v>
      </c>
      <c r="C337" t="s">
        <v>5746</v>
      </c>
      <c r="D337" s="74">
        <v>1639</v>
      </c>
      <c r="E337" s="74">
        <v>888</v>
      </c>
      <c r="F337" s="74"/>
      <c r="G337" s="74"/>
      <c r="H337" s="74"/>
    </row>
    <row r="338" spans="1:8" x14ac:dyDescent="0.25">
      <c r="A338" t="s">
        <v>2327</v>
      </c>
      <c r="B338" t="s">
        <v>1507</v>
      </c>
      <c r="C338" t="s">
        <v>7972</v>
      </c>
      <c r="D338" s="74">
        <v>7192</v>
      </c>
      <c r="E338" s="74">
        <v>3896</v>
      </c>
      <c r="F338" s="74"/>
      <c r="G338" s="74"/>
      <c r="H338" s="74"/>
    </row>
    <row r="339" spans="1:8" x14ac:dyDescent="0.25">
      <c r="A339" t="s">
        <v>2343</v>
      </c>
      <c r="B339" t="s">
        <v>1507</v>
      </c>
      <c r="C339" t="s">
        <v>5798</v>
      </c>
      <c r="D339" s="74">
        <v>6589</v>
      </c>
      <c r="E339" s="74">
        <v>3569</v>
      </c>
      <c r="F339" s="74"/>
      <c r="G339" s="74"/>
      <c r="H339" s="74"/>
    </row>
    <row r="340" spans="1:8" x14ac:dyDescent="0.25">
      <c r="A340" t="s">
        <v>2328</v>
      </c>
      <c r="B340" t="s">
        <v>1507</v>
      </c>
      <c r="C340" t="s">
        <v>5753</v>
      </c>
      <c r="D340" s="74">
        <v>1199</v>
      </c>
      <c r="E340" s="74">
        <v>649</v>
      </c>
      <c r="F340" s="74"/>
      <c r="G340" s="74"/>
      <c r="H340" s="74"/>
    </row>
    <row r="341" spans="1:8" x14ac:dyDescent="0.25">
      <c r="A341" t="s">
        <v>2329</v>
      </c>
      <c r="B341" t="s">
        <v>1507</v>
      </c>
      <c r="C341" t="s">
        <v>5757</v>
      </c>
      <c r="D341" s="74">
        <v>1419</v>
      </c>
      <c r="E341" s="74">
        <v>769</v>
      </c>
      <c r="F341" s="74"/>
      <c r="G341" s="74"/>
      <c r="H341" s="74"/>
    </row>
    <row r="342" spans="1:8" x14ac:dyDescent="0.25">
      <c r="A342" t="s">
        <v>2353</v>
      </c>
      <c r="B342" t="s">
        <v>1509</v>
      </c>
      <c r="C342" t="s">
        <v>5827</v>
      </c>
      <c r="D342" s="74">
        <v>1749</v>
      </c>
      <c r="E342" s="74">
        <v>1035</v>
      </c>
      <c r="F342" s="74"/>
      <c r="G342" s="74"/>
      <c r="H342" s="74"/>
    </row>
    <row r="343" spans="1:8" x14ac:dyDescent="0.25">
      <c r="A343" t="s">
        <v>2354</v>
      </c>
      <c r="B343" t="s">
        <v>1509</v>
      </c>
      <c r="C343" t="s">
        <v>5831</v>
      </c>
      <c r="D343" s="74">
        <v>2079</v>
      </c>
      <c r="E343" s="74">
        <v>1230</v>
      </c>
      <c r="F343" s="74"/>
      <c r="G343" s="74"/>
      <c r="H343" s="74"/>
    </row>
    <row r="344" spans="1:8" x14ac:dyDescent="0.25">
      <c r="A344" t="s">
        <v>2352</v>
      </c>
      <c r="B344" t="s">
        <v>1509</v>
      </c>
      <c r="C344" t="s">
        <v>5823</v>
      </c>
      <c r="D344" s="74">
        <v>1969</v>
      </c>
      <c r="E344" s="74">
        <v>1165</v>
      </c>
      <c r="F344" s="74"/>
      <c r="G344" s="74"/>
      <c r="H344" s="74"/>
    </row>
    <row r="345" spans="1:8" x14ac:dyDescent="0.25">
      <c r="A345" t="s">
        <v>2356</v>
      </c>
      <c r="B345" t="s">
        <v>1509</v>
      </c>
      <c r="C345" t="s">
        <v>5839</v>
      </c>
      <c r="D345" s="74">
        <v>1969</v>
      </c>
      <c r="E345" s="74">
        <v>1165</v>
      </c>
      <c r="F345" s="74"/>
      <c r="G345" s="74"/>
      <c r="H345" s="74"/>
    </row>
    <row r="346" spans="1:8" x14ac:dyDescent="0.25">
      <c r="A346" t="s">
        <v>2355</v>
      </c>
      <c r="B346" t="s">
        <v>1509</v>
      </c>
      <c r="C346" t="s">
        <v>5835</v>
      </c>
      <c r="D346" s="74">
        <v>2189</v>
      </c>
      <c r="E346" s="74">
        <v>1295</v>
      </c>
      <c r="F346" s="74"/>
      <c r="G346" s="74"/>
      <c r="H346" s="74"/>
    </row>
    <row r="347" spans="1:8" x14ac:dyDescent="0.25">
      <c r="A347" t="s">
        <v>2573</v>
      </c>
      <c r="B347" t="s">
        <v>1518</v>
      </c>
      <c r="C347" t="s">
        <v>6211</v>
      </c>
      <c r="D347" s="74">
        <v>529</v>
      </c>
      <c r="E347" s="74">
        <v>309</v>
      </c>
      <c r="F347" s="74"/>
      <c r="G347" s="74"/>
      <c r="H347" s="74"/>
    </row>
    <row r="348" spans="1:8" x14ac:dyDescent="0.25">
      <c r="A348" t="s">
        <v>2574</v>
      </c>
      <c r="B348" t="s">
        <v>1518</v>
      </c>
      <c r="C348" t="s">
        <v>6215</v>
      </c>
      <c r="D348" s="74">
        <v>745</v>
      </c>
      <c r="E348" s="74">
        <v>435</v>
      </c>
      <c r="F348" s="74"/>
      <c r="G348" s="74"/>
      <c r="H348" s="74"/>
    </row>
    <row r="349" spans="1:8" x14ac:dyDescent="0.25">
      <c r="A349" t="s">
        <v>3023</v>
      </c>
      <c r="B349" t="s">
        <v>1500</v>
      </c>
      <c r="C349" t="s">
        <v>7022</v>
      </c>
      <c r="D349" s="74">
        <v>209</v>
      </c>
      <c r="E349" s="74">
        <v>122</v>
      </c>
      <c r="F349" s="74"/>
      <c r="G349" s="74"/>
      <c r="H349" s="74"/>
    </row>
    <row r="350" spans="1:8" x14ac:dyDescent="0.25">
      <c r="A350" t="s">
        <v>3024</v>
      </c>
      <c r="B350" t="s">
        <v>1500</v>
      </c>
      <c r="C350" t="s">
        <v>7025</v>
      </c>
      <c r="D350" s="74">
        <v>209</v>
      </c>
      <c r="E350" s="74">
        <v>122</v>
      </c>
      <c r="F350" s="74"/>
      <c r="G350" s="74"/>
      <c r="H350" s="74"/>
    </row>
    <row r="351" spans="1:8" x14ac:dyDescent="0.25">
      <c r="A351" t="s">
        <v>3025</v>
      </c>
      <c r="B351" t="s">
        <v>1500</v>
      </c>
      <c r="C351" t="s">
        <v>7027</v>
      </c>
      <c r="D351" s="74">
        <v>319</v>
      </c>
      <c r="E351" s="74">
        <v>186</v>
      </c>
      <c r="F351" s="74"/>
      <c r="G351" s="74"/>
      <c r="H351" s="74"/>
    </row>
    <row r="352" spans="1:8" x14ac:dyDescent="0.25">
      <c r="A352" t="s">
        <v>3026</v>
      </c>
      <c r="B352" t="s">
        <v>1500</v>
      </c>
      <c r="C352" t="s">
        <v>7030</v>
      </c>
      <c r="D352" s="74">
        <v>319</v>
      </c>
      <c r="E352" s="74">
        <v>186</v>
      </c>
      <c r="F352" s="74"/>
      <c r="G352" s="74"/>
      <c r="H352" s="74"/>
    </row>
    <row r="353" spans="1:8" x14ac:dyDescent="0.25">
      <c r="A353" t="s">
        <v>3027</v>
      </c>
      <c r="B353" t="s">
        <v>1500</v>
      </c>
      <c r="C353" t="s">
        <v>7033</v>
      </c>
      <c r="D353" s="74">
        <v>319</v>
      </c>
      <c r="E353" s="74">
        <v>186</v>
      </c>
      <c r="F353" s="74"/>
      <c r="G353" s="74"/>
      <c r="H353" s="74"/>
    </row>
    <row r="354" spans="1:8" x14ac:dyDescent="0.25">
      <c r="A354" t="s">
        <v>3028</v>
      </c>
      <c r="B354" t="s">
        <v>1500</v>
      </c>
      <c r="C354" t="s">
        <v>7036</v>
      </c>
      <c r="D354" s="74">
        <v>72</v>
      </c>
      <c r="E354" s="74">
        <v>42</v>
      </c>
      <c r="F354" s="74"/>
      <c r="G354" s="74"/>
      <c r="H354" s="74"/>
    </row>
    <row r="355" spans="1:8" x14ac:dyDescent="0.25">
      <c r="A355" t="s">
        <v>3029</v>
      </c>
      <c r="B355" t="s">
        <v>1500</v>
      </c>
      <c r="C355" t="s">
        <v>7038</v>
      </c>
      <c r="D355" s="74">
        <v>140</v>
      </c>
      <c r="E355" s="74">
        <v>82</v>
      </c>
      <c r="F355" s="74"/>
      <c r="G355" s="74"/>
      <c r="H355" s="74"/>
    </row>
    <row r="356" spans="1:8" x14ac:dyDescent="0.25">
      <c r="A356" t="s">
        <v>3030</v>
      </c>
      <c r="B356" t="s">
        <v>1500</v>
      </c>
      <c r="C356" t="s">
        <v>7041</v>
      </c>
      <c r="D356" s="74">
        <v>209</v>
      </c>
      <c r="E356" s="74">
        <v>122</v>
      </c>
      <c r="F356" s="74"/>
      <c r="G356" s="74"/>
      <c r="H356" s="74"/>
    </row>
    <row r="357" spans="1:8" x14ac:dyDescent="0.25">
      <c r="A357" t="s">
        <v>3031</v>
      </c>
      <c r="B357" t="s">
        <v>1500</v>
      </c>
      <c r="C357" t="s">
        <v>7043</v>
      </c>
      <c r="D357" s="74">
        <v>209</v>
      </c>
      <c r="E357" s="74">
        <v>122</v>
      </c>
      <c r="F357" s="74"/>
      <c r="G357" s="74"/>
      <c r="H357" s="74"/>
    </row>
    <row r="358" spans="1:8" x14ac:dyDescent="0.25">
      <c r="A358" t="s">
        <v>2243</v>
      </c>
      <c r="B358" t="s">
        <v>1461</v>
      </c>
      <c r="C358" t="s">
        <v>5598</v>
      </c>
      <c r="D358" s="74">
        <v>21790</v>
      </c>
      <c r="E358" s="74">
        <v>14890</v>
      </c>
      <c r="F358" s="74"/>
      <c r="G358" s="74"/>
      <c r="H358" s="74"/>
    </row>
    <row r="359" spans="1:8" x14ac:dyDescent="0.25">
      <c r="A359" t="s">
        <v>2244</v>
      </c>
      <c r="B359" t="s">
        <v>1461</v>
      </c>
      <c r="C359" t="s">
        <v>5604</v>
      </c>
      <c r="D359" s="74">
        <v>13790</v>
      </c>
      <c r="E359" s="74">
        <v>9423</v>
      </c>
      <c r="F359" s="74"/>
      <c r="G359" s="74"/>
      <c r="H359" s="74"/>
    </row>
    <row r="360" spans="1:8" x14ac:dyDescent="0.25">
      <c r="A360" t="s">
        <v>2250</v>
      </c>
      <c r="B360" t="s">
        <v>1464</v>
      </c>
      <c r="C360" t="s">
        <v>5637</v>
      </c>
      <c r="D360" s="74">
        <v>7890</v>
      </c>
      <c r="E360" s="74">
        <v>5655</v>
      </c>
      <c r="F360" s="74"/>
      <c r="G360" s="74"/>
      <c r="H360" s="74"/>
    </row>
    <row r="361" spans="1:8" x14ac:dyDescent="0.25">
      <c r="A361" t="s">
        <v>2247</v>
      </c>
      <c r="B361" t="s">
        <v>1464</v>
      </c>
      <c r="C361" t="s">
        <v>5621</v>
      </c>
      <c r="D361" s="74">
        <v>11590</v>
      </c>
      <c r="E361" s="74">
        <v>7920</v>
      </c>
      <c r="F361" s="74"/>
      <c r="G361" s="74"/>
      <c r="H361" s="74"/>
    </row>
    <row r="362" spans="1:8" x14ac:dyDescent="0.25">
      <c r="A362" t="s">
        <v>2245</v>
      </c>
      <c r="B362" t="s">
        <v>1461</v>
      </c>
      <c r="C362" t="s">
        <v>5607</v>
      </c>
      <c r="D362" s="74">
        <v>30190</v>
      </c>
      <c r="E362" s="74">
        <v>20630</v>
      </c>
      <c r="F362" s="74"/>
      <c r="G362" s="74"/>
      <c r="H362" s="74"/>
    </row>
    <row r="363" spans="1:8" x14ac:dyDescent="0.25">
      <c r="A363" t="s">
        <v>2249</v>
      </c>
      <c r="B363" t="s">
        <v>1464</v>
      </c>
      <c r="C363" t="s">
        <v>5630</v>
      </c>
      <c r="D363" s="74">
        <v>16890</v>
      </c>
      <c r="E363" s="74">
        <v>11541</v>
      </c>
      <c r="F363" s="74"/>
      <c r="G363" s="74"/>
      <c r="H363" s="74"/>
    </row>
    <row r="364" spans="1:8" x14ac:dyDescent="0.25">
      <c r="A364" t="s">
        <v>2251</v>
      </c>
      <c r="B364" t="s">
        <v>1464</v>
      </c>
      <c r="C364" t="s">
        <v>5645</v>
      </c>
      <c r="D364" s="74">
        <v>20090</v>
      </c>
      <c r="E364" s="74">
        <v>13728</v>
      </c>
      <c r="F364" s="74"/>
      <c r="G364" s="74"/>
      <c r="H364" s="74"/>
    </row>
    <row r="365" spans="1:8" x14ac:dyDescent="0.25">
      <c r="A365" t="s">
        <v>2239</v>
      </c>
      <c r="B365" t="s">
        <v>1461</v>
      </c>
      <c r="C365" t="s">
        <v>5578</v>
      </c>
      <c r="D365" s="74">
        <v>38990</v>
      </c>
      <c r="E365" s="74">
        <v>26643</v>
      </c>
      <c r="F365" s="74"/>
      <c r="G365" s="74"/>
      <c r="H365" s="74"/>
    </row>
    <row r="366" spans="1:8" x14ac:dyDescent="0.25">
      <c r="A366" t="s">
        <v>2240</v>
      </c>
      <c r="B366" t="s">
        <v>1461</v>
      </c>
      <c r="C366" t="s">
        <v>5585</v>
      </c>
      <c r="D366" s="74">
        <v>27190</v>
      </c>
      <c r="E366" s="74">
        <v>18580</v>
      </c>
      <c r="F366" s="74"/>
      <c r="G366" s="74"/>
      <c r="H366" s="74"/>
    </row>
    <row r="367" spans="1:8" x14ac:dyDescent="0.25">
      <c r="A367" t="s">
        <v>2241</v>
      </c>
      <c r="B367" t="s">
        <v>1461</v>
      </c>
      <c r="C367" t="s">
        <v>5591</v>
      </c>
      <c r="D367" s="74">
        <v>18190</v>
      </c>
      <c r="E367" s="74">
        <v>12430</v>
      </c>
      <c r="F367" s="74"/>
      <c r="G367" s="74"/>
      <c r="H367" s="74"/>
    </row>
    <row r="368" spans="1:8" x14ac:dyDescent="0.25">
      <c r="A368" t="s">
        <v>2246</v>
      </c>
      <c r="B368" t="s">
        <v>1461</v>
      </c>
      <c r="C368" t="s">
        <v>5613</v>
      </c>
      <c r="D368" s="74">
        <v>50690</v>
      </c>
      <c r="E368" s="74">
        <v>34639</v>
      </c>
      <c r="F368" s="74"/>
      <c r="G368" s="74"/>
      <c r="H368" s="74"/>
    </row>
    <row r="369" spans="1:8" x14ac:dyDescent="0.25">
      <c r="A369" t="s">
        <v>2254</v>
      </c>
      <c r="B369" t="s">
        <v>1464</v>
      </c>
      <c r="C369" t="s">
        <v>5652</v>
      </c>
      <c r="D369" s="74">
        <v>26490</v>
      </c>
      <c r="E369" s="74">
        <v>18102</v>
      </c>
      <c r="F369" s="74"/>
      <c r="G369" s="74"/>
      <c r="H369" s="74"/>
    </row>
    <row r="370" spans="1:8" x14ac:dyDescent="0.25">
      <c r="A370" t="s">
        <v>2206</v>
      </c>
      <c r="B370" t="s">
        <v>1448</v>
      </c>
      <c r="C370" t="s">
        <v>5498</v>
      </c>
      <c r="D370" s="74">
        <v>979</v>
      </c>
      <c r="E370" s="74">
        <v>571</v>
      </c>
      <c r="F370" s="74"/>
      <c r="G370" s="74"/>
      <c r="H370" s="74"/>
    </row>
    <row r="371" spans="1:8" x14ac:dyDescent="0.25">
      <c r="A371" t="s">
        <v>2207</v>
      </c>
      <c r="B371" t="s">
        <v>1448</v>
      </c>
      <c r="C371" t="s">
        <v>5502</v>
      </c>
      <c r="D371" s="74">
        <v>1089</v>
      </c>
      <c r="E371" s="74">
        <v>635</v>
      </c>
      <c r="F371" s="74"/>
      <c r="G371" s="74"/>
      <c r="H371" s="74"/>
    </row>
    <row r="372" spans="1:8" x14ac:dyDescent="0.25">
      <c r="A372" t="s">
        <v>2208</v>
      </c>
      <c r="B372" t="s">
        <v>1448</v>
      </c>
      <c r="C372" t="s">
        <v>5505</v>
      </c>
      <c r="D372" s="74">
        <v>1309</v>
      </c>
      <c r="E372" s="74">
        <v>764</v>
      </c>
      <c r="F372" s="74"/>
      <c r="G372" s="74"/>
      <c r="H372" s="74"/>
    </row>
    <row r="373" spans="1:8" x14ac:dyDescent="0.25">
      <c r="A373" t="s">
        <v>2815</v>
      </c>
      <c r="B373" t="s">
        <v>1526</v>
      </c>
      <c r="C373" t="s">
        <v>6650</v>
      </c>
      <c r="D373" s="74">
        <v>1390</v>
      </c>
      <c r="E373" s="74">
        <v>857</v>
      </c>
      <c r="F373" s="74"/>
      <c r="G373" s="74"/>
      <c r="H373" s="74"/>
    </row>
    <row r="374" spans="1:8" x14ac:dyDescent="0.25">
      <c r="A374" t="s">
        <v>3394</v>
      </c>
      <c r="B374" t="s">
        <v>1544</v>
      </c>
      <c r="C374" t="s">
        <v>7933</v>
      </c>
      <c r="D374" s="74">
        <v>649</v>
      </c>
      <c r="E374" s="74">
        <v>406</v>
      </c>
      <c r="F374" s="74"/>
      <c r="G374" s="74"/>
      <c r="H374" s="74"/>
    </row>
    <row r="375" spans="1:8" x14ac:dyDescent="0.25">
      <c r="A375" t="s">
        <v>2205</v>
      </c>
      <c r="B375" t="s">
        <v>1448</v>
      </c>
      <c r="C375" t="s">
        <v>5493</v>
      </c>
      <c r="D375" s="74">
        <v>1089</v>
      </c>
      <c r="E375" s="74">
        <v>635</v>
      </c>
      <c r="F375" s="74"/>
      <c r="G375" s="74"/>
      <c r="H375" s="74"/>
    </row>
    <row r="376" spans="1:8" x14ac:dyDescent="0.25">
      <c r="A376" t="s">
        <v>3398</v>
      </c>
      <c r="B376" t="s">
        <v>1544</v>
      </c>
      <c r="C376" t="s">
        <v>7936</v>
      </c>
      <c r="D376" s="74">
        <v>1419</v>
      </c>
      <c r="E376" s="74">
        <v>828</v>
      </c>
      <c r="F376" s="74"/>
      <c r="G376" s="74"/>
      <c r="H376" s="74"/>
    </row>
    <row r="377" spans="1:8" x14ac:dyDescent="0.25">
      <c r="A377" t="s">
        <v>2845</v>
      </c>
      <c r="B377" t="s">
        <v>1529</v>
      </c>
      <c r="C377" t="s">
        <v>6738</v>
      </c>
      <c r="D377" s="74">
        <v>4390</v>
      </c>
      <c r="E377" s="74">
        <v>2707</v>
      </c>
      <c r="F377" s="74"/>
      <c r="G377" s="74"/>
      <c r="H377" s="74"/>
    </row>
    <row r="378" spans="1:8" x14ac:dyDescent="0.25">
      <c r="A378" t="s">
        <v>2846</v>
      </c>
      <c r="B378" t="s">
        <v>1529</v>
      </c>
      <c r="C378" t="s">
        <v>6744</v>
      </c>
      <c r="D378" s="74">
        <v>4390</v>
      </c>
      <c r="E378" s="74">
        <v>2744</v>
      </c>
      <c r="F378" s="74"/>
      <c r="G378" s="74"/>
      <c r="H378" s="74"/>
    </row>
    <row r="379" spans="1:8" x14ac:dyDescent="0.25">
      <c r="A379" t="s">
        <v>2884</v>
      </c>
      <c r="B379" t="s">
        <v>1529</v>
      </c>
      <c r="C379" t="s">
        <v>6849</v>
      </c>
      <c r="D379" s="74">
        <v>16590</v>
      </c>
      <c r="E379" s="74">
        <v>10369</v>
      </c>
      <c r="F379" s="74"/>
      <c r="G379" s="74"/>
      <c r="H379" s="74"/>
    </row>
    <row r="380" spans="1:8" x14ac:dyDescent="0.25">
      <c r="A380" t="s">
        <v>2885</v>
      </c>
      <c r="B380" t="s">
        <v>1529</v>
      </c>
      <c r="C380" t="s">
        <v>6856</v>
      </c>
      <c r="D380" s="74">
        <v>18990</v>
      </c>
      <c r="E380" s="74">
        <v>11869</v>
      </c>
      <c r="F380" s="74"/>
      <c r="G380" s="74"/>
      <c r="H380" s="74"/>
    </row>
    <row r="381" spans="1:8" x14ac:dyDescent="0.25">
      <c r="A381" t="s">
        <v>2891</v>
      </c>
      <c r="B381" t="s">
        <v>1529</v>
      </c>
      <c r="C381" t="s">
        <v>6868</v>
      </c>
      <c r="D381" s="74">
        <v>17490</v>
      </c>
      <c r="E381" s="74">
        <v>10931</v>
      </c>
      <c r="F381" s="74"/>
      <c r="G381" s="74"/>
      <c r="H381" s="74"/>
    </row>
    <row r="382" spans="1:8" x14ac:dyDescent="0.25">
      <c r="A382" t="s">
        <v>2807</v>
      </c>
      <c r="B382" t="s">
        <v>1526</v>
      </c>
      <c r="C382" t="s">
        <v>7972</v>
      </c>
      <c r="D382" s="74">
        <v>3490</v>
      </c>
      <c r="E382" s="74">
        <v>2037</v>
      </c>
      <c r="F382" s="74"/>
      <c r="G382" s="74"/>
      <c r="H382" s="74"/>
    </row>
    <row r="383" spans="1:8" x14ac:dyDescent="0.25">
      <c r="A383" t="s">
        <v>2787</v>
      </c>
      <c r="B383" t="s">
        <v>1526</v>
      </c>
      <c r="C383" t="s">
        <v>6596</v>
      </c>
      <c r="D383" s="74">
        <v>20790</v>
      </c>
      <c r="E383" s="74">
        <v>12128</v>
      </c>
      <c r="F383" s="74"/>
      <c r="G383" s="74"/>
      <c r="H383" s="74"/>
    </row>
    <row r="384" spans="1:8" x14ac:dyDescent="0.25">
      <c r="A384" t="s">
        <v>2820</v>
      </c>
      <c r="B384" t="s">
        <v>1526</v>
      </c>
      <c r="C384" t="s">
        <v>6668</v>
      </c>
      <c r="D384" s="74">
        <v>4590</v>
      </c>
      <c r="E384" s="74">
        <v>2678</v>
      </c>
      <c r="F384" s="74"/>
      <c r="G384" s="74"/>
      <c r="H384" s="74"/>
    </row>
    <row r="385" spans="1:8" x14ac:dyDescent="0.25">
      <c r="A385" t="s">
        <v>2821</v>
      </c>
      <c r="B385" t="s">
        <v>1526</v>
      </c>
      <c r="C385" t="s">
        <v>6668</v>
      </c>
      <c r="D385" s="74">
        <v>4190</v>
      </c>
      <c r="E385" s="74">
        <v>2444</v>
      </c>
      <c r="F385" s="74"/>
      <c r="G385" s="74"/>
      <c r="H385" s="74"/>
    </row>
    <row r="386" spans="1:8" x14ac:dyDescent="0.25">
      <c r="A386" t="s">
        <v>2825</v>
      </c>
      <c r="B386" t="s">
        <v>1526</v>
      </c>
      <c r="C386" t="s">
        <v>6668</v>
      </c>
      <c r="D386" s="74">
        <v>3190</v>
      </c>
      <c r="E386" s="74">
        <v>1861</v>
      </c>
      <c r="F386" s="74"/>
      <c r="G386" s="74"/>
      <c r="H386" s="74"/>
    </row>
    <row r="387" spans="1:8" x14ac:dyDescent="0.25">
      <c r="A387" t="s">
        <v>2827</v>
      </c>
      <c r="B387" t="s">
        <v>1526</v>
      </c>
      <c r="C387" t="s">
        <v>6683</v>
      </c>
      <c r="D387" s="74">
        <v>3690</v>
      </c>
      <c r="E387" s="74">
        <v>2153</v>
      </c>
      <c r="F387" s="74"/>
      <c r="G387" s="74"/>
      <c r="H387" s="74"/>
    </row>
    <row r="388" spans="1:8" x14ac:dyDescent="0.25">
      <c r="A388" t="s">
        <v>2624</v>
      </c>
      <c r="B388" t="s">
        <v>1521</v>
      </c>
      <c r="C388" t="s">
        <v>7972</v>
      </c>
      <c r="D388" s="74">
        <v>1445</v>
      </c>
      <c r="E388" s="74">
        <v>879</v>
      </c>
      <c r="F388" s="74"/>
      <c r="G388" s="74"/>
      <c r="H388" s="74"/>
    </row>
    <row r="389" spans="1:8" x14ac:dyDescent="0.25">
      <c r="A389" t="s">
        <v>2625</v>
      </c>
      <c r="B389" t="s">
        <v>1521</v>
      </c>
      <c r="C389" t="s">
        <v>6364</v>
      </c>
      <c r="D389" s="74">
        <v>2629</v>
      </c>
      <c r="E389" s="74">
        <v>1577</v>
      </c>
      <c r="F389" s="74"/>
      <c r="G389" s="74"/>
      <c r="H389" s="74"/>
    </row>
    <row r="390" spans="1:8" x14ac:dyDescent="0.25">
      <c r="A390" t="s">
        <v>2609</v>
      </c>
      <c r="B390" t="s">
        <v>1521</v>
      </c>
      <c r="C390" t="s">
        <v>6326</v>
      </c>
      <c r="D390" s="74">
        <v>2629</v>
      </c>
      <c r="E390" s="74">
        <v>1599</v>
      </c>
      <c r="F390" s="74"/>
      <c r="G390" s="74"/>
      <c r="H390" s="74"/>
    </row>
    <row r="391" spans="1:8" x14ac:dyDescent="0.25">
      <c r="A391" t="s">
        <v>2611</v>
      </c>
      <c r="B391" t="s">
        <v>1521</v>
      </c>
      <c r="C391" t="s">
        <v>6334</v>
      </c>
      <c r="D391" s="74">
        <v>4279</v>
      </c>
      <c r="E391" s="74">
        <v>2603</v>
      </c>
      <c r="F391" s="74"/>
      <c r="G391" s="74"/>
      <c r="H391" s="74"/>
    </row>
    <row r="392" spans="1:8" x14ac:dyDescent="0.25">
      <c r="A392" t="s">
        <v>3239</v>
      </c>
      <c r="B392" t="s">
        <v>1546</v>
      </c>
      <c r="C392" t="s">
        <v>7571</v>
      </c>
      <c r="D392" s="74">
        <v>1859</v>
      </c>
      <c r="E392" s="74">
        <v>1084</v>
      </c>
      <c r="F392" s="74"/>
      <c r="G392" s="74"/>
      <c r="H392" s="74"/>
    </row>
    <row r="393" spans="1:8" x14ac:dyDescent="0.25">
      <c r="A393" t="s">
        <v>3240</v>
      </c>
      <c r="B393" t="s">
        <v>1546</v>
      </c>
      <c r="C393" t="s">
        <v>7575</v>
      </c>
      <c r="D393" s="74">
        <v>3179</v>
      </c>
      <c r="E393" s="74">
        <v>1854</v>
      </c>
      <c r="F393" s="74"/>
      <c r="G393" s="74"/>
      <c r="H393" s="74"/>
    </row>
    <row r="394" spans="1:8" x14ac:dyDescent="0.25">
      <c r="A394" t="s">
        <v>3241</v>
      </c>
      <c r="B394" t="s">
        <v>1546</v>
      </c>
      <c r="C394" t="s">
        <v>7577</v>
      </c>
      <c r="D394" s="74">
        <v>3729</v>
      </c>
      <c r="E394" s="74">
        <v>2175</v>
      </c>
      <c r="F394" s="74"/>
      <c r="G394" s="74"/>
      <c r="H394" s="74"/>
    </row>
    <row r="395" spans="1:8" x14ac:dyDescent="0.25">
      <c r="A395" t="s">
        <v>3250</v>
      </c>
      <c r="B395" t="s">
        <v>1546</v>
      </c>
      <c r="C395" t="s">
        <v>7972</v>
      </c>
      <c r="D395" s="74">
        <v>5968</v>
      </c>
      <c r="E395" s="74">
        <v>3481</v>
      </c>
      <c r="F395" s="74"/>
      <c r="G395" s="74"/>
      <c r="H395" s="74"/>
    </row>
    <row r="396" spans="1:8" x14ac:dyDescent="0.25">
      <c r="A396" t="s">
        <v>3400</v>
      </c>
      <c r="B396" t="s">
        <v>1546</v>
      </c>
      <c r="C396" t="s">
        <v>7938</v>
      </c>
      <c r="D396" s="74">
        <v>5968</v>
      </c>
      <c r="E396" s="74">
        <v>3481</v>
      </c>
      <c r="F396" s="74"/>
      <c r="G396" s="74"/>
      <c r="H396" s="74"/>
    </row>
    <row r="397" spans="1:8" x14ac:dyDescent="0.25">
      <c r="A397" t="s">
        <v>3235</v>
      </c>
      <c r="B397" t="s">
        <v>1546</v>
      </c>
      <c r="C397" t="s">
        <v>7558</v>
      </c>
      <c r="D397" s="74">
        <v>4059</v>
      </c>
      <c r="E397" s="74">
        <v>2368</v>
      </c>
      <c r="F397" s="74"/>
      <c r="G397" s="74"/>
      <c r="H397" s="74"/>
    </row>
    <row r="398" spans="1:8" x14ac:dyDescent="0.25">
      <c r="A398" t="s">
        <v>3237</v>
      </c>
      <c r="B398" t="s">
        <v>1546</v>
      </c>
      <c r="C398" t="s">
        <v>7972</v>
      </c>
      <c r="D398" s="74">
        <v>8019</v>
      </c>
      <c r="E398" s="74">
        <v>4811</v>
      </c>
      <c r="F398" s="74"/>
      <c r="G398" s="74"/>
      <c r="H398" s="74"/>
    </row>
    <row r="399" spans="1:8" x14ac:dyDescent="0.25">
      <c r="A399" t="s">
        <v>3252</v>
      </c>
      <c r="B399" t="s">
        <v>1546</v>
      </c>
      <c r="C399" t="s">
        <v>7602</v>
      </c>
      <c r="D399" s="74">
        <v>13079</v>
      </c>
      <c r="E399" s="74">
        <v>7629</v>
      </c>
      <c r="F399" s="74"/>
      <c r="G399" s="74"/>
      <c r="H399" s="74"/>
    </row>
    <row r="400" spans="1:8" x14ac:dyDescent="0.25">
      <c r="A400" t="s">
        <v>3317</v>
      </c>
      <c r="B400" t="s">
        <v>1545</v>
      </c>
      <c r="C400" t="s">
        <v>7748</v>
      </c>
      <c r="D400" s="74">
        <v>759</v>
      </c>
      <c r="E400" s="74">
        <v>443</v>
      </c>
      <c r="F400" s="74"/>
      <c r="G400" s="74"/>
      <c r="H400" s="74"/>
    </row>
    <row r="401" spans="1:8" x14ac:dyDescent="0.25">
      <c r="A401" t="s">
        <v>3325</v>
      </c>
      <c r="B401" t="s">
        <v>1545</v>
      </c>
      <c r="C401" t="s">
        <v>7748</v>
      </c>
      <c r="D401" s="74">
        <v>1089</v>
      </c>
      <c r="E401" s="74">
        <v>635</v>
      </c>
      <c r="F401" s="74"/>
      <c r="G401" s="74"/>
      <c r="H401" s="74"/>
    </row>
    <row r="402" spans="1:8" x14ac:dyDescent="0.25">
      <c r="A402" t="s">
        <v>3287</v>
      </c>
      <c r="B402" t="s">
        <v>1545</v>
      </c>
      <c r="C402" t="s">
        <v>7690</v>
      </c>
      <c r="D402" s="74">
        <v>1859</v>
      </c>
      <c r="E402" s="74">
        <v>1084</v>
      </c>
      <c r="F402" s="74"/>
      <c r="G402" s="74"/>
      <c r="H402" s="74"/>
    </row>
    <row r="403" spans="1:8" x14ac:dyDescent="0.25">
      <c r="A403" t="s">
        <v>3318</v>
      </c>
      <c r="B403" t="s">
        <v>1545</v>
      </c>
      <c r="C403" t="s">
        <v>7750</v>
      </c>
      <c r="D403" s="74">
        <v>649</v>
      </c>
      <c r="E403" s="74">
        <v>389</v>
      </c>
      <c r="F403" s="74"/>
      <c r="G403" s="74"/>
      <c r="H403" s="74"/>
    </row>
    <row r="404" spans="1:8" x14ac:dyDescent="0.25">
      <c r="A404" t="s">
        <v>3326</v>
      </c>
      <c r="B404" t="s">
        <v>1545</v>
      </c>
      <c r="C404" t="s">
        <v>7760</v>
      </c>
      <c r="D404" s="74">
        <v>979</v>
      </c>
      <c r="E404" s="74">
        <v>587</v>
      </c>
      <c r="F404" s="74"/>
      <c r="G404" s="74"/>
      <c r="H404" s="74"/>
    </row>
    <row r="405" spans="1:8" x14ac:dyDescent="0.25">
      <c r="A405" t="s">
        <v>3342</v>
      </c>
      <c r="B405" t="s">
        <v>1545</v>
      </c>
      <c r="C405" t="s">
        <v>7793</v>
      </c>
      <c r="D405" s="74">
        <v>759</v>
      </c>
      <c r="E405" s="74">
        <v>443</v>
      </c>
      <c r="F405" s="74"/>
      <c r="G405" s="74"/>
      <c r="H405" s="74"/>
    </row>
    <row r="406" spans="1:8" x14ac:dyDescent="0.25">
      <c r="A406" t="s">
        <v>3351</v>
      </c>
      <c r="B406" t="s">
        <v>1545</v>
      </c>
      <c r="C406" t="s">
        <v>7808</v>
      </c>
      <c r="D406" s="74">
        <v>1089</v>
      </c>
      <c r="E406" s="74">
        <v>635</v>
      </c>
      <c r="F406" s="74"/>
      <c r="G406" s="74"/>
      <c r="H406" s="74"/>
    </row>
    <row r="407" spans="1:8" x14ac:dyDescent="0.25">
      <c r="A407" t="s">
        <v>3286</v>
      </c>
      <c r="B407" t="s">
        <v>1545</v>
      </c>
      <c r="C407" t="s">
        <v>7688</v>
      </c>
      <c r="D407" s="74">
        <v>869</v>
      </c>
      <c r="E407" s="74">
        <v>507</v>
      </c>
      <c r="F407" s="74"/>
      <c r="G407" s="74"/>
      <c r="H407" s="74"/>
    </row>
    <row r="408" spans="1:8" x14ac:dyDescent="0.25">
      <c r="A408" t="s">
        <v>3307</v>
      </c>
      <c r="B408" t="s">
        <v>1545</v>
      </c>
      <c r="C408" t="s">
        <v>7728</v>
      </c>
      <c r="D408" s="74">
        <v>979</v>
      </c>
      <c r="E408" s="74">
        <v>571</v>
      </c>
      <c r="F408" s="74"/>
      <c r="G408" s="74"/>
      <c r="H408" s="74"/>
    </row>
    <row r="409" spans="1:8" x14ac:dyDescent="0.25">
      <c r="A409" t="s">
        <v>3340</v>
      </c>
      <c r="B409" t="s">
        <v>1545</v>
      </c>
      <c r="C409" t="s">
        <v>7790</v>
      </c>
      <c r="D409" s="74">
        <v>319</v>
      </c>
      <c r="E409" s="74">
        <v>186</v>
      </c>
      <c r="F409" s="74"/>
      <c r="G409" s="74"/>
      <c r="H409" s="74"/>
    </row>
    <row r="410" spans="1:8" x14ac:dyDescent="0.25">
      <c r="A410" t="s">
        <v>3339</v>
      </c>
      <c r="B410" t="s">
        <v>1545</v>
      </c>
      <c r="C410" t="s">
        <v>7787</v>
      </c>
      <c r="D410" s="74">
        <v>429</v>
      </c>
      <c r="E410" s="74">
        <v>250</v>
      </c>
      <c r="F410" s="74"/>
      <c r="G410" s="74"/>
      <c r="H410" s="74"/>
    </row>
    <row r="411" spans="1:8" x14ac:dyDescent="0.25">
      <c r="A411" t="s">
        <v>3300</v>
      </c>
      <c r="B411" t="s">
        <v>1545</v>
      </c>
      <c r="C411" t="s">
        <v>7718</v>
      </c>
      <c r="D411" s="74">
        <v>539</v>
      </c>
      <c r="E411" s="74">
        <v>314</v>
      </c>
      <c r="F411" s="74"/>
      <c r="G411" s="74"/>
      <c r="H411" s="74"/>
    </row>
    <row r="412" spans="1:8" x14ac:dyDescent="0.25">
      <c r="A412" t="s">
        <v>3301</v>
      </c>
      <c r="B412" t="s">
        <v>1545</v>
      </c>
      <c r="C412" t="s">
        <v>7720</v>
      </c>
      <c r="D412" s="74">
        <v>869</v>
      </c>
      <c r="E412" s="74">
        <v>507</v>
      </c>
      <c r="F412" s="74"/>
      <c r="G412" s="74"/>
      <c r="H412" s="74"/>
    </row>
    <row r="413" spans="1:8" x14ac:dyDescent="0.25">
      <c r="A413" t="s">
        <v>3293</v>
      </c>
      <c r="B413" t="s">
        <v>1545</v>
      </c>
      <c r="C413" t="s">
        <v>7704</v>
      </c>
      <c r="D413" s="74">
        <v>869</v>
      </c>
      <c r="E413" s="74">
        <v>507</v>
      </c>
      <c r="F413" s="74"/>
      <c r="G413" s="74"/>
      <c r="H413" s="74"/>
    </row>
    <row r="414" spans="1:8" x14ac:dyDescent="0.25">
      <c r="A414" t="s">
        <v>3312</v>
      </c>
      <c r="B414" t="s">
        <v>1545</v>
      </c>
      <c r="C414" t="s">
        <v>7741</v>
      </c>
      <c r="D414" s="74">
        <v>539</v>
      </c>
      <c r="E414" s="74">
        <v>314</v>
      </c>
      <c r="F414" s="74"/>
      <c r="G414" s="74"/>
      <c r="H414" s="74"/>
    </row>
    <row r="415" spans="1:8" x14ac:dyDescent="0.25">
      <c r="A415" t="s">
        <v>3295</v>
      </c>
      <c r="B415" t="s">
        <v>1545</v>
      </c>
      <c r="C415" t="s">
        <v>7707</v>
      </c>
      <c r="D415" s="74">
        <v>979</v>
      </c>
      <c r="E415" s="74">
        <v>571</v>
      </c>
      <c r="F415" s="74"/>
      <c r="G415" s="74"/>
      <c r="H415" s="74"/>
    </row>
    <row r="416" spans="1:8" x14ac:dyDescent="0.25">
      <c r="A416" t="s">
        <v>3296</v>
      </c>
      <c r="B416" t="s">
        <v>1545</v>
      </c>
      <c r="C416" t="s">
        <v>7710</v>
      </c>
      <c r="D416" s="74">
        <v>869</v>
      </c>
      <c r="E416" s="74">
        <v>507</v>
      </c>
      <c r="F416" s="74"/>
      <c r="G416" s="74"/>
      <c r="H416" s="74"/>
    </row>
    <row r="417" spans="1:8" x14ac:dyDescent="0.25">
      <c r="A417" t="s">
        <v>3297</v>
      </c>
      <c r="B417" t="s">
        <v>1545</v>
      </c>
      <c r="C417" t="s">
        <v>7713</v>
      </c>
      <c r="D417" s="74">
        <v>539</v>
      </c>
      <c r="E417" s="74">
        <v>314</v>
      </c>
      <c r="F417" s="74"/>
      <c r="G417" s="74"/>
      <c r="H417" s="74"/>
    </row>
    <row r="418" spans="1:8" x14ac:dyDescent="0.25">
      <c r="A418" t="s">
        <v>3299</v>
      </c>
      <c r="B418" t="s">
        <v>1545</v>
      </c>
      <c r="C418" t="s">
        <v>7715</v>
      </c>
      <c r="D418" s="74">
        <v>649</v>
      </c>
      <c r="E418" s="74">
        <v>379</v>
      </c>
      <c r="F418" s="74"/>
      <c r="G418" s="74"/>
      <c r="H418" s="74"/>
    </row>
    <row r="419" spans="1:8" x14ac:dyDescent="0.25">
      <c r="A419" t="s">
        <v>3328</v>
      </c>
      <c r="B419" t="s">
        <v>1545</v>
      </c>
      <c r="C419" t="s">
        <v>7765</v>
      </c>
      <c r="D419" s="74">
        <v>979</v>
      </c>
      <c r="E419" s="74">
        <v>571</v>
      </c>
      <c r="F419" s="74"/>
      <c r="G419" s="74"/>
      <c r="H419" s="74"/>
    </row>
    <row r="420" spans="1:8" x14ac:dyDescent="0.25">
      <c r="A420" t="s">
        <v>3329</v>
      </c>
      <c r="B420" t="s">
        <v>1545</v>
      </c>
      <c r="C420" t="s">
        <v>7767</v>
      </c>
      <c r="D420" s="74">
        <v>979</v>
      </c>
      <c r="E420" s="74">
        <v>571</v>
      </c>
      <c r="F420" s="74"/>
      <c r="G420" s="74"/>
      <c r="H420" s="74"/>
    </row>
    <row r="421" spans="1:8" x14ac:dyDescent="0.25">
      <c r="A421" t="s">
        <v>3305</v>
      </c>
      <c r="B421" t="s">
        <v>1545</v>
      </c>
      <c r="C421" t="s">
        <v>7726</v>
      </c>
      <c r="D421" s="74">
        <v>539</v>
      </c>
      <c r="E421" s="74">
        <v>314</v>
      </c>
      <c r="F421" s="74"/>
      <c r="G421" s="74"/>
      <c r="H421" s="74"/>
    </row>
    <row r="422" spans="1:8" x14ac:dyDescent="0.25">
      <c r="A422" t="s">
        <v>3310</v>
      </c>
      <c r="B422" t="s">
        <v>1545</v>
      </c>
      <c r="C422" t="s">
        <v>7736</v>
      </c>
      <c r="D422" s="74">
        <v>649</v>
      </c>
      <c r="E422" s="74">
        <v>379</v>
      </c>
      <c r="F422" s="74"/>
      <c r="G422" s="74"/>
      <c r="H422" s="74"/>
    </row>
    <row r="423" spans="1:8" x14ac:dyDescent="0.25">
      <c r="A423" t="s">
        <v>3311</v>
      </c>
      <c r="B423" t="s">
        <v>1545</v>
      </c>
      <c r="C423" t="s">
        <v>7738</v>
      </c>
      <c r="D423" s="74">
        <v>1529</v>
      </c>
      <c r="E423" s="74">
        <v>892</v>
      </c>
      <c r="F423" s="74"/>
      <c r="G423" s="74"/>
      <c r="H423" s="74"/>
    </row>
    <row r="424" spans="1:8" x14ac:dyDescent="0.25">
      <c r="A424" t="s">
        <v>3354</v>
      </c>
      <c r="B424" t="s">
        <v>1545</v>
      </c>
      <c r="C424" t="s">
        <v>7972</v>
      </c>
      <c r="D424" s="74">
        <v>2369</v>
      </c>
      <c r="E424" s="74">
        <v>1382</v>
      </c>
      <c r="F424" s="74"/>
      <c r="G424" s="74"/>
      <c r="H424" s="74"/>
    </row>
    <row r="425" spans="1:8" x14ac:dyDescent="0.25">
      <c r="A425" t="s">
        <v>3313</v>
      </c>
      <c r="B425" t="s">
        <v>1545</v>
      </c>
      <c r="C425" t="s">
        <v>7743</v>
      </c>
      <c r="D425" s="74">
        <v>869</v>
      </c>
      <c r="E425" s="74">
        <v>507</v>
      </c>
      <c r="F425" s="74"/>
      <c r="G425" s="74"/>
      <c r="H425" s="74"/>
    </row>
    <row r="426" spans="1:8" x14ac:dyDescent="0.25">
      <c r="A426" t="s">
        <v>3401</v>
      </c>
      <c r="B426" t="s">
        <v>1545</v>
      </c>
      <c r="C426" t="s">
        <v>7940</v>
      </c>
      <c r="D426" s="74">
        <v>2369</v>
      </c>
      <c r="E426" s="74">
        <v>1382</v>
      </c>
      <c r="F426" s="74"/>
      <c r="G426" s="74"/>
      <c r="H426" s="74"/>
    </row>
    <row r="427" spans="1:8" x14ac:dyDescent="0.25">
      <c r="A427" t="s">
        <v>3404</v>
      </c>
      <c r="B427" t="s">
        <v>1545</v>
      </c>
      <c r="C427" t="s">
        <v>7948</v>
      </c>
      <c r="D427" s="74">
        <v>209</v>
      </c>
      <c r="E427" s="74">
        <v>122</v>
      </c>
      <c r="F427" s="74"/>
      <c r="G427" s="74"/>
      <c r="H427" s="74"/>
    </row>
    <row r="428" spans="1:8" x14ac:dyDescent="0.25">
      <c r="A428" t="s">
        <v>3337</v>
      </c>
      <c r="B428" t="s">
        <v>1545</v>
      </c>
      <c r="C428" t="s">
        <v>7782</v>
      </c>
      <c r="D428" s="74">
        <v>209</v>
      </c>
      <c r="E428" s="74">
        <v>122</v>
      </c>
      <c r="F428" s="74"/>
      <c r="G428" s="74"/>
      <c r="H428" s="74"/>
    </row>
    <row r="429" spans="1:8" x14ac:dyDescent="0.25">
      <c r="A429" t="s">
        <v>3303</v>
      </c>
      <c r="B429" t="s">
        <v>1545</v>
      </c>
      <c r="C429" t="s">
        <v>7724</v>
      </c>
      <c r="D429" s="74">
        <v>649</v>
      </c>
      <c r="E429" s="74">
        <v>379</v>
      </c>
      <c r="F429" s="74"/>
      <c r="G429" s="74"/>
      <c r="H429" s="74"/>
    </row>
    <row r="430" spans="1:8" x14ac:dyDescent="0.25">
      <c r="A430" t="s">
        <v>3302</v>
      </c>
      <c r="B430" t="s">
        <v>1545</v>
      </c>
      <c r="C430" t="s">
        <v>7722</v>
      </c>
      <c r="D430" s="74">
        <v>539</v>
      </c>
      <c r="E430" s="74">
        <v>314</v>
      </c>
      <c r="F430" s="74"/>
      <c r="G430" s="74"/>
      <c r="H430" s="74"/>
    </row>
    <row r="431" spans="1:8" x14ac:dyDescent="0.25">
      <c r="A431" t="s">
        <v>3327</v>
      </c>
      <c r="B431" t="s">
        <v>1545</v>
      </c>
      <c r="C431" t="s">
        <v>7763</v>
      </c>
      <c r="D431" s="74">
        <v>1309</v>
      </c>
      <c r="E431" s="74">
        <v>764</v>
      </c>
      <c r="F431" s="74"/>
      <c r="G431" s="74"/>
      <c r="H431" s="74"/>
    </row>
    <row r="432" spans="1:8" x14ac:dyDescent="0.25">
      <c r="A432" t="s">
        <v>1732</v>
      </c>
      <c r="B432" t="s">
        <v>1375</v>
      </c>
      <c r="C432" t="s">
        <v>4044</v>
      </c>
      <c r="D432" s="74">
        <v>5093</v>
      </c>
      <c r="E432" s="74">
        <v>2971</v>
      </c>
      <c r="F432" s="74"/>
      <c r="G432" s="74"/>
      <c r="H432" s="74"/>
    </row>
    <row r="433" spans="1:8" x14ac:dyDescent="0.25">
      <c r="A433" t="s">
        <v>1733</v>
      </c>
      <c r="B433" t="s">
        <v>1375</v>
      </c>
      <c r="C433" t="s">
        <v>4052</v>
      </c>
      <c r="D433" s="74">
        <v>1490</v>
      </c>
      <c r="E433" s="74">
        <v>869</v>
      </c>
      <c r="F433" s="74"/>
      <c r="G433" s="74"/>
      <c r="H433" s="74"/>
    </row>
    <row r="434" spans="1:8" x14ac:dyDescent="0.25">
      <c r="A434" t="s">
        <v>1722</v>
      </c>
      <c r="B434" t="s">
        <v>1375</v>
      </c>
      <c r="C434" t="s">
        <v>3997</v>
      </c>
      <c r="D434" s="74">
        <v>1379</v>
      </c>
      <c r="E434" s="74">
        <v>804</v>
      </c>
      <c r="F434" s="74"/>
      <c r="G434" s="74"/>
      <c r="H434" s="74"/>
    </row>
    <row r="435" spans="1:8" x14ac:dyDescent="0.25">
      <c r="A435" t="s">
        <v>1744</v>
      </c>
      <c r="B435" t="s">
        <v>1373</v>
      </c>
      <c r="C435" t="s">
        <v>4119</v>
      </c>
      <c r="D435" s="74">
        <v>6990</v>
      </c>
      <c r="E435" s="74">
        <v>4252</v>
      </c>
      <c r="F435" s="74"/>
      <c r="G435" s="74"/>
      <c r="H435" s="74"/>
    </row>
    <row r="436" spans="1:8" x14ac:dyDescent="0.25">
      <c r="A436" t="s">
        <v>1805</v>
      </c>
      <c r="B436" t="s">
        <v>1379</v>
      </c>
      <c r="C436" t="s">
        <v>4382</v>
      </c>
      <c r="D436" s="74">
        <v>990</v>
      </c>
      <c r="E436" s="74">
        <v>536</v>
      </c>
      <c r="F436" s="74"/>
      <c r="G436" s="74"/>
      <c r="H436" s="74"/>
    </row>
    <row r="437" spans="1:8" x14ac:dyDescent="0.25">
      <c r="A437" t="s">
        <v>1781</v>
      </c>
      <c r="B437" t="s">
        <v>1379</v>
      </c>
      <c r="C437" t="s">
        <v>4291</v>
      </c>
      <c r="D437" s="74">
        <v>3290</v>
      </c>
      <c r="E437" s="74">
        <v>1782</v>
      </c>
      <c r="F437" s="74"/>
      <c r="G437" s="74"/>
      <c r="H437" s="74"/>
    </row>
    <row r="438" spans="1:8" x14ac:dyDescent="0.25">
      <c r="A438" t="s">
        <v>1785</v>
      </c>
      <c r="B438" t="s">
        <v>1379</v>
      </c>
      <c r="C438" t="s">
        <v>4321</v>
      </c>
      <c r="D438" s="74">
        <v>3990</v>
      </c>
      <c r="E438" s="74">
        <v>2161</v>
      </c>
      <c r="F438" s="74"/>
      <c r="G438" s="74"/>
      <c r="H438" s="74"/>
    </row>
    <row r="439" spans="1:8" x14ac:dyDescent="0.25">
      <c r="A439" t="s">
        <v>1786</v>
      </c>
      <c r="B439" t="s">
        <v>1379</v>
      </c>
      <c r="C439" t="s">
        <v>4327</v>
      </c>
      <c r="D439" s="74">
        <v>5090</v>
      </c>
      <c r="E439" s="74">
        <v>2757</v>
      </c>
      <c r="F439" s="74"/>
      <c r="G439" s="74"/>
      <c r="H439" s="74"/>
    </row>
    <row r="440" spans="1:8" x14ac:dyDescent="0.25">
      <c r="A440" t="s">
        <v>1783</v>
      </c>
      <c r="B440" t="s">
        <v>1379</v>
      </c>
      <c r="C440" t="s">
        <v>4308</v>
      </c>
      <c r="D440" s="74">
        <v>4990</v>
      </c>
      <c r="E440" s="74">
        <v>2828</v>
      </c>
      <c r="F440" s="74"/>
      <c r="G440" s="74"/>
      <c r="H440" s="74"/>
    </row>
    <row r="441" spans="1:8" x14ac:dyDescent="0.25">
      <c r="A441" t="s">
        <v>1782</v>
      </c>
      <c r="B441" t="s">
        <v>1379</v>
      </c>
      <c r="C441" t="s">
        <v>4301</v>
      </c>
      <c r="D441" s="74">
        <v>4990</v>
      </c>
      <c r="E441" s="74">
        <v>2828</v>
      </c>
      <c r="F441" s="74"/>
      <c r="G441" s="74"/>
      <c r="H441" s="74"/>
    </row>
    <row r="442" spans="1:8" x14ac:dyDescent="0.25">
      <c r="A442" t="s">
        <v>1784</v>
      </c>
      <c r="B442" t="s">
        <v>1379</v>
      </c>
      <c r="C442" t="s">
        <v>4313</v>
      </c>
      <c r="D442" s="74">
        <v>6290</v>
      </c>
      <c r="E442" s="74">
        <v>3407</v>
      </c>
      <c r="F442" s="74"/>
      <c r="G442" s="74"/>
      <c r="H442" s="74"/>
    </row>
    <row r="443" spans="1:8" x14ac:dyDescent="0.25">
      <c r="A443" t="s">
        <v>1787</v>
      </c>
      <c r="B443" t="s">
        <v>1381</v>
      </c>
      <c r="C443" t="s">
        <v>4332</v>
      </c>
      <c r="D443" s="74">
        <v>1290</v>
      </c>
      <c r="E443" s="74">
        <v>806</v>
      </c>
      <c r="F443" s="74"/>
      <c r="G443" s="74"/>
      <c r="H443" s="74"/>
    </row>
    <row r="444" spans="1:8" x14ac:dyDescent="0.25">
      <c r="A444" t="s">
        <v>1795</v>
      </c>
      <c r="B444" t="s">
        <v>1381</v>
      </c>
      <c r="C444" t="s">
        <v>4349</v>
      </c>
      <c r="D444" s="74">
        <v>2090</v>
      </c>
      <c r="E444" s="74">
        <v>1219</v>
      </c>
      <c r="F444" s="74"/>
      <c r="G444" s="74"/>
      <c r="H444" s="74"/>
    </row>
    <row r="445" spans="1:8" x14ac:dyDescent="0.25">
      <c r="A445" t="s">
        <v>1796</v>
      </c>
      <c r="B445" t="s">
        <v>1381</v>
      </c>
      <c r="C445" t="s">
        <v>4355</v>
      </c>
      <c r="D445" s="74">
        <v>2090</v>
      </c>
      <c r="E445" s="74">
        <v>1219</v>
      </c>
      <c r="F445" s="74"/>
      <c r="G445" s="74"/>
      <c r="H445" s="74"/>
    </row>
    <row r="446" spans="1:8" x14ac:dyDescent="0.25">
      <c r="A446" t="s">
        <v>1798</v>
      </c>
      <c r="B446" t="s">
        <v>1381</v>
      </c>
      <c r="C446" t="s">
        <v>4359</v>
      </c>
      <c r="D446" s="74">
        <v>2290</v>
      </c>
      <c r="E446" s="74">
        <v>1336</v>
      </c>
      <c r="F446" s="74"/>
      <c r="G446" s="74"/>
      <c r="H446" s="74"/>
    </row>
    <row r="447" spans="1:8" x14ac:dyDescent="0.25">
      <c r="A447" t="s">
        <v>1800</v>
      </c>
      <c r="B447" t="s">
        <v>1381</v>
      </c>
      <c r="C447" t="s">
        <v>4361</v>
      </c>
      <c r="D447" s="74">
        <v>3290</v>
      </c>
      <c r="E447" s="74">
        <v>1919</v>
      </c>
      <c r="F447" s="74"/>
      <c r="G447" s="74"/>
      <c r="H447" s="74"/>
    </row>
    <row r="448" spans="1:8" x14ac:dyDescent="0.25">
      <c r="A448" t="s">
        <v>1801</v>
      </c>
      <c r="B448" t="s">
        <v>1381</v>
      </c>
      <c r="C448" t="s">
        <v>4367</v>
      </c>
      <c r="D448" s="74">
        <v>3190</v>
      </c>
      <c r="E448" s="74">
        <v>1861</v>
      </c>
      <c r="F448" s="74"/>
      <c r="G448" s="74"/>
      <c r="H448" s="74"/>
    </row>
    <row r="449" spans="1:8" x14ac:dyDescent="0.25">
      <c r="A449" t="s">
        <v>1774</v>
      </c>
      <c r="B449" t="s">
        <v>1377</v>
      </c>
      <c r="C449" t="s">
        <v>4244</v>
      </c>
      <c r="D449" s="74">
        <v>2190</v>
      </c>
      <c r="E449" s="74">
        <v>1278</v>
      </c>
      <c r="F449" s="74"/>
      <c r="G449" s="74"/>
      <c r="H449" s="74"/>
    </row>
    <row r="450" spans="1:8" x14ac:dyDescent="0.25">
      <c r="A450" t="s">
        <v>1775</v>
      </c>
      <c r="B450" t="s">
        <v>1377</v>
      </c>
      <c r="C450" t="s">
        <v>4253</v>
      </c>
      <c r="D450" s="74">
        <v>2490</v>
      </c>
      <c r="E450" s="74">
        <v>1453</v>
      </c>
      <c r="F450" s="74"/>
      <c r="G450" s="74"/>
      <c r="H450" s="74"/>
    </row>
    <row r="451" spans="1:8" x14ac:dyDescent="0.25">
      <c r="A451" t="s">
        <v>1778</v>
      </c>
      <c r="B451" t="s">
        <v>1377</v>
      </c>
      <c r="C451" t="s">
        <v>4265</v>
      </c>
      <c r="D451" s="74">
        <v>2390</v>
      </c>
      <c r="E451" s="74">
        <v>1394</v>
      </c>
      <c r="F451" s="74"/>
      <c r="G451" s="74"/>
      <c r="H451" s="74"/>
    </row>
    <row r="452" spans="1:8" x14ac:dyDescent="0.25">
      <c r="A452" t="s">
        <v>1779</v>
      </c>
      <c r="B452" t="s">
        <v>1377</v>
      </c>
      <c r="C452" t="s">
        <v>4275</v>
      </c>
      <c r="D452" s="74">
        <v>3190</v>
      </c>
      <c r="E452" s="74">
        <v>1861</v>
      </c>
      <c r="F452" s="74"/>
      <c r="G452" s="74"/>
      <c r="H452" s="74"/>
    </row>
    <row r="453" spans="1:8" x14ac:dyDescent="0.25">
      <c r="A453" t="s">
        <v>1780</v>
      </c>
      <c r="B453" t="s">
        <v>1377</v>
      </c>
      <c r="C453" t="s">
        <v>4282</v>
      </c>
      <c r="D453" s="74">
        <v>3290</v>
      </c>
      <c r="E453" s="74">
        <v>1919</v>
      </c>
      <c r="F453" s="74"/>
      <c r="G453" s="74"/>
      <c r="H453" s="74"/>
    </row>
    <row r="454" spans="1:8" x14ac:dyDescent="0.25">
      <c r="A454" t="s">
        <v>1713</v>
      </c>
      <c r="B454" t="s">
        <v>1375</v>
      </c>
      <c r="C454" t="s">
        <v>3965</v>
      </c>
      <c r="D454" s="74">
        <v>803</v>
      </c>
      <c r="E454" s="74">
        <v>468</v>
      </c>
      <c r="F454" s="74"/>
      <c r="G454" s="74"/>
      <c r="H454" s="74"/>
    </row>
    <row r="455" spans="1:8" x14ac:dyDescent="0.25">
      <c r="A455" t="s">
        <v>1712</v>
      </c>
      <c r="B455" t="s">
        <v>1375</v>
      </c>
      <c r="C455" t="s">
        <v>3960</v>
      </c>
      <c r="D455" s="74">
        <v>899</v>
      </c>
      <c r="E455" s="74">
        <v>524</v>
      </c>
      <c r="F455" s="74"/>
      <c r="G455" s="74"/>
      <c r="H455" s="74"/>
    </row>
    <row r="456" spans="1:8" x14ac:dyDescent="0.25">
      <c r="A456" t="s">
        <v>1741</v>
      </c>
      <c r="B456" t="s">
        <v>1373</v>
      </c>
      <c r="C456" t="s">
        <v>4094</v>
      </c>
      <c r="D456" s="74">
        <v>6990</v>
      </c>
      <c r="E456" s="74">
        <v>3903</v>
      </c>
      <c r="F456" s="74"/>
      <c r="G456" s="74"/>
      <c r="H456" s="74"/>
    </row>
    <row r="457" spans="1:8" x14ac:dyDescent="0.25">
      <c r="A457" t="s">
        <v>1723</v>
      </c>
      <c r="B457" t="s">
        <v>1375</v>
      </c>
      <c r="C457" t="s">
        <v>4001</v>
      </c>
      <c r="D457" s="74">
        <v>4149</v>
      </c>
      <c r="E457" s="74">
        <v>2524</v>
      </c>
      <c r="F457" s="74"/>
      <c r="G457" s="74"/>
      <c r="H457" s="74"/>
    </row>
    <row r="458" spans="1:8" x14ac:dyDescent="0.25">
      <c r="A458" t="s">
        <v>2110</v>
      </c>
      <c r="B458" t="s">
        <v>1414</v>
      </c>
      <c r="C458" t="s">
        <v>5172</v>
      </c>
      <c r="D458" s="74">
        <v>2090</v>
      </c>
      <c r="E458" s="74">
        <v>1428</v>
      </c>
      <c r="F458" s="74"/>
      <c r="G458" s="74"/>
      <c r="H458" s="74"/>
    </row>
    <row r="459" spans="1:8" x14ac:dyDescent="0.25">
      <c r="A459" t="s">
        <v>1720</v>
      </c>
      <c r="B459" t="s">
        <v>1375</v>
      </c>
      <c r="C459" t="s">
        <v>3994</v>
      </c>
      <c r="D459" s="74">
        <v>1059</v>
      </c>
      <c r="E459" s="74">
        <v>615</v>
      </c>
      <c r="F459" s="74"/>
      <c r="G459" s="74"/>
      <c r="H459" s="74"/>
    </row>
    <row r="460" spans="1:8" x14ac:dyDescent="0.25">
      <c r="A460" t="s">
        <v>1715</v>
      </c>
      <c r="B460" t="s">
        <v>1375</v>
      </c>
      <c r="C460" t="s">
        <v>3971</v>
      </c>
      <c r="D460" s="74">
        <v>929</v>
      </c>
      <c r="E460" s="74">
        <v>542</v>
      </c>
      <c r="F460" s="74"/>
      <c r="G460" s="74"/>
      <c r="H460" s="74"/>
    </row>
    <row r="461" spans="1:8" x14ac:dyDescent="0.25">
      <c r="A461" t="s">
        <v>1716</v>
      </c>
      <c r="B461" t="s">
        <v>1375</v>
      </c>
      <c r="C461" t="s">
        <v>3980</v>
      </c>
      <c r="D461" s="74">
        <v>929</v>
      </c>
      <c r="E461" s="74">
        <v>542</v>
      </c>
      <c r="F461" s="74"/>
      <c r="G461" s="74"/>
      <c r="H461" s="74"/>
    </row>
    <row r="462" spans="1:8" x14ac:dyDescent="0.25">
      <c r="A462" t="s">
        <v>1717</v>
      </c>
      <c r="B462" t="s">
        <v>1375</v>
      </c>
      <c r="C462" t="s">
        <v>3985</v>
      </c>
      <c r="D462" s="74">
        <v>1269</v>
      </c>
      <c r="E462" s="74">
        <v>740</v>
      </c>
      <c r="F462" s="74"/>
      <c r="G462" s="74"/>
      <c r="H462" s="74"/>
    </row>
    <row r="463" spans="1:8" x14ac:dyDescent="0.25">
      <c r="A463" t="s">
        <v>2138</v>
      </c>
      <c r="B463" t="s">
        <v>1427</v>
      </c>
      <c r="C463" t="s">
        <v>5294</v>
      </c>
      <c r="D463" s="74">
        <v>26190</v>
      </c>
      <c r="E463" s="74">
        <v>17897</v>
      </c>
      <c r="F463" s="74"/>
      <c r="G463" s="74"/>
      <c r="H463" s="74"/>
    </row>
    <row r="464" spans="1:8" x14ac:dyDescent="0.25">
      <c r="A464" t="s">
        <v>2159</v>
      </c>
      <c r="B464" t="s">
        <v>1433</v>
      </c>
      <c r="C464" t="s">
        <v>5384</v>
      </c>
      <c r="D464" s="74">
        <v>15690</v>
      </c>
      <c r="E464" s="74">
        <v>10722</v>
      </c>
      <c r="F464" s="74"/>
      <c r="G464" s="74"/>
      <c r="H464" s="74"/>
    </row>
    <row r="465" spans="1:8" x14ac:dyDescent="0.25">
      <c r="A465" t="s">
        <v>2160</v>
      </c>
      <c r="B465" t="s">
        <v>1433</v>
      </c>
      <c r="C465" t="s">
        <v>5387</v>
      </c>
      <c r="D465" s="74">
        <v>9390</v>
      </c>
      <c r="E465" s="74">
        <v>6417</v>
      </c>
      <c r="F465" s="74"/>
      <c r="G465" s="74"/>
      <c r="H465" s="74"/>
    </row>
    <row r="466" spans="1:8" x14ac:dyDescent="0.25">
      <c r="A466" t="s">
        <v>1727</v>
      </c>
      <c r="B466" t="s">
        <v>1375</v>
      </c>
      <c r="C466" t="s">
        <v>4015</v>
      </c>
      <c r="D466" s="74">
        <v>1869</v>
      </c>
      <c r="E466" s="74">
        <v>1090</v>
      </c>
      <c r="F466" s="74"/>
      <c r="G466" s="74"/>
      <c r="H466" s="74"/>
    </row>
    <row r="467" spans="1:8" x14ac:dyDescent="0.25">
      <c r="A467" t="s">
        <v>1728</v>
      </c>
      <c r="B467" t="s">
        <v>1375</v>
      </c>
      <c r="C467" t="s">
        <v>4022</v>
      </c>
      <c r="D467" s="74">
        <v>1729</v>
      </c>
      <c r="E467" s="74">
        <v>1009</v>
      </c>
      <c r="F467" s="74"/>
      <c r="G467" s="74"/>
      <c r="H467" s="74"/>
    </row>
    <row r="468" spans="1:8" x14ac:dyDescent="0.25">
      <c r="A468" t="s">
        <v>1729</v>
      </c>
      <c r="B468" t="s">
        <v>1375</v>
      </c>
      <c r="C468" t="s">
        <v>4029</v>
      </c>
      <c r="D468" s="74">
        <v>2799</v>
      </c>
      <c r="E468" s="74">
        <v>1633</v>
      </c>
      <c r="F468" s="74"/>
      <c r="G468" s="74"/>
      <c r="H468" s="74"/>
    </row>
    <row r="469" spans="1:8" x14ac:dyDescent="0.25">
      <c r="A469" t="s">
        <v>1730</v>
      </c>
      <c r="B469" t="s">
        <v>1375</v>
      </c>
      <c r="C469" t="s">
        <v>4033</v>
      </c>
      <c r="D469" s="74">
        <v>3999</v>
      </c>
      <c r="E469" s="74">
        <v>2333</v>
      </c>
      <c r="F469" s="74"/>
      <c r="G469" s="74"/>
      <c r="H469" s="74"/>
    </row>
    <row r="470" spans="1:8" x14ac:dyDescent="0.25">
      <c r="A470" t="s">
        <v>1960</v>
      </c>
      <c r="B470" t="s">
        <v>1387</v>
      </c>
      <c r="C470" t="s">
        <v>4754</v>
      </c>
      <c r="D470" s="74">
        <v>1039</v>
      </c>
      <c r="E470" s="74">
        <v>624</v>
      </c>
      <c r="F470" s="74"/>
      <c r="G470" s="74"/>
      <c r="H470" s="74"/>
    </row>
    <row r="471" spans="1:8" x14ac:dyDescent="0.25">
      <c r="A471" t="s">
        <v>1962</v>
      </c>
      <c r="B471" t="s">
        <v>1387</v>
      </c>
      <c r="C471" t="s">
        <v>4764</v>
      </c>
      <c r="D471" s="74">
        <v>1190</v>
      </c>
      <c r="E471" s="74">
        <v>714</v>
      </c>
      <c r="F471" s="74"/>
      <c r="G471" s="74"/>
      <c r="H471" s="74"/>
    </row>
    <row r="472" spans="1:8" x14ac:dyDescent="0.25">
      <c r="A472" t="s">
        <v>1964</v>
      </c>
      <c r="B472" t="s">
        <v>1387</v>
      </c>
      <c r="C472" t="s">
        <v>4778</v>
      </c>
      <c r="D472" s="74">
        <v>1039</v>
      </c>
      <c r="E472" s="74">
        <v>624</v>
      </c>
      <c r="F472" s="74"/>
      <c r="G472" s="74"/>
      <c r="H472" s="74"/>
    </row>
    <row r="473" spans="1:8" x14ac:dyDescent="0.25">
      <c r="A473" t="s">
        <v>1965</v>
      </c>
      <c r="B473" t="s">
        <v>1387</v>
      </c>
      <c r="C473" t="s">
        <v>4784</v>
      </c>
      <c r="D473" s="74">
        <v>1039</v>
      </c>
      <c r="E473" s="74">
        <v>624</v>
      </c>
      <c r="F473" s="74"/>
      <c r="G473" s="74"/>
      <c r="H473" s="74"/>
    </row>
    <row r="474" spans="1:8" x14ac:dyDescent="0.25">
      <c r="A474" t="s">
        <v>1966</v>
      </c>
      <c r="B474" t="s">
        <v>1387</v>
      </c>
      <c r="C474" t="s">
        <v>4792</v>
      </c>
      <c r="D474" s="74">
        <v>1039</v>
      </c>
      <c r="E474" s="74">
        <v>624</v>
      </c>
      <c r="F474" s="74"/>
      <c r="G474" s="74"/>
      <c r="H474" s="74"/>
    </row>
    <row r="475" spans="1:8" x14ac:dyDescent="0.25">
      <c r="A475" t="s">
        <v>1968</v>
      </c>
      <c r="B475" t="s">
        <v>1387</v>
      </c>
      <c r="C475" t="s">
        <v>4800</v>
      </c>
      <c r="D475" s="74">
        <v>1190</v>
      </c>
      <c r="E475" s="74">
        <v>714</v>
      </c>
      <c r="F475" s="74"/>
      <c r="G475" s="74"/>
      <c r="H475" s="74"/>
    </row>
    <row r="476" spans="1:8" x14ac:dyDescent="0.25">
      <c r="A476" t="s">
        <v>1969</v>
      </c>
      <c r="B476" t="s">
        <v>1387</v>
      </c>
      <c r="C476" t="s">
        <v>4804</v>
      </c>
      <c r="D476" s="74">
        <v>629</v>
      </c>
      <c r="E476" s="74">
        <v>378</v>
      </c>
      <c r="F476" s="74"/>
      <c r="G476" s="74"/>
      <c r="H476" s="74"/>
    </row>
    <row r="477" spans="1:8" x14ac:dyDescent="0.25">
      <c r="A477" t="s">
        <v>1973</v>
      </c>
      <c r="B477" t="s">
        <v>1391</v>
      </c>
      <c r="C477" t="s">
        <v>4825</v>
      </c>
      <c r="D477" s="74">
        <v>919</v>
      </c>
      <c r="E477" s="74">
        <v>552</v>
      </c>
      <c r="F477" s="74"/>
      <c r="G477" s="74"/>
      <c r="H477" s="74"/>
    </row>
    <row r="478" spans="1:8" x14ac:dyDescent="0.25">
      <c r="A478" t="s">
        <v>1974</v>
      </c>
      <c r="B478" t="s">
        <v>1391</v>
      </c>
      <c r="C478" t="s">
        <v>4828</v>
      </c>
      <c r="D478" s="74">
        <v>519</v>
      </c>
      <c r="E478" s="74">
        <v>312</v>
      </c>
      <c r="F478" s="74"/>
      <c r="G478" s="74"/>
      <c r="H478" s="74"/>
    </row>
    <row r="479" spans="1:8" x14ac:dyDescent="0.25">
      <c r="A479" t="s">
        <v>1976</v>
      </c>
      <c r="B479" t="s">
        <v>1391</v>
      </c>
      <c r="C479" t="s">
        <v>4840</v>
      </c>
      <c r="D479" s="74">
        <v>519</v>
      </c>
      <c r="E479" s="74">
        <v>311</v>
      </c>
      <c r="F479" s="74"/>
      <c r="G479" s="74"/>
      <c r="H479" s="74"/>
    </row>
    <row r="480" spans="1:8" x14ac:dyDescent="0.25">
      <c r="A480" t="s">
        <v>1977</v>
      </c>
      <c r="B480" t="s">
        <v>1391</v>
      </c>
      <c r="C480" t="s">
        <v>4843</v>
      </c>
      <c r="D480" s="74">
        <v>529</v>
      </c>
      <c r="E480" s="74">
        <v>318</v>
      </c>
      <c r="F480" s="74"/>
      <c r="G480" s="74"/>
      <c r="H480" s="74"/>
    </row>
    <row r="481" spans="1:8" x14ac:dyDescent="0.25">
      <c r="A481" t="s">
        <v>1978</v>
      </c>
      <c r="B481" t="s">
        <v>1391</v>
      </c>
      <c r="C481" t="s">
        <v>4848</v>
      </c>
      <c r="D481" s="74">
        <v>1190</v>
      </c>
      <c r="E481" s="74">
        <v>714</v>
      </c>
      <c r="F481" s="74"/>
      <c r="G481" s="74"/>
      <c r="H481" s="74"/>
    </row>
    <row r="482" spans="1:8" x14ac:dyDescent="0.25">
      <c r="A482" t="s">
        <v>1979</v>
      </c>
      <c r="B482" t="s">
        <v>1391</v>
      </c>
      <c r="C482" t="s">
        <v>4852</v>
      </c>
      <c r="D482" s="74">
        <v>790</v>
      </c>
      <c r="E482" s="74">
        <v>474</v>
      </c>
      <c r="F482" s="74"/>
      <c r="G482" s="74"/>
      <c r="H482" s="74"/>
    </row>
    <row r="483" spans="1:8" x14ac:dyDescent="0.25">
      <c r="A483" t="s">
        <v>1980</v>
      </c>
      <c r="B483" t="s">
        <v>1391</v>
      </c>
      <c r="C483" t="s">
        <v>4857</v>
      </c>
      <c r="D483" s="74">
        <v>790</v>
      </c>
      <c r="E483" s="74">
        <v>474</v>
      </c>
      <c r="F483" s="74"/>
      <c r="G483" s="74"/>
      <c r="H483" s="74"/>
    </row>
    <row r="484" spans="1:8" x14ac:dyDescent="0.25">
      <c r="A484" t="s">
        <v>1981</v>
      </c>
      <c r="B484" t="s">
        <v>1391</v>
      </c>
      <c r="C484" t="s">
        <v>4861</v>
      </c>
      <c r="D484" s="74">
        <v>790</v>
      </c>
      <c r="E484" s="74">
        <v>474</v>
      </c>
      <c r="F484" s="74"/>
      <c r="G484" s="74"/>
      <c r="H484" s="74"/>
    </row>
    <row r="485" spans="1:8" x14ac:dyDescent="0.25">
      <c r="A485" t="s">
        <v>1982</v>
      </c>
      <c r="B485" t="s">
        <v>1391</v>
      </c>
      <c r="C485" t="s">
        <v>4866</v>
      </c>
      <c r="D485" s="74">
        <v>790</v>
      </c>
      <c r="E485" s="74">
        <v>474</v>
      </c>
      <c r="F485" s="74"/>
      <c r="G485" s="74"/>
      <c r="H485" s="74"/>
    </row>
    <row r="486" spans="1:8" x14ac:dyDescent="0.25">
      <c r="A486" t="s">
        <v>1986</v>
      </c>
      <c r="B486" t="s">
        <v>1391</v>
      </c>
      <c r="C486" t="s">
        <v>4878</v>
      </c>
      <c r="D486" s="74">
        <v>3190</v>
      </c>
      <c r="E486" s="74">
        <v>1914</v>
      </c>
      <c r="F486" s="74"/>
      <c r="G486" s="74"/>
      <c r="H486" s="74"/>
    </row>
    <row r="487" spans="1:8" x14ac:dyDescent="0.25">
      <c r="A487" t="s">
        <v>1987</v>
      </c>
      <c r="B487" t="s">
        <v>1391</v>
      </c>
      <c r="C487" t="s">
        <v>4883</v>
      </c>
      <c r="D487" s="74">
        <v>2190</v>
      </c>
      <c r="E487" s="74">
        <v>1314</v>
      </c>
      <c r="F487" s="74"/>
      <c r="G487" s="74"/>
      <c r="H487" s="74"/>
    </row>
    <row r="488" spans="1:8" x14ac:dyDescent="0.25">
      <c r="A488" t="s">
        <v>1989</v>
      </c>
      <c r="B488" t="s">
        <v>1391</v>
      </c>
      <c r="C488" t="s">
        <v>4889</v>
      </c>
      <c r="D488" s="74">
        <v>2190</v>
      </c>
      <c r="E488" s="74">
        <v>1314</v>
      </c>
      <c r="F488" s="74"/>
      <c r="G488" s="74"/>
      <c r="H488" s="74"/>
    </row>
    <row r="489" spans="1:8" x14ac:dyDescent="0.25">
      <c r="A489" t="s">
        <v>1990</v>
      </c>
      <c r="B489" t="s">
        <v>1391</v>
      </c>
      <c r="C489" t="s">
        <v>7984</v>
      </c>
      <c r="D489" s="74">
        <v>2990</v>
      </c>
      <c r="E489" s="74">
        <v>1794</v>
      </c>
      <c r="F489" s="74"/>
      <c r="G489" s="74"/>
      <c r="H489" s="74"/>
    </row>
    <row r="490" spans="1:8" x14ac:dyDescent="0.25">
      <c r="A490" t="s">
        <v>1991</v>
      </c>
      <c r="B490" t="s">
        <v>1391</v>
      </c>
      <c r="C490" t="s">
        <v>7985</v>
      </c>
      <c r="D490" s="74">
        <v>2990</v>
      </c>
      <c r="E490" s="74">
        <v>1794</v>
      </c>
      <c r="F490" s="74"/>
      <c r="G490" s="74"/>
      <c r="H490" s="74"/>
    </row>
    <row r="491" spans="1:8" x14ac:dyDescent="0.25">
      <c r="A491" t="s">
        <v>1993</v>
      </c>
      <c r="B491" t="s">
        <v>1391</v>
      </c>
      <c r="C491" t="s">
        <v>4907</v>
      </c>
      <c r="D491" s="74">
        <v>1190</v>
      </c>
      <c r="E491" s="74">
        <v>714</v>
      </c>
      <c r="F491" s="74"/>
      <c r="G491" s="74"/>
      <c r="H491" s="74"/>
    </row>
    <row r="492" spans="1:8" x14ac:dyDescent="0.25">
      <c r="A492" t="s">
        <v>3089</v>
      </c>
      <c r="B492" t="s">
        <v>1496</v>
      </c>
      <c r="C492" t="s">
        <v>7267</v>
      </c>
      <c r="D492" s="74">
        <v>3590</v>
      </c>
      <c r="E492" s="74">
        <v>2184</v>
      </c>
      <c r="F492" s="74"/>
      <c r="G492" s="74"/>
      <c r="H492" s="74"/>
    </row>
    <row r="493" spans="1:8" x14ac:dyDescent="0.25">
      <c r="A493" t="s">
        <v>3090</v>
      </c>
      <c r="B493" t="s">
        <v>1496</v>
      </c>
      <c r="C493" t="s">
        <v>7274</v>
      </c>
      <c r="D493" s="74">
        <v>4690</v>
      </c>
      <c r="E493" s="74">
        <v>2853</v>
      </c>
      <c r="F493" s="74"/>
      <c r="G493" s="74"/>
      <c r="H493" s="74"/>
    </row>
    <row r="494" spans="1:8" x14ac:dyDescent="0.25">
      <c r="A494" t="s">
        <v>3091</v>
      </c>
      <c r="B494" t="s">
        <v>1496</v>
      </c>
      <c r="C494" t="s">
        <v>7278</v>
      </c>
      <c r="D494" s="74">
        <v>3590</v>
      </c>
      <c r="E494" s="74">
        <v>2274</v>
      </c>
      <c r="F494" s="74"/>
      <c r="G494" s="74"/>
      <c r="H494" s="74"/>
    </row>
    <row r="495" spans="1:8" x14ac:dyDescent="0.25">
      <c r="A495" t="s">
        <v>3092</v>
      </c>
      <c r="B495" t="s">
        <v>1496</v>
      </c>
      <c r="C495" t="s">
        <v>7283</v>
      </c>
      <c r="D495" s="74">
        <v>4690</v>
      </c>
      <c r="E495" s="74">
        <v>2853</v>
      </c>
      <c r="F495" s="74"/>
      <c r="G495" s="74"/>
      <c r="H495" s="74"/>
    </row>
    <row r="496" spans="1:8" x14ac:dyDescent="0.25">
      <c r="A496" t="s">
        <v>3093</v>
      </c>
      <c r="B496" t="s">
        <v>1493</v>
      </c>
      <c r="C496" t="s">
        <v>7084</v>
      </c>
      <c r="D496" s="74">
        <v>5590</v>
      </c>
      <c r="E496" s="74">
        <v>3401</v>
      </c>
      <c r="F496" s="74"/>
      <c r="G496" s="74"/>
      <c r="H496" s="74"/>
    </row>
    <row r="497" spans="1:8" x14ac:dyDescent="0.25">
      <c r="A497" t="s">
        <v>3094</v>
      </c>
      <c r="B497" t="s">
        <v>1493</v>
      </c>
      <c r="C497" t="s">
        <v>7294</v>
      </c>
      <c r="D497" s="74">
        <v>9190</v>
      </c>
      <c r="E497" s="74">
        <v>5897</v>
      </c>
      <c r="F497" s="74"/>
      <c r="G497" s="74"/>
      <c r="H497" s="74"/>
    </row>
    <row r="498" spans="1:8" x14ac:dyDescent="0.25">
      <c r="A498" t="s">
        <v>3095</v>
      </c>
      <c r="B498" t="s">
        <v>1493</v>
      </c>
      <c r="C498" t="s">
        <v>7299</v>
      </c>
      <c r="D498" s="74">
        <v>7490</v>
      </c>
      <c r="E498" s="74">
        <v>4806</v>
      </c>
      <c r="F498" s="74"/>
      <c r="G498" s="74"/>
      <c r="H498" s="74"/>
    </row>
    <row r="499" spans="1:8" x14ac:dyDescent="0.25">
      <c r="A499" t="s">
        <v>3096</v>
      </c>
      <c r="B499" t="s">
        <v>1494</v>
      </c>
      <c r="C499" t="s">
        <v>7306</v>
      </c>
      <c r="D499" s="74">
        <v>8590</v>
      </c>
      <c r="E499" s="74">
        <v>5226</v>
      </c>
      <c r="F499" s="74"/>
      <c r="G499" s="74"/>
      <c r="H499" s="74"/>
    </row>
    <row r="500" spans="1:8" x14ac:dyDescent="0.25">
      <c r="A500" t="s">
        <v>3097</v>
      </c>
      <c r="B500" t="s">
        <v>1494</v>
      </c>
      <c r="C500" t="s">
        <v>7314</v>
      </c>
      <c r="D500" s="74">
        <v>11390</v>
      </c>
      <c r="E500" s="74">
        <v>6739</v>
      </c>
      <c r="F500" s="74"/>
      <c r="G500" s="74"/>
      <c r="H500" s="74"/>
    </row>
    <row r="501" spans="1:8" x14ac:dyDescent="0.25">
      <c r="A501" t="s">
        <v>3098</v>
      </c>
      <c r="B501" t="s">
        <v>1492</v>
      </c>
      <c r="C501" t="s">
        <v>7320</v>
      </c>
      <c r="D501" s="74">
        <v>7290</v>
      </c>
      <c r="E501" s="74">
        <v>4435</v>
      </c>
      <c r="F501" s="74"/>
      <c r="G501" s="74"/>
      <c r="H501" s="74"/>
    </row>
    <row r="502" spans="1:8" x14ac:dyDescent="0.25">
      <c r="A502" t="s">
        <v>2119</v>
      </c>
      <c r="B502" t="s">
        <v>1418</v>
      </c>
      <c r="C502" t="s">
        <v>5198</v>
      </c>
      <c r="D502" s="74">
        <v>11390</v>
      </c>
      <c r="E502" s="74">
        <v>7783</v>
      </c>
      <c r="F502" s="74"/>
      <c r="G502" s="74"/>
      <c r="H502" s="74"/>
    </row>
    <row r="503" spans="1:8" x14ac:dyDescent="0.25">
      <c r="A503" t="s">
        <v>2123</v>
      </c>
      <c r="B503" t="s">
        <v>1421</v>
      </c>
      <c r="C503" t="s">
        <v>5223</v>
      </c>
      <c r="D503" s="74">
        <v>13790</v>
      </c>
      <c r="E503" s="74">
        <v>9423</v>
      </c>
      <c r="F503" s="74"/>
      <c r="G503" s="74"/>
      <c r="H503" s="74"/>
    </row>
    <row r="504" spans="1:8" x14ac:dyDescent="0.25">
      <c r="A504" t="s">
        <v>2124</v>
      </c>
      <c r="B504" t="s">
        <v>1421</v>
      </c>
      <c r="C504" t="s">
        <v>5232</v>
      </c>
      <c r="D504" s="74">
        <v>5590</v>
      </c>
      <c r="E504" s="74">
        <v>3820</v>
      </c>
      <c r="F504" s="74"/>
      <c r="G504" s="74"/>
      <c r="H504" s="74"/>
    </row>
    <row r="505" spans="1:8" x14ac:dyDescent="0.25">
      <c r="A505" t="s">
        <v>2133</v>
      </c>
      <c r="B505" t="s">
        <v>1421</v>
      </c>
      <c r="C505" t="s">
        <v>5271</v>
      </c>
      <c r="D505" s="74">
        <v>33390</v>
      </c>
      <c r="E505" s="74">
        <v>22817</v>
      </c>
      <c r="F505" s="74"/>
      <c r="G505" s="74"/>
      <c r="H505" s="74"/>
    </row>
    <row r="506" spans="1:8" x14ac:dyDescent="0.25">
      <c r="A506" t="s">
        <v>2134</v>
      </c>
      <c r="B506" t="s">
        <v>1421</v>
      </c>
      <c r="C506" t="s">
        <v>5276</v>
      </c>
      <c r="D506" s="74">
        <v>18590</v>
      </c>
      <c r="E506" s="74">
        <v>12703</v>
      </c>
      <c r="F506" s="74"/>
      <c r="G506" s="74"/>
      <c r="H506" s="74"/>
    </row>
    <row r="507" spans="1:8" x14ac:dyDescent="0.25">
      <c r="A507" t="s">
        <v>2125</v>
      </c>
      <c r="B507" t="s">
        <v>1421</v>
      </c>
      <c r="C507" t="s">
        <v>5236</v>
      </c>
      <c r="D507" s="74">
        <v>8590</v>
      </c>
      <c r="E507" s="74">
        <v>5870</v>
      </c>
      <c r="F507" s="74"/>
      <c r="G507" s="74"/>
      <c r="H507" s="74"/>
    </row>
    <row r="508" spans="1:8" x14ac:dyDescent="0.25">
      <c r="A508" t="s">
        <v>2126</v>
      </c>
      <c r="B508" t="s">
        <v>1421</v>
      </c>
      <c r="C508" t="s">
        <v>5245</v>
      </c>
      <c r="D508" s="74">
        <v>9490</v>
      </c>
      <c r="E508" s="74">
        <v>6485</v>
      </c>
      <c r="F508" s="74"/>
      <c r="G508" s="74"/>
      <c r="H508" s="74"/>
    </row>
    <row r="509" spans="1:8" x14ac:dyDescent="0.25">
      <c r="A509" t="s">
        <v>2121</v>
      </c>
      <c r="B509" t="s">
        <v>1421</v>
      </c>
      <c r="C509" t="s">
        <v>5207</v>
      </c>
      <c r="D509" s="74">
        <v>29990</v>
      </c>
      <c r="E509" s="74">
        <v>20493</v>
      </c>
      <c r="F509" s="74"/>
      <c r="G509" s="74"/>
      <c r="H509" s="74"/>
    </row>
    <row r="510" spans="1:8" x14ac:dyDescent="0.25">
      <c r="A510" t="s">
        <v>2122</v>
      </c>
      <c r="B510" t="s">
        <v>1421</v>
      </c>
      <c r="C510" t="s">
        <v>5216</v>
      </c>
      <c r="D510" s="74">
        <v>17090</v>
      </c>
      <c r="E510" s="74">
        <v>11678</v>
      </c>
      <c r="F510" s="74"/>
      <c r="G510" s="74"/>
      <c r="H510" s="74"/>
    </row>
    <row r="511" spans="1:8" x14ac:dyDescent="0.25">
      <c r="A511" t="s">
        <v>2198</v>
      </c>
      <c r="B511" t="s">
        <v>1454</v>
      </c>
      <c r="C511" t="s">
        <v>5473</v>
      </c>
      <c r="D511" s="74">
        <v>1639</v>
      </c>
      <c r="E511" s="74">
        <v>1120</v>
      </c>
      <c r="F511" s="74"/>
      <c r="G511" s="74"/>
      <c r="H511" s="74"/>
    </row>
    <row r="512" spans="1:8" x14ac:dyDescent="0.25">
      <c r="A512" t="s">
        <v>2196</v>
      </c>
      <c r="B512" t="s">
        <v>1454</v>
      </c>
      <c r="C512" t="s">
        <v>5464</v>
      </c>
      <c r="D512" s="74">
        <v>1089</v>
      </c>
      <c r="E512" s="74">
        <v>744</v>
      </c>
      <c r="F512" s="74"/>
      <c r="G512" s="74"/>
      <c r="H512" s="74"/>
    </row>
    <row r="513" spans="1:8" x14ac:dyDescent="0.25">
      <c r="A513" t="s">
        <v>2197</v>
      </c>
      <c r="B513" t="s">
        <v>1454</v>
      </c>
      <c r="C513" t="s">
        <v>5467</v>
      </c>
      <c r="D513" s="74">
        <v>649</v>
      </c>
      <c r="E513" s="74">
        <v>443</v>
      </c>
      <c r="F513" s="74"/>
      <c r="G513" s="74"/>
      <c r="H513" s="74"/>
    </row>
    <row r="514" spans="1:8" x14ac:dyDescent="0.25">
      <c r="A514" t="s">
        <v>2199</v>
      </c>
      <c r="B514" t="s">
        <v>1454</v>
      </c>
      <c r="C514" t="s">
        <v>5478</v>
      </c>
      <c r="D514" s="74">
        <v>869</v>
      </c>
      <c r="E514" s="74">
        <v>594</v>
      </c>
      <c r="F514" s="74"/>
      <c r="G514" s="74"/>
      <c r="H514" s="74"/>
    </row>
    <row r="515" spans="1:8" x14ac:dyDescent="0.25">
      <c r="A515" t="s">
        <v>2165</v>
      </c>
      <c r="B515" t="s">
        <v>1436</v>
      </c>
      <c r="C515" t="s">
        <v>5398</v>
      </c>
      <c r="D515" s="74">
        <v>4190</v>
      </c>
      <c r="E515" s="74">
        <v>2863</v>
      </c>
      <c r="F515" s="74"/>
      <c r="G515" s="74"/>
      <c r="H515" s="74"/>
    </row>
    <row r="516" spans="1:8" x14ac:dyDescent="0.25">
      <c r="A516" t="s">
        <v>2166</v>
      </c>
      <c r="B516" t="s">
        <v>1436</v>
      </c>
      <c r="C516" t="s">
        <v>5403</v>
      </c>
      <c r="D516" s="74">
        <v>4490</v>
      </c>
      <c r="E516" s="74">
        <v>3068</v>
      </c>
      <c r="F516" s="74"/>
      <c r="G516" s="74"/>
      <c r="H516" s="74"/>
    </row>
    <row r="517" spans="1:8" x14ac:dyDescent="0.25">
      <c r="A517" t="s">
        <v>2173</v>
      </c>
      <c r="B517" t="s">
        <v>1436</v>
      </c>
      <c r="C517" t="s">
        <v>7972</v>
      </c>
      <c r="D517" s="74">
        <v>5990</v>
      </c>
      <c r="E517" s="74">
        <v>4093</v>
      </c>
      <c r="F517" s="74"/>
      <c r="G517" s="74"/>
      <c r="H517" s="74"/>
    </row>
    <row r="518" spans="1:8" x14ac:dyDescent="0.25">
      <c r="A518" t="s">
        <v>2174</v>
      </c>
      <c r="B518" t="s">
        <v>1436</v>
      </c>
      <c r="C518" t="s">
        <v>7972</v>
      </c>
      <c r="D518" s="74">
        <v>7690</v>
      </c>
      <c r="E518" s="74">
        <v>5255</v>
      </c>
      <c r="F518" s="74"/>
      <c r="G518" s="74"/>
      <c r="H518" s="74"/>
    </row>
    <row r="519" spans="1:8" x14ac:dyDescent="0.25">
      <c r="A519" t="s">
        <v>2184</v>
      </c>
      <c r="B519" t="s">
        <v>1439</v>
      </c>
      <c r="C519" t="s">
        <v>5437</v>
      </c>
      <c r="D519" s="74">
        <v>8290</v>
      </c>
      <c r="E519" s="74">
        <v>5665</v>
      </c>
      <c r="F519" s="74"/>
      <c r="G519" s="74"/>
      <c r="H519" s="74"/>
    </row>
    <row r="520" spans="1:8" x14ac:dyDescent="0.25">
      <c r="A520" t="s">
        <v>2183</v>
      </c>
      <c r="B520" t="s">
        <v>1439</v>
      </c>
      <c r="C520" t="s">
        <v>5437</v>
      </c>
      <c r="D520" s="74">
        <v>8290</v>
      </c>
      <c r="E520" s="74">
        <v>5665</v>
      </c>
      <c r="F520" s="74"/>
      <c r="G520" s="74"/>
      <c r="H520" s="74"/>
    </row>
    <row r="521" spans="1:8" x14ac:dyDescent="0.25">
      <c r="A521" t="s">
        <v>2191</v>
      </c>
      <c r="B521" t="s">
        <v>1439</v>
      </c>
      <c r="C521" t="s">
        <v>7972</v>
      </c>
      <c r="D521" s="74">
        <v>13990</v>
      </c>
      <c r="E521" s="74">
        <v>9560</v>
      </c>
      <c r="F521" s="74"/>
      <c r="G521" s="74"/>
      <c r="H521" s="74"/>
    </row>
    <row r="522" spans="1:8" x14ac:dyDescent="0.25">
      <c r="A522" t="s">
        <v>2181</v>
      </c>
      <c r="B522" t="s">
        <v>1439</v>
      </c>
      <c r="C522" t="s">
        <v>7972</v>
      </c>
      <c r="D522" s="74">
        <v>6790</v>
      </c>
      <c r="E522" s="74">
        <v>4640</v>
      </c>
      <c r="F522" s="74"/>
      <c r="G522" s="74"/>
      <c r="H522" s="74"/>
    </row>
    <row r="523" spans="1:8" x14ac:dyDescent="0.25">
      <c r="A523" t="s">
        <v>2194</v>
      </c>
      <c r="B523" t="s">
        <v>1439</v>
      </c>
      <c r="C523" t="s">
        <v>5453</v>
      </c>
      <c r="D523" s="74">
        <v>25390</v>
      </c>
      <c r="E523" s="74">
        <v>17350</v>
      </c>
      <c r="F523" s="74"/>
      <c r="G523" s="74"/>
      <c r="H523" s="74"/>
    </row>
    <row r="524" spans="1:8" x14ac:dyDescent="0.25">
      <c r="A524" t="s">
        <v>2195</v>
      </c>
      <c r="B524" t="s">
        <v>1439</v>
      </c>
      <c r="C524" t="s">
        <v>5460</v>
      </c>
      <c r="D524" s="74">
        <v>12690</v>
      </c>
      <c r="E524" s="74">
        <v>8672</v>
      </c>
      <c r="F524" s="74"/>
      <c r="G524" s="74"/>
      <c r="H524" s="74"/>
    </row>
    <row r="525" spans="1:8" x14ac:dyDescent="0.25">
      <c r="A525" t="s">
        <v>2139</v>
      </c>
      <c r="B525" t="s">
        <v>1430</v>
      </c>
      <c r="C525" t="s">
        <v>5301</v>
      </c>
      <c r="D525" s="74">
        <v>7890</v>
      </c>
      <c r="E525" s="74">
        <v>5392</v>
      </c>
      <c r="F525" s="74"/>
      <c r="G525" s="74"/>
      <c r="H525" s="74"/>
    </row>
    <row r="526" spans="1:8" x14ac:dyDescent="0.25">
      <c r="A526" t="s">
        <v>2140</v>
      </c>
      <c r="B526" t="s">
        <v>1430</v>
      </c>
      <c r="C526" t="s">
        <v>5310</v>
      </c>
      <c r="D526" s="74">
        <v>9090</v>
      </c>
      <c r="E526" s="74">
        <v>6212</v>
      </c>
      <c r="F526" s="74"/>
      <c r="G526" s="74"/>
      <c r="H526" s="74"/>
    </row>
    <row r="527" spans="1:8" x14ac:dyDescent="0.25">
      <c r="A527" t="s">
        <v>2142</v>
      </c>
      <c r="B527" t="s">
        <v>1430</v>
      </c>
      <c r="C527" t="s">
        <v>5318</v>
      </c>
      <c r="D527" s="74">
        <v>8390</v>
      </c>
      <c r="E527" s="74">
        <v>5733</v>
      </c>
      <c r="F527" s="74"/>
      <c r="G527" s="74"/>
      <c r="H527" s="74"/>
    </row>
    <row r="528" spans="1:8" x14ac:dyDescent="0.25">
      <c r="A528" t="s">
        <v>2143</v>
      </c>
      <c r="B528" t="s">
        <v>1430</v>
      </c>
      <c r="C528" t="s">
        <v>5320</v>
      </c>
      <c r="D528" s="74">
        <v>14190</v>
      </c>
      <c r="E528" s="74">
        <v>9697</v>
      </c>
      <c r="F528" s="74"/>
      <c r="G528" s="74"/>
      <c r="H528" s="74"/>
    </row>
    <row r="529" spans="1:8" x14ac:dyDescent="0.25">
      <c r="A529" t="s">
        <v>2146</v>
      </c>
      <c r="B529" t="s">
        <v>1430</v>
      </c>
      <c r="C529" t="s">
        <v>5335</v>
      </c>
      <c r="D529" s="74">
        <v>14090</v>
      </c>
      <c r="E529" s="74">
        <v>9628</v>
      </c>
      <c r="F529" s="74"/>
      <c r="G529" s="74"/>
      <c r="H529" s="74"/>
    </row>
    <row r="530" spans="1:8" x14ac:dyDescent="0.25">
      <c r="A530" t="s">
        <v>2147</v>
      </c>
      <c r="B530" t="s">
        <v>1430</v>
      </c>
      <c r="C530" t="s">
        <v>5341</v>
      </c>
      <c r="D530" s="74">
        <v>15390</v>
      </c>
      <c r="E530" s="74">
        <v>10517</v>
      </c>
      <c r="F530" s="74"/>
      <c r="G530" s="74"/>
      <c r="H530" s="74"/>
    </row>
    <row r="531" spans="1:8" x14ac:dyDescent="0.25">
      <c r="A531" t="s">
        <v>2158</v>
      </c>
      <c r="B531" t="s">
        <v>1433</v>
      </c>
      <c r="C531" t="s">
        <v>5378</v>
      </c>
      <c r="D531" s="74">
        <v>11690</v>
      </c>
      <c r="E531" s="74">
        <v>7988</v>
      </c>
      <c r="F531" s="74"/>
      <c r="G531" s="74"/>
      <c r="H531" s="74"/>
    </row>
    <row r="532" spans="1:8" x14ac:dyDescent="0.25">
      <c r="A532" t="s">
        <v>2152</v>
      </c>
      <c r="B532" t="s">
        <v>1433</v>
      </c>
      <c r="C532" t="s">
        <v>5346</v>
      </c>
      <c r="D532" s="74">
        <v>16290</v>
      </c>
      <c r="E532" s="74">
        <v>11132</v>
      </c>
      <c r="F532" s="74"/>
      <c r="G532" s="74"/>
      <c r="H532" s="74"/>
    </row>
    <row r="533" spans="1:8" x14ac:dyDescent="0.25">
      <c r="A533" t="s">
        <v>2154</v>
      </c>
      <c r="B533" t="s">
        <v>1433</v>
      </c>
      <c r="C533" t="s">
        <v>5355</v>
      </c>
      <c r="D533" s="74">
        <v>8390</v>
      </c>
      <c r="E533" s="74">
        <v>5733</v>
      </c>
      <c r="F533" s="74"/>
      <c r="G533" s="74"/>
      <c r="H533" s="74"/>
    </row>
    <row r="534" spans="1:8" x14ac:dyDescent="0.25">
      <c r="A534" t="s">
        <v>2153</v>
      </c>
      <c r="B534" t="s">
        <v>1433</v>
      </c>
      <c r="C534" t="s">
        <v>5351</v>
      </c>
      <c r="D534" s="74">
        <v>18090</v>
      </c>
      <c r="E534" s="74">
        <v>12362</v>
      </c>
      <c r="F534" s="74"/>
      <c r="G534" s="74"/>
      <c r="H534" s="74"/>
    </row>
    <row r="535" spans="1:8" x14ac:dyDescent="0.25">
      <c r="A535" t="s">
        <v>2155</v>
      </c>
      <c r="B535" t="s">
        <v>1433</v>
      </c>
      <c r="C535" t="s">
        <v>5361</v>
      </c>
      <c r="D535" s="74">
        <v>10190</v>
      </c>
      <c r="E535" s="74">
        <v>6963</v>
      </c>
      <c r="F535" s="74"/>
      <c r="G535" s="74"/>
      <c r="H535" s="74"/>
    </row>
    <row r="536" spans="1:8" x14ac:dyDescent="0.25">
      <c r="A536" t="s">
        <v>2108</v>
      </c>
      <c r="B536" t="s">
        <v>1414</v>
      </c>
      <c r="C536" t="s">
        <v>5166</v>
      </c>
      <c r="D536" s="74">
        <v>6590</v>
      </c>
      <c r="E536" s="74">
        <v>4503</v>
      </c>
      <c r="F536" s="74"/>
      <c r="G536" s="74"/>
      <c r="H536" s="74"/>
    </row>
    <row r="537" spans="1:8" x14ac:dyDescent="0.25">
      <c r="A537" t="s">
        <v>2117</v>
      </c>
      <c r="B537" t="s">
        <v>1414</v>
      </c>
      <c r="C537" t="s">
        <v>5188</v>
      </c>
      <c r="D537" s="74">
        <v>14390</v>
      </c>
      <c r="E537" s="74">
        <v>9833</v>
      </c>
      <c r="F537" s="74"/>
      <c r="G537" s="74"/>
      <c r="H537" s="74"/>
    </row>
    <row r="538" spans="1:8" x14ac:dyDescent="0.25">
      <c r="A538" t="s">
        <v>2118</v>
      </c>
      <c r="B538" t="s">
        <v>1414</v>
      </c>
      <c r="C538" t="s">
        <v>5192</v>
      </c>
      <c r="D538" s="74">
        <v>17390</v>
      </c>
      <c r="E538" s="74">
        <v>11884</v>
      </c>
      <c r="F538" s="74"/>
      <c r="G538" s="74"/>
      <c r="H538" s="74"/>
    </row>
    <row r="539" spans="1:8" x14ac:dyDescent="0.25">
      <c r="A539" t="s">
        <v>2111</v>
      </c>
      <c r="B539" t="s">
        <v>1414</v>
      </c>
      <c r="C539" t="s">
        <v>5177</v>
      </c>
      <c r="D539" s="74">
        <v>5790</v>
      </c>
      <c r="E539" s="74">
        <v>3957</v>
      </c>
      <c r="F539" s="74"/>
      <c r="G539" s="74"/>
      <c r="H539" s="74"/>
    </row>
    <row r="540" spans="1:8" x14ac:dyDescent="0.25">
      <c r="A540" t="s">
        <v>1569</v>
      </c>
      <c r="B540" t="s">
        <v>1411</v>
      </c>
      <c r="C540" t="s">
        <v>3437</v>
      </c>
      <c r="D540" s="74">
        <v>4490</v>
      </c>
      <c r="E540" s="74">
        <v>3413</v>
      </c>
      <c r="F540" s="74"/>
      <c r="G540" s="74"/>
      <c r="H540" s="74"/>
    </row>
    <row r="541" spans="1:8" x14ac:dyDescent="0.25">
      <c r="A541" t="s">
        <v>1571</v>
      </c>
      <c r="B541" t="s">
        <v>1411</v>
      </c>
      <c r="C541" t="s">
        <v>3449</v>
      </c>
      <c r="D541" s="74">
        <v>5090</v>
      </c>
      <c r="E541" s="74">
        <v>3393</v>
      </c>
      <c r="F541" s="74"/>
      <c r="G541" s="74"/>
      <c r="H541" s="74"/>
    </row>
    <row r="542" spans="1:8" x14ac:dyDescent="0.25">
      <c r="A542" t="s">
        <v>1572</v>
      </c>
      <c r="B542" t="s">
        <v>1411</v>
      </c>
      <c r="C542" t="s">
        <v>3461</v>
      </c>
      <c r="D542" s="74">
        <v>6690</v>
      </c>
      <c r="E542" s="74">
        <v>4460</v>
      </c>
      <c r="F542" s="74"/>
      <c r="G542" s="74"/>
      <c r="H542" s="74"/>
    </row>
    <row r="543" spans="1:8" x14ac:dyDescent="0.25">
      <c r="A543" t="s">
        <v>1573</v>
      </c>
      <c r="B543" t="s">
        <v>1411</v>
      </c>
      <c r="C543" t="s">
        <v>3472</v>
      </c>
      <c r="D543" s="74">
        <v>7390</v>
      </c>
      <c r="E543" s="74">
        <v>4927</v>
      </c>
      <c r="F543" s="74"/>
      <c r="G543" s="74"/>
      <c r="H543" s="74"/>
    </row>
    <row r="544" spans="1:8" x14ac:dyDescent="0.25">
      <c r="A544" t="s">
        <v>1574</v>
      </c>
      <c r="B544" t="s">
        <v>1411</v>
      </c>
      <c r="C544" t="s">
        <v>3485</v>
      </c>
      <c r="D544" s="74">
        <v>5790</v>
      </c>
      <c r="E544" s="74">
        <v>3860</v>
      </c>
      <c r="F544" s="74"/>
      <c r="G544" s="74"/>
      <c r="H544" s="74"/>
    </row>
    <row r="545" spans="1:8" x14ac:dyDescent="0.25">
      <c r="A545" t="s">
        <v>1575</v>
      </c>
      <c r="B545" t="s">
        <v>1411</v>
      </c>
      <c r="C545" t="s">
        <v>3498</v>
      </c>
      <c r="D545" s="74">
        <v>7390</v>
      </c>
      <c r="E545" s="74">
        <v>4927</v>
      </c>
      <c r="F545" s="74"/>
      <c r="G545" s="74"/>
      <c r="H545" s="74"/>
    </row>
    <row r="546" spans="1:8" x14ac:dyDescent="0.25">
      <c r="A546" t="s">
        <v>1576</v>
      </c>
      <c r="B546" t="s">
        <v>1411</v>
      </c>
      <c r="C546" t="s">
        <v>3506</v>
      </c>
      <c r="D546" s="74">
        <v>8290</v>
      </c>
      <c r="E546" s="74">
        <v>5527</v>
      </c>
      <c r="F546" s="74"/>
      <c r="G546" s="74"/>
      <c r="H546" s="74"/>
    </row>
    <row r="547" spans="1:8" x14ac:dyDescent="0.25">
      <c r="A547" t="s">
        <v>2225</v>
      </c>
      <c r="B547" t="s">
        <v>1446</v>
      </c>
      <c r="C547" t="s">
        <v>5543</v>
      </c>
      <c r="D547" s="74">
        <v>3619</v>
      </c>
      <c r="E547" s="74">
        <v>2111</v>
      </c>
      <c r="F547" s="74"/>
      <c r="G547" s="74"/>
      <c r="H547" s="74"/>
    </row>
    <row r="548" spans="1:8" x14ac:dyDescent="0.25">
      <c r="A548" t="s">
        <v>2156</v>
      </c>
      <c r="B548" t="s">
        <v>1433</v>
      </c>
      <c r="C548" t="s">
        <v>5365</v>
      </c>
      <c r="D548" s="74">
        <v>27790</v>
      </c>
      <c r="E548" s="74">
        <v>18990</v>
      </c>
      <c r="F548" s="74"/>
      <c r="G548" s="74"/>
      <c r="H548" s="74"/>
    </row>
    <row r="549" spans="1:8" x14ac:dyDescent="0.25">
      <c r="A549" t="s">
        <v>2157</v>
      </c>
      <c r="B549" t="s">
        <v>1433</v>
      </c>
      <c r="C549" t="s">
        <v>5372</v>
      </c>
      <c r="D549" s="74">
        <v>14890</v>
      </c>
      <c r="E549" s="74">
        <v>10175</v>
      </c>
      <c r="F549" s="74"/>
      <c r="G549" s="74"/>
      <c r="H549" s="74"/>
    </row>
    <row r="550" spans="1:8" x14ac:dyDescent="0.25">
      <c r="A550" t="s">
        <v>2226</v>
      </c>
      <c r="B550" t="s">
        <v>1446</v>
      </c>
      <c r="C550" t="s">
        <v>5552</v>
      </c>
      <c r="D550" s="74">
        <v>979</v>
      </c>
      <c r="E550" s="74">
        <v>571</v>
      </c>
      <c r="F550" s="74"/>
      <c r="G550" s="74"/>
      <c r="H550" s="74"/>
    </row>
    <row r="551" spans="1:8" x14ac:dyDescent="0.25">
      <c r="A551" t="s">
        <v>2227</v>
      </c>
      <c r="B551" t="s">
        <v>1446</v>
      </c>
      <c r="C551" t="s">
        <v>5558</v>
      </c>
      <c r="D551" s="74">
        <v>2519</v>
      </c>
      <c r="E551" s="74">
        <v>1469</v>
      </c>
      <c r="F551" s="74"/>
      <c r="G551" s="74"/>
      <c r="H551" s="74"/>
    </row>
    <row r="552" spans="1:8" x14ac:dyDescent="0.25">
      <c r="A552" t="s">
        <v>2228</v>
      </c>
      <c r="B552" t="s">
        <v>1446</v>
      </c>
      <c r="C552" t="s">
        <v>5563</v>
      </c>
      <c r="D552" s="74">
        <v>2959</v>
      </c>
      <c r="E552" s="74">
        <v>1726</v>
      </c>
      <c r="F552" s="74"/>
      <c r="G552" s="74"/>
      <c r="H552" s="74"/>
    </row>
    <row r="553" spans="1:8" x14ac:dyDescent="0.25">
      <c r="A553" t="s">
        <v>2168</v>
      </c>
      <c r="B553" t="s">
        <v>1436</v>
      </c>
      <c r="C553" t="s">
        <v>5410</v>
      </c>
      <c r="D553" s="74">
        <v>4490</v>
      </c>
      <c r="E553" s="74">
        <v>3068</v>
      </c>
      <c r="F553" s="74"/>
      <c r="G553" s="74"/>
      <c r="H553" s="74"/>
    </row>
    <row r="554" spans="1:8" x14ac:dyDescent="0.25">
      <c r="A554" t="s">
        <v>2169</v>
      </c>
      <c r="B554" t="s">
        <v>1436</v>
      </c>
      <c r="C554" t="s">
        <v>5416</v>
      </c>
      <c r="D554" s="74">
        <v>6490</v>
      </c>
      <c r="E554" s="74">
        <v>4435</v>
      </c>
      <c r="F554" s="74"/>
      <c r="G554" s="74"/>
      <c r="H554" s="74"/>
    </row>
    <row r="555" spans="1:8" x14ac:dyDescent="0.25">
      <c r="A555" t="s">
        <v>2170</v>
      </c>
      <c r="B555" t="s">
        <v>1436</v>
      </c>
      <c r="C555" t="s">
        <v>5418</v>
      </c>
      <c r="D555" s="74">
        <v>7790</v>
      </c>
      <c r="E555" s="74">
        <v>5323</v>
      </c>
      <c r="F555" s="74"/>
      <c r="G555" s="74"/>
      <c r="H555" s="74"/>
    </row>
    <row r="556" spans="1:8" x14ac:dyDescent="0.25">
      <c r="A556" t="s">
        <v>2185</v>
      </c>
      <c r="B556" t="s">
        <v>1439</v>
      </c>
      <c r="C556" t="s">
        <v>5443</v>
      </c>
      <c r="D556" s="74">
        <v>10790</v>
      </c>
      <c r="E556" s="74">
        <v>7373</v>
      </c>
      <c r="F556" s="74"/>
      <c r="G556" s="74"/>
      <c r="H556" s="74"/>
    </row>
    <row r="557" spans="1:8" x14ac:dyDescent="0.25">
      <c r="A557" t="s">
        <v>2187</v>
      </c>
      <c r="B557" t="s">
        <v>1439</v>
      </c>
      <c r="C557" t="s">
        <v>5445</v>
      </c>
      <c r="D557" s="74">
        <v>5790</v>
      </c>
      <c r="E557" s="74">
        <v>3957</v>
      </c>
      <c r="F557" s="74"/>
      <c r="G557" s="74"/>
      <c r="H557" s="74"/>
    </row>
    <row r="558" spans="1:8" x14ac:dyDescent="0.25">
      <c r="A558" t="s">
        <v>2188</v>
      </c>
      <c r="B558" t="s">
        <v>1439</v>
      </c>
      <c r="C558" t="s">
        <v>5447</v>
      </c>
      <c r="D558" s="74">
        <v>13090</v>
      </c>
      <c r="E558" s="74">
        <v>8945</v>
      </c>
      <c r="F558" s="74"/>
      <c r="G558" s="74"/>
      <c r="H558" s="74"/>
    </row>
    <row r="559" spans="1:8" x14ac:dyDescent="0.25">
      <c r="A559" t="s">
        <v>2189</v>
      </c>
      <c r="B559" t="s">
        <v>1439</v>
      </c>
      <c r="C559" t="s">
        <v>5449</v>
      </c>
      <c r="D559" s="74">
        <v>7690</v>
      </c>
      <c r="E559" s="74">
        <v>5255</v>
      </c>
      <c r="F559" s="74"/>
      <c r="G559" s="74"/>
      <c r="H559" s="74"/>
    </row>
    <row r="560" spans="1:8" x14ac:dyDescent="0.25">
      <c r="A560" t="s">
        <v>1742</v>
      </c>
      <c r="B560" t="s">
        <v>1373</v>
      </c>
      <c r="C560" t="s">
        <v>4102</v>
      </c>
      <c r="D560" s="74">
        <v>6990</v>
      </c>
      <c r="E560" s="74">
        <v>4427</v>
      </c>
      <c r="F560" s="74"/>
      <c r="G560" s="74"/>
      <c r="H560" s="74"/>
    </row>
    <row r="561" spans="1:8" x14ac:dyDescent="0.25">
      <c r="A561" t="s">
        <v>1743</v>
      </c>
      <c r="B561" t="s">
        <v>1373</v>
      </c>
      <c r="C561" t="s">
        <v>4110</v>
      </c>
      <c r="D561" s="74">
        <v>9790</v>
      </c>
      <c r="E561" s="74">
        <v>6200</v>
      </c>
      <c r="F561" s="74"/>
      <c r="G561" s="74"/>
      <c r="H561" s="74"/>
    </row>
    <row r="562" spans="1:8" x14ac:dyDescent="0.25">
      <c r="A562" t="s">
        <v>1745</v>
      </c>
      <c r="B562" t="s">
        <v>1373</v>
      </c>
      <c r="C562" t="s">
        <v>4129</v>
      </c>
      <c r="D562" s="74">
        <v>2390</v>
      </c>
      <c r="E562" s="74">
        <v>1633</v>
      </c>
      <c r="F562" s="74"/>
      <c r="G562" s="74"/>
      <c r="H562" s="74"/>
    </row>
    <row r="563" spans="1:8" x14ac:dyDescent="0.25">
      <c r="A563" t="s">
        <v>1746</v>
      </c>
      <c r="B563" t="s">
        <v>1373</v>
      </c>
      <c r="C563" t="s">
        <v>4136</v>
      </c>
      <c r="D563" s="74">
        <v>2990</v>
      </c>
      <c r="E563" s="74">
        <v>2043</v>
      </c>
      <c r="F563" s="74"/>
      <c r="G563" s="74"/>
      <c r="H563" s="74"/>
    </row>
    <row r="564" spans="1:8" x14ac:dyDescent="0.25">
      <c r="A564" t="s">
        <v>1747</v>
      </c>
      <c r="B564" t="s">
        <v>1373</v>
      </c>
      <c r="C564" t="s">
        <v>4142</v>
      </c>
      <c r="D564" s="74">
        <v>2990</v>
      </c>
      <c r="E564" s="74">
        <v>2043</v>
      </c>
      <c r="F564" s="74"/>
      <c r="G564" s="74"/>
      <c r="H564" s="74"/>
    </row>
    <row r="565" spans="1:8" x14ac:dyDescent="0.25">
      <c r="A565" t="s">
        <v>1748</v>
      </c>
      <c r="B565" t="s">
        <v>1373</v>
      </c>
      <c r="C565" t="s">
        <v>4147</v>
      </c>
      <c r="D565" s="74">
        <v>2990</v>
      </c>
      <c r="E565" s="74">
        <v>2043</v>
      </c>
      <c r="F565" s="74"/>
      <c r="G565" s="74"/>
      <c r="H565" s="74"/>
    </row>
    <row r="566" spans="1:8" x14ac:dyDescent="0.25">
      <c r="A566" t="s">
        <v>1749</v>
      </c>
      <c r="B566" t="s">
        <v>1373</v>
      </c>
      <c r="C566" t="s">
        <v>4152</v>
      </c>
      <c r="D566" s="74">
        <v>3890</v>
      </c>
      <c r="E566" s="74">
        <v>2658</v>
      </c>
      <c r="F566" s="74"/>
      <c r="G566" s="74"/>
      <c r="H566" s="74"/>
    </row>
    <row r="567" spans="1:8" x14ac:dyDescent="0.25">
      <c r="A567" t="s">
        <v>1750</v>
      </c>
      <c r="B567" t="s">
        <v>1373</v>
      </c>
      <c r="C567" t="s">
        <v>4156</v>
      </c>
      <c r="D567" s="74">
        <v>3890</v>
      </c>
      <c r="E567" s="74">
        <v>2658</v>
      </c>
      <c r="F567" s="74"/>
      <c r="G567" s="74"/>
      <c r="H567" s="74"/>
    </row>
    <row r="568" spans="1:8" x14ac:dyDescent="0.25">
      <c r="A568" t="s">
        <v>1753</v>
      </c>
      <c r="B568" t="s">
        <v>1373</v>
      </c>
      <c r="C568" t="s">
        <v>4165</v>
      </c>
      <c r="D568" s="74">
        <v>4590</v>
      </c>
      <c r="E568" s="74">
        <v>3137</v>
      </c>
      <c r="F568" s="74"/>
      <c r="G568" s="74"/>
      <c r="H568" s="74"/>
    </row>
    <row r="569" spans="1:8" x14ac:dyDescent="0.25">
      <c r="A569" t="s">
        <v>1754</v>
      </c>
      <c r="B569" t="s">
        <v>1373</v>
      </c>
      <c r="C569" t="s">
        <v>4170</v>
      </c>
      <c r="D569" s="74">
        <v>5690</v>
      </c>
      <c r="E569" s="74">
        <v>3888</v>
      </c>
      <c r="F569" s="74"/>
      <c r="G569" s="74"/>
      <c r="H569" s="74"/>
    </row>
    <row r="570" spans="1:8" x14ac:dyDescent="0.25">
      <c r="A570" t="s">
        <v>1755</v>
      </c>
      <c r="B570" t="s">
        <v>1373</v>
      </c>
      <c r="C570" t="s">
        <v>4174</v>
      </c>
      <c r="D570" s="74">
        <v>5690</v>
      </c>
      <c r="E570" s="74">
        <v>3888</v>
      </c>
      <c r="F570" s="74"/>
      <c r="G570" s="74"/>
      <c r="H570" s="74"/>
    </row>
    <row r="571" spans="1:8" x14ac:dyDescent="0.25">
      <c r="A571" t="s">
        <v>1751</v>
      </c>
      <c r="B571" t="s">
        <v>1373</v>
      </c>
      <c r="C571" t="s">
        <v>4158</v>
      </c>
      <c r="D571" s="74">
        <v>5190</v>
      </c>
      <c r="E571" s="74">
        <v>3547</v>
      </c>
      <c r="F571" s="74"/>
      <c r="G571" s="74"/>
      <c r="H571" s="74"/>
    </row>
    <row r="572" spans="1:8" x14ac:dyDescent="0.25">
      <c r="A572" t="s">
        <v>1752</v>
      </c>
      <c r="B572" t="s">
        <v>1373</v>
      </c>
      <c r="C572" t="s">
        <v>4163</v>
      </c>
      <c r="D572" s="74">
        <v>5190</v>
      </c>
      <c r="E572" s="74">
        <v>3547</v>
      </c>
      <c r="F572" s="74"/>
      <c r="G572" s="74"/>
      <c r="H572" s="74"/>
    </row>
    <row r="573" spans="1:8" x14ac:dyDescent="0.25">
      <c r="A573" t="s">
        <v>1756</v>
      </c>
      <c r="B573" t="s">
        <v>1373</v>
      </c>
      <c r="C573" t="s">
        <v>4178</v>
      </c>
      <c r="D573" s="74">
        <v>5690</v>
      </c>
      <c r="E573" s="74">
        <v>3888</v>
      </c>
      <c r="F573" s="74"/>
      <c r="G573" s="74"/>
      <c r="H573" s="74"/>
    </row>
    <row r="574" spans="1:8" x14ac:dyDescent="0.25">
      <c r="A574" t="s">
        <v>1757</v>
      </c>
      <c r="B574" t="s">
        <v>1373</v>
      </c>
      <c r="C574" t="s">
        <v>4184</v>
      </c>
      <c r="D574" s="74">
        <v>5690</v>
      </c>
      <c r="E574" s="74">
        <v>3888</v>
      </c>
      <c r="F574" s="74"/>
      <c r="G574" s="74"/>
      <c r="H574" s="74"/>
    </row>
    <row r="575" spans="1:8" x14ac:dyDescent="0.25">
      <c r="A575" t="s">
        <v>1803</v>
      </c>
      <c r="B575" t="s">
        <v>1381</v>
      </c>
      <c r="C575" t="s">
        <v>4374</v>
      </c>
      <c r="D575" s="74">
        <v>4190</v>
      </c>
      <c r="E575" s="74">
        <v>2514</v>
      </c>
      <c r="F575" s="74"/>
      <c r="G575" s="74"/>
      <c r="H575" s="74"/>
    </row>
    <row r="576" spans="1:8" x14ac:dyDescent="0.25">
      <c r="A576" t="s">
        <v>1808</v>
      </c>
      <c r="B576" t="s">
        <v>1383</v>
      </c>
      <c r="C576" t="s">
        <v>4388</v>
      </c>
      <c r="D576" s="74">
        <v>2390</v>
      </c>
      <c r="E576" s="74">
        <v>1394</v>
      </c>
      <c r="F576" s="74"/>
      <c r="G576" s="74"/>
      <c r="H576" s="74"/>
    </row>
    <row r="577" spans="1:8" x14ac:dyDescent="0.25">
      <c r="A577" t="s">
        <v>1810</v>
      </c>
      <c r="B577" t="s">
        <v>1383</v>
      </c>
      <c r="C577" t="s">
        <v>4398</v>
      </c>
      <c r="D577" s="74">
        <v>3190</v>
      </c>
      <c r="E577" s="74">
        <v>1861</v>
      </c>
      <c r="F577" s="74"/>
      <c r="G577" s="74"/>
      <c r="H577" s="74"/>
    </row>
    <row r="578" spans="1:8" x14ac:dyDescent="0.25">
      <c r="A578" t="s">
        <v>1811</v>
      </c>
      <c r="B578" t="s">
        <v>1383</v>
      </c>
      <c r="C578" t="s">
        <v>4403</v>
      </c>
      <c r="D578" s="74">
        <v>2390</v>
      </c>
      <c r="E578" s="74">
        <v>1394</v>
      </c>
      <c r="F578" s="74"/>
      <c r="G578" s="74"/>
      <c r="H578" s="74"/>
    </row>
    <row r="579" spans="1:8" x14ac:dyDescent="0.25">
      <c r="A579" t="s">
        <v>1813</v>
      </c>
      <c r="B579" t="s">
        <v>1383</v>
      </c>
      <c r="C579" t="s">
        <v>4410</v>
      </c>
      <c r="D579" s="74">
        <v>3990</v>
      </c>
      <c r="E579" s="74">
        <v>2328</v>
      </c>
      <c r="F579" s="74"/>
      <c r="G579" s="74"/>
      <c r="H579" s="74"/>
    </row>
    <row r="580" spans="1:8" x14ac:dyDescent="0.25">
      <c r="A580" t="s">
        <v>1815</v>
      </c>
      <c r="B580" t="s">
        <v>1383</v>
      </c>
      <c r="C580" t="s">
        <v>4419</v>
      </c>
      <c r="D580" s="74">
        <v>4690</v>
      </c>
      <c r="E580" s="74">
        <v>2736</v>
      </c>
      <c r="F580" s="74"/>
      <c r="G580" s="74"/>
      <c r="H580" s="74"/>
    </row>
    <row r="581" spans="1:8" x14ac:dyDescent="0.25">
      <c r="A581" t="s">
        <v>3364</v>
      </c>
      <c r="B581" t="s">
        <v>1545</v>
      </c>
      <c r="C581" t="s">
        <v>7850</v>
      </c>
      <c r="D581" s="74">
        <v>2189</v>
      </c>
      <c r="E581" s="74">
        <v>1277</v>
      </c>
      <c r="F581" s="74"/>
      <c r="G581" s="74"/>
      <c r="H581" s="74"/>
    </row>
    <row r="582" spans="1:8" x14ac:dyDescent="0.25">
      <c r="A582" t="s">
        <v>3365</v>
      </c>
      <c r="B582" t="s">
        <v>1545</v>
      </c>
      <c r="C582" t="s">
        <v>7853</v>
      </c>
      <c r="D582" s="74">
        <v>6919</v>
      </c>
      <c r="E582" s="74">
        <v>4036</v>
      </c>
      <c r="F582" s="74"/>
      <c r="G582" s="74"/>
      <c r="H582" s="74"/>
    </row>
    <row r="583" spans="1:8" x14ac:dyDescent="0.25">
      <c r="A583" t="s">
        <v>3366</v>
      </c>
      <c r="B583" t="s">
        <v>1545</v>
      </c>
      <c r="C583" t="s">
        <v>7857</v>
      </c>
      <c r="D583" s="74">
        <v>10989</v>
      </c>
      <c r="E583" s="74">
        <v>6410</v>
      </c>
      <c r="F583" s="74"/>
      <c r="G583" s="74"/>
      <c r="H583" s="74"/>
    </row>
    <row r="584" spans="1:8" x14ac:dyDescent="0.25">
      <c r="A584" t="s">
        <v>3369</v>
      </c>
      <c r="B584" t="s">
        <v>1545</v>
      </c>
      <c r="C584" t="s">
        <v>7866</v>
      </c>
      <c r="D584" s="74">
        <v>2959</v>
      </c>
      <c r="E584" s="74">
        <v>1726</v>
      </c>
      <c r="F584" s="74"/>
      <c r="G584" s="74"/>
      <c r="H584" s="74"/>
    </row>
    <row r="585" spans="1:8" x14ac:dyDescent="0.25">
      <c r="A585" t="s">
        <v>3373</v>
      </c>
      <c r="B585" t="s">
        <v>1545</v>
      </c>
      <c r="C585" t="s">
        <v>7879</v>
      </c>
      <c r="D585" s="74">
        <v>9119</v>
      </c>
      <c r="E585" s="74">
        <v>5319</v>
      </c>
      <c r="F585" s="74"/>
      <c r="G585" s="74"/>
      <c r="H585" s="74"/>
    </row>
    <row r="586" spans="1:8" x14ac:dyDescent="0.25">
      <c r="A586" t="s">
        <v>3374</v>
      </c>
      <c r="B586" t="s">
        <v>1545</v>
      </c>
      <c r="C586" t="s">
        <v>7882</v>
      </c>
      <c r="D586" s="74">
        <v>8129</v>
      </c>
      <c r="E586" s="74">
        <v>4742</v>
      </c>
      <c r="F586" s="74"/>
      <c r="G586" s="74"/>
      <c r="H586" s="74"/>
    </row>
    <row r="587" spans="1:8" x14ac:dyDescent="0.25">
      <c r="A587" t="s">
        <v>3376</v>
      </c>
      <c r="B587" t="s">
        <v>1545</v>
      </c>
      <c r="C587" t="s">
        <v>7891</v>
      </c>
      <c r="D587" s="74">
        <v>4609</v>
      </c>
      <c r="E587" s="74">
        <v>2689</v>
      </c>
      <c r="F587" s="74"/>
      <c r="G587" s="74"/>
      <c r="H587" s="74"/>
    </row>
    <row r="588" spans="1:8" x14ac:dyDescent="0.25">
      <c r="A588" t="s">
        <v>3355</v>
      </c>
      <c r="B588" t="s">
        <v>1545</v>
      </c>
      <c r="C588" t="s">
        <v>7816</v>
      </c>
      <c r="D588" s="74">
        <v>1089</v>
      </c>
      <c r="E588" s="74">
        <v>635</v>
      </c>
      <c r="F588" s="74"/>
      <c r="G588" s="74"/>
      <c r="H588" s="74"/>
    </row>
    <row r="589" spans="1:8" x14ac:dyDescent="0.25">
      <c r="A589" t="s">
        <v>3380</v>
      </c>
      <c r="B589" t="s">
        <v>1545</v>
      </c>
      <c r="C589" t="s">
        <v>7898</v>
      </c>
      <c r="D589" s="74">
        <v>5049</v>
      </c>
      <c r="E589" s="74">
        <v>2945</v>
      </c>
      <c r="F589" s="74"/>
      <c r="G589" s="74"/>
      <c r="H589" s="74"/>
    </row>
    <row r="590" spans="1:8" x14ac:dyDescent="0.25">
      <c r="A590" t="s">
        <v>3381</v>
      </c>
      <c r="B590" t="s">
        <v>1545</v>
      </c>
      <c r="C590" t="s">
        <v>7905</v>
      </c>
      <c r="D590" s="74">
        <v>3179</v>
      </c>
      <c r="E590" s="74">
        <v>1854</v>
      </c>
      <c r="F590" s="74"/>
      <c r="G590" s="74"/>
      <c r="H590" s="74"/>
    </row>
    <row r="591" spans="1:8" x14ac:dyDescent="0.25">
      <c r="A591" t="s">
        <v>3382</v>
      </c>
      <c r="B591" t="s">
        <v>1545</v>
      </c>
      <c r="C591" t="s">
        <v>7908</v>
      </c>
      <c r="D591" s="74">
        <v>3069</v>
      </c>
      <c r="E591" s="74">
        <v>1790</v>
      </c>
      <c r="F591" s="74"/>
      <c r="G591" s="74"/>
      <c r="H591" s="74"/>
    </row>
    <row r="592" spans="1:8" x14ac:dyDescent="0.25">
      <c r="A592" t="s">
        <v>3383</v>
      </c>
      <c r="B592" t="s">
        <v>1545</v>
      </c>
      <c r="C592" t="s">
        <v>7911</v>
      </c>
      <c r="D592" s="74">
        <v>3069</v>
      </c>
      <c r="E592" s="74">
        <v>1790</v>
      </c>
      <c r="F592" s="74"/>
      <c r="G592" s="74"/>
      <c r="H592" s="74"/>
    </row>
    <row r="593" spans="1:8" x14ac:dyDescent="0.25">
      <c r="A593" t="s">
        <v>3385</v>
      </c>
      <c r="B593" t="s">
        <v>1545</v>
      </c>
      <c r="C593" t="s">
        <v>7916</v>
      </c>
      <c r="D593" s="74">
        <v>1309</v>
      </c>
      <c r="E593" s="74">
        <v>764</v>
      </c>
      <c r="F593" s="74"/>
      <c r="G593" s="74"/>
      <c r="H593" s="74"/>
    </row>
    <row r="594" spans="1:8" x14ac:dyDescent="0.25">
      <c r="A594" t="s">
        <v>3386</v>
      </c>
      <c r="B594" t="s">
        <v>1545</v>
      </c>
      <c r="C594" t="s">
        <v>7919</v>
      </c>
      <c r="D594" s="74">
        <v>2079</v>
      </c>
      <c r="E594" s="74">
        <v>1213</v>
      </c>
      <c r="F594" s="74"/>
      <c r="G594" s="74"/>
      <c r="H594" s="74"/>
    </row>
    <row r="595" spans="1:8" x14ac:dyDescent="0.25">
      <c r="A595" t="s">
        <v>3387</v>
      </c>
      <c r="B595" t="s">
        <v>1545</v>
      </c>
      <c r="C595" t="s">
        <v>7921</v>
      </c>
      <c r="D595" s="74">
        <v>429</v>
      </c>
      <c r="E595" s="74">
        <v>250</v>
      </c>
      <c r="F595" s="74"/>
      <c r="G595" s="74"/>
      <c r="H595" s="74"/>
    </row>
    <row r="596" spans="1:8" x14ac:dyDescent="0.25">
      <c r="A596" t="s">
        <v>3388</v>
      </c>
      <c r="B596" t="s">
        <v>1545</v>
      </c>
      <c r="C596" t="s">
        <v>7924</v>
      </c>
      <c r="D596" s="74">
        <v>979</v>
      </c>
      <c r="E596" s="74">
        <v>571</v>
      </c>
      <c r="F596" s="74"/>
      <c r="G596" s="74"/>
      <c r="H596" s="74"/>
    </row>
    <row r="597" spans="1:8" x14ac:dyDescent="0.25">
      <c r="A597" t="s">
        <v>3402</v>
      </c>
      <c r="B597" t="s">
        <v>1545</v>
      </c>
      <c r="C597" t="s">
        <v>7986</v>
      </c>
      <c r="D597" s="74">
        <v>9090</v>
      </c>
      <c r="E597" s="74">
        <v>5303</v>
      </c>
      <c r="F597" s="74"/>
      <c r="G597" s="74"/>
      <c r="H597" s="74"/>
    </row>
    <row r="598" spans="1:8" x14ac:dyDescent="0.25">
      <c r="A598" t="s">
        <v>3403</v>
      </c>
      <c r="B598" t="s">
        <v>1545</v>
      </c>
      <c r="C598" t="s">
        <v>7946</v>
      </c>
      <c r="D598" s="74">
        <v>9090</v>
      </c>
      <c r="E598" s="74">
        <v>5303</v>
      </c>
      <c r="F598" s="74"/>
      <c r="G598" s="74"/>
      <c r="H598" s="74"/>
    </row>
    <row r="599" spans="1:8" x14ac:dyDescent="0.25">
      <c r="A599" t="s">
        <v>2318</v>
      </c>
      <c r="B599" t="s">
        <v>52</v>
      </c>
      <c r="C599" t="s">
        <v>5737</v>
      </c>
      <c r="D599" s="74">
        <v>69290</v>
      </c>
      <c r="E599" s="74">
        <v>43306</v>
      </c>
      <c r="F599" s="74"/>
      <c r="G599" s="74"/>
      <c r="H599" s="74"/>
    </row>
    <row r="600" spans="1:8" x14ac:dyDescent="0.25">
      <c r="A600" t="s">
        <v>2287</v>
      </c>
      <c r="B600" t="s">
        <v>52</v>
      </c>
      <c r="C600" t="s">
        <v>7972</v>
      </c>
      <c r="D600" s="74">
        <v>69290</v>
      </c>
      <c r="E600" s="74">
        <v>43306</v>
      </c>
      <c r="F600" s="74"/>
      <c r="G600" s="74"/>
      <c r="H600" s="74"/>
    </row>
    <row r="601" spans="1:8" x14ac:dyDescent="0.25">
      <c r="A601" t="s">
        <v>2319</v>
      </c>
      <c r="B601" t="s">
        <v>52</v>
      </c>
      <c r="C601" t="s">
        <v>5739</v>
      </c>
      <c r="D601" s="74">
        <v>78290</v>
      </c>
      <c r="E601" s="74">
        <v>48931</v>
      </c>
      <c r="F601" s="74"/>
      <c r="G601" s="74"/>
      <c r="H601" s="74"/>
    </row>
    <row r="602" spans="1:8" x14ac:dyDescent="0.25">
      <c r="A602" t="s">
        <v>2289</v>
      </c>
      <c r="B602" t="s">
        <v>52</v>
      </c>
      <c r="C602" t="s">
        <v>7972</v>
      </c>
      <c r="D602" s="74">
        <v>78290</v>
      </c>
      <c r="E602" s="74">
        <v>48931</v>
      </c>
      <c r="F602" s="74"/>
      <c r="G602" s="74"/>
      <c r="H602" s="74"/>
    </row>
    <row r="603" spans="1:8" x14ac:dyDescent="0.25">
      <c r="A603" t="s">
        <v>2332</v>
      </c>
      <c r="B603" t="s">
        <v>1507</v>
      </c>
      <c r="C603" t="s">
        <v>5767</v>
      </c>
      <c r="D603" s="74">
        <v>15609</v>
      </c>
      <c r="E603" s="74">
        <v>8455</v>
      </c>
      <c r="F603" s="74"/>
      <c r="G603" s="74"/>
      <c r="H603" s="74"/>
    </row>
    <row r="604" spans="1:8" x14ac:dyDescent="0.25">
      <c r="A604" t="s">
        <v>2302</v>
      </c>
      <c r="B604" t="s">
        <v>52</v>
      </c>
      <c r="C604" t="s">
        <v>5725</v>
      </c>
      <c r="D604" s="74">
        <v>90990</v>
      </c>
      <c r="E604" s="74">
        <v>56869</v>
      </c>
      <c r="F604" s="74"/>
      <c r="G604" s="74"/>
      <c r="H604" s="74"/>
    </row>
    <row r="605" spans="1:8" x14ac:dyDescent="0.25">
      <c r="A605" t="s">
        <v>2303</v>
      </c>
      <c r="B605" t="s">
        <v>52</v>
      </c>
      <c r="C605" t="s">
        <v>7972</v>
      </c>
      <c r="D605" s="74">
        <v>90990</v>
      </c>
      <c r="E605" s="74">
        <v>56869</v>
      </c>
      <c r="F605" s="74"/>
      <c r="G605" s="74"/>
      <c r="H605" s="74"/>
    </row>
    <row r="606" spans="1:8" x14ac:dyDescent="0.25">
      <c r="A606" t="s">
        <v>2305</v>
      </c>
      <c r="B606" t="s">
        <v>52</v>
      </c>
      <c r="C606" t="s">
        <v>5733</v>
      </c>
      <c r="D606" s="74">
        <v>106890</v>
      </c>
      <c r="E606" s="74">
        <v>66806</v>
      </c>
      <c r="F606" s="74"/>
      <c r="G606" s="74"/>
      <c r="H606" s="74"/>
    </row>
    <row r="607" spans="1:8" x14ac:dyDescent="0.25">
      <c r="A607" t="s">
        <v>2304</v>
      </c>
      <c r="B607" t="s">
        <v>52</v>
      </c>
      <c r="C607" t="s">
        <v>7972</v>
      </c>
      <c r="D607" s="74">
        <v>106890</v>
      </c>
      <c r="E607" s="74">
        <v>66806</v>
      </c>
      <c r="F607" s="74"/>
      <c r="G607" s="74"/>
      <c r="H607" s="74"/>
    </row>
    <row r="608" spans="1:8" x14ac:dyDescent="0.25">
      <c r="A608" t="s">
        <v>2306</v>
      </c>
      <c r="B608" t="s">
        <v>52</v>
      </c>
      <c r="C608" t="s">
        <v>5734</v>
      </c>
      <c r="D608" s="74">
        <v>123390</v>
      </c>
      <c r="E608" s="74">
        <v>77119</v>
      </c>
      <c r="F608" s="74"/>
      <c r="G608" s="74"/>
      <c r="H608" s="74"/>
    </row>
    <row r="609" spans="1:8" x14ac:dyDescent="0.25">
      <c r="A609" t="s">
        <v>2307</v>
      </c>
      <c r="B609" t="s">
        <v>52</v>
      </c>
      <c r="C609" t="s">
        <v>7972</v>
      </c>
      <c r="D609" s="74">
        <v>123390</v>
      </c>
      <c r="E609" s="74">
        <v>77119</v>
      </c>
      <c r="F609" s="74"/>
      <c r="G609" s="74"/>
      <c r="H609" s="74"/>
    </row>
    <row r="610" spans="1:8" x14ac:dyDescent="0.25">
      <c r="A610" t="s">
        <v>1997</v>
      </c>
      <c r="B610" t="s">
        <v>1399</v>
      </c>
      <c r="C610" t="s">
        <v>4917</v>
      </c>
      <c r="D610" s="74">
        <v>2829</v>
      </c>
      <c r="E610" s="74">
        <v>1697</v>
      </c>
      <c r="F610" s="74"/>
      <c r="G610" s="74"/>
      <c r="H610" s="74"/>
    </row>
    <row r="611" spans="1:8" x14ac:dyDescent="0.25">
      <c r="A611" t="s">
        <v>1999</v>
      </c>
      <c r="B611" t="s">
        <v>1399</v>
      </c>
      <c r="C611" t="s">
        <v>4927</v>
      </c>
      <c r="D611" s="74">
        <v>2829</v>
      </c>
      <c r="E611" s="74">
        <v>1697</v>
      </c>
      <c r="F611" s="74"/>
      <c r="G611" s="74"/>
      <c r="H611" s="74"/>
    </row>
    <row r="612" spans="1:8" x14ac:dyDescent="0.25">
      <c r="A612" t="s">
        <v>2000</v>
      </c>
      <c r="B612" t="s">
        <v>1399</v>
      </c>
      <c r="C612" t="s">
        <v>4934</v>
      </c>
      <c r="D612" s="74">
        <v>2829</v>
      </c>
      <c r="E612" s="74">
        <v>1697</v>
      </c>
      <c r="F612" s="74"/>
      <c r="G612" s="74"/>
      <c r="H612" s="74"/>
    </row>
    <row r="613" spans="1:8" x14ac:dyDescent="0.25">
      <c r="A613" t="s">
        <v>2001</v>
      </c>
      <c r="B613" t="s">
        <v>1399</v>
      </c>
      <c r="C613" t="s">
        <v>4940</v>
      </c>
      <c r="D613" s="74">
        <v>3639</v>
      </c>
      <c r="E613" s="74">
        <v>2183</v>
      </c>
      <c r="F613" s="74"/>
      <c r="G613" s="74"/>
      <c r="H613" s="74"/>
    </row>
    <row r="614" spans="1:8" x14ac:dyDescent="0.25">
      <c r="A614" t="s">
        <v>2003</v>
      </c>
      <c r="B614" t="s">
        <v>1399</v>
      </c>
      <c r="C614" t="s">
        <v>4949</v>
      </c>
      <c r="D614" s="74">
        <v>3419</v>
      </c>
      <c r="E614" s="74">
        <v>2051</v>
      </c>
      <c r="F614" s="74"/>
      <c r="G614" s="74"/>
      <c r="H614" s="74"/>
    </row>
    <row r="615" spans="1:8" x14ac:dyDescent="0.25">
      <c r="A615" t="s">
        <v>2004</v>
      </c>
      <c r="B615" t="s">
        <v>1399</v>
      </c>
      <c r="C615" t="s">
        <v>4956</v>
      </c>
      <c r="D615" s="74">
        <v>3629</v>
      </c>
      <c r="E615" s="74">
        <v>2177</v>
      </c>
      <c r="F615" s="74"/>
      <c r="G615" s="74"/>
      <c r="H615" s="74"/>
    </row>
    <row r="616" spans="1:8" x14ac:dyDescent="0.25">
      <c r="A616" t="s">
        <v>2005</v>
      </c>
      <c r="B616" t="s">
        <v>1399</v>
      </c>
      <c r="C616" t="s">
        <v>4961</v>
      </c>
      <c r="D616" s="74">
        <v>3629</v>
      </c>
      <c r="E616" s="74">
        <v>2177</v>
      </c>
      <c r="F616" s="74"/>
      <c r="G616" s="74"/>
      <c r="H616" s="74"/>
    </row>
    <row r="617" spans="1:8" x14ac:dyDescent="0.25">
      <c r="A617" t="s">
        <v>2006</v>
      </c>
      <c r="B617" t="s">
        <v>1399</v>
      </c>
      <c r="C617" t="s">
        <v>4968</v>
      </c>
      <c r="D617" s="74">
        <v>4229</v>
      </c>
      <c r="E617" s="74">
        <v>2537</v>
      </c>
      <c r="F617" s="74"/>
      <c r="G617" s="74"/>
      <c r="H617" s="74"/>
    </row>
    <row r="618" spans="1:8" x14ac:dyDescent="0.25">
      <c r="A618" t="s">
        <v>2008</v>
      </c>
      <c r="B618" t="s">
        <v>1399</v>
      </c>
      <c r="C618" t="s">
        <v>7987</v>
      </c>
      <c r="D618" s="74">
        <v>1389</v>
      </c>
      <c r="E618" s="74">
        <v>845</v>
      </c>
      <c r="F618" s="74"/>
      <c r="G618" s="74"/>
      <c r="H618" s="74"/>
    </row>
    <row r="619" spans="1:8" x14ac:dyDescent="0.25">
      <c r="A619" t="s">
        <v>2009</v>
      </c>
      <c r="B619" t="s">
        <v>1399</v>
      </c>
      <c r="C619" t="s">
        <v>4978</v>
      </c>
      <c r="D619" s="74">
        <v>1459</v>
      </c>
      <c r="E619" s="74">
        <v>888</v>
      </c>
      <c r="F619" s="74"/>
      <c r="G619" s="74"/>
      <c r="H619" s="74"/>
    </row>
    <row r="620" spans="1:8" x14ac:dyDescent="0.25">
      <c r="A620" t="s">
        <v>2034</v>
      </c>
      <c r="B620" t="s">
        <v>1397</v>
      </c>
      <c r="C620" t="s">
        <v>5095</v>
      </c>
      <c r="D620" s="74">
        <v>1190</v>
      </c>
      <c r="E620" s="74">
        <v>734</v>
      </c>
      <c r="F620" s="74"/>
      <c r="G620" s="74"/>
      <c r="H620" s="74"/>
    </row>
    <row r="621" spans="1:8" x14ac:dyDescent="0.25">
      <c r="A621" t="s">
        <v>2023</v>
      </c>
      <c r="B621" t="s">
        <v>1397</v>
      </c>
      <c r="C621" t="s">
        <v>5043</v>
      </c>
      <c r="D621" s="74">
        <v>1429</v>
      </c>
      <c r="E621" s="74">
        <v>869</v>
      </c>
      <c r="F621" s="74"/>
      <c r="G621" s="74"/>
      <c r="H621" s="74"/>
    </row>
    <row r="622" spans="1:8" x14ac:dyDescent="0.25">
      <c r="A622" t="s">
        <v>2025</v>
      </c>
      <c r="B622" t="s">
        <v>1397</v>
      </c>
      <c r="C622" t="s">
        <v>5050</v>
      </c>
      <c r="D622" s="74">
        <v>1429</v>
      </c>
      <c r="E622" s="74">
        <v>869</v>
      </c>
      <c r="F622" s="74"/>
      <c r="G622" s="74"/>
      <c r="H622" s="74"/>
    </row>
    <row r="623" spans="1:8" x14ac:dyDescent="0.25">
      <c r="A623" t="s">
        <v>2027</v>
      </c>
      <c r="B623" t="s">
        <v>1397</v>
      </c>
      <c r="C623" t="s">
        <v>5055</v>
      </c>
      <c r="D623" s="74">
        <v>1929</v>
      </c>
      <c r="E623" s="74">
        <v>1173</v>
      </c>
      <c r="F623" s="74"/>
      <c r="G623" s="74"/>
      <c r="H623" s="74"/>
    </row>
    <row r="624" spans="1:8" x14ac:dyDescent="0.25">
      <c r="A624" t="s">
        <v>2028</v>
      </c>
      <c r="B624" t="s">
        <v>1397</v>
      </c>
      <c r="C624" t="s">
        <v>5061</v>
      </c>
      <c r="D624" s="74">
        <v>1249</v>
      </c>
      <c r="E624" s="74">
        <v>760</v>
      </c>
      <c r="F624" s="74"/>
      <c r="G624" s="74"/>
      <c r="H624" s="74"/>
    </row>
    <row r="625" spans="1:8" x14ac:dyDescent="0.25">
      <c r="A625" t="s">
        <v>2029</v>
      </c>
      <c r="B625" t="s">
        <v>1397</v>
      </c>
      <c r="C625" t="s">
        <v>5068</v>
      </c>
      <c r="D625" s="74">
        <v>1719</v>
      </c>
      <c r="E625" s="74">
        <v>1046</v>
      </c>
      <c r="F625" s="74"/>
      <c r="G625" s="74"/>
      <c r="H625" s="74"/>
    </row>
    <row r="626" spans="1:8" x14ac:dyDescent="0.25">
      <c r="A626" t="s">
        <v>2030</v>
      </c>
      <c r="B626" t="s">
        <v>1397</v>
      </c>
      <c r="C626" t="s">
        <v>5074</v>
      </c>
      <c r="D626" s="74">
        <v>1429</v>
      </c>
      <c r="E626" s="74">
        <v>869</v>
      </c>
      <c r="F626" s="74"/>
      <c r="G626" s="74"/>
      <c r="H626" s="74"/>
    </row>
    <row r="627" spans="1:8" x14ac:dyDescent="0.25">
      <c r="A627" t="s">
        <v>2031</v>
      </c>
      <c r="B627" t="s">
        <v>1397</v>
      </c>
      <c r="C627" t="s">
        <v>5080</v>
      </c>
      <c r="D627" s="74">
        <v>1790</v>
      </c>
      <c r="E627" s="74">
        <v>1089</v>
      </c>
      <c r="F627" s="74"/>
      <c r="G627" s="74"/>
      <c r="H627" s="74"/>
    </row>
    <row r="628" spans="1:8" x14ac:dyDescent="0.25">
      <c r="A628" t="s">
        <v>2033</v>
      </c>
      <c r="B628" t="s">
        <v>1397</v>
      </c>
      <c r="C628" t="s">
        <v>5087</v>
      </c>
      <c r="D628" s="74">
        <v>1429</v>
      </c>
      <c r="E628" s="74">
        <v>869</v>
      </c>
      <c r="F628" s="74"/>
      <c r="G628" s="74"/>
      <c r="H628" s="74"/>
    </row>
    <row r="629" spans="1:8" x14ac:dyDescent="0.25">
      <c r="A629" t="s">
        <v>2041</v>
      </c>
      <c r="B629" t="s">
        <v>1397</v>
      </c>
      <c r="C629" t="s">
        <v>5122</v>
      </c>
      <c r="D629" s="74">
        <v>1129</v>
      </c>
      <c r="E629" s="74">
        <v>687</v>
      </c>
      <c r="F629" s="74"/>
      <c r="G629" s="74"/>
      <c r="H629" s="74"/>
    </row>
    <row r="630" spans="1:8" x14ac:dyDescent="0.25">
      <c r="A630" t="s">
        <v>2042</v>
      </c>
      <c r="B630" t="s">
        <v>1397</v>
      </c>
      <c r="C630" t="s">
        <v>5126</v>
      </c>
      <c r="D630" s="74">
        <v>1359</v>
      </c>
      <c r="E630" s="74">
        <v>827</v>
      </c>
      <c r="F630" s="74"/>
      <c r="G630" s="74"/>
      <c r="H630" s="74"/>
    </row>
    <row r="631" spans="1:8" x14ac:dyDescent="0.25">
      <c r="A631" t="s">
        <v>2043</v>
      </c>
      <c r="B631" t="s">
        <v>1397</v>
      </c>
      <c r="C631" t="s">
        <v>5131</v>
      </c>
      <c r="D631" s="74">
        <v>1059</v>
      </c>
      <c r="E631" s="74">
        <v>644</v>
      </c>
      <c r="F631" s="74"/>
      <c r="G631" s="74"/>
      <c r="H631" s="74"/>
    </row>
    <row r="632" spans="1:8" x14ac:dyDescent="0.25">
      <c r="A632" t="s">
        <v>2044</v>
      </c>
      <c r="B632" t="s">
        <v>1397</v>
      </c>
      <c r="C632" t="s">
        <v>5136</v>
      </c>
      <c r="D632" s="74">
        <v>1159</v>
      </c>
      <c r="E632" s="74">
        <v>705</v>
      </c>
      <c r="F632" s="74"/>
      <c r="G632" s="74"/>
      <c r="H632" s="74"/>
    </row>
    <row r="633" spans="1:8" x14ac:dyDescent="0.25">
      <c r="A633" t="s">
        <v>2045</v>
      </c>
      <c r="B633" t="s">
        <v>1397</v>
      </c>
      <c r="C633" t="s">
        <v>5140</v>
      </c>
      <c r="D633" s="74">
        <v>1059</v>
      </c>
      <c r="E633" s="74">
        <v>644</v>
      </c>
      <c r="F633" s="74"/>
      <c r="G633" s="74"/>
      <c r="H633" s="74"/>
    </row>
    <row r="634" spans="1:8" x14ac:dyDescent="0.25">
      <c r="A634" t="s">
        <v>1956</v>
      </c>
      <c r="B634" t="s">
        <v>1395</v>
      </c>
      <c r="C634" t="s">
        <v>4733</v>
      </c>
      <c r="D634" s="74">
        <v>1579</v>
      </c>
      <c r="E634" s="74">
        <v>1013</v>
      </c>
      <c r="F634" s="74"/>
      <c r="G634" s="74"/>
      <c r="H634" s="74"/>
    </row>
    <row r="635" spans="1:8" x14ac:dyDescent="0.25">
      <c r="A635" t="s">
        <v>1957</v>
      </c>
      <c r="B635" t="s">
        <v>1395</v>
      </c>
      <c r="C635" t="s">
        <v>4742</v>
      </c>
      <c r="D635" s="74">
        <v>3979</v>
      </c>
      <c r="E635" s="74">
        <v>2553</v>
      </c>
      <c r="F635" s="74"/>
      <c r="G635" s="74"/>
      <c r="H635" s="74"/>
    </row>
    <row r="636" spans="1:8" x14ac:dyDescent="0.25">
      <c r="A636" t="s">
        <v>2527</v>
      </c>
      <c r="B636" t="s">
        <v>1518</v>
      </c>
      <c r="C636" t="s">
        <v>6063</v>
      </c>
      <c r="D636" s="74">
        <v>1393</v>
      </c>
      <c r="E636" s="74">
        <v>847</v>
      </c>
      <c r="F636" s="74"/>
      <c r="G636" s="74"/>
      <c r="H636" s="74"/>
    </row>
    <row r="637" spans="1:8" x14ac:dyDescent="0.25">
      <c r="A637" t="s">
        <v>2529</v>
      </c>
      <c r="B637" t="s">
        <v>1518</v>
      </c>
      <c r="C637" t="s">
        <v>6070</v>
      </c>
      <c r="D637" s="74">
        <v>1717</v>
      </c>
      <c r="E637" s="74">
        <v>1045</v>
      </c>
      <c r="F637" s="74"/>
      <c r="G637" s="74"/>
      <c r="H637" s="74"/>
    </row>
    <row r="638" spans="1:8" x14ac:dyDescent="0.25">
      <c r="A638" t="s">
        <v>2530</v>
      </c>
      <c r="B638" t="s">
        <v>1518</v>
      </c>
      <c r="C638" t="s">
        <v>6074</v>
      </c>
      <c r="D638" s="74">
        <v>2905</v>
      </c>
      <c r="E638" s="74">
        <v>1767</v>
      </c>
      <c r="F638" s="74"/>
      <c r="G638" s="74"/>
      <c r="H638" s="74"/>
    </row>
    <row r="639" spans="1:8" x14ac:dyDescent="0.25">
      <c r="A639" t="s">
        <v>2592</v>
      </c>
      <c r="B639" t="s">
        <v>1518</v>
      </c>
      <c r="C639" t="s">
        <v>6280</v>
      </c>
      <c r="D639" s="74">
        <v>3289</v>
      </c>
      <c r="E639" s="74">
        <v>2001</v>
      </c>
      <c r="F639" s="74"/>
      <c r="G639" s="74"/>
      <c r="H639" s="74"/>
    </row>
    <row r="640" spans="1:8" x14ac:dyDescent="0.25">
      <c r="A640" t="s">
        <v>2532</v>
      </c>
      <c r="B640" t="s">
        <v>1518</v>
      </c>
      <c r="C640" t="s">
        <v>6080</v>
      </c>
      <c r="D640" s="74">
        <v>3877</v>
      </c>
      <c r="E640" s="74">
        <v>2359</v>
      </c>
      <c r="F640" s="74"/>
      <c r="G640" s="74"/>
      <c r="H640" s="74"/>
    </row>
    <row r="641" spans="1:8" x14ac:dyDescent="0.25">
      <c r="A641" t="s">
        <v>2594</v>
      </c>
      <c r="B641" t="s">
        <v>1518</v>
      </c>
      <c r="C641" t="s">
        <v>6286</v>
      </c>
      <c r="D641" s="74">
        <v>1199</v>
      </c>
      <c r="E641" s="74">
        <v>729</v>
      </c>
      <c r="F641" s="74"/>
      <c r="G641" s="74"/>
      <c r="H641" s="74"/>
    </row>
    <row r="642" spans="1:8" x14ac:dyDescent="0.25">
      <c r="A642" t="s">
        <v>2535</v>
      </c>
      <c r="B642" t="s">
        <v>1518</v>
      </c>
      <c r="C642" t="s">
        <v>6092</v>
      </c>
      <c r="D642" s="74">
        <v>2927</v>
      </c>
      <c r="E642" s="74">
        <v>1781</v>
      </c>
      <c r="F642" s="74"/>
      <c r="G642" s="74"/>
      <c r="H642" s="74"/>
    </row>
    <row r="643" spans="1:8" x14ac:dyDescent="0.25">
      <c r="A643" t="s">
        <v>2537</v>
      </c>
      <c r="B643" t="s">
        <v>1518</v>
      </c>
      <c r="C643" t="s">
        <v>6099</v>
      </c>
      <c r="D643" s="74">
        <v>7333</v>
      </c>
      <c r="E643" s="74">
        <v>4461</v>
      </c>
      <c r="F643" s="74"/>
      <c r="G643" s="74"/>
      <c r="H643" s="74"/>
    </row>
    <row r="644" spans="1:8" x14ac:dyDescent="0.25">
      <c r="A644" t="s">
        <v>2598</v>
      </c>
      <c r="B644" t="s">
        <v>1518</v>
      </c>
      <c r="C644" t="s">
        <v>6290</v>
      </c>
      <c r="D644" s="74">
        <v>3769</v>
      </c>
      <c r="E644" s="74">
        <v>2293</v>
      </c>
      <c r="F644" s="74"/>
      <c r="G644" s="74"/>
      <c r="H644" s="74"/>
    </row>
    <row r="645" spans="1:8" x14ac:dyDescent="0.25">
      <c r="A645" t="s">
        <v>2541</v>
      </c>
      <c r="B645" t="s">
        <v>1518</v>
      </c>
      <c r="C645" t="s">
        <v>6114</v>
      </c>
      <c r="D645" s="74">
        <v>2041</v>
      </c>
      <c r="E645" s="74">
        <v>1242</v>
      </c>
      <c r="F645" s="74"/>
      <c r="G645" s="74"/>
      <c r="H645" s="74"/>
    </row>
    <row r="646" spans="1:8" x14ac:dyDescent="0.25">
      <c r="A646" t="s">
        <v>2542</v>
      </c>
      <c r="B646" t="s">
        <v>1518</v>
      </c>
      <c r="C646" t="s">
        <v>6119</v>
      </c>
      <c r="D646" s="74">
        <v>3337</v>
      </c>
      <c r="E646" s="74">
        <v>2030</v>
      </c>
      <c r="F646" s="74"/>
      <c r="G646" s="74"/>
      <c r="H646" s="74"/>
    </row>
    <row r="647" spans="1:8" x14ac:dyDescent="0.25">
      <c r="A647" t="s">
        <v>2544</v>
      </c>
      <c r="B647" t="s">
        <v>1518</v>
      </c>
      <c r="C647" t="s">
        <v>6126</v>
      </c>
      <c r="D647" s="74">
        <v>4957</v>
      </c>
      <c r="E647" s="74">
        <v>3016</v>
      </c>
      <c r="F647" s="74"/>
      <c r="G647" s="74"/>
      <c r="H647" s="74"/>
    </row>
    <row r="648" spans="1:8" x14ac:dyDescent="0.25">
      <c r="A648" t="s">
        <v>2545</v>
      </c>
      <c r="B648" t="s">
        <v>1518</v>
      </c>
      <c r="C648" t="s">
        <v>6126</v>
      </c>
      <c r="D648" s="74">
        <v>102</v>
      </c>
      <c r="E648" s="74">
        <v>62</v>
      </c>
      <c r="F648" s="74"/>
      <c r="G648" s="74"/>
      <c r="H648" s="74"/>
    </row>
    <row r="649" spans="1:8" x14ac:dyDescent="0.25">
      <c r="A649" t="s">
        <v>2593</v>
      </c>
      <c r="B649" t="s">
        <v>1518</v>
      </c>
      <c r="C649" t="s">
        <v>6283</v>
      </c>
      <c r="D649" s="74">
        <v>1419</v>
      </c>
      <c r="E649" s="74">
        <v>863</v>
      </c>
      <c r="F649" s="74"/>
      <c r="G649" s="74"/>
      <c r="H649" s="74"/>
    </row>
    <row r="650" spans="1:8" x14ac:dyDescent="0.25">
      <c r="A650" t="s">
        <v>2556</v>
      </c>
      <c r="B650" t="s">
        <v>1518</v>
      </c>
      <c r="C650" t="s">
        <v>6155</v>
      </c>
      <c r="D650" s="74">
        <v>4201</v>
      </c>
      <c r="E650" s="74">
        <v>2556</v>
      </c>
      <c r="F650" s="74"/>
      <c r="G650" s="74"/>
      <c r="H650" s="74"/>
    </row>
    <row r="651" spans="1:8" x14ac:dyDescent="0.25">
      <c r="A651" t="s">
        <v>2557</v>
      </c>
      <c r="B651" t="s">
        <v>1518</v>
      </c>
      <c r="C651" t="s">
        <v>6160</v>
      </c>
      <c r="D651" s="74">
        <v>8521</v>
      </c>
      <c r="E651" s="74">
        <v>5184</v>
      </c>
      <c r="F651" s="74"/>
      <c r="G651" s="74"/>
      <c r="H651" s="74"/>
    </row>
    <row r="652" spans="1:8" x14ac:dyDescent="0.25">
      <c r="A652" t="s">
        <v>2558</v>
      </c>
      <c r="B652" t="s">
        <v>1518</v>
      </c>
      <c r="C652" t="s">
        <v>6160</v>
      </c>
      <c r="D652" s="74">
        <v>205</v>
      </c>
      <c r="E652" s="74">
        <v>125</v>
      </c>
      <c r="F652" s="74"/>
      <c r="G652" s="74"/>
      <c r="H652" s="74"/>
    </row>
    <row r="653" spans="1:8" x14ac:dyDescent="0.25">
      <c r="A653" t="s">
        <v>2559</v>
      </c>
      <c r="B653" t="s">
        <v>1518</v>
      </c>
      <c r="C653" t="s">
        <v>6167</v>
      </c>
      <c r="D653" s="74">
        <v>313</v>
      </c>
      <c r="E653" s="74">
        <v>190</v>
      </c>
      <c r="F653" s="74"/>
      <c r="G653" s="74"/>
      <c r="H653" s="74"/>
    </row>
    <row r="654" spans="1:8" x14ac:dyDescent="0.25">
      <c r="A654" t="s">
        <v>2560</v>
      </c>
      <c r="B654" t="s">
        <v>1518</v>
      </c>
      <c r="C654" t="s">
        <v>6169</v>
      </c>
      <c r="D654" s="74">
        <v>529</v>
      </c>
      <c r="E654" s="74">
        <v>322</v>
      </c>
      <c r="F654" s="74"/>
      <c r="G654" s="74"/>
      <c r="H654" s="74"/>
    </row>
    <row r="655" spans="1:8" x14ac:dyDescent="0.25">
      <c r="A655" t="s">
        <v>2562</v>
      </c>
      <c r="B655" t="s">
        <v>1518</v>
      </c>
      <c r="C655" t="s">
        <v>6176</v>
      </c>
      <c r="D655" s="74">
        <v>2905</v>
      </c>
      <c r="E655" s="74">
        <v>1767</v>
      </c>
      <c r="F655" s="74"/>
      <c r="G655" s="74"/>
      <c r="H655" s="74"/>
    </row>
    <row r="656" spans="1:8" x14ac:dyDescent="0.25">
      <c r="A656" t="s">
        <v>2565</v>
      </c>
      <c r="B656" t="s">
        <v>1518</v>
      </c>
      <c r="C656" t="s">
        <v>6185</v>
      </c>
      <c r="D656" s="74">
        <v>7441</v>
      </c>
      <c r="E656" s="74">
        <v>4527</v>
      </c>
      <c r="F656" s="74"/>
      <c r="G656" s="74"/>
      <c r="H656" s="74"/>
    </row>
    <row r="657" spans="1:8" x14ac:dyDescent="0.25">
      <c r="A657" t="s">
        <v>2566</v>
      </c>
      <c r="B657" t="s">
        <v>1518</v>
      </c>
      <c r="C657" t="s">
        <v>6190</v>
      </c>
      <c r="D657" s="74">
        <v>146</v>
      </c>
      <c r="E657" s="74">
        <v>89</v>
      </c>
      <c r="F657" s="74"/>
      <c r="G657" s="74"/>
      <c r="H657" s="74"/>
    </row>
    <row r="658" spans="1:8" x14ac:dyDescent="0.25">
      <c r="A658" t="s">
        <v>2570</v>
      </c>
      <c r="B658" t="s">
        <v>1518</v>
      </c>
      <c r="C658" t="s">
        <v>6197</v>
      </c>
      <c r="D658" s="74">
        <v>6037</v>
      </c>
      <c r="E658" s="74">
        <v>3673</v>
      </c>
      <c r="F658" s="74"/>
      <c r="G658" s="74"/>
      <c r="H658" s="74"/>
    </row>
    <row r="659" spans="1:8" x14ac:dyDescent="0.25">
      <c r="A659" t="s">
        <v>2571</v>
      </c>
      <c r="B659" t="s">
        <v>1518</v>
      </c>
      <c r="C659" t="s">
        <v>6202</v>
      </c>
      <c r="D659" s="74">
        <v>12301</v>
      </c>
      <c r="E659" s="74">
        <v>7483</v>
      </c>
      <c r="F659" s="74"/>
      <c r="G659" s="74"/>
      <c r="H659" s="74"/>
    </row>
    <row r="660" spans="1:8" x14ac:dyDescent="0.25">
      <c r="A660" t="s">
        <v>2572</v>
      </c>
      <c r="B660" t="s">
        <v>1518</v>
      </c>
      <c r="C660" t="s">
        <v>6207</v>
      </c>
      <c r="D660" s="74">
        <v>205</v>
      </c>
      <c r="E660" s="74">
        <v>125</v>
      </c>
      <c r="F660" s="74"/>
      <c r="G660" s="74"/>
      <c r="H660" s="74"/>
    </row>
    <row r="661" spans="1:8" x14ac:dyDescent="0.25">
      <c r="A661" t="s">
        <v>2575</v>
      </c>
      <c r="B661" t="s">
        <v>1518</v>
      </c>
      <c r="C661" t="s">
        <v>6217</v>
      </c>
      <c r="D661" s="74">
        <v>4417</v>
      </c>
      <c r="E661" s="74">
        <v>2687</v>
      </c>
      <c r="F661" s="74"/>
      <c r="G661" s="74"/>
      <c r="H661" s="74"/>
    </row>
    <row r="662" spans="1:8" x14ac:dyDescent="0.25">
      <c r="A662" t="s">
        <v>2577</v>
      </c>
      <c r="B662" t="s">
        <v>1518</v>
      </c>
      <c r="C662" t="s">
        <v>6226</v>
      </c>
      <c r="D662" s="74">
        <v>11221</v>
      </c>
      <c r="E662" s="74">
        <v>6826</v>
      </c>
      <c r="F662" s="74"/>
      <c r="G662" s="74"/>
      <c r="H662" s="74"/>
    </row>
    <row r="663" spans="1:8" x14ac:dyDescent="0.25">
      <c r="A663" t="s">
        <v>2579</v>
      </c>
      <c r="B663" t="s">
        <v>1518</v>
      </c>
      <c r="C663" t="s">
        <v>6232</v>
      </c>
      <c r="D663" s="74">
        <v>9061</v>
      </c>
      <c r="E663" s="74">
        <v>5512</v>
      </c>
      <c r="F663" s="74"/>
      <c r="G663" s="74"/>
      <c r="H663" s="74"/>
    </row>
    <row r="664" spans="1:8" x14ac:dyDescent="0.25">
      <c r="A664" t="s">
        <v>2522</v>
      </c>
      <c r="B664" t="s">
        <v>1518</v>
      </c>
      <c r="C664" t="s">
        <v>6044</v>
      </c>
      <c r="D664" s="74">
        <v>1264</v>
      </c>
      <c r="E664" s="74">
        <v>822</v>
      </c>
      <c r="F664" s="74"/>
      <c r="G664" s="74"/>
      <c r="H664" s="74"/>
    </row>
    <row r="665" spans="1:8" x14ac:dyDescent="0.25">
      <c r="A665" t="s">
        <v>2524</v>
      </c>
      <c r="B665" t="s">
        <v>1518</v>
      </c>
      <c r="C665" t="s">
        <v>6053</v>
      </c>
      <c r="D665" s="74">
        <v>1825</v>
      </c>
      <c r="E665" s="74">
        <v>1293</v>
      </c>
      <c r="F665" s="74"/>
      <c r="G665" s="74"/>
      <c r="H665" s="74"/>
    </row>
    <row r="666" spans="1:8" x14ac:dyDescent="0.25">
      <c r="A666" t="s">
        <v>2520</v>
      </c>
      <c r="B666" t="s">
        <v>1518</v>
      </c>
      <c r="C666" t="s">
        <v>6035</v>
      </c>
      <c r="D666" s="74">
        <v>2739</v>
      </c>
      <c r="E666" s="74">
        <v>1894</v>
      </c>
      <c r="F666" s="74"/>
      <c r="G666" s="74"/>
      <c r="H666" s="74"/>
    </row>
    <row r="667" spans="1:8" x14ac:dyDescent="0.25">
      <c r="A667" t="s">
        <v>2521</v>
      </c>
      <c r="B667" t="s">
        <v>1518</v>
      </c>
      <c r="C667" t="s">
        <v>6039</v>
      </c>
      <c r="D667" s="74">
        <v>2419</v>
      </c>
      <c r="E667" s="74">
        <v>1653</v>
      </c>
      <c r="F667" s="74"/>
      <c r="G667" s="74"/>
      <c r="H667" s="74"/>
    </row>
    <row r="668" spans="1:8" x14ac:dyDescent="0.25">
      <c r="A668" t="s">
        <v>2599</v>
      </c>
      <c r="B668" t="s">
        <v>1518</v>
      </c>
      <c r="C668" t="s">
        <v>6295</v>
      </c>
      <c r="D668" s="74">
        <v>4741</v>
      </c>
      <c r="E668" s="74">
        <v>3240</v>
      </c>
      <c r="F668" s="74"/>
      <c r="G668" s="74"/>
      <c r="H668" s="74"/>
    </row>
    <row r="669" spans="1:8" x14ac:dyDescent="0.25">
      <c r="A669" t="s">
        <v>2600</v>
      </c>
      <c r="B669" t="s">
        <v>1518</v>
      </c>
      <c r="C669" t="s">
        <v>6298</v>
      </c>
      <c r="D669" s="74">
        <v>2041</v>
      </c>
      <c r="E669" s="74">
        <v>1395</v>
      </c>
      <c r="F669" s="74"/>
      <c r="G669" s="74"/>
      <c r="H669" s="74"/>
    </row>
    <row r="670" spans="1:8" x14ac:dyDescent="0.25">
      <c r="A670" t="s">
        <v>218</v>
      </c>
      <c r="B670" t="s">
        <v>1521</v>
      </c>
      <c r="C670" t="s">
        <v>6309</v>
      </c>
      <c r="D670" s="74">
        <v>285</v>
      </c>
      <c r="E670" s="74">
        <v>176</v>
      </c>
      <c r="F670" s="74"/>
      <c r="G670" s="74"/>
      <c r="H670" s="74"/>
    </row>
    <row r="671" spans="1:8" x14ac:dyDescent="0.25">
      <c r="A671" t="s">
        <v>221</v>
      </c>
      <c r="B671" t="s">
        <v>1521</v>
      </c>
      <c r="C671" t="s">
        <v>6317</v>
      </c>
      <c r="D671" s="74">
        <v>285</v>
      </c>
      <c r="E671" s="74">
        <v>176</v>
      </c>
      <c r="F671" s="74"/>
      <c r="G671" s="74"/>
      <c r="H671" s="74"/>
    </row>
    <row r="672" spans="1:8" x14ac:dyDescent="0.25">
      <c r="A672" t="s">
        <v>224</v>
      </c>
      <c r="B672" t="s">
        <v>1521</v>
      </c>
      <c r="C672" t="s">
        <v>6324</v>
      </c>
      <c r="D672" s="74">
        <v>299</v>
      </c>
      <c r="E672" s="74">
        <v>184</v>
      </c>
      <c r="F672" s="74"/>
      <c r="G672" s="74"/>
      <c r="H672" s="74"/>
    </row>
    <row r="673" spans="1:8" x14ac:dyDescent="0.25">
      <c r="A673" t="s">
        <v>2726</v>
      </c>
      <c r="B673" t="s">
        <v>1521</v>
      </c>
      <c r="C673" t="s">
        <v>6544</v>
      </c>
      <c r="D673" s="74">
        <v>1122</v>
      </c>
      <c r="E673" s="74">
        <v>683</v>
      </c>
      <c r="F673" s="74"/>
      <c r="G673" s="74"/>
      <c r="H673" s="74"/>
    </row>
    <row r="674" spans="1:8" x14ac:dyDescent="0.25">
      <c r="A674" t="s">
        <v>2678</v>
      </c>
      <c r="B674" t="s">
        <v>1521</v>
      </c>
      <c r="C674" t="s">
        <v>6458</v>
      </c>
      <c r="D674" s="74">
        <v>649</v>
      </c>
      <c r="E674" s="74">
        <v>400</v>
      </c>
      <c r="F674" s="74"/>
      <c r="G674" s="74"/>
      <c r="H674" s="74"/>
    </row>
    <row r="675" spans="1:8" x14ac:dyDescent="0.25">
      <c r="A675" t="s">
        <v>2681</v>
      </c>
      <c r="B675" t="s">
        <v>1521</v>
      </c>
      <c r="C675" t="s">
        <v>6460</v>
      </c>
      <c r="D675" s="74">
        <v>759</v>
      </c>
      <c r="E675" s="74">
        <v>468</v>
      </c>
      <c r="F675" s="74"/>
      <c r="G675" s="74"/>
      <c r="H675" s="74"/>
    </row>
    <row r="676" spans="1:8" x14ac:dyDescent="0.25">
      <c r="A676" t="s">
        <v>2633</v>
      </c>
      <c r="B676" t="s">
        <v>1521</v>
      </c>
      <c r="C676" t="s">
        <v>6381</v>
      </c>
      <c r="D676" s="74">
        <v>539</v>
      </c>
      <c r="E676" s="74">
        <v>332</v>
      </c>
      <c r="F676" s="74"/>
      <c r="G676" s="74"/>
      <c r="H676" s="74"/>
    </row>
    <row r="677" spans="1:8" x14ac:dyDescent="0.25">
      <c r="A677" t="s">
        <v>2636</v>
      </c>
      <c r="B677" t="s">
        <v>1521</v>
      </c>
      <c r="C677" t="s">
        <v>6389</v>
      </c>
      <c r="D677" s="74">
        <v>539</v>
      </c>
      <c r="E677" s="74">
        <v>332</v>
      </c>
      <c r="F677" s="74"/>
      <c r="G677" s="74"/>
      <c r="H677" s="74"/>
    </row>
    <row r="678" spans="1:8" x14ac:dyDescent="0.25">
      <c r="A678" t="s">
        <v>2648</v>
      </c>
      <c r="B678" t="s">
        <v>1521</v>
      </c>
      <c r="C678" t="s">
        <v>6411</v>
      </c>
      <c r="D678" s="74">
        <v>429</v>
      </c>
      <c r="E678" s="74">
        <v>265</v>
      </c>
      <c r="F678" s="74"/>
      <c r="G678" s="74"/>
      <c r="H678" s="74"/>
    </row>
    <row r="679" spans="1:8" x14ac:dyDescent="0.25">
      <c r="A679" t="s">
        <v>2651</v>
      </c>
      <c r="B679" t="s">
        <v>1521</v>
      </c>
      <c r="C679" t="s">
        <v>6415</v>
      </c>
      <c r="D679" s="74">
        <v>539</v>
      </c>
      <c r="E679" s="74">
        <v>332</v>
      </c>
      <c r="F679" s="74"/>
      <c r="G679" s="74"/>
      <c r="H679" s="74"/>
    </row>
    <row r="680" spans="1:8" x14ac:dyDescent="0.25">
      <c r="A680" t="s">
        <v>219</v>
      </c>
      <c r="B680" t="s">
        <v>1521</v>
      </c>
      <c r="C680" t="s">
        <v>6311</v>
      </c>
      <c r="D680" s="74">
        <v>662</v>
      </c>
      <c r="E680" s="74">
        <v>408</v>
      </c>
      <c r="F680" s="74"/>
      <c r="G680" s="74"/>
      <c r="H680" s="74"/>
    </row>
    <row r="681" spans="1:8" x14ac:dyDescent="0.25">
      <c r="A681" t="s">
        <v>222</v>
      </c>
      <c r="B681" t="s">
        <v>1521</v>
      </c>
      <c r="C681" t="s">
        <v>6318</v>
      </c>
      <c r="D681" s="74">
        <v>662</v>
      </c>
      <c r="E681" s="74">
        <v>408</v>
      </c>
      <c r="F681" s="74"/>
      <c r="G681" s="74"/>
      <c r="H681" s="74"/>
    </row>
    <row r="682" spans="1:8" x14ac:dyDescent="0.25">
      <c r="A682" t="s">
        <v>2641</v>
      </c>
      <c r="B682" t="s">
        <v>1521</v>
      </c>
      <c r="C682" t="s">
        <v>6395</v>
      </c>
      <c r="D682" s="74">
        <v>662</v>
      </c>
      <c r="E682" s="74">
        <v>408</v>
      </c>
      <c r="F682" s="74"/>
      <c r="G682" s="74"/>
      <c r="H682" s="74"/>
    </row>
    <row r="683" spans="1:8" x14ac:dyDescent="0.25">
      <c r="A683" t="s">
        <v>2683</v>
      </c>
      <c r="B683" t="s">
        <v>1521</v>
      </c>
      <c r="C683" t="s">
        <v>6463</v>
      </c>
      <c r="D683" s="74">
        <v>1089</v>
      </c>
      <c r="E683" s="74">
        <v>662</v>
      </c>
      <c r="F683" s="74"/>
      <c r="G683" s="74"/>
      <c r="H683" s="74"/>
    </row>
    <row r="684" spans="1:8" x14ac:dyDescent="0.25">
      <c r="A684" t="s">
        <v>2685</v>
      </c>
      <c r="B684" t="s">
        <v>1521</v>
      </c>
      <c r="C684" t="s">
        <v>6467</v>
      </c>
      <c r="D684" s="74">
        <v>1089</v>
      </c>
      <c r="E684" s="74">
        <v>662</v>
      </c>
      <c r="F684" s="74"/>
      <c r="G684" s="74"/>
      <c r="H684" s="74"/>
    </row>
    <row r="685" spans="1:8" x14ac:dyDescent="0.25">
      <c r="A685" t="s">
        <v>2643</v>
      </c>
      <c r="B685" t="s">
        <v>1521</v>
      </c>
      <c r="C685" t="s">
        <v>6399</v>
      </c>
      <c r="D685" s="74">
        <v>759</v>
      </c>
      <c r="E685" s="74">
        <v>468</v>
      </c>
      <c r="F685" s="74"/>
      <c r="G685" s="74"/>
      <c r="H685" s="74"/>
    </row>
    <row r="686" spans="1:8" x14ac:dyDescent="0.25">
      <c r="A686" t="s">
        <v>2645</v>
      </c>
      <c r="B686" t="s">
        <v>1521</v>
      </c>
      <c r="C686" t="s">
        <v>6404</v>
      </c>
      <c r="D686" s="74">
        <v>869</v>
      </c>
      <c r="E686" s="74">
        <v>536</v>
      </c>
      <c r="F686" s="74"/>
      <c r="G686" s="74"/>
      <c r="H686" s="74"/>
    </row>
    <row r="687" spans="1:8" x14ac:dyDescent="0.25">
      <c r="A687" t="s">
        <v>2691</v>
      </c>
      <c r="B687" t="s">
        <v>1523</v>
      </c>
      <c r="C687" t="s">
        <v>6475</v>
      </c>
      <c r="D687" s="74">
        <v>1309</v>
      </c>
      <c r="E687" s="74">
        <v>798</v>
      </c>
      <c r="F687" s="74"/>
      <c r="G687" s="74"/>
      <c r="H687" s="74"/>
    </row>
    <row r="688" spans="1:8" x14ac:dyDescent="0.25">
      <c r="A688" t="s">
        <v>2698</v>
      </c>
      <c r="B688" t="s">
        <v>1523</v>
      </c>
      <c r="C688" t="s">
        <v>6487</v>
      </c>
      <c r="D688" s="74">
        <v>1859</v>
      </c>
      <c r="E688" s="74">
        <v>1131</v>
      </c>
      <c r="F688" s="74"/>
      <c r="G688" s="74"/>
      <c r="H688" s="74"/>
    </row>
    <row r="689" spans="1:8" x14ac:dyDescent="0.25">
      <c r="A689" t="s">
        <v>2703</v>
      </c>
      <c r="B689" t="s">
        <v>1523</v>
      </c>
      <c r="C689" t="s">
        <v>6496</v>
      </c>
      <c r="D689" s="74">
        <v>3729</v>
      </c>
      <c r="E689" s="74">
        <v>2268</v>
      </c>
      <c r="F689" s="74"/>
      <c r="G689" s="74"/>
      <c r="H689" s="74"/>
    </row>
    <row r="690" spans="1:8" x14ac:dyDescent="0.25">
      <c r="A690" t="s">
        <v>2702</v>
      </c>
      <c r="B690" t="s">
        <v>1523</v>
      </c>
      <c r="C690" t="s">
        <v>6494</v>
      </c>
      <c r="D690" s="74">
        <v>1309</v>
      </c>
      <c r="E690" s="74">
        <v>796</v>
      </c>
      <c r="F690" s="74"/>
      <c r="G690" s="74"/>
      <c r="H690" s="74"/>
    </row>
    <row r="691" spans="1:8" x14ac:dyDescent="0.25">
      <c r="A691" t="s">
        <v>2468</v>
      </c>
      <c r="B691" t="s">
        <v>1514</v>
      </c>
      <c r="C691" t="s">
        <v>5921</v>
      </c>
      <c r="D691" s="74">
        <v>759</v>
      </c>
      <c r="E691" s="74">
        <v>455</v>
      </c>
      <c r="F691" s="74"/>
      <c r="G691" s="74"/>
      <c r="H691" s="74"/>
    </row>
    <row r="692" spans="1:8" x14ac:dyDescent="0.25">
      <c r="A692" t="s">
        <v>2471</v>
      </c>
      <c r="B692" t="s">
        <v>1514</v>
      </c>
      <c r="C692" t="s">
        <v>5927</v>
      </c>
      <c r="D692" s="74">
        <v>1199</v>
      </c>
      <c r="E692" s="74">
        <v>719</v>
      </c>
      <c r="F692" s="74"/>
      <c r="G692" s="74"/>
      <c r="H692" s="74"/>
    </row>
    <row r="693" spans="1:8" x14ac:dyDescent="0.25">
      <c r="A693" t="s">
        <v>2502</v>
      </c>
      <c r="B693" t="s">
        <v>1514</v>
      </c>
      <c r="C693" t="s">
        <v>5995</v>
      </c>
      <c r="D693" s="74">
        <v>1529</v>
      </c>
      <c r="E693" s="74">
        <v>917</v>
      </c>
      <c r="F693" s="74"/>
      <c r="G693" s="74"/>
      <c r="H693" s="74"/>
    </row>
    <row r="694" spans="1:8" x14ac:dyDescent="0.25">
      <c r="A694" t="s">
        <v>2503</v>
      </c>
      <c r="B694" t="s">
        <v>1514</v>
      </c>
      <c r="C694" t="s">
        <v>7972</v>
      </c>
      <c r="D694" s="74">
        <v>1529</v>
      </c>
      <c r="E694" s="74">
        <v>917</v>
      </c>
      <c r="F694" s="74"/>
      <c r="G694" s="74"/>
      <c r="H694" s="74"/>
    </row>
    <row r="695" spans="1:8" x14ac:dyDescent="0.25">
      <c r="A695" t="s">
        <v>2517</v>
      </c>
      <c r="B695" t="s">
        <v>1514</v>
      </c>
      <c r="C695" t="s">
        <v>6024</v>
      </c>
      <c r="D695" s="74">
        <v>1969</v>
      </c>
      <c r="E695" s="74">
        <v>1181</v>
      </c>
      <c r="F695" s="74"/>
      <c r="G695" s="74"/>
      <c r="H695" s="74"/>
    </row>
    <row r="696" spans="1:8" x14ac:dyDescent="0.25">
      <c r="A696" t="s">
        <v>2518</v>
      </c>
      <c r="B696" t="s">
        <v>1514</v>
      </c>
      <c r="C696" t="s">
        <v>6024</v>
      </c>
      <c r="D696" s="74">
        <v>1969</v>
      </c>
      <c r="E696" s="74">
        <v>1116</v>
      </c>
      <c r="F696" s="74"/>
      <c r="G696" s="74"/>
      <c r="H696" s="74"/>
    </row>
    <row r="697" spans="1:8" x14ac:dyDescent="0.25">
      <c r="A697" t="s">
        <v>2504</v>
      </c>
      <c r="B697" t="s">
        <v>1514</v>
      </c>
      <c r="C697" t="s">
        <v>5999</v>
      </c>
      <c r="D697" s="74">
        <v>2299</v>
      </c>
      <c r="E697" s="74">
        <v>1381</v>
      </c>
      <c r="F697" s="74"/>
      <c r="G697" s="74"/>
      <c r="H697" s="74"/>
    </row>
    <row r="698" spans="1:8" x14ac:dyDescent="0.25">
      <c r="A698" t="s">
        <v>2511</v>
      </c>
      <c r="B698" t="s">
        <v>1514</v>
      </c>
      <c r="C698" t="s">
        <v>6014</v>
      </c>
      <c r="D698" s="74">
        <v>2739</v>
      </c>
      <c r="E698" s="74">
        <v>1643</v>
      </c>
      <c r="F698" s="74"/>
      <c r="G698" s="74"/>
      <c r="H698" s="74"/>
    </row>
    <row r="699" spans="1:8" x14ac:dyDescent="0.25">
      <c r="A699" t="s">
        <v>2476</v>
      </c>
      <c r="B699" t="s">
        <v>1514</v>
      </c>
      <c r="C699" t="s">
        <v>5935</v>
      </c>
      <c r="D699" s="74">
        <v>1089</v>
      </c>
      <c r="E699" s="74">
        <v>653</v>
      </c>
      <c r="F699" s="74"/>
      <c r="G699" s="74"/>
      <c r="H699" s="74"/>
    </row>
    <row r="700" spans="1:8" x14ac:dyDescent="0.25">
      <c r="A700" t="s">
        <v>2479</v>
      </c>
      <c r="B700" t="s">
        <v>1514</v>
      </c>
      <c r="C700" t="s">
        <v>5944</v>
      </c>
      <c r="D700" s="74">
        <v>1309</v>
      </c>
      <c r="E700" s="74">
        <v>785</v>
      </c>
      <c r="F700" s="74"/>
      <c r="G700" s="74"/>
      <c r="H700" s="74"/>
    </row>
    <row r="701" spans="1:8" x14ac:dyDescent="0.25">
      <c r="A701" t="s">
        <v>2487</v>
      </c>
      <c r="B701" t="s">
        <v>1514</v>
      </c>
      <c r="C701" t="s">
        <v>5956</v>
      </c>
      <c r="D701" s="74">
        <v>1089</v>
      </c>
      <c r="E701" s="74">
        <v>654</v>
      </c>
      <c r="F701" s="74"/>
      <c r="G701" s="74"/>
      <c r="H701" s="74"/>
    </row>
    <row r="702" spans="1:8" x14ac:dyDescent="0.25">
      <c r="A702" t="s">
        <v>2488</v>
      </c>
      <c r="B702" t="s">
        <v>1514</v>
      </c>
      <c r="C702" t="s">
        <v>5960</v>
      </c>
      <c r="D702" s="74">
        <v>1089</v>
      </c>
      <c r="E702" s="74">
        <v>653</v>
      </c>
      <c r="F702" s="74"/>
      <c r="G702" s="74"/>
      <c r="H702" s="74"/>
    </row>
    <row r="703" spans="1:8" x14ac:dyDescent="0.25">
      <c r="A703" t="s">
        <v>2505</v>
      </c>
      <c r="B703" t="s">
        <v>1514</v>
      </c>
      <c r="C703" t="s">
        <v>6002</v>
      </c>
      <c r="D703" s="74">
        <v>2519</v>
      </c>
      <c r="E703" s="74">
        <v>1512</v>
      </c>
      <c r="F703" s="74"/>
      <c r="G703" s="74"/>
      <c r="H703" s="74"/>
    </row>
    <row r="704" spans="1:8" x14ac:dyDescent="0.25">
      <c r="A704" t="s">
        <v>2507</v>
      </c>
      <c r="B704" t="s">
        <v>1514</v>
      </c>
      <c r="C704" t="s">
        <v>6003</v>
      </c>
      <c r="D704" s="74">
        <v>2519</v>
      </c>
      <c r="E704" s="74">
        <v>1512</v>
      </c>
      <c r="F704" s="74"/>
      <c r="G704" s="74"/>
      <c r="H704" s="74"/>
    </row>
    <row r="705" spans="1:8" x14ac:dyDescent="0.25">
      <c r="A705" t="s">
        <v>2508</v>
      </c>
      <c r="B705" t="s">
        <v>1514</v>
      </c>
      <c r="C705" t="s">
        <v>6006</v>
      </c>
      <c r="D705" s="74">
        <v>3729</v>
      </c>
      <c r="E705" s="74">
        <v>2239</v>
      </c>
      <c r="F705" s="74"/>
      <c r="G705" s="74"/>
      <c r="H705" s="74"/>
    </row>
    <row r="706" spans="1:8" x14ac:dyDescent="0.25">
      <c r="A706" t="s">
        <v>2497</v>
      </c>
      <c r="B706" t="s">
        <v>1514</v>
      </c>
      <c r="C706" t="s">
        <v>5984</v>
      </c>
      <c r="D706" s="74">
        <v>1969</v>
      </c>
      <c r="E706" s="74">
        <v>1181</v>
      </c>
      <c r="F706" s="74"/>
      <c r="G706" s="74"/>
      <c r="H706" s="74"/>
    </row>
    <row r="707" spans="1:8" x14ac:dyDescent="0.25">
      <c r="A707" t="s">
        <v>2510</v>
      </c>
      <c r="B707" t="s">
        <v>1514</v>
      </c>
      <c r="C707" t="s">
        <v>6012</v>
      </c>
      <c r="D707" s="74">
        <v>1969</v>
      </c>
      <c r="E707" s="74">
        <v>1181</v>
      </c>
      <c r="F707" s="74"/>
      <c r="G707" s="74"/>
      <c r="H707" s="74"/>
    </row>
    <row r="708" spans="1:8" x14ac:dyDescent="0.25">
      <c r="A708" t="s">
        <v>2490</v>
      </c>
      <c r="B708" t="s">
        <v>1514</v>
      </c>
      <c r="C708" t="s">
        <v>5965</v>
      </c>
      <c r="D708" s="74">
        <v>1859</v>
      </c>
      <c r="E708" s="74">
        <v>1115</v>
      </c>
      <c r="F708" s="74"/>
      <c r="G708" s="74"/>
      <c r="H708" s="74"/>
    </row>
    <row r="709" spans="1:8" x14ac:dyDescent="0.25">
      <c r="A709" t="s">
        <v>2492</v>
      </c>
      <c r="B709" t="s">
        <v>1514</v>
      </c>
      <c r="C709" t="s">
        <v>5970</v>
      </c>
      <c r="D709" s="74">
        <v>1859</v>
      </c>
      <c r="E709" s="74">
        <v>1115</v>
      </c>
      <c r="F709" s="74"/>
      <c r="G709" s="74"/>
      <c r="H709" s="74"/>
    </row>
    <row r="710" spans="1:8" x14ac:dyDescent="0.25">
      <c r="A710" t="s">
        <v>2500</v>
      </c>
      <c r="B710" t="s">
        <v>1514</v>
      </c>
      <c r="C710" t="s">
        <v>5990</v>
      </c>
      <c r="D710" s="74">
        <v>2849</v>
      </c>
      <c r="E710" s="74">
        <v>1709</v>
      </c>
      <c r="F710" s="74"/>
      <c r="G710" s="74"/>
      <c r="H710" s="74"/>
    </row>
    <row r="711" spans="1:8" x14ac:dyDescent="0.25">
      <c r="A711" t="s">
        <v>2509</v>
      </c>
      <c r="B711" t="s">
        <v>1514</v>
      </c>
      <c r="C711" t="s">
        <v>6008</v>
      </c>
      <c r="D711" s="74">
        <v>3399</v>
      </c>
      <c r="E711" s="74">
        <v>2039</v>
      </c>
      <c r="F711" s="74"/>
      <c r="G711" s="74"/>
      <c r="H711" s="74"/>
    </row>
    <row r="712" spans="1:8" x14ac:dyDescent="0.25">
      <c r="A712" t="s">
        <v>2442</v>
      </c>
      <c r="B712" t="s">
        <v>1514</v>
      </c>
      <c r="C712" t="s">
        <v>5851</v>
      </c>
      <c r="D712" s="74">
        <v>1089</v>
      </c>
      <c r="E712" s="74">
        <v>653</v>
      </c>
      <c r="F712" s="74"/>
      <c r="G712" s="74"/>
      <c r="H712" s="74"/>
    </row>
    <row r="713" spans="1:8" x14ac:dyDescent="0.25">
      <c r="A713" t="s">
        <v>2513</v>
      </c>
      <c r="B713" t="s">
        <v>1514</v>
      </c>
      <c r="C713" t="s">
        <v>6018</v>
      </c>
      <c r="D713" s="74">
        <v>1199</v>
      </c>
      <c r="E713" s="74">
        <v>719</v>
      </c>
      <c r="F713" s="74"/>
      <c r="G713" s="74"/>
      <c r="H713" s="74"/>
    </row>
    <row r="714" spans="1:8" x14ac:dyDescent="0.25">
      <c r="A714" t="s">
        <v>2443</v>
      </c>
      <c r="B714" t="s">
        <v>1514</v>
      </c>
      <c r="C714" t="s">
        <v>5854</v>
      </c>
      <c r="D714" s="74">
        <v>1199</v>
      </c>
      <c r="E714" s="74">
        <v>719</v>
      </c>
      <c r="F714" s="74"/>
      <c r="G714" s="74"/>
      <c r="H714" s="74"/>
    </row>
    <row r="715" spans="1:8" x14ac:dyDescent="0.25">
      <c r="A715" t="s">
        <v>2516</v>
      </c>
      <c r="B715" t="s">
        <v>1514</v>
      </c>
      <c r="C715" t="s">
        <v>6022</v>
      </c>
      <c r="D715" s="74">
        <v>1309</v>
      </c>
      <c r="E715" s="74">
        <v>785</v>
      </c>
      <c r="F715" s="74"/>
      <c r="G715" s="74"/>
      <c r="H715" s="74"/>
    </row>
    <row r="716" spans="1:8" x14ac:dyDescent="0.25">
      <c r="A716" t="s">
        <v>2444</v>
      </c>
      <c r="B716" t="s">
        <v>1514</v>
      </c>
      <c r="C716" t="s">
        <v>5857</v>
      </c>
      <c r="D716" s="74">
        <v>1089</v>
      </c>
      <c r="E716" s="74">
        <v>653</v>
      </c>
      <c r="F716" s="74"/>
      <c r="G716" s="74"/>
      <c r="H716" s="74"/>
    </row>
    <row r="717" spans="1:8" x14ac:dyDescent="0.25">
      <c r="A717" t="s">
        <v>2514</v>
      </c>
      <c r="B717" t="s">
        <v>1514</v>
      </c>
      <c r="C717" t="s">
        <v>6020</v>
      </c>
      <c r="D717" s="74">
        <v>1199</v>
      </c>
      <c r="E717" s="74">
        <v>719</v>
      </c>
      <c r="F717" s="74"/>
      <c r="G717" s="74"/>
      <c r="H717" s="74"/>
    </row>
    <row r="718" spans="1:8" x14ac:dyDescent="0.25">
      <c r="A718" t="s">
        <v>2889</v>
      </c>
      <c r="B718" t="s">
        <v>1529</v>
      </c>
      <c r="C718" t="s">
        <v>6863</v>
      </c>
      <c r="D718" s="74">
        <v>10690</v>
      </c>
      <c r="E718" s="74">
        <v>6681</v>
      </c>
      <c r="F718" s="74"/>
      <c r="G718" s="74"/>
      <c r="H718" s="74"/>
    </row>
    <row r="719" spans="1:8" x14ac:dyDescent="0.25">
      <c r="A719" t="s">
        <v>2519</v>
      </c>
      <c r="B719" t="s">
        <v>1514</v>
      </c>
      <c r="C719" t="s">
        <v>6030</v>
      </c>
      <c r="D719" s="74">
        <v>1309</v>
      </c>
      <c r="E719" s="74">
        <v>785</v>
      </c>
      <c r="F719" s="74"/>
      <c r="G719" s="74"/>
      <c r="H719" s="74"/>
    </row>
    <row r="720" spans="1:8" x14ac:dyDescent="0.25">
      <c r="A720" t="s">
        <v>2582</v>
      </c>
      <c r="B720" t="s">
        <v>1518</v>
      </c>
      <c r="C720" t="s">
        <v>6240</v>
      </c>
      <c r="D720" s="74">
        <v>3190</v>
      </c>
      <c r="E720" s="74">
        <v>1914</v>
      </c>
      <c r="F720" s="74"/>
      <c r="G720" s="74"/>
      <c r="H720" s="74"/>
    </row>
    <row r="721" spans="1:8" x14ac:dyDescent="0.25">
      <c r="A721" t="s">
        <v>2589</v>
      </c>
      <c r="B721" t="s">
        <v>1518</v>
      </c>
      <c r="C721" t="s">
        <v>6273</v>
      </c>
      <c r="D721" s="74">
        <v>3890</v>
      </c>
      <c r="E721" s="74">
        <v>2269</v>
      </c>
      <c r="F721" s="74"/>
      <c r="G721" s="74"/>
      <c r="H721" s="74"/>
    </row>
    <row r="722" spans="1:8" x14ac:dyDescent="0.25">
      <c r="A722" t="s">
        <v>2583</v>
      </c>
      <c r="B722" t="s">
        <v>1518</v>
      </c>
      <c r="C722" t="s">
        <v>6242</v>
      </c>
      <c r="D722" s="74">
        <v>4490</v>
      </c>
      <c r="E722" s="74">
        <v>2694</v>
      </c>
      <c r="F722" s="74"/>
      <c r="G722" s="74"/>
      <c r="H722" s="74"/>
    </row>
    <row r="723" spans="1:8" x14ac:dyDescent="0.25">
      <c r="A723" t="s">
        <v>2584</v>
      </c>
      <c r="B723" t="s">
        <v>1518</v>
      </c>
      <c r="C723" t="s">
        <v>6248</v>
      </c>
      <c r="D723" s="74">
        <v>4390</v>
      </c>
      <c r="E723" s="74">
        <v>2634</v>
      </c>
      <c r="F723" s="74"/>
      <c r="G723" s="74"/>
      <c r="H723" s="74"/>
    </row>
    <row r="724" spans="1:8" x14ac:dyDescent="0.25">
      <c r="A724" t="s">
        <v>2585</v>
      </c>
      <c r="B724" t="s">
        <v>1518</v>
      </c>
      <c r="C724" t="s">
        <v>6253</v>
      </c>
      <c r="D724" s="74">
        <v>4690</v>
      </c>
      <c r="E724" s="74">
        <v>2814</v>
      </c>
      <c r="F724" s="74"/>
      <c r="G724" s="74"/>
      <c r="H724" s="74"/>
    </row>
    <row r="725" spans="1:8" x14ac:dyDescent="0.25">
      <c r="A725" t="s">
        <v>2586</v>
      </c>
      <c r="B725" t="s">
        <v>1518</v>
      </c>
      <c r="C725" t="s">
        <v>6260</v>
      </c>
      <c r="D725" s="74">
        <v>4690</v>
      </c>
      <c r="E725" s="74">
        <v>2814</v>
      </c>
      <c r="F725" s="74"/>
      <c r="G725" s="74"/>
      <c r="H725" s="74"/>
    </row>
    <row r="726" spans="1:8" x14ac:dyDescent="0.25">
      <c r="A726" t="s">
        <v>2587</v>
      </c>
      <c r="B726" t="s">
        <v>1518</v>
      </c>
      <c r="C726" t="s">
        <v>6264</v>
      </c>
      <c r="D726" s="74">
        <v>5890</v>
      </c>
      <c r="E726" s="74">
        <v>3534</v>
      </c>
      <c r="F726" s="74"/>
      <c r="G726" s="74"/>
      <c r="H726" s="74"/>
    </row>
    <row r="727" spans="1:8" x14ac:dyDescent="0.25">
      <c r="A727" t="s">
        <v>2852</v>
      </c>
      <c r="B727" t="s">
        <v>1529</v>
      </c>
      <c r="C727" t="s">
        <v>6765</v>
      </c>
      <c r="D727" s="74">
        <v>4129</v>
      </c>
      <c r="E727" s="74">
        <v>2581</v>
      </c>
      <c r="F727" s="74"/>
      <c r="G727" s="74"/>
      <c r="H727" s="74"/>
    </row>
    <row r="728" spans="1:8" x14ac:dyDescent="0.25">
      <c r="A728" t="s">
        <v>2853</v>
      </c>
      <c r="B728" t="s">
        <v>1529</v>
      </c>
      <c r="C728" t="s">
        <v>6771</v>
      </c>
      <c r="D728" s="74">
        <v>5590</v>
      </c>
      <c r="E728" s="74">
        <v>3494</v>
      </c>
      <c r="F728" s="74"/>
      <c r="G728" s="74"/>
      <c r="H728" s="74"/>
    </row>
    <row r="729" spans="1:8" x14ac:dyDescent="0.25">
      <c r="A729" t="s">
        <v>2854</v>
      </c>
      <c r="B729" t="s">
        <v>1529</v>
      </c>
      <c r="C729" t="s">
        <v>6771</v>
      </c>
      <c r="D729" s="74">
        <v>5590</v>
      </c>
      <c r="E729" s="74">
        <v>3494</v>
      </c>
      <c r="F729" s="74"/>
      <c r="G729" s="74"/>
      <c r="H729" s="74"/>
    </row>
    <row r="730" spans="1:8" x14ac:dyDescent="0.25">
      <c r="A730" t="s">
        <v>2857</v>
      </c>
      <c r="B730" t="s">
        <v>1529</v>
      </c>
      <c r="C730" t="s">
        <v>6779</v>
      </c>
      <c r="D730" s="74">
        <v>6090</v>
      </c>
      <c r="E730" s="74">
        <v>3806</v>
      </c>
      <c r="F730" s="74"/>
      <c r="G730" s="74"/>
      <c r="H730" s="74"/>
    </row>
    <row r="731" spans="1:8" x14ac:dyDescent="0.25">
      <c r="A731" t="s">
        <v>2859</v>
      </c>
      <c r="B731" t="s">
        <v>1529</v>
      </c>
      <c r="C731" t="s">
        <v>6786</v>
      </c>
      <c r="D731" s="74">
        <v>8490</v>
      </c>
      <c r="E731" s="74">
        <v>5306</v>
      </c>
      <c r="F731" s="74"/>
      <c r="G731" s="74"/>
      <c r="H731" s="74"/>
    </row>
    <row r="732" spans="1:8" x14ac:dyDescent="0.25">
      <c r="A732" t="s">
        <v>2863</v>
      </c>
      <c r="B732" t="s">
        <v>1529</v>
      </c>
      <c r="C732" t="s">
        <v>6797</v>
      </c>
      <c r="D732" s="74">
        <v>7690</v>
      </c>
      <c r="E732" s="74">
        <v>4806</v>
      </c>
      <c r="F732" s="74"/>
      <c r="G732" s="74"/>
      <c r="H732" s="74"/>
    </row>
    <row r="733" spans="1:8" x14ac:dyDescent="0.25">
      <c r="A733" t="s">
        <v>2864</v>
      </c>
      <c r="B733" t="s">
        <v>1529</v>
      </c>
      <c r="C733" t="s">
        <v>6801</v>
      </c>
      <c r="D733" s="74">
        <v>8790</v>
      </c>
      <c r="E733" s="74">
        <v>5494</v>
      </c>
      <c r="F733" s="74"/>
      <c r="G733" s="74"/>
      <c r="H733" s="74"/>
    </row>
    <row r="734" spans="1:8" x14ac:dyDescent="0.25">
      <c r="A734" t="s">
        <v>2870</v>
      </c>
      <c r="B734" t="s">
        <v>1529</v>
      </c>
      <c r="C734" t="s">
        <v>6813</v>
      </c>
      <c r="D734" s="74">
        <v>6790</v>
      </c>
      <c r="E734" s="74">
        <v>4244</v>
      </c>
      <c r="F734" s="74"/>
      <c r="G734" s="74"/>
      <c r="H734" s="74"/>
    </row>
    <row r="735" spans="1:8" x14ac:dyDescent="0.25">
      <c r="A735" t="s">
        <v>2871</v>
      </c>
      <c r="B735" t="s">
        <v>1529</v>
      </c>
      <c r="C735" t="s">
        <v>6813</v>
      </c>
      <c r="D735" s="74">
        <v>7790</v>
      </c>
      <c r="E735" s="74">
        <v>4869</v>
      </c>
      <c r="F735" s="74"/>
      <c r="G735" s="74"/>
      <c r="H735" s="74"/>
    </row>
    <row r="736" spans="1:8" x14ac:dyDescent="0.25">
      <c r="A736" t="s">
        <v>2872</v>
      </c>
      <c r="B736" t="s">
        <v>1529</v>
      </c>
      <c r="C736" t="s">
        <v>6820</v>
      </c>
      <c r="D736" s="74">
        <v>8490</v>
      </c>
      <c r="E736" s="74">
        <v>5306</v>
      </c>
      <c r="F736" s="74"/>
      <c r="G736" s="74"/>
      <c r="H736" s="74"/>
    </row>
    <row r="737" spans="1:8" x14ac:dyDescent="0.25">
      <c r="A737" t="s">
        <v>2874</v>
      </c>
      <c r="B737" t="s">
        <v>1529</v>
      </c>
      <c r="C737" t="s">
        <v>6826</v>
      </c>
      <c r="D737" s="74">
        <v>10890</v>
      </c>
      <c r="E737" s="74">
        <v>6806</v>
      </c>
      <c r="F737" s="74"/>
      <c r="G737" s="74"/>
      <c r="H737" s="74"/>
    </row>
    <row r="738" spans="1:8" x14ac:dyDescent="0.25">
      <c r="A738" t="s">
        <v>2875</v>
      </c>
      <c r="B738" t="s">
        <v>1529</v>
      </c>
      <c r="C738" t="s">
        <v>6830</v>
      </c>
      <c r="D738" s="74">
        <v>9990</v>
      </c>
      <c r="E738" s="74">
        <v>6244</v>
      </c>
      <c r="F738" s="74"/>
      <c r="G738" s="74"/>
      <c r="H738" s="74"/>
    </row>
    <row r="739" spans="1:8" x14ac:dyDescent="0.25">
      <c r="A739" t="s">
        <v>2830</v>
      </c>
      <c r="B739" t="s">
        <v>1526</v>
      </c>
      <c r="C739" t="s">
        <v>6688</v>
      </c>
      <c r="D739" s="74">
        <v>1690</v>
      </c>
      <c r="E739" s="74">
        <v>986</v>
      </c>
      <c r="F739" s="74"/>
      <c r="G739" s="74"/>
      <c r="H739" s="74"/>
    </row>
    <row r="740" spans="1:8" x14ac:dyDescent="0.25">
      <c r="A740" t="s">
        <v>2832</v>
      </c>
      <c r="B740" t="s">
        <v>1526</v>
      </c>
      <c r="C740" t="s">
        <v>6694</v>
      </c>
      <c r="D740" s="74">
        <v>1690</v>
      </c>
      <c r="E740" s="74">
        <v>986</v>
      </c>
      <c r="F740" s="74"/>
      <c r="G740" s="74"/>
      <c r="H740" s="74"/>
    </row>
    <row r="741" spans="1:8" x14ac:dyDescent="0.25">
      <c r="A741" t="s">
        <v>2833</v>
      </c>
      <c r="B741" t="s">
        <v>1526</v>
      </c>
      <c r="C741" t="s">
        <v>6696</v>
      </c>
      <c r="D741" s="74">
        <v>3590</v>
      </c>
      <c r="E741" s="74">
        <v>2094</v>
      </c>
      <c r="F741" s="74"/>
      <c r="G741" s="74"/>
      <c r="H741" s="74"/>
    </row>
    <row r="742" spans="1:8" x14ac:dyDescent="0.25">
      <c r="A742" t="s">
        <v>2834</v>
      </c>
      <c r="B742" t="s">
        <v>1526</v>
      </c>
      <c r="C742" t="s">
        <v>6700</v>
      </c>
      <c r="D742" s="74">
        <v>2590</v>
      </c>
      <c r="E742" s="74">
        <v>1511</v>
      </c>
      <c r="F742" s="74"/>
      <c r="G742" s="74"/>
      <c r="H742" s="74"/>
    </row>
    <row r="743" spans="1:8" x14ac:dyDescent="0.25">
      <c r="A743" t="s">
        <v>2835</v>
      </c>
      <c r="B743" t="s">
        <v>1526</v>
      </c>
      <c r="C743" t="s">
        <v>6704</v>
      </c>
      <c r="D743" s="74">
        <v>3490</v>
      </c>
      <c r="E743" s="74">
        <v>2036</v>
      </c>
      <c r="F743" s="74"/>
      <c r="G743" s="74"/>
      <c r="H743" s="74"/>
    </row>
    <row r="744" spans="1:8" x14ac:dyDescent="0.25">
      <c r="A744" t="s">
        <v>2836</v>
      </c>
      <c r="B744" t="s">
        <v>1526</v>
      </c>
      <c r="C744" t="s">
        <v>6708</v>
      </c>
      <c r="D744" s="74">
        <v>2990</v>
      </c>
      <c r="E744" s="74">
        <v>1744</v>
      </c>
      <c r="F744" s="74"/>
      <c r="G744" s="74"/>
      <c r="H744" s="74"/>
    </row>
    <row r="745" spans="1:8" x14ac:dyDescent="0.25">
      <c r="A745" t="s">
        <v>2837</v>
      </c>
      <c r="B745" t="s">
        <v>1526</v>
      </c>
      <c r="C745" t="s">
        <v>6712</v>
      </c>
      <c r="D745" s="74">
        <v>2990</v>
      </c>
      <c r="E745" s="74">
        <v>1744</v>
      </c>
      <c r="F745" s="74"/>
      <c r="G745" s="74"/>
      <c r="H745" s="74"/>
    </row>
    <row r="746" spans="1:8" x14ac:dyDescent="0.25">
      <c r="A746" t="s">
        <v>2838</v>
      </c>
      <c r="B746" t="s">
        <v>1526</v>
      </c>
      <c r="C746" t="s">
        <v>6714</v>
      </c>
      <c r="D746" s="74">
        <v>2990</v>
      </c>
      <c r="E746" s="74">
        <v>1744</v>
      </c>
      <c r="F746" s="74"/>
      <c r="G746" s="74"/>
      <c r="H746" s="74"/>
    </row>
    <row r="747" spans="1:8" x14ac:dyDescent="0.25">
      <c r="A747" t="s">
        <v>2839</v>
      </c>
      <c r="B747" t="s">
        <v>1526</v>
      </c>
      <c r="C747" t="s">
        <v>6719</v>
      </c>
      <c r="D747" s="74">
        <v>2990</v>
      </c>
      <c r="E747" s="74">
        <v>1744</v>
      </c>
      <c r="F747" s="74"/>
      <c r="G747" s="74"/>
      <c r="H747" s="74"/>
    </row>
    <row r="748" spans="1:8" x14ac:dyDescent="0.25">
      <c r="A748" t="s">
        <v>2840</v>
      </c>
      <c r="B748" t="s">
        <v>1526</v>
      </c>
      <c r="C748" t="s">
        <v>6724</v>
      </c>
      <c r="D748" s="74">
        <v>3490</v>
      </c>
      <c r="E748" s="74">
        <v>2036</v>
      </c>
      <c r="F748" s="74"/>
      <c r="G748" s="74"/>
      <c r="H748" s="74"/>
    </row>
    <row r="749" spans="1:8" x14ac:dyDescent="0.25">
      <c r="A749" t="s">
        <v>2841</v>
      </c>
      <c r="B749" t="s">
        <v>1526</v>
      </c>
      <c r="C749" t="s">
        <v>6728</v>
      </c>
      <c r="D749" s="74">
        <v>3490</v>
      </c>
      <c r="E749" s="74">
        <v>2036</v>
      </c>
      <c r="F749" s="74"/>
      <c r="G749" s="74"/>
      <c r="H749" s="74"/>
    </row>
    <row r="750" spans="1:8" x14ac:dyDescent="0.25">
      <c r="A750" t="s">
        <v>2842</v>
      </c>
      <c r="B750" t="s">
        <v>1526</v>
      </c>
      <c r="C750" t="s">
        <v>6730</v>
      </c>
      <c r="D750" s="74">
        <v>4790</v>
      </c>
      <c r="E750" s="74">
        <v>2794</v>
      </c>
      <c r="F750" s="74"/>
      <c r="G750" s="74"/>
      <c r="H750" s="74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>
      <selection activeCell="I10" sqref="I10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8258</v>
      </c>
      <c r="F2" s="28" t="s">
        <v>8259</v>
      </c>
      <c r="G2" s="28" t="s">
        <v>8260</v>
      </c>
      <c r="H2" s="28" t="s">
        <v>8261</v>
      </c>
      <c r="I2" s="28" t="s">
        <v>8262</v>
      </c>
      <c r="J2" s="28" t="s">
        <v>8263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8264</v>
      </c>
      <c r="F3" s="28" t="s">
        <v>8265</v>
      </c>
      <c r="G3" s="28" t="s">
        <v>8266</v>
      </c>
      <c r="H3" s="28" t="s">
        <v>8267</v>
      </c>
      <c r="I3" s="28" t="s">
        <v>8268</v>
      </c>
      <c r="J3" s="28" t="s">
        <v>8269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8262</v>
      </c>
      <c r="F4" s="28" t="s">
        <v>8270</v>
      </c>
      <c r="G4" s="28" t="s">
        <v>8267</v>
      </c>
      <c r="H4" s="28" t="s">
        <v>8268</v>
      </c>
      <c r="I4" s="28" t="s">
        <v>8271</v>
      </c>
      <c r="J4" s="28" t="s">
        <v>8272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8262</v>
      </c>
      <c r="F5" s="28" t="s">
        <v>8270</v>
      </c>
      <c r="G5" s="28" t="s">
        <v>8267</v>
      </c>
      <c r="H5" s="28" t="s">
        <v>8268</v>
      </c>
      <c r="I5" s="28" t="s">
        <v>8271</v>
      </c>
      <c r="J5" s="28" t="s">
        <v>8272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8262</v>
      </c>
      <c r="F7" s="28" t="s">
        <v>8270</v>
      </c>
      <c r="G7" s="28" t="s">
        <v>8267</v>
      </c>
      <c r="H7" s="28" t="s">
        <v>8268</v>
      </c>
      <c r="I7" s="28" t="s">
        <v>8271</v>
      </c>
      <c r="J7" s="28" t="s">
        <v>8272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8273</v>
      </c>
      <c r="F11" s="4" t="s">
        <v>8273</v>
      </c>
      <c r="G11" s="4" t="s">
        <v>8273</v>
      </c>
      <c r="H11" s="4" t="s">
        <v>8273</v>
      </c>
      <c r="I11" s="4" t="s">
        <v>8273</v>
      </c>
      <c r="J11" s="4" t="s">
        <v>8273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8274</v>
      </c>
      <c r="F13" s="4" t="s">
        <v>8274</v>
      </c>
      <c r="G13" s="4" t="s">
        <v>8274</v>
      </c>
      <c r="H13" s="4" t="s">
        <v>8274</v>
      </c>
      <c r="I13" s="4" t="s">
        <v>8274</v>
      </c>
      <c r="J13" s="4" t="s">
        <v>8274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8262</v>
      </c>
      <c r="F15" s="28" t="s">
        <v>8270</v>
      </c>
      <c r="G15" s="28" t="s">
        <v>8267</v>
      </c>
      <c r="H15" s="28" t="s">
        <v>8268</v>
      </c>
      <c r="I15" s="28" t="s">
        <v>8271</v>
      </c>
      <c r="J15" s="28" t="s">
        <v>8272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8275</v>
      </c>
      <c r="F16" s="4" t="s">
        <v>8275</v>
      </c>
      <c r="G16" s="4" t="s">
        <v>8275</v>
      </c>
      <c r="H16" s="4" t="s">
        <v>8275</v>
      </c>
      <c r="I16" s="4" t="s">
        <v>8275</v>
      </c>
      <c r="J16" s="4" t="s">
        <v>8275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23" activePane="bottomRight" state="frozen"/>
      <selection pane="topRight" activeCell="F1" sqref="F1"/>
      <selection pane="bottomLeft" activeCell="A15" sqref="A15"/>
      <selection pane="bottomRight" activeCell="G4" sqref="G4:G5"/>
    </sheetView>
  </sheetViews>
  <sheetFormatPr defaultRowHeight="15.75" x14ac:dyDescent="0.25"/>
  <cols>
    <col min="1" max="1" width="25.85546875" style="52" customWidth="1"/>
    <col min="2" max="2" width="60.140625" style="53" customWidth="1"/>
    <col min="3" max="3" width="62.570312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5"/>
      <c r="C2" s="225"/>
    </row>
    <row r="3" spans="1:22" x14ac:dyDescent="0.25">
      <c r="C3" s="58"/>
      <c r="F3" s="58"/>
    </row>
    <row r="4" spans="1:22" x14ac:dyDescent="0.25">
      <c r="B4" s="226" t="s">
        <v>1183</v>
      </c>
      <c r="C4" s="226"/>
      <c r="D4" s="59"/>
      <c r="F4" s="220" t="s">
        <v>40</v>
      </c>
      <c r="G4" s="222"/>
      <c r="I4" s="59"/>
    </row>
    <row r="5" spans="1:22" x14ac:dyDescent="0.25">
      <c r="B5" s="226" t="s">
        <v>8355</v>
      </c>
      <c r="C5" s="226"/>
      <c r="D5" s="60">
        <v>43831</v>
      </c>
      <c r="F5" s="221" t="s">
        <v>39</v>
      </c>
      <c r="G5" s="223"/>
    </row>
    <row r="6" spans="1:22" x14ac:dyDescent="0.25">
      <c r="B6" s="226" t="s">
        <v>1184</v>
      </c>
      <c r="C6" s="226"/>
      <c r="F6" s="54"/>
      <c r="U6" s="54"/>
    </row>
    <row r="7" spans="1:22" x14ac:dyDescent="0.25">
      <c r="B7" s="61"/>
      <c r="C7" s="62"/>
      <c r="F7" s="54"/>
      <c r="U7" s="54"/>
    </row>
    <row r="8" spans="1:22" x14ac:dyDescent="0.25">
      <c r="B8" s="61" t="s">
        <v>1185</v>
      </c>
      <c r="C8" s="62"/>
      <c r="F8" s="54"/>
      <c r="U8" s="54"/>
    </row>
    <row r="9" spans="1:22" x14ac:dyDescent="0.25">
      <c r="B9" s="61"/>
      <c r="C9" s="62"/>
      <c r="F9" s="54"/>
      <c r="U9" s="54"/>
    </row>
    <row r="10" spans="1:22" x14ac:dyDescent="0.25">
      <c r="B10" s="61" t="s">
        <v>1186</v>
      </c>
      <c r="C10" s="62"/>
      <c r="F10" s="54"/>
      <c r="U10" s="54"/>
    </row>
    <row r="11" spans="1:22" x14ac:dyDescent="0.25">
      <c r="B11" s="61" t="s">
        <v>1187</v>
      </c>
      <c r="C11" s="62"/>
    </row>
    <row r="12" spans="1:22" ht="62.25" customHeight="1" x14ac:dyDescent="0.25">
      <c r="B12" s="227" t="s">
        <v>1188</v>
      </c>
      <c r="C12" s="227"/>
      <c r="D12" s="227"/>
    </row>
    <row r="13" spans="1:22" ht="31.5" x14ac:dyDescent="0.25">
      <c r="A13" s="63" t="s">
        <v>15</v>
      </c>
      <c r="B13" s="63" t="s">
        <v>1189</v>
      </c>
      <c r="C13" s="63" t="s">
        <v>1190</v>
      </c>
      <c r="D13" s="63" t="s">
        <v>1191</v>
      </c>
      <c r="E13" s="63" t="s">
        <v>1192</v>
      </c>
      <c r="F13" s="63" t="s">
        <v>1193</v>
      </c>
      <c r="G13" s="63" t="s">
        <v>23</v>
      </c>
      <c r="H13" s="63" t="s">
        <v>1194</v>
      </c>
      <c r="I13" s="63" t="s">
        <v>1195</v>
      </c>
      <c r="J13" s="63" t="s">
        <v>1196</v>
      </c>
      <c r="K13" s="63" t="s">
        <v>1197</v>
      </c>
      <c r="L13" s="63" t="s">
        <v>1198</v>
      </c>
      <c r="M13" s="64" t="s">
        <v>1199</v>
      </c>
      <c r="N13" s="63" t="s">
        <v>1200</v>
      </c>
      <c r="O13" s="63" t="s">
        <v>1201</v>
      </c>
      <c r="P13" s="63" t="s">
        <v>1202</v>
      </c>
      <c r="Q13" s="63" t="s">
        <v>1203</v>
      </c>
      <c r="R13" s="63" t="s">
        <v>1204</v>
      </c>
      <c r="S13" s="63" t="s">
        <v>1205</v>
      </c>
      <c r="T13" s="64" t="s">
        <v>1206</v>
      </c>
      <c r="U13" s="65" t="s">
        <v>1207</v>
      </c>
      <c r="V13" s="63" t="s">
        <v>1208</v>
      </c>
    </row>
    <row r="14" spans="1:22" x14ac:dyDescent="0.25">
      <c r="A14" s="66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sheetPr codeName="Лист18"/>
  <dimension ref="A1:QO9"/>
  <sheetViews>
    <sheetView zoomScale="60" zoomScaleNormal="60" workbookViewId="0">
      <selection sqref="A1:A3"/>
    </sheetView>
  </sheetViews>
  <sheetFormatPr defaultColWidth="17.5703125" defaultRowHeight="15.75" outlineLevelRow="1" outlineLevelCol="1" x14ac:dyDescent="0.25"/>
  <cols>
    <col min="1" max="1" width="20.140625" style="137" bestFit="1" customWidth="1"/>
    <col min="2" max="2" width="25.85546875" style="198" customWidth="1"/>
    <col min="3" max="3" width="44.5703125" style="198" customWidth="1"/>
    <col min="4" max="4" width="18.7109375" style="138" customWidth="1"/>
    <col min="5" max="5" width="24" style="137" customWidth="1"/>
    <col min="6" max="6" width="18.42578125" style="138" hidden="1" customWidth="1" outlineLevel="1"/>
    <col min="7" max="7" width="25.140625" style="139" hidden="1" customWidth="1" outlineLevel="1"/>
    <col min="8" max="8" width="14" style="138" hidden="1" customWidth="1" outlineLevel="1"/>
    <col min="9" max="9" width="18.28515625" style="137" bestFit="1" customWidth="1" collapsed="1"/>
    <col min="10" max="10" width="37.5703125" style="137" hidden="1" customWidth="1" outlineLevel="1"/>
    <col min="11" max="11" width="36.5703125" style="139" customWidth="1" collapsed="1"/>
    <col min="12" max="12" width="24.7109375" style="137" bestFit="1" customWidth="1" outlineLevel="1"/>
    <col min="13" max="14" width="20.28515625" style="138" customWidth="1" outlineLevel="1"/>
    <col min="15" max="15" width="58.85546875" style="138" customWidth="1" outlineLevel="1"/>
    <col min="16" max="18" width="25.5703125" style="138" bestFit="1" customWidth="1" outlineLevel="1"/>
    <col min="19" max="20" width="27.5703125" style="82" bestFit="1" customWidth="1"/>
    <col min="21" max="21" width="30.5703125" style="87" bestFit="1" customWidth="1"/>
    <col min="22" max="22" width="32.28515625" style="82" bestFit="1" customWidth="1"/>
    <col min="23" max="23" width="17.7109375" style="83" bestFit="1" customWidth="1"/>
    <col min="24" max="25" width="35.5703125" style="82" bestFit="1" customWidth="1"/>
    <col min="26" max="26" width="17.7109375" style="82" bestFit="1" customWidth="1"/>
    <col min="27" max="27" width="24" style="83" bestFit="1" customWidth="1"/>
    <col min="28" max="28" width="32.5703125" style="140" bestFit="1" customWidth="1" collapsed="1"/>
    <col min="29" max="29" width="32.5703125" style="141" bestFit="1" customWidth="1" collapsed="1"/>
    <col min="30" max="31" width="34" style="82" bestFit="1" customWidth="1" collapsed="1"/>
    <col min="32" max="32" width="17.7109375" style="82" bestFit="1" customWidth="1"/>
    <col min="33" max="33" width="29.7109375" style="87" bestFit="1" customWidth="1"/>
    <col min="34" max="34" width="30.140625" style="82" bestFit="1" customWidth="1"/>
    <col min="35" max="35" width="17.7109375" style="83" bestFit="1" customWidth="1"/>
    <col min="36" max="36" width="30.140625" style="140" bestFit="1" customWidth="1"/>
    <col min="37" max="37" width="41.28515625" style="140" bestFit="1" customWidth="1"/>
    <col min="38" max="38" width="17.7109375" style="83" bestFit="1" customWidth="1"/>
    <col min="39" max="39" width="42.28515625" style="84" customWidth="1" collapsed="1"/>
    <col min="40" max="50" width="23.140625" style="85" customWidth="1" outlineLevel="1" collapsed="1"/>
    <col min="51" max="51" width="23.140625" style="86" customWidth="1" outlineLevel="1" collapsed="1"/>
    <col min="52" max="52" width="23.140625" style="142" customWidth="1"/>
    <col min="53" max="63" width="23.140625" style="139" customWidth="1" outlineLevel="1" collapsed="1"/>
    <col min="64" max="64" width="23.140625" style="143" customWidth="1" outlineLevel="1" collapsed="1"/>
    <col min="65" max="65" width="23.140625" style="142" customWidth="1"/>
    <col min="66" max="76" width="23.140625" style="139" customWidth="1" outlineLevel="1" collapsed="1"/>
    <col min="77" max="77" width="23.140625" style="143" customWidth="1" outlineLevel="1" collapsed="1"/>
    <col min="78" max="78" width="23.140625" style="142" customWidth="1"/>
    <col min="79" max="89" width="23.140625" style="139" customWidth="1" outlineLevel="1" collapsed="1"/>
    <col min="90" max="90" width="23.140625" style="143" customWidth="1" outlineLevel="1" collapsed="1"/>
    <col min="91" max="91" width="23.140625" style="142" customWidth="1"/>
    <col min="92" max="102" width="23.140625" style="139" customWidth="1" outlineLevel="1" collapsed="1"/>
    <col min="103" max="103" width="23.140625" style="143" customWidth="1" outlineLevel="1" collapsed="1"/>
    <col min="104" max="104" width="23.140625" style="142" customWidth="1"/>
    <col min="105" max="115" width="23.140625" style="139" customWidth="1" outlineLevel="1" collapsed="1"/>
    <col min="116" max="116" width="23.140625" style="143" customWidth="1" outlineLevel="1" collapsed="1"/>
    <col min="117" max="129" width="23.140625" style="139" customWidth="1" outlineLevel="1" collapsed="1"/>
    <col min="130" max="130" width="23.140625" style="142" customWidth="1"/>
    <col min="131" max="141" width="23.140625" style="139" customWidth="1" outlineLevel="1" collapsed="1"/>
    <col min="142" max="142" width="23.140625" style="143" customWidth="1" outlineLevel="1" collapsed="1"/>
    <col min="143" max="143" width="23.140625" style="84" customWidth="1"/>
    <col min="144" max="155" width="23.140625" style="85" customWidth="1" outlineLevel="1" collapsed="1"/>
    <col min="156" max="167" width="23.140625" style="139" customWidth="1" outlineLevel="1"/>
    <col min="168" max="168" width="23.140625" style="143" customWidth="1" outlineLevel="1"/>
    <col min="169" max="169" width="23.140625" style="142" customWidth="1"/>
    <col min="170" max="180" width="23.140625" style="139" customWidth="1"/>
    <col min="181" max="181" width="23.140625" style="143" customWidth="1"/>
    <col min="182" max="182" width="23.140625" style="139" customWidth="1"/>
    <col min="183" max="193" width="23.140625" style="139" customWidth="1" outlineLevel="1" collapsed="1"/>
    <col min="194" max="194" width="23.140625" style="143" customWidth="1" outlineLevel="1" collapsed="1"/>
    <col min="195" max="195" width="23.140625" style="142" customWidth="1"/>
    <col min="196" max="206" width="23.140625" style="139" customWidth="1" outlineLevel="1" collapsed="1"/>
    <col min="207" max="207" width="23.140625" style="143" customWidth="1" outlineLevel="1" collapsed="1"/>
    <col min="208" max="208" width="23.140625" style="142" customWidth="1"/>
    <col min="209" max="219" width="23.140625" style="139" customWidth="1" outlineLevel="1" collapsed="1"/>
    <col min="220" max="220" width="23.140625" style="143" customWidth="1" outlineLevel="1" collapsed="1"/>
    <col min="221" max="233" width="23.140625" style="139" customWidth="1" outlineLevel="1" collapsed="1"/>
    <col min="234" max="234" width="23.140625" style="142" customWidth="1"/>
    <col min="235" max="245" width="23.140625" style="139" customWidth="1" outlineLevel="1" collapsed="1"/>
    <col min="246" max="246" width="23.140625" style="143" customWidth="1" outlineLevel="1" collapsed="1"/>
    <col min="247" max="247" width="38.42578125" style="142" customWidth="1"/>
    <col min="248" max="258" width="23.140625" style="139" customWidth="1" outlineLevel="1" collapsed="1"/>
    <col min="259" max="259" width="23.140625" style="143" customWidth="1" outlineLevel="1" collapsed="1"/>
    <col min="260" max="260" width="23.140625" style="150" customWidth="1"/>
    <col min="261" max="271" width="23.140625" style="137" customWidth="1" outlineLevel="1"/>
    <col min="272" max="272" width="23.140625" style="151" customWidth="1" outlineLevel="1"/>
    <col min="273" max="273" width="23.140625" style="150" customWidth="1"/>
    <col min="274" max="284" width="23.140625" style="137" customWidth="1" outlineLevel="1"/>
    <col min="285" max="285" width="23.140625" style="151" customWidth="1" outlineLevel="1"/>
    <col min="286" max="286" width="23.140625" style="150" customWidth="1"/>
    <col min="287" max="297" width="23.140625" style="137" customWidth="1" outlineLevel="1"/>
    <col min="298" max="298" width="23.140625" style="151" customWidth="1" outlineLevel="1"/>
    <col min="299" max="299" width="23.140625" style="150" customWidth="1"/>
    <col min="300" max="310" width="23.140625" style="137" customWidth="1" outlineLevel="1"/>
    <col min="311" max="311" width="23.140625" style="151" customWidth="1" outlineLevel="1"/>
    <col min="312" max="312" width="23.140625" style="150" customWidth="1"/>
    <col min="313" max="323" width="23.140625" style="137" customWidth="1" outlineLevel="1"/>
    <col min="324" max="324" width="23.140625" style="151" customWidth="1" outlineLevel="1"/>
    <col min="325" max="325" width="23.140625" style="150" customWidth="1"/>
    <col min="326" max="336" width="23.140625" style="137" customWidth="1" outlineLevel="1"/>
    <col min="337" max="337" width="23.140625" style="151" customWidth="1" outlineLevel="1"/>
    <col min="338" max="338" width="23.140625" style="150" customWidth="1"/>
    <col min="339" max="349" width="23.140625" style="137" customWidth="1" outlineLevel="1"/>
    <col min="350" max="350" width="23.140625" style="151" customWidth="1" outlineLevel="1"/>
    <col min="351" max="351" width="39.5703125" style="150" customWidth="1"/>
    <col min="352" max="352" width="23.140625" style="196" customWidth="1"/>
    <col min="353" max="353" width="23.140625" style="197" customWidth="1"/>
    <col min="354" max="354" width="41.5703125" style="150" customWidth="1"/>
    <col min="355" max="365" width="23.140625" style="137" customWidth="1" outlineLevel="1"/>
    <col min="366" max="366" width="23.140625" style="151" customWidth="1" outlineLevel="1"/>
    <col min="367" max="367" width="23.140625" style="137" customWidth="1"/>
    <col min="368" max="379" width="23.140625" style="137" customWidth="1" outlineLevel="1"/>
    <col min="380" max="380" width="23.140625" style="150" customWidth="1"/>
    <col min="381" max="391" width="23.140625" style="137" customWidth="1" outlineLevel="1"/>
    <col min="392" max="392" width="23.140625" style="151" customWidth="1" outlineLevel="1"/>
    <col min="393" max="393" width="23.140625" style="150" customWidth="1"/>
    <col min="394" max="404" width="23.140625" style="137" customWidth="1" outlineLevel="1"/>
    <col min="405" max="405" width="23.140625" style="151" customWidth="1" outlineLevel="1"/>
    <col min="406" max="406" width="23.140625" style="150" customWidth="1"/>
    <col min="407" max="417" width="23.140625" style="137" customWidth="1" outlineLevel="1"/>
    <col min="418" max="418" width="23.140625" style="151" customWidth="1" outlineLevel="1"/>
    <col min="419" max="419" width="23.140625" style="150" customWidth="1"/>
    <col min="420" max="430" width="23.140625" style="137" customWidth="1" outlineLevel="1"/>
    <col min="431" max="431" width="23.140625" style="151" customWidth="1" outlineLevel="1"/>
    <col min="432" max="432" width="23.140625" style="150" customWidth="1"/>
    <col min="433" max="443" width="23.140625" style="137" customWidth="1" outlineLevel="1"/>
    <col min="444" max="444" width="23.140625" style="151" customWidth="1" outlineLevel="1"/>
    <col min="445" max="445" width="23.140625" style="150" customWidth="1"/>
    <col min="446" max="456" width="23.140625" style="137" customWidth="1" outlineLevel="1"/>
    <col min="457" max="457" width="23.140625" style="151" customWidth="1" outlineLevel="1"/>
    <col min="458" max="16384" width="17.5703125" style="137"/>
  </cols>
  <sheetData>
    <row r="1" spans="1:457" x14ac:dyDescent="0.25">
      <c r="A1" s="136" t="s">
        <v>39</v>
      </c>
      <c r="B1" s="204" t="s">
        <v>244</v>
      </c>
      <c r="C1" s="136"/>
      <c r="S1" s="77"/>
      <c r="T1" s="78">
        <v>79.534016089999994</v>
      </c>
      <c r="U1" s="79"/>
      <c r="V1" s="80"/>
      <c r="W1" s="81"/>
      <c r="X1" s="80"/>
      <c r="Y1" s="80"/>
      <c r="Z1" s="80"/>
      <c r="AA1" s="81"/>
      <c r="AG1" s="79"/>
      <c r="AH1" s="80"/>
      <c r="AI1" s="81"/>
      <c r="AJ1" s="82"/>
      <c r="AK1" s="82"/>
      <c r="EZ1" s="144"/>
      <c r="FA1" s="144"/>
      <c r="FB1" s="144"/>
      <c r="FC1" s="144"/>
      <c r="FD1" s="144"/>
      <c r="FE1" s="144"/>
      <c r="FF1" s="144"/>
      <c r="FG1" s="144"/>
      <c r="FH1" s="144"/>
      <c r="FI1" s="144"/>
      <c r="FJ1" s="144"/>
      <c r="FK1" s="144"/>
      <c r="FL1" s="145"/>
      <c r="FM1" s="146"/>
      <c r="FN1" s="144"/>
      <c r="FO1" s="144"/>
      <c r="FP1" s="144"/>
      <c r="FQ1" s="144"/>
      <c r="FR1" s="144"/>
      <c r="FS1" s="144"/>
      <c r="FT1" s="144"/>
      <c r="FU1" s="144"/>
      <c r="FV1" s="144"/>
      <c r="FW1" s="144"/>
      <c r="FX1" s="144"/>
      <c r="FY1" s="145"/>
      <c r="IM1" s="146"/>
      <c r="IN1" s="144"/>
      <c r="IO1" s="144"/>
      <c r="IP1" s="144"/>
      <c r="IQ1" s="144"/>
      <c r="IR1" s="144"/>
      <c r="IS1" s="144"/>
      <c r="IT1" s="144"/>
      <c r="IU1" s="144"/>
      <c r="IV1" s="144"/>
      <c r="IW1" s="144"/>
      <c r="IX1" s="144"/>
      <c r="IY1" s="145"/>
      <c r="IZ1" s="147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9"/>
      <c r="JM1" s="147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9"/>
      <c r="JZ1" s="147"/>
      <c r="KA1" s="148"/>
      <c r="KB1" s="148"/>
      <c r="KC1" s="148"/>
      <c r="KD1" s="148"/>
      <c r="KE1" s="148"/>
      <c r="KF1" s="148"/>
      <c r="KG1" s="148"/>
      <c r="KH1" s="148"/>
      <c r="KI1" s="148"/>
      <c r="KJ1" s="148"/>
      <c r="KK1" s="148"/>
      <c r="KL1" s="149"/>
      <c r="KM1" s="147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9"/>
      <c r="KZ1" s="147"/>
      <c r="LA1" s="148"/>
      <c r="LB1" s="148"/>
      <c r="LC1" s="148"/>
      <c r="LD1" s="148"/>
      <c r="LE1" s="148"/>
      <c r="LF1" s="148"/>
      <c r="LG1" s="148"/>
      <c r="LH1" s="148"/>
      <c r="LI1" s="148"/>
      <c r="LJ1" s="148"/>
      <c r="LK1" s="148"/>
      <c r="LL1" s="149"/>
      <c r="LM1" s="147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49"/>
      <c r="LZ1" s="147"/>
      <c r="MA1" s="148"/>
      <c r="MB1" s="148"/>
      <c r="MC1" s="148"/>
      <c r="MD1" s="148"/>
      <c r="ME1" s="148"/>
      <c r="MF1" s="148"/>
      <c r="MG1" s="148"/>
      <c r="MH1" s="148"/>
      <c r="MI1" s="148"/>
      <c r="MJ1" s="148"/>
      <c r="MK1" s="148"/>
      <c r="ML1" s="149"/>
      <c r="MM1" s="147"/>
      <c r="MN1" s="148"/>
      <c r="MO1" s="149"/>
      <c r="MP1" s="147"/>
      <c r="MQ1" s="148"/>
      <c r="MR1" s="148"/>
      <c r="MS1" s="148"/>
      <c r="MT1" s="148"/>
      <c r="MU1" s="148"/>
      <c r="MV1" s="148"/>
      <c r="MW1" s="148"/>
      <c r="MX1" s="148"/>
      <c r="MY1" s="148"/>
      <c r="MZ1" s="148"/>
      <c r="NA1" s="148"/>
      <c r="NB1" s="149"/>
    </row>
    <row r="2" spans="1:457" x14ac:dyDescent="0.25">
      <c r="A2" s="136" t="s">
        <v>48</v>
      </c>
      <c r="B2" s="204">
        <v>2021</v>
      </c>
      <c r="C2" s="136"/>
      <c r="O2" s="152" t="s">
        <v>7988</v>
      </c>
      <c r="S2" s="77"/>
      <c r="T2" s="77"/>
      <c r="AJ2" s="82"/>
      <c r="AK2" s="82"/>
      <c r="MN2" s="137"/>
      <c r="MO2" s="151"/>
    </row>
    <row r="3" spans="1:457" x14ac:dyDescent="0.25">
      <c r="A3" s="136" t="s">
        <v>40</v>
      </c>
      <c r="B3" s="204" t="s">
        <v>33</v>
      </c>
      <c r="C3" s="136"/>
      <c r="O3" s="153" t="s">
        <v>7989</v>
      </c>
      <c r="S3" s="88" t="s">
        <v>7990</v>
      </c>
      <c r="T3" s="88" t="s">
        <v>7991</v>
      </c>
      <c r="AJ3" s="82"/>
      <c r="AK3" s="82"/>
      <c r="MN3" s="137"/>
      <c r="MO3" s="151"/>
    </row>
    <row r="4" spans="1:457" ht="18.75" x14ac:dyDescent="0.25">
      <c r="A4" s="205" t="s">
        <v>1212</v>
      </c>
      <c r="B4" s="205" t="s">
        <v>1212</v>
      </c>
      <c r="C4" s="136"/>
      <c r="O4" s="154" t="s">
        <v>7992</v>
      </c>
      <c r="S4" s="89"/>
      <c r="T4" s="89"/>
      <c r="V4" s="82" t="s">
        <v>7993</v>
      </c>
      <c r="AJ4" s="82"/>
      <c r="AK4" s="82"/>
      <c r="MN4" s="137"/>
      <c r="MO4" s="151"/>
    </row>
    <row r="5" spans="1:457" ht="56.25" x14ac:dyDescent="0.25">
      <c r="O5" s="155" t="s">
        <v>7994</v>
      </c>
      <c r="S5" s="137"/>
      <c r="T5" s="137"/>
      <c r="U5" s="150"/>
      <c r="V5" s="137"/>
      <c r="W5" s="151"/>
      <c r="X5" s="90" t="s">
        <v>7995</v>
      </c>
      <c r="Y5" s="90"/>
      <c r="Z5" s="90"/>
      <c r="AA5" s="151"/>
      <c r="AJ5" s="82"/>
      <c r="AK5" s="82"/>
      <c r="AM5" s="133" t="s">
        <v>7996</v>
      </c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2"/>
      <c r="AZ5" s="156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8"/>
      <c r="BM5" s="156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8"/>
      <c r="BZ5" s="156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8"/>
      <c r="CM5" s="156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8"/>
      <c r="CZ5" s="156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8"/>
      <c r="DM5" s="157"/>
      <c r="DN5" s="157"/>
      <c r="DO5" s="157"/>
      <c r="DP5" s="157"/>
      <c r="DQ5" s="157"/>
      <c r="DR5" s="157"/>
      <c r="DS5" s="157"/>
      <c r="DT5" s="157"/>
      <c r="DU5" s="157"/>
      <c r="DV5" s="157"/>
      <c r="DW5" s="157"/>
      <c r="DX5" s="157"/>
      <c r="DY5" s="157"/>
      <c r="DZ5" s="156"/>
      <c r="EA5" s="157"/>
      <c r="EB5" s="157"/>
      <c r="EC5" s="157"/>
      <c r="ED5" s="157"/>
      <c r="EE5" s="157"/>
      <c r="EF5" s="157"/>
      <c r="EG5" s="157"/>
      <c r="EH5" s="157"/>
      <c r="EI5" s="157"/>
      <c r="EJ5" s="157"/>
      <c r="EK5" s="157"/>
      <c r="EL5" s="157"/>
      <c r="EM5" s="93" t="s">
        <v>7997</v>
      </c>
      <c r="EN5" s="94"/>
      <c r="EO5" s="94"/>
      <c r="EP5" s="94"/>
      <c r="EQ5" s="94"/>
      <c r="ER5" s="94"/>
      <c r="ES5" s="94"/>
      <c r="ET5" s="94"/>
      <c r="EU5" s="94"/>
      <c r="EV5" s="94"/>
      <c r="EW5" s="94"/>
      <c r="EX5" s="94"/>
      <c r="EY5" s="94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60"/>
      <c r="FM5" s="161"/>
      <c r="FN5" s="159"/>
      <c r="FO5" s="159"/>
      <c r="FP5" s="159"/>
      <c r="FQ5" s="159"/>
      <c r="FR5" s="159"/>
      <c r="FS5" s="159"/>
      <c r="FT5" s="159"/>
      <c r="FU5" s="159"/>
      <c r="FV5" s="159"/>
      <c r="FW5" s="159"/>
      <c r="FX5" s="159"/>
      <c r="FY5" s="160"/>
      <c r="FZ5" s="159"/>
      <c r="GA5" s="159"/>
      <c r="GB5" s="159"/>
      <c r="GC5" s="159"/>
      <c r="GD5" s="159"/>
      <c r="GE5" s="159"/>
      <c r="GF5" s="159"/>
      <c r="GG5" s="159"/>
      <c r="GH5" s="159"/>
      <c r="GI5" s="159"/>
      <c r="GJ5" s="159"/>
      <c r="GK5" s="159"/>
      <c r="GL5" s="160"/>
      <c r="GM5" s="161"/>
      <c r="GN5" s="159"/>
      <c r="GO5" s="159"/>
      <c r="GP5" s="159"/>
      <c r="GQ5" s="159"/>
      <c r="GR5" s="159"/>
      <c r="GS5" s="159"/>
      <c r="GT5" s="159"/>
      <c r="GU5" s="159"/>
      <c r="GV5" s="159"/>
      <c r="GW5" s="159"/>
      <c r="GX5" s="159"/>
      <c r="GY5" s="160"/>
      <c r="GZ5" s="161"/>
      <c r="HA5" s="159"/>
      <c r="HB5" s="159"/>
      <c r="HC5" s="159"/>
      <c r="HD5" s="159"/>
      <c r="HE5" s="159"/>
      <c r="HF5" s="159"/>
      <c r="HG5" s="159"/>
      <c r="HH5" s="159"/>
      <c r="HI5" s="159"/>
      <c r="HJ5" s="159"/>
      <c r="HK5" s="159"/>
      <c r="HL5" s="160"/>
      <c r="HM5" s="159"/>
      <c r="HN5" s="159"/>
      <c r="HO5" s="159"/>
      <c r="HP5" s="159"/>
      <c r="HQ5" s="159"/>
      <c r="HR5" s="159"/>
      <c r="HS5" s="159"/>
      <c r="HT5" s="159"/>
      <c r="HU5" s="159"/>
      <c r="HV5" s="159"/>
      <c r="HW5" s="159"/>
      <c r="HX5" s="159"/>
      <c r="HY5" s="159"/>
      <c r="HZ5" s="161"/>
      <c r="IA5" s="159"/>
      <c r="IB5" s="159"/>
      <c r="IC5" s="159"/>
      <c r="ID5" s="159"/>
      <c r="IE5" s="159"/>
      <c r="IF5" s="159"/>
      <c r="IG5" s="159"/>
      <c r="IH5" s="159"/>
      <c r="II5" s="159"/>
      <c r="IJ5" s="159"/>
      <c r="IK5" s="159"/>
      <c r="IL5" s="159"/>
      <c r="IM5" s="202" t="s">
        <v>7998</v>
      </c>
      <c r="IN5" s="162"/>
      <c r="IO5" s="162"/>
      <c r="IP5" s="162"/>
      <c r="IQ5" s="162"/>
      <c r="IR5" s="162"/>
      <c r="IS5" s="162"/>
      <c r="IT5" s="162"/>
      <c r="IU5" s="162"/>
      <c r="IV5" s="162"/>
      <c r="IW5" s="162"/>
      <c r="IX5" s="162"/>
      <c r="IY5" s="163"/>
      <c r="IZ5" s="164"/>
      <c r="JA5" s="165"/>
      <c r="JB5" s="165"/>
      <c r="JC5" s="165"/>
      <c r="JD5" s="165"/>
      <c r="JE5" s="165"/>
      <c r="JF5" s="165"/>
      <c r="JG5" s="165"/>
      <c r="JH5" s="165"/>
      <c r="JI5" s="165"/>
      <c r="JJ5" s="165"/>
      <c r="JK5" s="165"/>
      <c r="JL5" s="166"/>
      <c r="JM5" s="164"/>
      <c r="JN5" s="165"/>
      <c r="JO5" s="165"/>
      <c r="JP5" s="165"/>
      <c r="JQ5" s="165"/>
      <c r="JR5" s="165"/>
      <c r="JS5" s="165"/>
      <c r="JT5" s="165"/>
      <c r="JU5" s="165"/>
      <c r="JV5" s="165"/>
      <c r="JW5" s="165"/>
      <c r="JX5" s="165"/>
      <c r="JY5" s="166"/>
      <c r="JZ5" s="164"/>
      <c r="KA5" s="165"/>
      <c r="KB5" s="165"/>
      <c r="KC5" s="165"/>
      <c r="KD5" s="165"/>
      <c r="KE5" s="165"/>
      <c r="KF5" s="165"/>
      <c r="KG5" s="165"/>
      <c r="KH5" s="165"/>
      <c r="KI5" s="165"/>
      <c r="KJ5" s="165"/>
      <c r="KK5" s="165"/>
      <c r="KL5" s="166"/>
      <c r="KM5" s="164"/>
      <c r="KN5" s="165"/>
      <c r="KO5" s="165"/>
      <c r="KP5" s="165"/>
      <c r="KQ5" s="165"/>
      <c r="KR5" s="165"/>
      <c r="KS5" s="165"/>
      <c r="KT5" s="165"/>
      <c r="KU5" s="165"/>
      <c r="KV5" s="165"/>
      <c r="KW5" s="165"/>
      <c r="KX5" s="165"/>
      <c r="KY5" s="166"/>
      <c r="KZ5" s="164"/>
      <c r="LA5" s="165"/>
      <c r="LB5" s="165"/>
      <c r="LC5" s="165"/>
      <c r="LD5" s="165"/>
      <c r="LE5" s="165"/>
      <c r="LF5" s="165"/>
      <c r="LG5" s="165"/>
      <c r="LH5" s="165"/>
      <c r="LI5" s="165"/>
      <c r="LJ5" s="165"/>
      <c r="LK5" s="165"/>
      <c r="LL5" s="166"/>
      <c r="LM5" s="164"/>
      <c r="LN5" s="165"/>
      <c r="LO5" s="165"/>
      <c r="LP5" s="165"/>
      <c r="LQ5" s="165"/>
      <c r="LR5" s="165"/>
      <c r="LS5" s="165"/>
      <c r="LT5" s="165"/>
      <c r="LU5" s="165"/>
      <c r="LV5" s="165"/>
      <c r="LW5" s="165"/>
      <c r="LX5" s="165"/>
      <c r="LY5" s="166"/>
      <c r="LZ5" s="164"/>
      <c r="MA5" s="165"/>
      <c r="MB5" s="165"/>
      <c r="MC5" s="165"/>
      <c r="MD5" s="165"/>
      <c r="ME5" s="165"/>
      <c r="MF5" s="165"/>
      <c r="MG5" s="165"/>
      <c r="MH5" s="165"/>
      <c r="MI5" s="165"/>
      <c r="MJ5" s="165"/>
      <c r="MK5" s="165"/>
      <c r="ML5" s="166"/>
      <c r="MM5" s="203" t="s">
        <v>7999</v>
      </c>
      <c r="MN5" s="167"/>
      <c r="MO5" s="168"/>
      <c r="MP5" s="203" t="s">
        <v>7999</v>
      </c>
      <c r="MQ5" s="169"/>
      <c r="MR5" s="169"/>
      <c r="MS5" s="169"/>
      <c r="MT5" s="169"/>
      <c r="MU5" s="169"/>
      <c r="MV5" s="169"/>
      <c r="MW5" s="169"/>
      <c r="MX5" s="169"/>
      <c r="MY5" s="169"/>
      <c r="MZ5" s="169"/>
      <c r="NA5" s="169"/>
      <c r="NB5" s="170"/>
      <c r="NC5" s="171"/>
      <c r="ND5" s="171"/>
      <c r="NE5" s="171"/>
      <c r="NF5" s="171"/>
      <c r="NG5" s="171"/>
      <c r="NH5" s="171"/>
      <c r="NI5" s="171"/>
      <c r="NJ5" s="171"/>
      <c r="NK5" s="171"/>
      <c r="NL5" s="171"/>
      <c r="NM5" s="171"/>
      <c r="NN5" s="171"/>
      <c r="NO5" s="171"/>
      <c r="NP5" s="172"/>
      <c r="NQ5" s="171"/>
      <c r="NR5" s="171"/>
      <c r="NS5" s="171"/>
      <c r="NT5" s="171"/>
      <c r="NU5" s="171"/>
      <c r="NV5" s="171"/>
      <c r="NW5" s="171"/>
      <c r="NX5" s="171"/>
      <c r="NY5" s="171"/>
      <c r="NZ5" s="171"/>
      <c r="OA5" s="171"/>
      <c r="OB5" s="173"/>
      <c r="OC5" s="172"/>
      <c r="OD5" s="171"/>
      <c r="OE5" s="171"/>
      <c r="OF5" s="171"/>
      <c r="OG5" s="171"/>
      <c r="OH5" s="171"/>
      <c r="OI5" s="171"/>
      <c r="OJ5" s="171"/>
      <c r="OK5" s="171"/>
      <c r="OL5" s="171"/>
      <c r="OM5" s="171"/>
      <c r="ON5" s="171"/>
      <c r="OO5" s="173"/>
      <c r="OP5" s="172"/>
      <c r="OQ5" s="171"/>
      <c r="OR5" s="171"/>
      <c r="OS5" s="171"/>
      <c r="OT5" s="171"/>
      <c r="OU5" s="171"/>
      <c r="OV5" s="171"/>
      <c r="OW5" s="171"/>
      <c r="OX5" s="171"/>
      <c r="OY5" s="171"/>
      <c r="OZ5" s="171"/>
      <c r="PA5" s="171"/>
      <c r="PB5" s="173"/>
      <c r="PC5" s="172"/>
      <c r="PD5" s="171"/>
      <c r="PE5" s="171"/>
      <c r="PF5" s="171"/>
      <c r="PG5" s="171"/>
      <c r="PH5" s="171"/>
      <c r="PI5" s="171"/>
      <c r="PJ5" s="171"/>
      <c r="PK5" s="171"/>
      <c r="PL5" s="171"/>
      <c r="PM5" s="171"/>
      <c r="PN5" s="171"/>
      <c r="PO5" s="173"/>
      <c r="PP5" s="172"/>
      <c r="PQ5" s="171"/>
      <c r="PR5" s="171"/>
      <c r="PS5" s="171"/>
      <c r="PT5" s="171"/>
      <c r="PU5" s="171"/>
      <c r="PV5" s="171"/>
      <c r="PW5" s="171"/>
      <c r="PX5" s="171"/>
      <c r="PY5" s="171"/>
      <c r="PZ5" s="171"/>
      <c r="QA5" s="171"/>
      <c r="QB5" s="173"/>
      <c r="QC5" s="172"/>
      <c r="QD5" s="171"/>
      <c r="QE5" s="171"/>
      <c r="QF5" s="171"/>
      <c r="QG5" s="171"/>
      <c r="QH5" s="171"/>
      <c r="QI5" s="171"/>
      <c r="QJ5" s="171"/>
      <c r="QK5" s="171"/>
      <c r="QL5" s="171"/>
      <c r="QM5" s="171"/>
      <c r="QN5" s="171"/>
      <c r="QO5" s="173"/>
    </row>
    <row r="6" spans="1:457" s="174" customFormat="1" ht="31.5" x14ac:dyDescent="0.25">
      <c r="G6" s="176"/>
      <c r="O6" s="175" t="s">
        <v>8000</v>
      </c>
      <c r="S6" s="95" t="s">
        <v>8001</v>
      </c>
      <c r="T6" s="95" t="s">
        <v>8001</v>
      </c>
      <c r="U6" s="96" t="s">
        <v>8001</v>
      </c>
      <c r="V6" s="95" t="s">
        <v>8001</v>
      </c>
      <c r="W6" s="177" t="s">
        <v>8002</v>
      </c>
      <c r="X6" s="95" t="s">
        <v>8001</v>
      </c>
      <c r="Y6" s="95" t="s">
        <v>8001</v>
      </c>
      <c r="Z6" s="178" t="s">
        <v>8002</v>
      </c>
      <c r="AA6" s="97" t="s">
        <v>8001</v>
      </c>
      <c r="AB6" s="179" t="s">
        <v>8002</v>
      </c>
      <c r="AC6" s="180" t="s">
        <v>8002</v>
      </c>
      <c r="AD6" s="98" t="s">
        <v>8003</v>
      </c>
      <c r="AE6" s="98" t="s">
        <v>8002</v>
      </c>
      <c r="AF6" s="98" t="s">
        <v>8002</v>
      </c>
      <c r="AG6" s="99" t="s">
        <v>8003</v>
      </c>
      <c r="AH6" s="100" t="s">
        <v>8003</v>
      </c>
      <c r="AI6" s="101" t="s">
        <v>8002</v>
      </c>
      <c r="AJ6" s="98" t="s">
        <v>8002</v>
      </c>
      <c r="AK6" s="98" t="s">
        <v>8002</v>
      </c>
      <c r="AL6" s="101" t="s">
        <v>8002</v>
      </c>
      <c r="AM6" s="100" t="s">
        <v>8003</v>
      </c>
      <c r="AN6" s="102" t="s">
        <v>8004</v>
      </c>
      <c r="AO6" s="102" t="s">
        <v>8004</v>
      </c>
      <c r="AP6" s="102" t="s">
        <v>8004</v>
      </c>
      <c r="AQ6" s="102" t="s">
        <v>8004</v>
      </c>
      <c r="AR6" s="102" t="s">
        <v>8004</v>
      </c>
      <c r="AS6" s="102" t="s">
        <v>8004</v>
      </c>
      <c r="AT6" s="103" t="s">
        <v>8005</v>
      </c>
      <c r="AU6" s="103" t="s">
        <v>8005</v>
      </c>
      <c r="AV6" s="103" t="s">
        <v>8005</v>
      </c>
      <c r="AW6" s="103" t="s">
        <v>8005</v>
      </c>
      <c r="AX6" s="103" t="s">
        <v>8005</v>
      </c>
      <c r="AY6" s="103" t="s">
        <v>8005</v>
      </c>
      <c r="AZ6" s="181" t="s">
        <v>8002</v>
      </c>
      <c r="BA6" s="102" t="s">
        <v>8004</v>
      </c>
      <c r="BB6" s="102" t="s">
        <v>8004</v>
      </c>
      <c r="BC6" s="102" t="s">
        <v>8004</v>
      </c>
      <c r="BD6" s="102" t="s">
        <v>8004</v>
      </c>
      <c r="BE6" s="102" t="s">
        <v>8004</v>
      </c>
      <c r="BF6" s="102" t="s">
        <v>8004</v>
      </c>
      <c r="BG6" s="178" t="s">
        <v>8002</v>
      </c>
      <c r="BH6" s="178" t="s">
        <v>8002</v>
      </c>
      <c r="BI6" s="178" t="s">
        <v>8002</v>
      </c>
      <c r="BJ6" s="178" t="s">
        <v>8002</v>
      </c>
      <c r="BK6" s="178" t="s">
        <v>8002</v>
      </c>
      <c r="BL6" s="177" t="s">
        <v>8002</v>
      </c>
      <c r="BM6" s="181" t="s">
        <v>8002</v>
      </c>
      <c r="BN6" s="102" t="s">
        <v>8004</v>
      </c>
      <c r="BO6" s="102" t="s">
        <v>8004</v>
      </c>
      <c r="BP6" s="102" t="s">
        <v>8004</v>
      </c>
      <c r="BQ6" s="102" t="s">
        <v>8004</v>
      </c>
      <c r="BR6" s="102" t="s">
        <v>8004</v>
      </c>
      <c r="BS6" s="102" t="s">
        <v>8004</v>
      </c>
      <c r="BT6" s="178" t="s">
        <v>8002</v>
      </c>
      <c r="BU6" s="178" t="s">
        <v>8002</v>
      </c>
      <c r="BV6" s="178" t="s">
        <v>8002</v>
      </c>
      <c r="BW6" s="178" t="s">
        <v>8002</v>
      </c>
      <c r="BX6" s="178" t="s">
        <v>8002</v>
      </c>
      <c r="BY6" s="177" t="s">
        <v>8002</v>
      </c>
      <c r="BZ6" s="181" t="s">
        <v>8002</v>
      </c>
      <c r="CA6" s="178" t="s">
        <v>8002</v>
      </c>
      <c r="CB6" s="178" t="s">
        <v>8002</v>
      </c>
      <c r="CC6" s="178" t="s">
        <v>8002</v>
      </c>
      <c r="CD6" s="178" t="s">
        <v>8002</v>
      </c>
      <c r="CE6" s="178" t="s">
        <v>8002</v>
      </c>
      <c r="CF6" s="178" t="s">
        <v>8002</v>
      </c>
      <c r="CG6" s="178" t="s">
        <v>8002</v>
      </c>
      <c r="CH6" s="178" t="s">
        <v>8002</v>
      </c>
      <c r="CI6" s="178" t="s">
        <v>8002</v>
      </c>
      <c r="CJ6" s="178" t="s">
        <v>8002</v>
      </c>
      <c r="CK6" s="178" t="s">
        <v>8002</v>
      </c>
      <c r="CL6" s="177" t="s">
        <v>8002</v>
      </c>
      <c r="CM6" s="181" t="s">
        <v>8002</v>
      </c>
      <c r="CN6" s="178" t="s">
        <v>8002</v>
      </c>
      <c r="CO6" s="178" t="s">
        <v>8002</v>
      </c>
      <c r="CP6" s="178" t="s">
        <v>8002</v>
      </c>
      <c r="CQ6" s="178" t="s">
        <v>8002</v>
      </c>
      <c r="CR6" s="178" t="s">
        <v>8002</v>
      </c>
      <c r="CS6" s="178" t="s">
        <v>8002</v>
      </c>
      <c r="CT6" s="178" t="s">
        <v>8002</v>
      </c>
      <c r="CU6" s="178" t="s">
        <v>8002</v>
      </c>
      <c r="CV6" s="178" t="s">
        <v>8002</v>
      </c>
      <c r="CW6" s="178" t="s">
        <v>8002</v>
      </c>
      <c r="CX6" s="178" t="s">
        <v>8002</v>
      </c>
      <c r="CY6" s="177" t="s">
        <v>8002</v>
      </c>
      <c r="CZ6" s="181" t="s">
        <v>8002</v>
      </c>
      <c r="DA6" s="178" t="s">
        <v>8002</v>
      </c>
      <c r="DB6" s="178" t="s">
        <v>8002</v>
      </c>
      <c r="DC6" s="178" t="s">
        <v>8002</v>
      </c>
      <c r="DD6" s="178" t="s">
        <v>8002</v>
      </c>
      <c r="DE6" s="178" t="s">
        <v>8002</v>
      </c>
      <c r="DF6" s="178" t="s">
        <v>8002</v>
      </c>
      <c r="DG6" s="178" t="s">
        <v>8002</v>
      </c>
      <c r="DH6" s="178" t="s">
        <v>8002</v>
      </c>
      <c r="DI6" s="178" t="s">
        <v>8002</v>
      </c>
      <c r="DJ6" s="178" t="s">
        <v>8002</v>
      </c>
      <c r="DK6" s="178" t="s">
        <v>8002</v>
      </c>
      <c r="DL6" s="177" t="s">
        <v>8002</v>
      </c>
      <c r="DM6" s="178" t="s">
        <v>8002</v>
      </c>
      <c r="DN6" s="178" t="s">
        <v>8002</v>
      </c>
      <c r="DO6" s="178" t="s">
        <v>8002</v>
      </c>
      <c r="DP6" s="178" t="s">
        <v>8002</v>
      </c>
      <c r="DQ6" s="178" t="s">
        <v>8002</v>
      </c>
      <c r="DR6" s="178" t="s">
        <v>8002</v>
      </c>
      <c r="DS6" s="178" t="s">
        <v>8002</v>
      </c>
      <c r="DT6" s="178" t="s">
        <v>8002</v>
      </c>
      <c r="DU6" s="178" t="s">
        <v>8002</v>
      </c>
      <c r="DV6" s="178" t="s">
        <v>8002</v>
      </c>
      <c r="DW6" s="178" t="s">
        <v>8002</v>
      </c>
      <c r="DX6" s="178" t="s">
        <v>8002</v>
      </c>
      <c r="DY6" s="178" t="s">
        <v>8002</v>
      </c>
      <c r="DZ6" s="181" t="s">
        <v>8002</v>
      </c>
      <c r="EA6" s="178" t="s">
        <v>8002</v>
      </c>
      <c r="EB6" s="178" t="s">
        <v>8002</v>
      </c>
      <c r="EC6" s="178" t="s">
        <v>8002</v>
      </c>
      <c r="ED6" s="178" t="s">
        <v>8002</v>
      </c>
      <c r="EE6" s="178" t="s">
        <v>8002</v>
      </c>
      <c r="EF6" s="178" t="s">
        <v>8002</v>
      </c>
      <c r="EG6" s="178" t="s">
        <v>8002</v>
      </c>
      <c r="EH6" s="178" t="s">
        <v>8002</v>
      </c>
      <c r="EI6" s="178" t="s">
        <v>8002</v>
      </c>
      <c r="EJ6" s="178" t="s">
        <v>8002</v>
      </c>
      <c r="EK6" s="178" t="s">
        <v>8002</v>
      </c>
      <c r="EL6" s="177" t="s">
        <v>8002</v>
      </c>
      <c r="EM6" s="104" t="s">
        <v>8002</v>
      </c>
      <c r="EN6" s="98" t="s">
        <v>8002</v>
      </c>
      <c r="EO6" s="98" t="s">
        <v>8002</v>
      </c>
      <c r="EP6" s="98" t="s">
        <v>8002</v>
      </c>
      <c r="EQ6" s="98" t="s">
        <v>8002</v>
      </c>
      <c r="ER6" s="98" t="s">
        <v>8002</v>
      </c>
      <c r="ES6" s="98" t="s">
        <v>8002</v>
      </c>
      <c r="ET6" s="98" t="s">
        <v>8002</v>
      </c>
      <c r="EU6" s="98" t="s">
        <v>8002</v>
      </c>
      <c r="EV6" s="98" t="s">
        <v>8002</v>
      </c>
      <c r="EW6" s="98" t="s">
        <v>8002</v>
      </c>
      <c r="EX6" s="98" t="s">
        <v>8002</v>
      </c>
      <c r="EY6" s="98" t="s">
        <v>8002</v>
      </c>
      <c r="EZ6" s="178" t="s">
        <v>8002</v>
      </c>
      <c r="FA6" s="178" t="s">
        <v>8002</v>
      </c>
      <c r="FB6" s="178" t="s">
        <v>8002</v>
      </c>
      <c r="FC6" s="178" t="s">
        <v>8002</v>
      </c>
      <c r="FD6" s="178" t="s">
        <v>8002</v>
      </c>
      <c r="FE6" s="178" t="s">
        <v>8002</v>
      </c>
      <c r="FF6" s="178" t="s">
        <v>8002</v>
      </c>
      <c r="FG6" s="178" t="s">
        <v>8002</v>
      </c>
      <c r="FH6" s="178" t="s">
        <v>8002</v>
      </c>
      <c r="FI6" s="178" t="s">
        <v>8002</v>
      </c>
      <c r="FJ6" s="178" t="s">
        <v>8002</v>
      </c>
      <c r="FK6" s="178" t="s">
        <v>8002</v>
      </c>
      <c r="FL6" s="177" t="s">
        <v>8002</v>
      </c>
      <c r="FM6" s="181" t="s">
        <v>8002</v>
      </c>
      <c r="FN6" s="178" t="s">
        <v>8002</v>
      </c>
      <c r="FO6" s="178" t="s">
        <v>8002</v>
      </c>
      <c r="FP6" s="178" t="s">
        <v>8002</v>
      </c>
      <c r="FQ6" s="178" t="s">
        <v>8002</v>
      </c>
      <c r="FR6" s="178" t="s">
        <v>8002</v>
      </c>
      <c r="FS6" s="178" t="s">
        <v>8002</v>
      </c>
      <c r="FT6" s="178" t="s">
        <v>8002</v>
      </c>
      <c r="FU6" s="178" t="s">
        <v>8002</v>
      </c>
      <c r="FV6" s="178" t="s">
        <v>8002</v>
      </c>
      <c r="FW6" s="178" t="s">
        <v>8002</v>
      </c>
      <c r="FX6" s="178" t="s">
        <v>8002</v>
      </c>
      <c r="FY6" s="177" t="s">
        <v>8002</v>
      </c>
      <c r="FZ6" s="178" t="s">
        <v>8002</v>
      </c>
      <c r="GA6" s="178" t="s">
        <v>8002</v>
      </c>
      <c r="GB6" s="178" t="s">
        <v>8002</v>
      </c>
      <c r="GC6" s="178" t="s">
        <v>8002</v>
      </c>
      <c r="GD6" s="178" t="s">
        <v>8002</v>
      </c>
      <c r="GE6" s="178" t="s">
        <v>8002</v>
      </c>
      <c r="GF6" s="178" t="s">
        <v>8002</v>
      </c>
      <c r="GG6" s="178" t="s">
        <v>8002</v>
      </c>
      <c r="GH6" s="178" t="s">
        <v>8002</v>
      </c>
      <c r="GI6" s="178" t="s">
        <v>8002</v>
      </c>
      <c r="GJ6" s="178" t="s">
        <v>8002</v>
      </c>
      <c r="GK6" s="178" t="s">
        <v>8002</v>
      </c>
      <c r="GL6" s="177" t="s">
        <v>8002</v>
      </c>
      <c r="GM6" s="181" t="s">
        <v>8002</v>
      </c>
      <c r="GN6" s="178" t="s">
        <v>8002</v>
      </c>
      <c r="GO6" s="178" t="s">
        <v>8002</v>
      </c>
      <c r="GP6" s="178" t="s">
        <v>8002</v>
      </c>
      <c r="GQ6" s="178" t="s">
        <v>8002</v>
      </c>
      <c r="GR6" s="178" t="s">
        <v>8002</v>
      </c>
      <c r="GS6" s="178" t="s">
        <v>8002</v>
      </c>
      <c r="GT6" s="178" t="s">
        <v>8002</v>
      </c>
      <c r="GU6" s="178" t="s">
        <v>8002</v>
      </c>
      <c r="GV6" s="178" t="s">
        <v>8002</v>
      </c>
      <c r="GW6" s="178" t="s">
        <v>8002</v>
      </c>
      <c r="GX6" s="178" t="s">
        <v>8002</v>
      </c>
      <c r="GY6" s="177" t="s">
        <v>8002</v>
      </c>
      <c r="GZ6" s="181" t="s">
        <v>8002</v>
      </c>
      <c r="HA6" s="178" t="s">
        <v>8002</v>
      </c>
      <c r="HB6" s="178" t="s">
        <v>8002</v>
      </c>
      <c r="HC6" s="178" t="s">
        <v>8002</v>
      </c>
      <c r="HD6" s="178" t="s">
        <v>8002</v>
      </c>
      <c r="HE6" s="178" t="s">
        <v>8002</v>
      </c>
      <c r="HF6" s="178" t="s">
        <v>8002</v>
      </c>
      <c r="HG6" s="178" t="s">
        <v>8002</v>
      </c>
      <c r="HH6" s="178" t="s">
        <v>8002</v>
      </c>
      <c r="HI6" s="178" t="s">
        <v>8002</v>
      </c>
      <c r="HJ6" s="178" t="s">
        <v>8002</v>
      </c>
      <c r="HK6" s="178" t="s">
        <v>8002</v>
      </c>
      <c r="HL6" s="177" t="s">
        <v>8002</v>
      </c>
      <c r="HM6" s="178" t="s">
        <v>8002</v>
      </c>
      <c r="HN6" s="178" t="s">
        <v>8002</v>
      </c>
      <c r="HO6" s="178" t="s">
        <v>8002</v>
      </c>
      <c r="HP6" s="178" t="s">
        <v>8002</v>
      </c>
      <c r="HQ6" s="178" t="s">
        <v>8002</v>
      </c>
      <c r="HR6" s="178" t="s">
        <v>8002</v>
      </c>
      <c r="HS6" s="178" t="s">
        <v>8002</v>
      </c>
      <c r="HT6" s="178" t="s">
        <v>8002</v>
      </c>
      <c r="HU6" s="178" t="s">
        <v>8002</v>
      </c>
      <c r="HV6" s="178" t="s">
        <v>8002</v>
      </c>
      <c r="HW6" s="178" t="s">
        <v>8002</v>
      </c>
      <c r="HX6" s="178" t="s">
        <v>8002</v>
      </c>
      <c r="HY6" s="178" t="s">
        <v>8002</v>
      </c>
      <c r="HZ6" s="181" t="s">
        <v>8002</v>
      </c>
      <c r="IA6" s="178" t="s">
        <v>8002</v>
      </c>
      <c r="IB6" s="178" t="s">
        <v>8002</v>
      </c>
      <c r="IC6" s="178" t="s">
        <v>8002</v>
      </c>
      <c r="ID6" s="178" t="s">
        <v>8002</v>
      </c>
      <c r="IE6" s="178" t="s">
        <v>8002</v>
      </c>
      <c r="IF6" s="178" t="s">
        <v>8002</v>
      </c>
      <c r="IG6" s="178" t="s">
        <v>8002</v>
      </c>
      <c r="IH6" s="178" t="s">
        <v>8002</v>
      </c>
      <c r="II6" s="178" t="s">
        <v>8002</v>
      </c>
      <c r="IJ6" s="178" t="s">
        <v>8002</v>
      </c>
      <c r="IK6" s="178" t="s">
        <v>8002</v>
      </c>
      <c r="IL6" s="177" t="s">
        <v>8002</v>
      </c>
      <c r="IM6" s="181" t="s">
        <v>8002</v>
      </c>
      <c r="IN6" s="100" t="s">
        <v>8003</v>
      </c>
      <c r="IO6" s="100" t="s">
        <v>8003</v>
      </c>
      <c r="IP6" s="100" t="s">
        <v>8003</v>
      </c>
      <c r="IQ6" s="100" t="s">
        <v>8003</v>
      </c>
      <c r="IR6" s="100" t="s">
        <v>8003</v>
      </c>
      <c r="IS6" s="100" t="s">
        <v>8003</v>
      </c>
      <c r="IT6" s="100" t="s">
        <v>8003</v>
      </c>
      <c r="IU6" s="100" t="s">
        <v>8003</v>
      </c>
      <c r="IV6" s="100" t="s">
        <v>8003</v>
      </c>
      <c r="IW6" s="100" t="s">
        <v>8003</v>
      </c>
      <c r="IX6" s="100" t="s">
        <v>8003</v>
      </c>
      <c r="IY6" s="105" t="s">
        <v>8003</v>
      </c>
      <c r="IZ6" s="181" t="s">
        <v>8002</v>
      </c>
      <c r="JA6" s="178" t="s">
        <v>8002</v>
      </c>
      <c r="JB6" s="178" t="s">
        <v>8002</v>
      </c>
      <c r="JC6" s="178" t="s">
        <v>8002</v>
      </c>
      <c r="JD6" s="178" t="s">
        <v>8002</v>
      </c>
      <c r="JE6" s="178" t="s">
        <v>8002</v>
      </c>
      <c r="JF6" s="178" t="s">
        <v>8002</v>
      </c>
      <c r="JG6" s="178" t="s">
        <v>8002</v>
      </c>
      <c r="JH6" s="178" t="s">
        <v>8002</v>
      </c>
      <c r="JI6" s="178" t="s">
        <v>8002</v>
      </c>
      <c r="JJ6" s="178" t="s">
        <v>8002</v>
      </c>
      <c r="JK6" s="178" t="s">
        <v>8002</v>
      </c>
      <c r="JL6" s="177" t="s">
        <v>8002</v>
      </c>
      <c r="JM6" s="181" t="s">
        <v>8002</v>
      </c>
      <c r="JN6" s="178" t="s">
        <v>8002</v>
      </c>
      <c r="JO6" s="178" t="s">
        <v>8002</v>
      </c>
      <c r="JP6" s="178" t="s">
        <v>8002</v>
      </c>
      <c r="JQ6" s="178" t="s">
        <v>8002</v>
      </c>
      <c r="JR6" s="178" t="s">
        <v>8002</v>
      </c>
      <c r="JS6" s="178" t="s">
        <v>8002</v>
      </c>
      <c r="JT6" s="178" t="s">
        <v>8002</v>
      </c>
      <c r="JU6" s="178" t="s">
        <v>8002</v>
      </c>
      <c r="JV6" s="178" t="s">
        <v>8002</v>
      </c>
      <c r="JW6" s="178" t="s">
        <v>8002</v>
      </c>
      <c r="JX6" s="178" t="s">
        <v>8002</v>
      </c>
      <c r="JY6" s="177" t="s">
        <v>8002</v>
      </c>
      <c r="JZ6" s="181" t="s">
        <v>8002</v>
      </c>
      <c r="KA6" s="178" t="s">
        <v>8002</v>
      </c>
      <c r="KB6" s="178" t="s">
        <v>8002</v>
      </c>
      <c r="KC6" s="178" t="s">
        <v>8002</v>
      </c>
      <c r="KD6" s="178" t="s">
        <v>8002</v>
      </c>
      <c r="KE6" s="178" t="s">
        <v>8002</v>
      </c>
      <c r="KF6" s="178" t="s">
        <v>8002</v>
      </c>
      <c r="KG6" s="178" t="s">
        <v>8002</v>
      </c>
      <c r="KH6" s="178" t="s">
        <v>8002</v>
      </c>
      <c r="KI6" s="178" t="s">
        <v>8002</v>
      </c>
      <c r="KJ6" s="178" t="s">
        <v>8002</v>
      </c>
      <c r="KK6" s="178" t="s">
        <v>8002</v>
      </c>
      <c r="KL6" s="177" t="s">
        <v>8002</v>
      </c>
      <c r="KM6" s="181" t="s">
        <v>8002</v>
      </c>
      <c r="KN6" s="178" t="s">
        <v>8002</v>
      </c>
      <c r="KO6" s="178" t="s">
        <v>8002</v>
      </c>
      <c r="KP6" s="178" t="s">
        <v>8002</v>
      </c>
      <c r="KQ6" s="178" t="s">
        <v>8002</v>
      </c>
      <c r="KR6" s="178" t="s">
        <v>8002</v>
      </c>
      <c r="KS6" s="178" t="s">
        <v>8002</v>
      </c>
      <c r="KT6" s="178" t="s">
        <v>8002</v>
      </c>
      <c r="KU6" s="178" t="s">
        <v>8002</v>
      </c>
      <c r="KV6" s="178" t="s">
        <v>8002</v>
      </c>
      <c r="KW6" s="178" t="s">
        <v>8002</v>
      </c>
      <c r="KX6" s="178" t="s">
        <v>8002</v>
      </c>
      <c r="KY6" s="177" t="s">
        <v>8002</v>
      </c>
      <c r="KZ6" s="181" t="s">
        <v>8002</v>
      </c>
      <c r="LA6" s="178" t="s">
        <v>8002</v>
      </c>
      <c r="LB6" s="178" t="s">
        <v>8002</v>
      </c>
      <c r="LC6" s="178" t="s">
        <v>8002</v>
      </c>
      <c r="LD6" s="178" t="s">
        <v>8002</v>
      </c>
      <c r="LE6" s="178" t="s">
        <v>8002</v>
      </c>
      <c r="LF6" s="178" t="s">
        <v>8002</v>
      </c>
      <c r="LG6" s="178" t="s">
        <v>8002</v>
      </c>
      <c r="LH6" s="178" t="s">
        <v>8002</v>
      </c>
      <c r="LI6" s="178" t="s">
        <v>8002</v>
      </c>
      <c r="LJ6" s="178" t="s">
        <v>8002</v>
      </c>
      <c r="LK6" s="178" t="s">
        <v>8002</v>
      </c>
      <c r="LL6" s="177" t="s">
        <v>8002</v>
      </c>
      <c r="LM6" s="181" t="s">
        <v>8002</v>
      </c>
      <c r="LN6" s="178" t="s">
        <v>8002</v>
      </c>
      <c r="LO6" s="178" t="s">
        <v>8002</v>
      </c>
      <c r="LP6" s="178" t="s">
        <v>8002</v>
      </c>
      <c r="LQ6" s="178" t="s">
        <v>8002</v>
      </c>
      <c r="LR6" s="178" t="s">
        <v>8002</v>
      </c>
      <c r="LS6" s="178" t="s">
        <v>8002</v>
      </c>
      <c r="LT6" s="178" t="s">
        <v>8002</v>
      </c>
      <c r="LU6" s="178" t="s">
        <v>8002</v>
      </c>
      <c r="LV6" s="178" t="s">
        <v>8002</v>
      </c>
      <c r="LW6" s="178" t="s">
        <v>8002</v>
      </c>
      <c r="LX6" s="178" t="s">
        <v>8002</v>
      </c>
      <c r="LY6" s="177" t="s">
        <v>8002</v>
      </c>
      <c r="LZ6" s="181" t="s">
        <v>8002</v>
      </c>
      <c r="MA6" s="178" t="s">
        <v>8002</v>
      </c>
      <c r="MB6" s="178" t="s">
        <v>8002</v>
      </c>
      <c r="MC6" s="178" t="s">
        <v>8002</v>
      </c>
      <c r="MD6" s="178" t="s">
        <v>8002</v>
      </c>
      <c r="ME6" s="178" t="s">
        <v>8002</v>
      </c>
      <c r="MF6" s="178" t="s">
        <v>8002</v>
      </c>
      <c r="MG6" s="178" t="s">
        <v>8002</v>
      </c>
      <c r="MH6" s="178" t="s">
        <v>8002</v>
      </c>
      <c r="MI6" s="178" t="s">
        <v>8002</v>
      </c>
      <c r="MJ6" s="178" t="s">
        <v>8002</v>
      </c>
      <c r="MK6" s="178" t="s">
        <v>8002</v>
      </c>
      <c r="ML6" s="177" t="s">
        <v>8002</v>
      </c>
      <c r="MM6" s="181" t="s">
        <v>8002</v>
      </c>
      <c r="MN6" s="100" t="s">
        <v>8003</v>
      </c>
      <c r="MO6" s="177" t="s">
        <v>8002</v>
      </c>
      <c r="MP6" s="181" t="s">
        <v>8002</v>
      </c>
      <c r="MQ6" s="100" t="s">
        <v>8003</v>
      </c>
      <c r="MR6" s="100" t="s">
        <v>8003</v>
      </c>
      <c r="MS6" s="100" t="s">
        <v>8003</v>
      </c>
      <c r="MT6" s="100" t="s">
        <v>8003</v>
      </c>
      <c r="MU6" s="100" t="s">
        <v>8003</v>
      </c>
      <c r="MV6" s="100" t="s">
        <v>8003</v>
      </c>
      <c r="MW6" s="100" t="s">
        <v>8003</v>
      </c>
      <c r="MX6" s="100" t="s">
        <v>8003</v>
      </c>
      <c r="MY6" s="100" t="s">
        <v>8003</v>
      </c>
      <c r="MZ6" s="100" t="s">
        <v>8003</v>
      </c>
      <c r="NA6" s="100" t="s">
        <v>8003</v>
      </c>
      <c r="NB6" s="105" t="s">
        <v>8003</v>
      </c>
      <c r="NC6" s="178" t="s">
        <v>8002</v>
      </c>
      <c r="ND6" s="178" t="s">
        <v>8002</v>
      </c>
      <c r="NE6" s="178" t="s">
        <v>8002</v>
      </c>
      <c r="NF6" s="178" t="s">
        <v>8002</v>
      </c>
      <c r="NG6" s="178" t="s">
        <v>8002</v>
      </c>
      <c r="NH6" s="178" t="s">
        <v>8002</v>
      </c>
      <c r="NI6" s="178" t="s">
        <v>8002</v>
      </c>
      <c r="NJ6" s="178" t="s">
        <v>8002</v>
      </c>
      <c r="NK6" s="178" t="s">
        <v>8002</v>
      </c>
      <c r="NL6" s="178" t="s">
        <v>8002</v>
      </c>
      <c r="NM6" s="178" t="s">
        <v>8002</v>
      </c>
      <c r="NN6" s="178" t="s">
        <v>8002</v>
      </c>
      <c r="NO6" s="178" t="s">
        <v>8002</v>
      </c>
      <c r="NP6" s="181" t="s">
        <v>8002</v>
      </c>
      <c r="NQ6" s="178" t="s">
        <v>8002</v>
      </c>
      <c r="NR6" s="178" t="s">
        <v>8002</v>
      </c>
      <c r="NS6" s="178" t="s">
        <v>8002</v>
      </c>
      <c r="NT6" s="178" t="s">
        <v>8002</v>
      </c>
      <c r="NU6" s="178" t="s">
        <v>8002</v>
      </c>
      <c r="NV6" s="178" t="s">
        <v>8002</v>
      </c>
      <c r="NW6" s="178" t="s">
        <v>8002</v>
      </c>
      <c r="NX6" s="178" t="s">
        <v>8002</v>
      </c>
      <c r="NY6" s="178" t="s">
        <v>8002</v>
      </c>
      <c r="NZ6" s="178" t="s">
        <v>8002</v>
      </c>
      <c r="OA6" s="178" t="s">
        <v>8002</v>
      </c>
      <c r="OB6" s="177" t="s">
        <v>8002</v>
      </c>
      <c r="OC6" s="181" t="s">
        <v>8002</v>
      </c>
      <c r="OD6" s="178" t="s">
        <v>8002</v>
      </c>
      <c r="OE6" s="178" t="s">
        <v>8002</v>
      </c>
      <c r="OF6" s="178" t="s">
        <v>8002</v>
      </c>
      <c r="OG6" s="178" t="s">
        <v>8002</v>
      </c>
      <c r="OH6" s="178" t="s">
        <v>8002</v>
      </c>
      <c r="OI6" s="178" t="s">
        <v>8002</v>
      </c>
      <c r="OJ6" s="178" t="s">
        <v>8002</v>
      </c>
      <c r="OK6" s="178" t="s">
        <v>8002</v>
      </c>
      <c r="OL6" s="178" t="s">
        <v>8002</v>
      </c>
      <c r="OM6" s="178" t="s">
        <v>8002</v>
      </c>
      <c r="ON6" s="178" t="s">
        <v>8002</v>
      </c>
      <c r="OO6" s="177" t="s">
        <v>8002</v>
      </c>
      <c r="OP6" s="181" t="s">
        <v>8002</v>
      </c>
      <c r="OQ6" s="178" t="s">
        <v>8002</v>
      </c>
      <c r="OR6" s="178" t="s">
        <v>8002</v>
      </c>
      <c r="OS6" s="178" t="s">
        <v>8002</v>
      </c>
      <c r="OT6" s="178" t="s">
        <v>8002</v>
      </c>
      <c r="OU6" s="178" t="s">
        <v>8002</v>
      </c>
      <c r="OV6" s="178" t="s">
        <v>8002</v>
      </c>
      <c r="OW6" s="178" t="s">
        <v>8002</v>
      </c>
      <c r="OX6" s="178" t="s">
        <v>8002</v>
      </c>
      <c r="OY6" s="178" t="s">
        <v>8002</v>
      </c>
      <c r="OZ6" s="178" t="s">
        <v>8002</v>
      </c>
      <c r="PA6" s="178" t="s">
        <v>8002</v>
      </c>
      <c r="PB6" s="177" t="s">
        <v>8002</v>
      </c>
      <c r="PC6" s="181" t="s">
        <v>8002</v>
      </c>
      <c r="PD6" s="178" t="s">
        <v>8002</v>
      </c>
      <c r="PE6" s="178" t="s">
        <v>8002</v>
      </c>
      <c r="PF6" s="178" t="s">
        <v>8002</v>
      </c>
      <c r="PG6" s="178" t="s">
        <v>8002</v>
      </c>
      <c r="PH6" s="178" t="s">
        <v>8002</v>
      </c>
      <c r="PI6" s="178" t="s">
        <v>8002</v>
      </c>
      <c r="PJ6" s="178" t="s">
        <v>8002</v>
      </c>
      <c r="PK6" s="178" t="s">
        <v>8002</v>
      </c>
      <c r="PL6" s="178" t="s">
        <v>8002</v>
      </c>
      <c r="PM6" s="178" t="s">
        <v>8002</v>
      </c>
      <c r="PN6" s="178" t="s">
        <v>8002</v>
      </c>
      <c r="PO6" s="177" t="s">
        <v>8002</v>
      </c>
      <c r="PP6" s="181" t="s">
        <v>8002</v>
      </c>
      <c r="PQ6" s="178" t="s">
        <v>8002</v>
      </c>
      <c r="PR6" s="178" t="s">
        <v>8002</v>
      </c>
      <c r="PS6" s="178" t="s">
        <v>8002</v>
      </c>
      <c r="PT6" s="178" t="s">
        <v>8002</v>
      </c>
      <c r="PU6" s="178" t="s">
        <v>8002</v>
      </c>
      <c r="PV6" s="178" t="s">
        <v>8002</v>
      </c>
      <c r="PW6" s="178" t="s">
        <v>8002</v>
      </c>
      <c r="PX6" s="178" t="s">
        <v>8002</v>
      </c>
      <c r="PY6" s="178" t="s">
        <v>8002</v>
      </c>
      <c r="PZ6" s="178" t="s">
        <v>8002</v>
      </c>
      <c r="QA6" s="178" t="s">
        <v>8002</v>
      </c>
      <c r="QB6" s="177" t="s">
        <v>8002</v>
      </c>
      <c r="QC6" s="181" t="s">
        <v>8002</v>
      </c>
      <c r="QD6" s="178" t="s">
        <v>8002</v>
      </c>
      <c r="QE6" s="178" t="s">
        <v>8002</v>
      </c>
      <c r="QF6" s="178" t="s">
        <v>8002</v>
      </c>
      <c r="QG6" s="178" t="s">
        <v>8002</v>
      </c>
      <c r="QH6" s="178" t="s">
        <v>8002</v>
      </c>
      <c r="QI6" s="178" t="s">
        <v>8002</v>
      </c>
      <c r="QJ6" s="178" t="s">
        <v>8002</v>
      </c>
      <c r="QK6" s="178" t="s">
        <v>8002</v>
      </c>
      <c r="QL6" s="178" t="s">
        <v>8002</v>
      </c>
      <c r="QM6" s="178" t="s">
        <v>8002</v>
      </c>
      <c r="QN6" s="178" t="s">
        <v>8002</v>
      </c>
      <c r="QO6" s="177" t="s">
        <v>8002</v>
      </c>
    </row>
    <row r="7" spans="1:457" s="106" customFormat="1" ht="18.75" x14ac:dyDescent="0.25">
      <c r="B7" s="131"/>
      <c r="C7" s="131"/>
      <c r="D7" s="107"/>
      <c r="F7" s="107"/>
      <c r="G7" s="108"/>
      <c r="H7" s="107"/>
      <c r="K7" s="108"/>
      <c r="M7" s="107"/>
      <c r="N7" s="107"/>
      <c r="O7" s="107"/>
      <c r="P7" s="107"/>
      <c r="Q7" s="107"/>
      <c r="R7" s="107"/>
      <c r="U7" s="109"/>
      <c r="W7" s="110"/>
      <c r="AA7" s="110"/>
      <c r="AB7" s="107"/>
      <c r="AC7" s="111"/>
      <c r="AD7" s="107"/>
      <c r="AE7" s="107"/>
      <c r="AF7" s="107"/>
      <c r="AG7" s="112"/>
      <c r="AH7" s="107"/>
      <c r="AI7" s="111"/>
      <c r="AJ7" s="107"/>
      <c r="AK7" s="107"/>
      <c r="AL7" s="111"/>
      <c r="AM7" s="112">
        <f>SUM(ПланированиеНГ[ИТОГО Прогноз за год, шт. ])</f>
        <v>0</v>
      </c>
      <c r="AN7" s="113">
        <f>SUM(ПланированиеНГ[ИТОГО Прогноз январь, шт.])</f>
        <v>0</v>
      </c>
      <c r="AO7" s="113">
        <f>SUM(ПланированиеНГ[ИТОГО Прогноз февраль, шт.])</f>
        <v>0</v>
      </c>
      <c r="AP7" s="113">
        <f>SUM(ПланированиеНГ[ИТОГО Прогноз март, шт.])</f>
        <v>0</v>
      </c>
      <c r="AQ7" s="113">
        <f>SUM(ПланированиеНГ[ИТОГО Прогноз апрель, шт.])</f>
        <v>0</v>
      </c>
      <c r="AR7" s="113">
        <f>SUM(ПланированиеНГ[ИТОГО Прогноз май, шт.])</f>
        <v>0</v>
      </c>
      <c r="AS7" s="113">
        <f>SUM(ПланированиеНГ[ИТОГО Прогноз июнь, шт.])</f>
        <v>0</v>
      </c>
      <c r="AT7" s="113">
        <f>SUM(ПланированиеНГ[ИТОГО Прогноз июль, шт.])</f>
        <v>0</v>
      </c>
      <c r="AU7" s="113">
        <f>SUM(ПланированиеНГ[ИТОГО Прогноз август, шт.])</f>
        <v>0</v>
      </c>
      <c r="AV7" s="113">
        <f>SUM(ПланированиеНГ[ИТОГО Прогноз сентябрь, шт.])</f>
        <v>0</v>
      </c>
      <c r="AW7" s="113">
        <f>SUM(ПланированиеНГ[ИТОГО Прогноз октябрь, шт.])</f>
        <v>0</v>
      </c>
      <c r="AX7" s="113">
        <f>SUM(ПланированиеНГ[ИТОГО Прогноз ноябрь, шт.])</f>
        <v>0</v>
      </c>
      <c r="AY7" s="113">
        <f>SUM(ПланированиеНГ[ИТОГО Прогноз декабрь, шт.])</f>
        <v>0</v>
      </c>
      <c r="AZ7" s="115">
        <f>SUM(ПланированиеНГ[ИТОГО GS за год, руб.])</f>
        <v>0</v>
      </c>
      <c r="BA7" s="113">
        <f>SUM(ПланированиеНГ[ИТОГО GS январь, шт.])</f>
        <v>0</v>
      </c>
      <c r="BB7" s="113">
        <f>SUM(ПланированиеНГ[ИТОГО GS февраль, шт.])</f>
        <v>0</v>
      </c>
      <c r="BC7" s="113">
        <f>SUM(ПланированиеНГ[ИТОГО GS март, шт.])</f>
        <v>0</v>
      </c>
      <c r="BD7" s="113">
        <f>SUM(ПланированиеНГ[ИТОГО GS апрель, шт.])</f>
        <v>0</v>
      </c>
      <c r="BE7" s="113">
        <f>SUM(ПланированиеНГ[ИТОГО GS май, шт.])</f>
        <v>0</v>
      </c>
      <c r="BF7" s="113">
        <f>SUM(ПланированиеНГ[ИТОГО GS июнь, шт.])</f>
        <v>0</v>
      </c>
      <c r="BG7" s="113">
        <f>SUM(ПланированиеНГ[ИТОГО GS июль, шт.])</f>
        <v>0</v>
      </c>
      <c r="BH7" s="113">
        <f>SUM(ПланированиеНГ[ИТОГО GS август, шт.])</f>
        <v>0</v>
      </c>
      <c r="BI7" s="113">
        <f>SUM(ПланированиеНГ[ИТОГО GS сентябрь, шт.])</f>
        <v>0</v>
      </c>
      <c r="BJ7" s="113">
        <f>SUM(ПланированиеНГ[ИТОГО GS октябрь, шт.])</f>
        <v>0</v>
      </c>
      <c r="BK7" s="113">
        <f>SUM(ПланированиеНГ[ИТОГО GS ноябрь, шт.])</f>
        <v>0</v>
      </c>
      <c r="BL7" s="113">
        <f>SUM(ПланированиеНГ[ИТОГО GS декабрь, шт.])</f>
        <v>0</v>
      </c>
      <c r="BM7" s="115">
        <f>SUM(ПланированиеНГ[ИТОГО NS за год, руб.])</f>
        <v>0</v>
      </c>
      <c r="BN7" s="113">
        <f>SUM(ПланированиеНГ[ИТОГО NS январь, шт.])</f>
        <v>0</v>
      </c>
      <c r="BO7" s="113">
        <f>SUM(ПланированиеНГ[ИТОГО NS февраль, шт.])</f>
        <v>0</v>
      </c>
      <c r="BP7" s="113">
        <f>SUM(ПланированиеНГ[ИТОГО NS март, шт.])</f>
        <v>0</v>
      </c>
      <c r="BQ7" s="113">
        <f>SUM(ПланированиеНГ[ИТОГО NS апрель, шт.])</f>
        <v>0</v>
      </c>
      <c r="BR7" s="113">
        <f>SUM(ПланированиеНГ[ИТОГО NS май, шт.])</f>
        <v>0</v>
      </c>
      <c r="BS7" s="113">
        <f>SUM(ПланированиеНГ[ИТОГО NS июнь, шт.])</f>
        <v>0</v>
      </c>
      <c r="BT7" s="113">
        <f>SUM(ПланированиеНГ[ИТОГО NS июль, шт.])</f>
        <v>0</v>
      </c>
      <c r="BU7" s="113">
        <f>SUM(ПланированиеНГ[ИТОГО NS август, шт.])</f>
        <v>0</v>
      </c>
      <c r="BV7" s="113">
        <f>SUM(ПланированиеНГ[ИТОГО NS сентябрь, шт.])</f>
        <v>0</v>
      </c>
      <c r="BW7" s="113">
        <f>SUM(ПланированиеНГ[ИТОГО NS октябрь, шт.])</f>
        <v>0</v>
      </c>
      <c r="BX7" s="113">
        <f>SUM(ПланированиеНГ[ИТОГО NS ноябрь, шт.])</f>
        <v>0</v>
      </c>
      <c r="BY7" s="113">
        <f>SUM(ПланированиеНГ[ИТОГО NS декабрь, шт.])</f>
        <v>0</v>
      </c>
      <c r="BZ7" s="115">
        <f>SUM(ПланированиеНГ[ИТОГО LC за год, руб.])</f>
        <v>0</v>
      </c>
      <c r="CA7" s="113">
        <f>SUM(ПланированиеНГ[ИТОГО LC январь, руб.])</f>
        <v>0</v>
      </c>
      <c r="CB7" s="113">
        <f>SUM(ПланированиеНГ[ИТОГО LC февраль, руб.])</f>
        <v>0</v>
      </c>
      <c r="CC7" s="113">
        <f>SUM(ПланированиеНГ[ИТОГО LC март, руб.])</f>
        <v>0</v>
      </c>
      <c r="CD7" s="113">
        <f>SUM(ПланированиеНГ[ИТОГО LC апрель, руб.])</f>
        <v>0</v>
      </c>
      <c r="CE7" s="113">
        <f>SUM(ПланированиеНГ[ИТОГО LC май, руб.])</f>
        <v>0</v>
      </c>
      <c r="CF7" s="113">
        <f>SUM(ПланированиеНГ[ИТОГО LC июнь, руб.])</f>
        <v>0</v>
      </c>
      <c r="CG7" s="113">
        <f>SUM(ПланированиеНГ[ИТОГО LC июль, руб.])</f>
        <v>0</v>
      </c>
      <c r="CH7" s="113">
        <f>SUM(ПланированиеНГ[ИТОГО LC август, руб.])</f>
        <v>0</v>
      </c>
      <c r="CI7" s="113">
        <f>SUM(ПланированиеНГ[ИТОГО LC сентябрь, руб.])</f>
        <v>0</v>
      </c>
      <c r="CJ7" s="113">
        <f>SUM(ПланированиеНГ[ИТОГО LC октябрь, руб.])</f>
        <v>0</v>
      </c>
      <c r="CK7" s="113">
        <f>SUM(ПланированиеНГ[ИТОГО LC ноябрь, руб.])</f>
        <v>0</v>
      </c>
      <c r="CL7" s="113">
        <f>SUM(ПланированиеНГ[ИТОГО LC декабрь, руб.])</f>
        <v>0</v>
      </c>
      <c r="CM7" s="115">
        <f>SUM(ПланированиеНГ[ИТОГО GP value за год, руб.])</f>
        <v>0</v>
      </c>
      <c r="CN7" s="113">
        <f>SUM(ПланированиеНГ[ИТОГО GP value январь, руб.])</f>
        <v>0</v>
      </c>
      <c r="CO7" s="113">
        <f>SUM(ПланированиеНГ[ИТОГО GP value февраль, руб.])</f>
        <v>0</v>
      </c>
      <c r="CP7" s="113">
        <f>SUM(ПланированиеНГ[ИТОГО GP value март, руб.])</f>
        <v>0</v>
      </c>
      <c r="CQ7" s="113">
        <f>SUM(ПланированиеНГ[ИТОГО GP value апрель, руб.])</f>
        <v>0</v>
      </c>
      <c r="CR7" s="113">
        <f>SUM(ПланированиеНГ[ИТОГО GP value май, руб.])</f>
        <v>0</v>
      </c>
      <c r="CS7" s="113">
        <f>SUM(ПланированиеНГ[ИТОГО GP value июнь, руб.])</f>
        <v>0</v>
      </c>
      <c r="CT7" s="113">
        <f>SUM(ПланированиеНГ[ИТОГО GP value июль, руб.])</f>
        <v>0</v>
      </c>
      <c r="CU7" s="113">
        <f>SUM(ПланированиеНГ[ИТОГО GP value август, руб.])</f>
        <v>0</v>
      </c>
      <c r="CV7" s="113">
        <f>SUM(ПланированиеНГ[ИТОГО GP value сентябрь, руб.])</f>
        <v>0</v>
      </c>
      <c r="CW7" s="113">
        <f>SUM(ПланированиеНГ[ИТОГО GP value октябрь, руб.])</f>
        <v>0</v>
      </c>
      <c r="CX7" s="113">
        <f>SUM(ПланированиеНГ[ИТОГО GP value ноябрь, руб.])</f>
        <v>0</v>
      </c>
      <c r="CY7" s="113">
        <f>SUM(ПланированиеНГ[ИТОГО GP value декабрь, руб.])</f>
        <v>0</v>
      </c>
      <c r="CZ7" s="182" t="e">
        <f>1-BZ7/BM7</f>
        <v>#DIV/0!</v>
      </c>
      <c r="DA7" s="183" t="e">
        <f>1-CA7/BN7</f>
        <v>#DIV/0!</v>
      </c>
      <c r="DB7" s="183" t="e">
        <f t="shared" ref="DB7:DL7" si="0">1-CB7/BO7</f>
        <v>#DIV/0!</v>
      </c>
      <c r="DC7" s="183" t="e">
        <f t="shared" si="0"/>
        <v>#DIV/0!</v>
      </c>
      <c r="DD7" s="183" t="e">
        <f t="shared" si="0"/>
        <v>#DIV/0!</v>
      </c>
      <c r="DE7" s="183" t="e">
        <f t="shared" si="0"/>
        <v>#DIV/0!</v>
      </c>
      <c r="DF7" s="183" t="e">
        <f t="shared" si="0"/>
        <v>#DIV/0!</v>
      </c>
      <c r="DG7" s="183" t="e">
        <f t="shared" si="0"/>
        <v>#DIV/0!</v>
      </c>
      <c r="DH7" s="183" t="e">
        <f t="shared" si="0"/>
        <v>#DIV/0!</v>
      </c>
      <c r="DI7" s="183" t="e">
        <f t="shared" si="0"/>
        <v>#DIV/0!</v>
      </c>
      <c r="DJ7" s="183" t="e">
        <f t="shared" si="0"/>
        <v>#DIV/0!</v>
      </c>
      <c r="DK7" s="183" t="e">
        <f t="shared" si="0"/>
        <v>#DIV/0!</v>
      </c>
      <c r="DL7" s="183" t="e">
        <f t="shared" si="0"/>
        <v>#DIV/0!</v>
      </c>
      <c r="DM7" s="116">
        <f>IFERROR((AZ7/AM7),0)</f>
        <v>0</v>
      </c>
      <c r="DN7" s="116">
        <f>IFERROR((BA7/AN7),0)</f>
        <v>0</v>
      </c>
      <c r="DO7" s="116">
        <f t="shared" ref="DO7:DY7" si="1">IFERROR((BB7/AO7),0)</f>
        <v>0</v>
      </c>
      <c r="DP7" s="116">
        <f t="shared" si="1"/>
        <v>0</v>
      </c>
      <c r="DQ7" s="116">
        <f t="shared" si="1"/>
        <v>0</v>
      </c>
      <c r="DR7" s="116">
        <f t="shared" si="1"/>
        <v>0</v>
      </c>
      <c r="DS7" s="116">
        <f t="shared" si="1"/>
        <v>0</v>
      </c>
      <c r="DT7" s="116">
        <f t="shared" si="1"/>
        <v>0</v>
      </c>
      <c r="DU7" s="116">
        <f t="shared" si="1"/>
        <v>0</v>
      </c>
      <c r="DV7" s="116">
        <f t="shared" si="1"/>
        <v>0</v>
      </c>
      <c r="DW7" s="116">
        <f t="shared" si="1"/>
        <v>0</v>
      </c>
      <c r="DX7" s="116">
        <f t="shared" si="1"/>
        <v>0</v>
      </c>
      <c r="DY7" s="116">
        <f t="shared" si="1"/>
        <v>0</v>
      </c>
      <c r="DZ7" s="117">
        <f>IFERROR((AZ7/AM7),0)</f>
        <v>0</v>
      </c>
      <c r="EA7" s="116">
        <f t="shared" ref="EA7:EL7" si="2">IFERROR((BA7/AN7),0)</f>
        <v>0</v>
      </c>
      <c r="EB7" s="116">
        <f t="shared" si="2"/>
        <v>0</v>
      </c>
      <c r="EC7" s="116">
        <f t="shared" si="2"/>
        <v>0</v>
      </c>
      <c r="ED7" s="116">
        <f t="shared" si="2"/>
        <v>0</v>
      </c>
      <c r="EE7" s="116">
        <f t="shared" si="2"/>
        <v>0</v>
      </c>
      <c r="EF7" s="116">
        <f t="shared" si="2"/>
        <v>0</v>
      </c>
      <c r="EG7" s="116">
        <f t="shared" si="2"/>
        <v>0</v>
      </c>
      <c r="EH7" s="116">
        <f t="shared" si="2"/>
        <v>0</v>
      </c>
      <c r="EI7" s="116">
        <f t="shared" si="2"/>
        <v>0</v>
      </c>
      <c r="EJ7" s="116">
        <f t="shared" si="2"/>
        <v>0</v>
      </c>
      <c r="EK7" s="116">
        <f t="shared" si="2"/>
        <v>0</v>
      </c>
      <c r="EL7" s="116">
        <f t="shared" si="2"/>
        <v>0</v>
      </c>
      <c r="EM7" s="112">
        <f>SUM(ПланированиеНГ[ИТОГО Прогноз за год, шт.])</f>
        <v>0</v>
      </c>
      <c r="EN7" s="113">
        <f>SUM(ПланированиеНГ[ИТОГО Прогноз январь, шт.2])</f>
        <v>0</v>
      </c>
      <c r="EO7" s="113">
        <f>SUM(ПланированиеНГ[ИТОГО Прогноз февраль, шт.2])</f>
        <v>0</v>
      </c>
      <c r="EP7" s="113">
        <f>SUM(ПланированиеНГ[ИТОГО Прогноз март, шт.2])</f>
        <v>0</v>
      </c>
      <c r="EQ7" s="113">
        <f>SUM(ПланированиеНГ[ИТОГО Прогноз апрель, шт.2])</f>
        <v>0</v>
      </c>
      <c r="ER7" s="113">
        <f>SUM(ПланированиеНГ[ИТОГО Прогноз май, шт.2])</f>
        <v>0</v>
      </c>
      <c r="ES7" s="113">
        <f>SUM(ПланированиеНГ[ИТОГО Прогноз июнь, шт.2])</f>
        <v>0</v>
      </c>
      <c r="ET7" s="113">
        <f>SUM(ПланированиеНГ[ИТОГО Прогноз июль, шт.2])</f>
        <v>0</v>
      </c>
      <c r="EU7" s="113">
        <f>SUM(ПланированиеНГ[ИТОГО Прогноз август, шт.2])</f>
        <v>0</v>
      </c>
      <c r="EV7" s="113">
        <f>SUM(ПланированиеНГ[ИТОГО Прогноз сентябрь, шт.2])</f>
        <v>0</v>
      </c>
      <c r="EW7" s="113">
        <f>SUM(ПланированиеНГ[ИТОГО Прогноз октябрь, шт.2])</f>
        <v>0</v>
      </c>
      <c r="EX7" s="113">
        <f>SUM(ПланированиеНГ[ИТОГО Прогноз ноябрь, шт.2])</f>
        <v>0</v>
      </c>
      <c r="EY7" s="113">
        <f>SUM(ПланированиеНГ[ИТОГО Прогноз декабрь, шт.2])</f>
        <v>0</v>
      </c>
      <c r="EZ7" s="113">
        <f>SUM(ПланированиеНГ[ИТОГО GS за год, руб.2])</f>
        <v>0</v>
      </c>
      <c r="FA7" s="113">
        <f>SUM(ПланированиеНГ[ИТОГО GS январь, шт.2])</f>
        <v>0</v>
      </c>
      <c r="FB7" s="113">
        <f>SUM(ПланированиеНГ[ИТОГО GS февраль, шт.2])</f>
        <v>0</v>
      </c>
      <c r="FC7" s="113">
        <f>SUM(ПланированиеНГ[ИТОГО GS март, шт.2])</f>
        <v>0</v>
      </c>
      <c r="FD7" s="113">
        <f>SUM(ПланированиеНГ[ИТОГО GS апрель, шт.2])</f>
        <v>0</v>
      </c>
      <c r="FE7" s="113">
        <f>SUM(ПланированиеНГ[ИТОГО GS май, шт.2])</f>
        <v>0</v>
      </c>
      <c r="FF7" s="113">
        <f>SUM(ПланированиеНГ[ИТОГО GS июнь, шт.2])</f>
        <v>0</v>
      </c>
      <c r="FG7" s="113">
        <f>SUM(ПланированиеНГ[ИТОГО GS июль, шт.2])</f>
        <v>0</v>
      </c>
      <c r="FH7" s="113">
        <f>SUM(ПланированиеНГ[ИТОГО GS август, шт.2])</f>
        <v>0</v>
      </c>
      <c r="FI7" s="113">
        <f>SUM(ПланированиеНГ[ИТОГО GS сентябрь, шт.2])</f>
        <v>0</v>
      </c>
      <c r="FJ7" s="113">
        <f>SUM(ПланированиеНГ[ИТОГО GS октябрь, шт.2])</f>
        <v>0</v>
      </c>
      <c r="FK7" s="113">
        <f>SUM(ПланированиеНГ[ИТОГО GS ноябрь, шт.2])</f>
        <v>0</v>
      </c>
      <c r="FL7" s="113">
        <f>SUM(ПланированиеНГ[ИТОГО GS декабрь, шт.2])</f>
        <v>0</v>
      </c>
      <c r="FM7" s="115">
        <f>SUM(ПланированиеНГ[ИТОГО NS за год, руб.2])</f>
        <v>0</v>
      </c>
      <c r="FN7" s="113">
        <f>SUM(ПланированиеНГ[ИТОГО NS январь, шт.2])</f>
        <v>0</v>
      </c>
      <c r="FO7" s="113">
        <f>SUM(ПланированиеНГ[ИТОГО NS февраль, шт.2])</f>
        <v>0</v>
      </c>
      <c r="FP7" s="113">
        <f>SUM(ПланированиеНГ[ИТОГО NS март, шт.2])</f>
        <v>0</v>
      </c>
      <c r="FQ7" s="113">
        <f>SUM(ПланированиеНГ[ИТОГО NS апрель, шт.2])</f>
        <v>0</v>
      </c>
      <c r="FR7" s="113">
        <f>SUM(ПланированиеНГ[ИТОГО NS май, шт.2])</f>
        <v>0</v>
      </c>
      <c r="FS7" s="113">
        <f>SUM(ПланированиеНГ[ИТОГО NS июнь, шт.2])</f>
        <v>0</v>
      </c>
      <c r="FT7" s="113">
        <f>SUM(ПланированиеНГ[ИТОГО NS июль, шт.2])</f>
        <v>0</v>
      </c>
      <c r="FU7" s="113">
        <f>SUM(ПланированиеНГ[ИТОГО NS август, шт.2])</f>
        <v>0</v>
      </c>
      <c r="FV7" s="113">
        <f>SUM(ПланированиеНГ[ИТОГО NS сентябрь, шт.2])</f>
        <v>0</v>
      </c>
      <c r="FW7" s="113">
        <f>SUM(ПланированиеНГ[ИТОГО NS октябрь, шт.2])</f>
        <v>0</v>
      </c>
      <c r="FX7" s="113">
        <f>SUM(ПланированиеНГ[ИТОГО NS ноябрь, шт.2])</f>
        <v>0</v>
      </c>
      <c r="FY7" s="113">
        <f>SUM(ПланированиеНГ[ИТОГО NS декабрь, шт.2])</f>
        <v>0</v>
      </c>
      <c r="FZ7" s="113">
        <f>SUM(ПланированиеНГ[ИТОГО LC за год, руб.2])</f>
        <v>0</v>
      </c>
      <c r="GA7" s="113">
        <f>SUM(ПланированиеНГ[ИТОГО LC январь, руб.2])</f>
        <v>0</v>
      </c>
      <c r="GB7" s="113">
        <f>SUM(ПланированиеНГ[ИТОГО LC февраль, руб.2])</f>
        <v>0</v>
      </c>
      <c r="GC7" s="113">
        <f>SUM(ПланированиеНГ[ИТОГО LC март, руб.2])</f>
        <v>0</v>
      </c>
      <c r="GD7" s="113">
        <f>SUM(ПланированиеНГ[ИТОГО LC апрель, руб.2])</f>
        <v>0</v>
      </c>
      <c r="GE7" s="113">
        <f>SUM(ПланированиеНГ[ИТОГО LC май, руб.2])</f>
        <v>0</v>
      </c>
      <c r="GF7" s="113">
        <f>SUM(ПланированиеНГ[ИТОГО LC июнь, руб.2])</f>
        <v>0</v>
      </c>
      <c r="GG7" s="113">
        <f>SUM(ПланированиеНГ[ИТОГО LC июль, руб.2])</f>
        <v>0</v>
      </c>
      <c r="GH7" s="113">
        <f>SUM(ПланированиеНГ[ИТОГО LC август, руб.2])</f>
        <v>0</v>
      </c>
      <c r="GI7" s="113">
        <f>SUM(ПланированиеНГ[ИТОГО LC сентябрь, руб.2])</f>
        <v>0</v>
      </c>
      <c r="GJ7" s="113">
        <f>SUM(ПланированиеНГ[ИТОГО LC октябрь, руб.2])</f>
        <v>0</v>
      </c>
      <c r="GK7" s="113">
        <f>SUM(ПланированиеНГ[ИТОГО LC ноябрь, руб.2])</f>
        <v>0</v>
      </c>
      <c r="GL7" s="113">
        <f>SUM(ПланированиеНГ[ИТОГО LC декабрь, руб.2])</f>
        <v>0</v>
      </c>
      <c r="GM7" s="115">
        <f>SUM(ПланированиеНГ[ИТОГО GP value за год, руб.2])</f>
        <v>0</v>
      </c>
      <c r="GN7" s="113">
        <f>SUM(ПланированиеНГ[ИТОГО GP value январь, руб.2])</f>
        <v>0</v>
      </c>
      <c r="GO7" s="113">
        <f>SUM(ПланированиеНГ[ИТОГО GP value февраль, руб.2])</f>
        <v>0</v>
      </c>
      <c r="GP7" s="113">
        <f>SUM(ПланированиеНГ[ИТОГО GP value март, руб.2])</f>
        <v>0</v>
      </c>
      <c r="GQ7" s="113">
        <f>SUM(ПланированиеНГ[ИТОГО GP value апрель, руб.2])</f>
        <v>0</v>
      </c>
      <c r="GR7" s="113">
        <f>SUM(ПланированиеНГ[ИТОГО GP value май, руб.2])</f>
        <v>0</v>
      </c>
      <c r="GS7" s="113">
        <f>SUM(ПланированиеНГ[ИТОГО GP value июнь, руб.2])</f>
        <v>0</v>
      </c>
      <c r="GT7" s="113">
        <f>SUM(ПланированиеНГ[ИТОГО GP value июль, руб.2])</f>
        <v>0</v>
      </c>
      <c r="GU7" s="113">
        <f>SUM(ПланированиеНГ[ИТОГО GP value август, руб.2])</f>
        <v>0</v>
      </c>
      <c r="GV7" s="113">
        <f>SUM(ПланированиеНГ[ИТОГО GP value сентябрь, руб.2])</f>
        <v>0</v>
      </c>
      <c r="GW7" s="113">
        <f>SUM(ПланированиеНГ[ИТОГО GP value октябрь, руб.2])</f>
        <v>0</v>
      </c>
      <c r="GX7" s="113">
        <f>SUM(ПланированиеНГ[ИТОГО GP value ноябрь, руб.2])</f>
        <v>0</v>
      </c>
      <c r="GY7" s="113">
        <f>SUM(ПланированиеНГ[ИТОГО GP value декабрь, руб.2])</f>
        <v>0</v>
      </c>
      <c r="GZ7" s="11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19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1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19"/>
      <c r="IM7" s="11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19"/>
      <c r="IZ7" s="115">
        <f>SUM(ПланированиеНГ[GS за год, руб.])</f>
        <v>0</v>
      </c>
      <c r="JA7" s="113">
        <f>SUM(ПланированиеНГ[GS январь, шт.])</f>
        <v>0</v>
      </c>
      <c r="JB7" s="113">
        <f>SUM(ПланированиеНГ[GS февраль, шт.])</f>
        <v>0</v>
      </c>
      <c r="JC7" s="113">
        <f>SUM(ПланированиеНГ[GS март, шт.])</f>
        <v>0</v>
      </c>
      <c r="JD7" s="113">
        <f>SUM(ПланированиеНГ[GS апрель, шт.])</f>
        <v>0</v>
      </c>
      <c r="JE7" s="113">
        <f>SUM(ПланированиеНГ[GS май, шт.])</f>
        <v>0</v>
      </c>
      <c r="JF7" s="113">
        <f>SUM(ПланированиеНГ[GS июнь, шт.])</f>
        <v>0</v>
      </c>
      <c r="JG7" s="113">
        <f>SUM(ПланированиеНГ[GS июль, шт.])</f>
        <v>0</v>
      </c>
      <c r="JH7" s="113">
        <f>SUM(ПланированиеНГ[GS август, шт.])</f>
        <v>0</v>
      </c>
      <c r="JI7" s="113">
        <f>SUM(ПланированиеНГ[GS сентябрь, шт.])</f>
        <v>0</v>
      </c>
      <c r="JJ7" s="113">
        <f>SUM(ПланированиеНГ[GS октябрь, шт.])</f>
        <v>0</v>
      </c>
      <c r="JK7" s="113">
        <f>SUM(ПланированиеНГ[GS ноябрь, шт.])</f>
        <v>0</v>
      </c>
      <c r="JL7" s="113">
        <f>SUM(ПланированиеНГ[GS декабрь, шт.])</f>
        <v>0</v>
      </c>
      <c r="JM7" s="115">
        <f>SUM(ПланированиеНГ[NS за год, руб.])</f>
        <v>0</v>
      </c>
      <c r="JN7" s="113">
        <f>SUM(ПланированиеНГ[NS январь, шт.])</f>
        <v>0</v>
      </c>
      <c r="JO7" s="113">
        <f>SUM(ПланированиеНГ[NS февраль, шт.])</f>
        <v>0</v>
      </c>
      <c r="JP7" s="113">
        <f>SUM(ПланированиеНГ[NS март, шт.])</f>
        <v>0</v>
      </c>
      <c r="JQ7" s="113">
        <f>SUM(ПланированиеНГ[NS апрель, шт.])</f>
        <v>0</v>
      </c>
      <c r="JR7" s="113">
        <f>SUM(ПланированиеНГ[NS май, шт.])</f>
        <v>0</v>
      </c>
      <c r="JS7" s="113">
        <f>SUM(ПланированиеНГ[NS июнь, шт.])</f>
        <v>0</v>
      </c>
      <c r="JT7" s="113">
        <f>SUM(ПланированиеНГ[NS июль, шт.])</f>
        <v>0</v>
      </c>
      <c r="JU7" s="113">
        <f>SUM(ПланированиеНГ[NS август, шт.])</f>
        <v>0</v>
      </c>
      <c r="JV7" s="113">
        <f>SUM(ПланированиеНГ[NS сентябрь, шт.])</f>
        <v>0</v>
      </c>
      <c r="JW7" s="113">
        <f>SUM(ПланированиеНГ[NS октябрь, шт.])</f>
        <v>0</v>
      </c>
      <c r="JX7" s="113">
        <f>SUM(ПланированиеНГ[NS ноябрь, шт.])</f>
        <v>0</v>
      </c>
      <c r="JY7" s="113">
        <f>SUM(ПланированиеНГ[NS декабрь, шт.])</f>
        <v>0</v>
      </c>
      <c r="JZ7" s="115">
        <f>SUM(ПланированиеНГ[LC за год, руб.])</f>
        <v>0</v>
      </c>
      <c r="KA7" s="113">
        <f>SUM(ПланированиеНГ[LC январь, руб.])</f>
        <v>0</v>
      </c>
      <c r="KB7" s="113">
        <f>SUM(ПланированиеНГ[LC февраль, руб.])</f>
        <v>0</v>
      </c>
      <c r="KC7" s="113">
        <f>SUM(ПланированиеНГ[LC март, руб.])</f>
        <v>0</v>
      </c>
      <c r="KD7" s="113">
        <f>SUM(ПланированиеНГ[LC апрель, руб.])</f>
        <v>0</v>
      </c>
      <c r="KE7" s="113">
        <f>SUM(ПланированиеНГ[LC май, руб.])</f>
        <v>0</v>
      </c>
      <c r="KF7" s="113">
        <f>SUM(ПланированиеНГ[LC июнь, руб.])</f>
        <v>0</v>
      </c>
      <c r="KG7" s="113">
        <f>SUM(ПланированиеНГ[LC июль, руб.])</f>
        <v>0</v>
      </c>
      <c r="KH7" s="113">
        <f>SUM(ПланированиеНГ[LC август, руб.])</f>
        <v>0</v>
      </c>
      <c r="KI7" s="113">
        <f>SUM(ПланированиеНГ[LC сентябрь, руб.])</f>
        <v>0</v>
      </c>
      <c r="KJ7" s="113">
        <f>SUM(ПланированиеНГ[LC октябрь, руб.])</f>
        <v>0</v>
      </c>
      <c r="KK7" s="113">
        <f>SUM(ПланированиеНГ[LC ноябрь, руб.])</f>
        <v>0</v>
      </c>
      <c r="KL7" s="113">
        <f>SUM(ПланированиеНГ[LC декабрь, руб.])</f>
        <v>0</v>
      </c>
      <c r="KM7" s="115">
        <f>SUM(ПланированиеНГ[GP value за год, руб.])</f>
        <v>0</v>
      </c>
      <c r="KN7" s="113">
        <f>SUM(ПланированиеНГ[GP value январь, руб.])</f>
        <v>0</v>
      </c>
      <c r="KO7" s="113">
        <f>SUM(ПланированиеНГ[GP value февраль, руб.])</f>
        <v>0</v>
      </c>
      <c r="KP7" s="113">
        <f>SUM(ПланированиеНГ[GP value март, руб.])</f>
        <v>0</v>
      </c>
      <c r="KQ7" s="113">
        <f>SUM(ПланированиеНГ[GP value апрель, руб.])</f>
        <v>0</v>
      </c>
      <c r="KR7" s="113">
        <f>SUM(ПланированиеНГ[GP value май, руб.])</f>
        <v>0</v>
      </c>
      <c r="KS7" s="113">
        <f>SUM(ПланированиеНГ[GP value июнь, руб.])</f>
        <v>0</v>
      </c>
      <c r="KT7" s="113">
        <f>SUM(ПланированиеНГ[GP value июль, руб.])</f>
        <v>0</v>
      </c>
      <c r="KU7" s="113">
        <f>SUM(ПланированиеНГ[GP value август, руб.])</f>
        <v>0</v>
      </c>
      <c r="KV7" s="113">
        <f>SUM(ПланированиеНГ[GP value сентябрь, руб.])</f>
        <v>0</v>
      </c>
      <c r="KW7" s="113">
        <f>SUM(ПланированиеНГ[GP value октябрь, руб.])</f>
        <v>0</v>
      </c>
      <c r="KX7" s="113">
        <f>SUM(ПланированиеНГ[GP value ноябрь, руб.])</f>
        <v>0</v>
      </c>
      <c r="KY7" s="113">
        <f>SUM(ПланированиеНГ[GP value декабрь, руб.])</f>
        <v>0</v>
      </c>
      <c r="KZ7" s="118"/>
      <c r="LA7" s="108"/>
      <c r="LB7" s="108"/>
      <c r="LC7" s="108"/>
      <c r="LD7" s="108"/>
      <c r="LE7" s="108"/>
      <c r="LF7" s="108"/>
      <c r="LG7" s="108"/>
      <c r="LH7" s="108"/>
      <c r="LI7" s="108"/>
      <c r="LJ7" s="108"/>
      <c r="LK7" s="108"/>
      <c r="LL7" s="119"/>
      <c r="LM7" s="118"/>
      <c r="LN7" s="108"/>
      <c r="LO7" s="108"/>
      <c r="LP7" s="108"/>
      <c r="LQ7" s="108"/>
      <c r="LR7" s="108"/>
      <c r="LS7" s="108"/>
      <c r="LT7" s="108"/>
      <c r="LU7" s="108"/>
      <c r="LV7" s="108"/>
      <c r="LW7" s="108"/>
      <c r="LX7" s="108"/>
      <c r="LY7" s="119"/>
      <c r="LZ7" s="118"/>
      <c r="MA7" s="108"/>
      <c r="MB7" s="108"/>
      <c r="MC7" s="108"/>
      <c r="MD7" s="108"/>
      <c r="ME7" s="108"/>
      <c r="MF7" s="108"/>
      <c r="MG7" s="108"/>
      <c r="MH7" s="108"/>
      <c r="MI7" s="108"/>
      <c r="MJ7" s="108"/>
      <c r="MK7" s="108"/>
      <c r="ML7" s="119"/>
      <c r="MM7" s="118"/>
      <c r="MN7" s="108"/>
      <c r="MO7" s="119"/>
      <c r="MP7" s="118"/>
      <c r="MQ7" s="108"/>
      <c r="MR7" s="108"/>
      <c r="MS7" s="108"/>
      <c r="MT7" s="108"/>
      <c r="MU7" s="108"/>
      <c r="MV7" s="108"/>
      <c r="MW7" s="108"/>
      <c r="MX7" s="108"/>
      <c r="MY7" s="108"/>
      <c r="MZ7" s="108"/>
      <c r="NA7" s="108"/>
      <c r="NB7" s="119"/>
      <c r="NC7" s="113">
        <f>SUM(ПланированиеНГ[ПРОМО GS за год, руб.])</f>
        <v>0</v>
      </c>
      <c r="ND7" s="113">
        <f>SUM(ПланированиеНГ[ПРОМО GS январь, руб.])</f>
        <v>0</v>
      </c>
      <c r="NE7" s="113">
        <f>SUM(ПланированиеНГ[ПРОМО GS февраль, руб.])</f>
        <v>0</v>
      </c>
      <c r="NF7" s="113">
        <f>SUM(ПланированиеНГ[ПРОМО GS март, руб.])</f>
        <v>0</v>
      </c>
      <c r="NG7" s="113">
        <f>SUM(ПланированиеНГ[ПРОМО GS апрель, руб.])</f>
        <v>0</v>
      </c>
      <c r="NH7" s="113">
        <f>SUM(ПланированиеНГ[ПРОМО GS май, руб.])</f>
        <v>0</v>
      </c>
      <c r="NI7" s="113">
        <f>SUM(ПланированиеНГ[ПРОМО GS июнь, руб.])</f>
        <v>0</v>
      </c>
      <c r="NJ7" s="113">
        <f>SUM(ПланированиеНГ[ПРОМО GS июль, руб.])</f>
        <v>0</v>
      </c>
      <c r="NK7" s="113">
        <f>SUM(ПланированиеНГ[ПРОМО GS август, руб.])</f>
        <v>0</v>
      </c>
      <c r="NL7" s="113">
        <f>SUM(ПланированиеНГ[ПРОМО GS сентябрь, руб.])</f>
        <v>0</v>
      </c>
      <c r="NM7" s="113">
        <f>SUM(ПланированиеНГ[ПРОМО GS октябрь, руб.])</f>
        <v>0</v>
      </c>
      <c r="NN7" s="113">
        <f>SUM(ПланированиеНГ[ПРОМО GS ноябрь, руб.])</f>
        <v>0</v>
      </c>
      <c r="NO7" s="113">
        <f>SUM(ПланированиеНГ[ПРОМО GS декабрь, руб.])</f>
        <v>0</v>
      </c>
      <c r="NP7" s="115">
        <f>SUM(ПланированиеНГ[ПРОМО NS за год, руб.])</f>
        <v>0</v>
      </c>
      <c r="NQ7" s="113">
        <f>SUM(ПланированиеНГ[ПРОМО NS январь, руб.])</f>
        <v>0</v>
      </c>
      <c r="NR7" s="113">
        <f>SUM(ПланированиеНГ[ПРОМО NS февраль, руб.])</f>
        <v>0</v>
      </c>
      <c r="NS7" s="113">
        <f>SUM(ПланированиеНГ[ПРОМО NS март, руб.])</f>
        <v>0</v>
      </c>
      <c r="NT7" s="113">
        <f>SUM(ПланированиеНГ[ПРОМО NS апрель, руб.])</f>
        <v>0</v>
      </c>
      <c r="NU7" s="113">
        <f>SUM(ПланированиеНГ[ПРОМО NS май, руб.])</f>
        <v>0</v>
      </c>
      <c r="NV7" s="113">
        <f>SUM(ПланированиеНГ[ПРОМО NS июнь, руб.])</f>
        <v>0</v>
      </c>
      <c r="NW7" s="113">
        <f>SUM(ПланированиеНГ[ПРОМО NS июль, руб.])</f>
        <v>0</v>
      </c>
      <c r="NX7" s="113">
        <f>SUM(ПланированиеНГ[ПРОМО NS август, руб.])</f>
        <v>0</v>
      </c>
      <c r="NY7" s="113">
        <f>SUM(ПланированиеНГ[ПРОМО NS сентябрь, руб.])</f>
        <v>0</v>
      </c>
      <c r="NZ7" s="113">
        <f>SUM(ПланированиеНГ[ПРОМО NS октябрь, руб.])</f>
        <v>0</v>
      </c>
      <c r="OA7" s="113">
        <f>SUM(ПланированиеНГ[ПРОМО NS ноябрь, руб.])</f>
        <v>0</v>
      </c>
      <c r="OB7" s="113">
        <f>SUM(ПланированиеНГ[ПРОМО NS декабрь, руб.])</f>
        <v>0</v>
      </c>
      <c r="OC7" s="115">
        <f>SUM(ПланированиеНГ[ПРОМО LC за год, руб.])</f>
        <v>0</v>
      </c>
      <c r="OD7" s="113">
        <f>SUM(ПланированиеНГ[ПРОМО LC январь, руб.])</f>
        <v>0</v>
      </c>
      <c r="OE7" s="113">
        <f>SUM(ПланированиеНГ[ПРОМО LC февраль, руб.])</f>
        <v>0</v>
      </c>
      <c r="OF7" s="113">
        <f>SUM(ПланированиеНГ[ПРОМО LC март, руб.])</f>
        <v>0</v>
      </c>
      <c r="OG7" s="113">
        <f>SUM(ПланированиеНГ[ПРОМО LC апрель, руб.])</f>
        <v>0</v>
      </c>
      <c r="OH7" s="113">
        <f>SUM(ПланированиеНГ[ПРОМО LC май, руб.])</f>
        <v>0</v>
      </c>
      <c r="OI7" s="113">
        <f>SUM(ПланированиеНГ[ПРОМО LC июнь, руб.])</f>
        <v>0</v>
      </c>
      <c r="OJ7" s="113">
        <f>SUM(ПланированиеНГ[ПРОМО LC июль, руб.])</f>
        <v>0</v>
      </c>
      <c r="OK7" s="113">
        <f>SUM(ПланированиеНГ[ПРОМО LC август, руб.])</f>
        <v>0</v>
      </c>
      <c r="OL7" s="113">
        <f>SUM(ПланированиеНГ[ПРОМО LC сентябрь, руб.])</f>
        <v>0</v>
      </c>
      <c r="OM7" s="113">
        <f>SUM(ПланированиеНГ[ПРОМО LC октябрь, руб.])</f>
        <v>0</v>
      </c>
      <c r="ON7" s="113">
        <f>SUM(ПланированиеНГ[ПРОМО LC ноябрь, руб.])</f>
        <v>0</v>
      </c>
      <c r="OO7" s="113">
        <f>SUM(ПланированиеНГ[ПРОМО LC декабрь, руб.])</f>
        <v>0</v>
      </c>
      <c r="OP7" s="115">
        <f>SUM(ПланированиеНГ[ПРОМО GP value за год, руб.])</f>
        <v>0</v>
      </c>
      <c r="OQ7" s="113">
        <f>SUM(ПланированиеНГ[ПРОМО GP value январь, руб.])</f>
        <v>0</v>
      </c>
      <c r="OR7" s="113">
        <f>SUM(ПланированиеНГ[ПРОМО GP value февраль, руб.])</f>
        <v>0</v>
      </c>
      <c r="OS7" s="113">
        <f>SUM(ПланированиеНГ[ПРОМО GP value март, руб.])</f>
        <v>0</v>
      </c>
      <c r="OT7" s="113">
        <f>SUM(ПланированиеНГ[ПРОМО GP value апрель, руб.])</f>
        <v>0</v>
      </c>
      <c r="OU7" s="113">
        <f>SUM(ПланированиеНГ[ПРОМО GP value май, руб.])</f>
        <v>0</v>
      </c>
      <c r="OV7" s="113">
        <f>SUM(ПланированиеНГ[ПРОМО GP value июнь, руб.])</f>
        <v>0</v>
      </c>
      <c r="OW7" s="113">
        <f>SUM(ПланированиеНГ[ПРОМО GP value июль, руб.])</f>
        <v>0</v>
      </c>
      <c r="OX7" s="113">
        <f>SUM(ПланированиеНГ[ПРОМО GP value август, руб.])</f>
        <v>0</v>
      </c>
      <c r="OY7" s="113">
        <f>SUM(ПланированиеНГ[ПРОМО GP value сентябрь, руб.])</f>
        <v>0</v>
      </c>
      <c r="OZ7" s="113">
        <f>SUM(ПланированиеНГ[ПРОМО GP value октябрь, руб.])</f>
        <v>0</v>
      </c>
      <c r="PA7" s="113">
        <f>SUM(ПланированиеНГ[ПРОМО GP value ноябрь, руб.])</f>
        <v>0</v>
      </c>
      <c r="PB7" s="113">
        <f>SUM(ПланированиеНГ[ПРОМО GP value декабрь, руб.])</f>
        <v>0</v>
      </c>
      <c r="PC7" s="118"/>
      <c r="PD7" s="108"/>
      <c r="PE7" s="108"/>
      <c r="PF7" s="108"/>
      <c r="PG7" s="108"/>
      <c r="PH7" s="108"/>
      <c r="PI7" s="108"/>
      <c r="PJ7" s="108"/>
      <c r="PK7" s="108"/>
      <c r="PL7" s="108"/>
      <c r="PM7" s="108"/>
      <c r="PN7" s="108"/>
      <c r="PO7" s="119"/>
      <c r="PP7" s="118"/>
      <c r="PQ7" s="108"/>
      <c r="PR7" s="108"/>
      <c r="PS7" s="108"/>
      <c r="PT7" s="108"/>
      <c r="PU7" s="108"/>
      <c r="PV7" s="108"/>
      <c r="PW7" s="108"/>
      <c r="PX7" s="108"/>
      <c r="PY7" s="108"/>
      <c r="PZ7" s="108"/>
      <c r="QA7" s="108"/>
      <c r="QB7" s="119"/>
      <c r="QC7" s="118"/>
      <c r="QD7" s="108"/>
      <c r="QE7" s="108"/>
      <c r="QF7" s="108"/>
      <c r="QG7" s="108"/>
      <c r="QH7" s="108"/>
      <c r="QI7" s="108"/>
      <c r="QJ7" s="108"/>
      <c r="QK7" s="108"/>
      <c r="QL7" s="108"/>
      <c r="QM7" s="108"/>
      <c r="QN7" s="108"/>
      <c r="QO7" s="119"/>
    </row>
    <row r="8" spans="1:457" s="206" customFormat="1" ht="68.25" customHeight="1" x14ac:dyDescent="0.25">
      <c r="A8" s="206" t="s">
        <v>0</v>
      </c>
      <c r="B8" s="207" t="s">
        <v>1549</v>
      </c>
      <c r="C8" s="207" t="s">
        <v>1342</v>
      </c>
      <c r="D8" s="207" t="s">
        <v>1345</v>
      </c>
      <c r="E8" s="207" t="s">
        <v>8006</v>
      </c>
      <c r="F8" s="207" t="s">
        <v>1348</v>
      </c>
      <c r="G8" s="207" t="s">
        <v>13</v>
      </c>
      <c r="H8" s="207" t="s">
        <v>15</v>
      </c>
      <c r="I8" s="207" t="s">
        <v>8007</v>
      </c>
      <c r="J8" s="207" t="s">
        <v>8008</v>
      </c>
      <c r="K8" s="207" t="s">
        <v>8009</v>
      </c>
      <c r="L8" s="207" t="s">
        <v>165</v>
      </c>
      <c r="M8" s="207" t="s">
        <v>166</v>
      </c>
      <c r="N8" s="207" t="s">
        <v>183</v>
      </c>
      <c r="O8" s="207" t="s">
        <v>8010</v>
      </c>
      <c r="P8" s="207" t="s">
        <v>8011</v>
      </c>
      <c r="Q8" s="207" t="s">
        <v>8012</v>
      </c>
      <c r="R8" s="207" t="s">
        <v>8013</v>
      </c>
      <c r="S8" s="132" t="s">
        <v>8014</v>
      </c>
      <c r="T8" s="132" t="s">
        <v>8015</v>
      </c>
      <c r="U8" s="134" t="s">
        <v>1195</v>
      </c>
      <c r="V8" s="132" t="s">
        <v>8016</v>
      </c>
      <c r="W8" s="199" t="s">
        <v>8354</v>
      </c>
      <c r="X8" s="132" t="s">
        <v>8017</v>
      </c>
      <c r="Y8" s="132" t="s">
        <v>8018</v>
      </c>
      <c r="Z8" s="132" t="s">
        <v>8142</v>
      </c>
      <c r="AA8" s="199" t="s">
        <v>8019</v>
      </c>
      <c r="AB8" s="200" t="s">
        <v>8020</v>
      </c>
      <c r="AC8" s="199" t="s">
        <v>8021</v>
      </c>
      <c r="AD8" s="132" t="s">
        <v>8022</v>
      </c>
      <c r="AE8" s="132" t="s">
        <v>8023</v>
      </c>
      <c r="AF8" s="200" t="s">
        <v>8143</v>
      </c>
      <c r="AG8" s="201" t="s">
        <v>8024</v>
      </c>
      <c r="AH8" s="200" t="s">
        <v>8025</v>
      </c>
      <c r="AI8" s="199" t="s">
        <v>8144</v>
      </c>
      <c r="AJ8" s="132" t="s">
        <v>8026</v>
      </c>
      <c r="AK8" s="132" t="s">
        <v>8027</v>
      </c>
      <c r="AL8" s="199" t="s">
        <v>8145</v>
      </c>
      <c r="AM8" s="134" t="s">
        <v>1213</v>
      </c>
      <c r="AN8" s="132" t="s">
        <v>1214</v>
      </c>
      <c r="AO8" s="132" t="s">
        <v>1215</v>
      </c>
      <c r="AP8" s="132" t="s">
        <v>1216</v>
      </c>
      <c r="AQ8" s="132" t="s">
        <v>1217</v>
      </c>
      <c r="AR8" s="132" t="s">
        <v>1218</v>
      </c>
      <c r="AS8" s="132" t="s">
        <v>1219</v>
      </c>
      <c r="AT8" s="132" t="s">
        <v>1220</v>
      </c>
      <c r="AU8" s="132" t="s">
        <v>1221</v>
      </c>
      <c r="AV8" s="132" t="s">
        <v>1332</v>
      </c>
      <c r="AW8" s="132" t="s">
        <v>1222</v>
      </c>
      <c r="AX8" s="132" t="s">
        <v>1223</v>
      </c>
      <c r="AY8" s="135" t="s">
        <v>1224</v>
      </c>
      <c r="AZ8" s="208" t="s">
        <v>1225</v>
      </c>
      <c r="BA8" s="207" t="s">
        <v>1226</v>
      </c>
      <c r="BB8" s="207" t="s">
        <v>1227</v>
      </c>
      <c r="BC8" s="207" t="s">
        <v>1228</v>
      </c>
      <c r="BD8" s="207" t="s">
        <v>1229</v>
      </c>
      <c r="BE8" s="207" t="s">
        <v>1230</v>
      </c>
      <c r="BF8" s="207" t="s">
        <v>1231</v>
      </c>
      <c r="BG8" s="207" t="s">
        <v>1232</v>
      </c>
      <c r="BH8" s="207" t="s">
        <v>1233</v>
      </c>
      <c r="BI8" s="207" t="s">
        <v>1333</v>
      </c>
      <c r="BJ8" s="207" t="s">
        <v>1234</v>
      </c>
      <c r="BK8" s="207" t="s">
        <v>1235</v>
      </c>
      <c r="BL8" s="209" t="s">
        <v>8028</v>
      </c>
      <c r="BM8" s="208" t="s">
        <v>1236</v>
      </c>
      <c r="BN8" s="207" t="s">
        <v>1237</v>
      </c>
      <c r="BO8" s="207" t="s">
        <v>1238</v>
      </c>
      <c r="BP8" s="207" t="s">
        <v>1239</v>
      </c>
      <c r="BQ8" s="207" t="s">
        <v>1240</v>
      </c>
      <c r="BR8" s="207" t="s">
        <v>1241</v>
      </c>
      <c r="BS8" s="207" t="s">
        <v>1242</v>
      </c>
      <c r="BT8" s="207" t="s">
        <v>1243</v>
      </c>
      <c r="BU8" s="207" t="s">
        <v>1244</v>
      </c>
      <c r="BV8" s="207" t="s">
        <v>1334</v>
      </c>
      <c r="BW8" s="207" t="s">
        <v>1245</v>
      </c>
      <c r="BX8" s="207" t="s">
        <v>1246</v>
      </c>
      <c r="BY8" s="209" t="s">
        <v>1317</v>
      </c>
      <c r="BZ8" s="208" t="s">
        <v>1247</v>
      </c>
      <c r="CA8" s="207" t="s">
        <v>1248</v>
      </c>
      <c r="CB8" s="207" t="s">
        <v>1249</v>
      </c>
      <c r="CC8" s="207" t="s">
        <v>1250</v>
      </c>
      <c r="CD8" s="207" t="s">
        <v>1251</v>
      </c>
      <c r="CE8" s="207" t="s">
        <v>1252</v>
      </c>
      <c r="CF8" s="207" t="s">
        <v>1253</v>
      </c>
      <c r="CG8" s="207" t="s">
        <v>1254</v>
      </c>
      <c r="CH8" s="207" t="s">
        <v>1255</v>
      </c>
      <c r="CI8" s="207" t="s">
        <v>1335</v>
      </c>
      <c r="CJ8" s="207" t="s">
        <v>1256</v>
      </c>
      <c r="CK8" s="207" t="s">
        <v>1257</v>
      </c>
      <c r="CL8" s="209" t="s">
        <v>1318</v>
      </c>
      <c r="CM8" s="208" t="s">
        <v>1258</v>
      </c>
      <c r="CN8" s="207" t="s">
        <v>1259</v>
      </c>
      <c r="CO8" s="207" t="s">
        <v>1260</v>
      </c>
      <c r="CP8" s="207" t="s">
        <v>1261</v>
      </c>
      <c r="CQ8" s="207" t="s">
        <v>1262</v>
      </c>
      <c r="CR8" s="207" t="s">
        <v>1263</v>
      </c>
      <c r="CS8" s="207" t="s">
        <v>1264</v>
      </c>
      <c r="CT8" s="207" t="s">
        <v>1265</v>
      </c>
      <c r="CU8" s="207" t="s">
        <v>1266</v>
      </c>
      <c r="CV8" s="207" t="s">
        <v>1336</v>
      </c>
      <c r="CW8" s="207" t="s">
        <v>1267</v>
      </c>
      <c r="CX8" s="207" t="s">
        <v>1268</v>
      </c>
      <c r="CY8" s="209" t="s">
        <v>1319</v>
      </c>
      <c r="CZ8" s="208" t="s">
        <v>1269</v>
      </c>
      <c r="DA8" s="207" t="s">
        <v>1270</v>
      </c>
      <c r="DB8" s="207" t="s">
        <v>1271</v>
      </c>
      <c r="DC8" s="207" t="s">
        <v>1272</v>
      </c>
      <c r="DD8" s="207" t="s">
        <v>1273</v>
      </c>
      <c r="DE8" s="207" t="s">
        <v>1274</v>
      </c>
      <c r="DF8" s="207" t="s">
        <v>1275</v>
      </c>
      <c r="DG8" s="207" t="s">
        <v>1276</v>
      </c>
      <c r="DH8" s="207" t="s">
        <v>1277</v>
      </c>
      <c r="DI8" s="207" t="s">
        <v>1337</v>
      </c>
      <c r="DJ8" s="207" t="s">
        <v>1278</v>
      </c>
      <c r="DK8" s="207" t="s">
        <v>1279</v>
      </c>
      <c r="DL8" s="209" t="s">
        <v>1320</v>
      </c>
      <c r="DM8" s="207" t="s">
        <v>1280</v>
      </c>
      <c r="DN8" s="207" t="s">
        <v>1281</v>
      </c>
      <c r="DO8" s="207" t="s">
        <v>1282</v>
      </c>
      <c r="DP8" s="207" t="s">
        <v>1283</v>
      </c>
      <c r="DQ8" s="207" t="s">
        <v>1284</v>
      </c>
      <c r="DR8" s="207" t="s">
        <v>1285</v>
      </c>
      <c r="DS8" s="207" t="s">
        <v>1286</v>
      </c>
      <c r="DT8" s="207" t="s">
        <v>1287</v>
      </c>
      <c r="DU8" s="207" t="s">
        <v>1288</v>
      </c>
      <c r="DV8" s="207" t="s">
        <v>1338</v>
      </c>
      <c r="DW8" s="207" t="s">
        <v>1289</v>
      </c>
      <c r="DX8" s="207" t="s">
        <v>1290</v>
      </c>
      <c r="DY8" s="207" t="s">
        <v>1315</v>
      </c>
      <c r="DZ8" s="208" t="s">
        <v>1291</v>
      </c>
      <c r="EA8" s="207" t="s">
        <v>1292</v>
      </c>
      <c r="EB8" s="207" t="s">
        <v>1293</v>
      </c>
      <c r="EC8" s="207" t="s">
        <v>1294</v>
      </c>
      <c r="ED8" s="207" t="s">
        <v>1295</v>
      </c>
      <c r="EE8" s="207" t="s">
        <v>1296</v>
      </c>
      <c r="EF8" s="207" t="s">
        <v>1297</v>
      </c>
      <c r="EG8" s="207" t="s">
        <v>1298</v>
      </c>
      <c r="EH8" s="207" t="s">
        <v>1299</v>
      </c>
      <c r="EI8" s="207" t="s">
        <v>1339</v>
      </c>
      <c r="EJ8" s="207" t="s">
        <v>1300</v>
      </c>
      <c r="EK8" s="207" t="s">
        <v>1301</v>
      </c>
      <c r="EL8" s="209" t="s">
        <v>1314</v>
      </c>
      <c r="EM8" s="134" t="s">
        <v>8240</v>
      </c>
      <c r="EN8" s="132" t="s">
        <v>8239</v>
      </c>
      <c r="EO8" s="132" t="s">
        <v>8238</v>
      </c>
      <c r="EP8" s="132" t="s">
        <v>8237</v>
      </c>
      <c r="EQ8" s="132" t="s">
        <v>8236</v>
      </c>
      <c r="ER8" s="132" t="s">
        <v>8235</v>
      </c>
      <c r="ES8" s="132" t="s">
        <v>8234</v>
      </c>
      <c r="ET8" s="132" t="s">
        <v>8233</v>
      </c>
      <c r="EU8" s="132" t="s">
        <v>8232</v>
      </c>
      <c r="EV8" s="132" t="s">
        <v>8241</v>
      </c>
      <c r="EW8" s="132" t="s">
        <v>8231</v>
      </c>
      <c r="EX8" s="132" t="s">
        <v>8230</v>
      </c>
      <c r="EY8" s="132" t="s">
        <v>8229</v>
      </c>
      <c r="EZ8" s="207" t="s">
        <v>8228</v>
      </c>
      <c r="FA8" s="207" t="s">
        <v>8227</v>
      </c>
      <c r="FB8" s="207" t="s">
        <v>8226</v>
      </c>
      <c r="FC8" s="207" t="s">
        <v>8225</v>
      </c>
      <c r="FD8" s="207" t="s">
        <v>8224</v>
      </c>
      <c r="FE8" s="207" t="s">
        <v>8223</v>
      </c>
      <c r="FF8" s="207" t="s">
        <v>8222</v>
      </c>
      <c r="FG8" s="207" t="s">
        <v>8221</v>
      </c>
      <c r="FH8" s="207" t="s">
        <v>8220</v>
      </c>
      <c r="FI8" s="207" t="s">
        <v>8242</v>
      </c>
      <c r="FJ8" s="207" t="s">
        <v>8219</v>
      </c>
      <c r="FK8" s="207" t="s">
        <v>8218</v>
      </c>
      <c r="FL8" s="209" t="s">
        <v>1316</v>
      </c>
      <c r="FM8" s="208" t="s">
        <v>8217</v>
      </c>
      <c r="FN8" s="207" t="s">
        <v>8216</v>
      </c>
      <c r="FO8" s="207" t="s">
        <v>8215</v>
      </c>
      <c r="FP8" s="207" t="s">
        <v>8214</v>
      </c>
      <c r="FQ8" s="207" t="s">
        <v>8213</v>
      </c>
      <c r="FR8" s="207" t="s">
        <v>8212</v>
      </c>
      <c r="FS8" s="207" t="s">
        <v>8211</v>
      </c>
      <c r="FT8" s="207" t="s">
        <v>8210</v>
      </c>
      <c r="FU8" s="207" t="s">
        <v>8209</v>
      </c>
      <c r="FV8" s="207" t="s">
        <v>8243</v>
      </c>
      <c r="FW8" s="207" t="s">
        <v>8208</v>
      </c>
      <c r="FX8" s="207" t="s">
        <v>8207</v>
      </c>
      <c r="FY8" s="209" t="s">
        <v>8206</v>
      </c>
      <c r="FZ8" s="207" t="s">
        <v>8146</v>
      </c>
      <c r="GA8" s="207" t="s">
        <v>8205</v>
      </c>
      <c r="GB8" s="207" t="s">
        <v>8204</v>
      </c>
      <c r="GC8" s="207" t="s">
        <v>8203</v>
      </c>
      <c r="GD8" s="207" t="s">
        <v>8202</v>
      </c>
      <c r="GE8" s="207" t="s">
        <v>8201</v>
      </c>
      <c r="GF8" s="207" t="s">
        <v>8200</v>
      </c>
      <c r="GG8" s="207" t="s">
        <v>8199</v>
      </c>
      <c r="GH8" s="207" t="s">
        <v>8198</v>
      </c>
      <c r="GI8" s="207" t="s">
        <v>8244</v>
      </c>
      <c r="GJ8" s="207" t="s">
        <v>8197</v>
      </c>
      <c r="GK8" s="207" t="s">
        <v>8196</v>
      </c>
      <c r="GL8" s="209" t="s">
        <v>8195</v>
      </c>
      <c r="GM8" s="208" t="s">
        <v>8194</v>
      </c>
      <c r="GN8" s="207" t="s">
        <v>8193</v>
      </c>
      <c r="GO8" s="207" t="s">
        <v>8192</v>
      </c>
      <c r="GP8" s="207" t="s">
        <v>8191</v>
      </c>
      <c r="GQ8" s="207" t="s">
        <v>8190</v>
      </c>
      <c r="GR8" s="207" t="s">
        <v>8189</v>
      </c>
      <c r="GS8" s="207" t="s">
        <v>8188</v>
      </c>
      <c r="GT8" s="207" t="s">
        <v>8187</v>
      </c>
      <c r="GU8" s="207" t="s">
        <v>8186</v>
      </c>
      <c r="GV8" s="207" t="s">
        <v>8245</v>
      </c>
      <c r="GW8" s="207" t="s">
        <v>8185</v>
      </c>
      <c r="GX8" s="207" t="s">
        <v>8184</v>
      </c>
      <c r="GY8" s="209" t="s">
        <v>8183</v>
      </c>
      <c r="GZ8" s="208" t="s">
        <v>8182</v>
      </c>
      <c r="HA8" s="207" t="s">
        <v>8181</v>
      </c>
      <c r="HB8" s="207" t="s">
        <v>8180</v>
      </c>
      <c r="HC8" s="207" t="s">
        <v>8179</v>
      </c>
      <c r="HD8" s="207" t="s">
        <v>8178</v>
      </c>
      <c r="HE8" s="207" t="s">
        <v>8177</v>
      </c>
      <c r="HF8" s="207" t="s">
        <v>8176</v>
      </c>
      <c r="HG8" s="207" t="s">
        <v>8175</v>
      </c>
      <c r="HH8" s="207" t="s">
        <v>8174</v>
      </c>
      <c r="HI8" s="207" t="s">
        <v>8246</v>
      </c>
      <c r="HJ8" s="207" t="s">
        <v>8173</v>
      </c>
      <c r="HK8" s="207" t="s">
        <v>8172</v>
      </c>
      <c r="HL8" s="209" t="s">
        <v>8171</v>
      </c>
      <c r="HM8" s="207" t="s">
        <v>8170</v>
      </c>
      <c r="HN8" s="207" t="s">
        <v>8169</v>
      </c>
      <c r="HO8" s="207" t="s">
        <v>8168</v>
      </c>
      <c r="HP8" s="207" t="s">
        <v>8167</v>
      </c>
      <c r="HQ8" s="207" t="s">
        <v>8166</v>
      </c>
      <c r="HR8" s="207" t="s">
        <v>8165</v>
      </c>
      <c r="HS8" s="207" t="s">
        <v>8164</v>
      </c>
      <c r="HT8" s="207" t="s">
        <v>8163</v>
      </c>
      <c r="HU8" s="207" t="s">
        <v>8162</v>
      </c>
      <c r="HV8" s="207" t="s">
        <v>8247</v>
      </c>
      <c r="HW8" s="207" t="s">
        <v>8161</v>
      </c>
      <c r="HX8" s="207" t="s">
        <v>8160</v>
      </c>
      <c r="HY8" s="207" t="s">
        <v>8159</v>
      </c>
      <c r="HZ8" s="208" t="s">
        <v>8158</v>
      </c>
      <c r="IA8" s="207" t="s">
        <v>8157</v>
      </c>
      <c r="IB8" s="207" t="s">
        <v>8156</v>
      </c>
      <c r="IC8" s="207" t="s">
        <v>8155</v>
      </c>
      <c r="ID8" s="207" t="s">
        <v>8154</v>
      </c>
      <c r="IE8" s="207" t="s">
        <v>8153</v>
      </c>
      <c r="IF8" s="207" t="s">
        <v>8152</v>
      </c>
      <c r="IG8" s="207" t="s">
        <v>8151</v>
      </c>
      <c r="IH8" s="207" t="s">
        <v>8150</v>
      </c>
      <c r="II8" s="207" t="s">
        <v>8248</v>
      </c>
      <c r="IJ8" s="207" t="s">
        <v>8149</v>
      </c>
      <c r="IK8" s="207" t="s">
        <v>8148</v>
      </c>
      <c r="IL8" s="209" t="s">
        <v>8147</v>
      </c>
      <c r="IM8" s="208" t="s">
        <v>1302</v>
      </c>
      <c r="IN8" s="207" t="s">
        <v>1303</v>
      </c>
      <c r="IO8" s="207" t="s">
        <v>1304</v>
      </c>
      <c r="IP8" s="207" t="s">
        <v>1305</v>
      </c>
      <c r="IQ8" s="207" t="s">
        <v>1306</v>
      </c>
      <c r="IR8" s="207" t="s">
        <v>1307</v>
      </c>
      <c r="IS8" s="207" t="s">
        <v>1308</v>
      </c>
      <c r="IT8" s="207" t="s">
        <v>1309</v>
      </c>
      <c r="IU8" s="207" t="s">
        <v>1310</v>
      </c>
      <c r="IV8" s="207" t="s">
        <v>1340</v>
      </c>
      <c r="IW8" s="207" t="s">
        <v>1311</v>
      </c>
      <c r="IX8" s="207" t="s">
        <v>1312</v>
      </c>
      <c r="IY8" s="209" t="s">
        <v>1313</v>
      </c>
      <c r="IZ8" s="208" t="s">
        <v>8303</v>
      </c>
      <c r="JA8" s="207" t="s">
        <v>8304</v>
      </c>
      <c r="JB8" s="207" t="s">
        <v>8305</v>
      </c>
      <c r="JC8" s="207" t="s">
        <v>8306</v>
      </c>
      <c r="JD8" s="207" t="s">
        <v>8307</v>
      </c>
      <c r="JE8" s="207" t="s">
        <v>8308</v>
      </c>
      <c r="JF8" s="207" t="s">
        <v>8309</v>
      </c>
      <c r="JG8" s="207" t="s">
        <v>8310</v>
      </c>
      <c r="JH8" s="207" t="s">
        <v>8311</v>
      </c>
      <c r="JI8" s="207" t="s">
        <v>8312</v>
      </c>
      <c r="JJ8" s="207" t="s">
        <v>8313</v>
      </c>
      <c r="JK8" s="207" t="s">
        <v>8314</v>
      </c>
      <c r="JL8" s="209" t="s">
        <v>8315</v>
      </c>
      <c r="JM8" s="208" t="s">
        <v>8316</v>
      </c>
      <c r="JN8" s="207" t="s">
        <v>8317</v>
      </c>
      <c r="JO8" s="207" t="s">
        <v>8318</v>
      </c>
      <c r="JP8" s="207" t="s">
        <v>8319</v>
      </c>
      <c r="JQ8" s="207" t="s">
        <v>8320</v>
      </c>
      <c r="JR8" s="207" t="s">
        <v>8321</v>
      </c>
      <c r="JS8" s="207" t="s">
        <v>8322</v>
      </c>
      <c r="JT8" s="207" t="s">
        <v>8302</v>
      </c>
      <c r="JU8" s="207" t="s">
        <v>8323</v>
      </c>
      <c r="JV8" s="207" t="s">
        <v>8324</v>
      </c>
      <c r="JW8" s="207" t="s">
        <v>8325</v>
      </c>
      <c r="JX8" s="207" t="s">
        <v>8326</v>
      </c>
      <c r="JY8" s="209" t="s">
        <v>8327</v>
      </c>
      <c r="JZ8" s="208" t="s">
        <v>8328</v>
      </c>
      <c r="KA8" s="207" t="s">
        <v>8329</v>
      </c>
      <c r="KB8" s="207" t="s">
        <v>8330</v>
      </c>
      <c r="KC8" s="207" t="s">
        <v>8331</v>
      </c>
      <c r="KD8" s="207" t="s">
        <v>8332</v>
      </c>
      <c r="KE8" s="207" t="s">
        <v>8333</v>
      </c>
      <c r="KF8" s="207" t="s">
        <v>8334</v>
      </c>
      <c r="KG8" s="207" t="s">
        <v>8335</v>
      </c>
      <c r="KH8" s="207" t="s">
        <v>8336</v>
      </c>
      <c r="KI8" s="207" t="s">
        <v>8337</v>
      </c>
      <c r="KJ8" s="207" t="s">
        <v>8338</v>
      </c>
      <c r="KK8" s="207" t="s">
        <v>8339</v>
      </c>
      <c r="KL8" s="209" t="s">
        <v>8340</v>
      </c>
      <c r="KM8" s="208" t="s">
        <v>8341</v>
      </c>
      <c r="KN8" s="207" t="s">
        <v>8342</v>
      </c>
      <c r="KO8" s="207" t="s">
        <v>8343</v>
      </c>
      <c r="KP8" s="207" t="s">
        <v>8344</v>
      </c>
      <c r="KQ8" s="207" t="s">
        <v>8345</v>
      </c>
      <c r="KR8" s="207" t="s">
        <v>8346</v>
      </c>
      <c r="KS8" s="207" t="s">
        <v>8347</v>
      </c>
      <c r="KT8" s="207" t="s">
        <v>8348</v>
      </c>
      <c r="KU8" s="207" t="s">
        <v>8349</v>
      </c>
      <c r="KV8" s="207" t="s">
        <v>8350</v>
      </c>
      <c r="KW8" s="207" t="s">
        <v>8351</v>
      </c>
      <c r="KX8" s="207" t="s">
        <v>8352</v>
      </c>
      <c r="KY8" s="209" t="s">
        <v>8353</v>
      </c>
      <c r="KZ8" s="208" t="s">
        <v>8029</v>
      </c>
      <c r="LA8" s="207" t="s">
        <v>8030</v>
      </c>
      <c r="LB8" s="207" t="s">
        <v>8031</v>
      </c>
      <c r="LC8" s="207" t="s">
        <v>8032</v>
      </c>
      <c r="LD8" s="207" t="s">
        <v>8033</v>
      </c>
      <c r="LE8" s="207" t="s">
        <v>8034</v>
      </c>
      <c r="LF8" s="207" t="s">
        <v>8035</v>
      </c>
      <c r="LG8" s="207" t="s">
        <v>8036</v>
      </c>
      <c r="LH8" s="207" t="s">
        <v>8037</v>
      </c>
      <c r="LI8" s="207" t="s">
        <v>8249</v>
      </c>
      <c r="LJ8" s="207" t="s">
        <v>8038</v>
      </c>
      <c r="LK8" s="207" t="s">
        <v>8039</v>
      </c>
      <c r="LL8" s="209" t="s">
        <v>8040</v>
      </c>
      <c r="LM8" s="208" t="s">
        <v>8041</v>
      </c>
      <c r="LN8" s="207" t="s">
        <v>8042</v>
      </c>
      <c r="LO8" s="207" t="s">
        <v>8043</v>
      </c>
      <c r="LP8" s="207" t="s">
        <v>8044</v>
      </c>
      <c r="LQ8" s="207" t="s">
        <v>8045</v>
      </c>
      <c r="LR8" s="207" t="s">
        <v>8046</v>
      </c>
      <c r="LS8" s="207" t="s">
        <v>8047</v>
      </c>
      <c r="LT8" s="207" t="s">
        <v>8048</v>
      </c>
      <c r="LU8" s="207" t="s">
        <v>8049</v>
      </c>
      <c r="LV8" s="207" t="s">
        <v>8250</v>
      </c>
      <c r="LW8" s="207" t="s">
        <v>8050</v>
      </c>
      <c r="LX8" s="207" t="s">
        <v>8051</v>
      </c>
      <c r="LY8" s="209" t="s">
        <v>8052</v>
      </c>
      <c r="LZ8" s="208" t="s">
        <v>8053</v>
      </c>
      <c r="MA8" s="207" t="s">
        <v>8054</v>
      </c>
      <c r="MB8" s="207" t="s">
        <v>8055</v>
      </c>
      <c r="MC8" s="207" t="s">
        <v>8056</v>
      </c>
      <c r="MD8" s="207" t="s">
        <v>8057</v>
      </c>
      <c r="ME8" s="207" t="s">
        <v>8058</v>
      </c>
      <c r="MF8" s="207" t="s">
        <v>8059</v>
      </c>
      <c r="MG8" s="207" t="s">
        <v>8060</v>
      </c>
      <c r="MH8" s="207" t="s">
        <v>8061</v>
      </c>
      <c r="MI8" s="207" t="s">
        <v>8251</v>
      </c>
      <c r="MJ8" s="207" t="s">
        <v>8062</v>
      </c>
      <c r="MK8" s="207" t="s">
        <v>8063</v>
      </c>
      <c r="ML8" s="209" t="s">
        <v>8064</v>
      </c>
      <c r="MM8" s="208" t="s">
        <v>8065</v>
      </c>
      <c r="MN8" s="207" t="s">
        <v>8066</v>
      </c>
      <c r="MO8" s="209" t="s">
        <v>8067</v>
      </c>
      <c r="MP8" s="208" t="s">
        <v>8068</v>
      </c>
      <c r="MQ8" s="207" t="s">
        <v>8069</v>
      </c>
      <c r="MR8" s="207" t="s">
        <v>8070</v>
      </c>
      <c r="MS8" s="207" t="s">
        <v>8071</v>
      </c>
      <c r="MT8" s="207" t="s">
        <v>8072</v>
      </c>
      <c r="MU8" s="207" t="s">
        <v>8073</v>
      </c>
      <c r="MV8" s="207" t="s">
        <v>8074</v>
      </c>
      <c r="MW8" s="207" t="s">
        <v>8075</v>
      </c>
      <c r="MX8" s="207" t="s">
        <v>8076</v>
      </c>
      <c r="MY8" s="207" t="s">
        <v>8252</v>
      </c>
      <c r="MZ8" s="207" t="s">
        <v>8077</v>
      </c>
      <c r="NA8" s="207" t="s">
        <v>8078</v>
      </c>
      <c r="NB8" s="209" t="s">
        <v>8079</v>
      </c>
      <c r="NC8" s="207" t="s">
        <v>8080</v>
      </c>
      <c r="ND8" s="207" t="s">
        <v>8278</v>
      </c>
      <c r="NE8" s="207" t="s">
        <v>8279</v>
      </c>
      <c r="NF8" s="207" t="s">
        <v>8280</v>
      </c>
      <c r="NG8" s="207" t="s">
        <v>8281</v>
      </c>
      <c r="NH8" s="207" t="s">
        <v>8282</v>
      </c>
      <c r="NI8" s="207" t="s">
        <v>8283</v>
      </c>
      <c r="NJ8" s="207" t="s">
        <v>8284</v>
      </c>
      <c r="NK8" s="207" t="s">
        <v>8285</v>
      </c>
      <c r="NL8" s="207" t="s">
        <v>8286</v>
      </c>
      <c r="NM8" s="207" t="s">
        <v>8287</v>
      </c>
      <c r="NN8" s="207" t="s">
        <v>8288</v>
      </c>
      <c r="NO8" s="207" t="s">
        <v>8289</v>
      </c>
      <c r="NP8" s="208" t="s">
        <v>8081</v>
      </c>
      <c r="NQ8" s="207" t="s">
        <v>8290</v>
      </c>
      <c r="NR8" s="207" t="s">
        <v>8291</v>
      </c>
      <c r="NS8" s="207" t="s">
        <v>8292</v>
      </c>
      <c r="NT8" s="207" t="s">
        <v>8293</v>
      </c>
      <c r="NU8" s="207" t="s">
        <v>8294</v>
      </c>
      <c r="NV8" s="207" t="s">
        <v>8295</v>
      </c>
      <c r="NW8" s="207" t="s">
        <v>8296</v>
      </c>
      <c r="NX8" s="207" t="s">
        <v>8297</v>
      </c>
      <c r="NY8" s="207" t="s">
        <v>8298</v>
      </c>
      <c r="NZ8" s="207" t="s">
        <v>8299</v>
      </c>
      <c r="OA8" s="207" t="s">
        <v>8300</v>
      </c>
      <c r="OB8" s="209" t="s">
        <v>8301</v>
      </c>
      <c r="OC8" s="208" t="s">
        <v>8082</v>
      </c>
      <c r="OD8" s="207" t="s">
        <v>8083</v>
      </c>
      <c r="OE8" s="207" t="s">
        <v>8084</v>
      </c>
      <c r="OF8" s="207" t="s">
        <v>8085</v>
      </c>
      <c r="OG8" s="207" t="s">
        <v>8086</v>
      </c>
      <c r="OH8" s="207" t="s">
        <v>8087</v>
      </c>
      <c r="OI8" s="207" t="s">
        <v>8088</v>
      </c>
      <c r="OJ8" s="207" t="s">
        <v>8089</v>
      </c>
      <c r="OK8" s="207" t="s">
        <v>8090</v>
      </c>
      <c r="OL8" s="207" t="s">
        <v>8253</v>
      </c>
      <c r="OM8" s="207" t="s">
        <v>8091</v>
      </c>
      <c r="ON8" s="207" t="s">
        <v>8092</v>
      </c>
      <c r="OO8" s="209" t="s">
        <v>8093</v>
      </c>
      <c r="OP8" s="208" t="s">
        <v>8094</v>
      </c>
      <c r="OQ8" s="207" t="s">
        <v>8095</v>
      </c>
      <c r="OR8" s="207" t="s">
        <v>8096</v>
      </c>
      <c r="OS8" s="207" t="s">
        <v>8097</v>
      </c>
      <c r="OT8" s="207" t="s">
        <v>8098</v>
      </c>
      <c r="OU8" s="207" t="s">
        <v>8099</v>
      </c>
      <c r="OV8" s="207" t="s">
        <v>8100</v>
      </c>
      <c r="OW8" s="207" t="s">
        <v>8101</v>
      </c>
      <c r="OX8" s="207" t="s">
        <v>8102</v>
      </c>
      <c r="OY8" s="207" t="s">
        <v>8254</v>
      </c>
      <c r="OZ8" s="207" t="s">
        <v>8103</v>
      </c>
      <c r="PA8" s="207" t="s">
        <v>8104</v>
      </c>
      <c r="PB8" s="209" t="s">
        <v>8105</v>
      </c>
      <c r="PC8" s="208" t="s">
        <v>8106</v>
      </c>
      <c r="PD8" s="207" t="s">
        <v>8107</v>
      </c>
      <c r="PE8" s="207" t="s">
        <v>8108</v>
      </c>
      <c r="PF8" s="207" t="s">
        <v>8109</v>
      </c>
      <c r="PG8" s="207" t="s">
        <v>8110</v>
      </c>
      <c r="PH8" s="207" t="s">
        <v>8111</v>
      </c>
      <c r="PI8" s="207" t="s">
        <v>8112</v>
      </c>
      <c r="PJ8" s="207" t="s">
        <v>8113</v>
      </c>
      <c r="PK8" s="207" t="s">
        <v>8114</v>
      </c>
      <c r="PL8" s="207" t="s">
        <v>8255</v>
      </c>
      <c r="PM8" s="207" t="s">
        <v>8115</v>
      </c>
      <c r="PN8" s="207" t="s">
        <v>8116</v>
      </c>
      <c r="PO8" s="209" t="s">
        <v>8117</v>
      </c>
      <c r="PP8" s="208" t="s">
        <v>8118</v>
      </c>
      <c r="PQ8" s="207" t="s">
        <v>8119</v>
      </c>
      <c r="PR8" s="207" t="s">
        <v>8120</v>
      </c>
      <c r="PS8" s="207" t="s">
        <v>8121</v>
      </c>
      <c r="PT8" s="207" t="s">
        <v>8122</v>
      </c>
      <c r="PU8" s="207" t="s">
        <v>8123</v>
      </c>
      <c r="PV8" s="207" t="s">
        <v>8124</v>
      </c>
      <c r="PW8" s="207" t="s">
        <v>8125</v>
      </c>
      <c r="PX8" s="207" t="s">
        <v>8126</v>
      </c>
      <c r="PY8" s="207" t="s">
        <v>8256</v>
      </c>
      <c r="PZ8" s="207" t="s">
        <v>8127</v>
      </c>
      <c r="QA8" s="207" t="s">
        <v>8128</v>
      </c>
      <c r="QB8" s="209" t="s">
        <v>8129</v>
      </c>
      <c r="QC8" s="208" t="s">
        <v>8130</v>
      </c>
      <c r="QD8" s="207" t="s">
        <v>8131</v>
      </c>
      <c r="QE8" s="207" t="s">
        <v>8132</v>
      </c>
      <c r="QF8" s="207" t="s">
        <v>8133</v>
      </c>
      <c r="QG8" s="207" t="s">
        <v>8134</v>
      </c>
      <c r="QH8" s="207" t="s">
        <v>8135</v>
      </c>
      <c r="QI8" s="207" t="s">
        <v>8136</v>
      </c>
      <c r="QJ8" s="207" t="s">
        <v>8137</v>
      </c>
      <c r="QK8" s="207" t="s">
        <v>8138</v>
      </c>
      <c r="QL8" s="207" t="s">
        <v>8257</v>
      </c>
      <c r="QM8" s="207" t="s">
        <v>8139</v>
      </c>
      <c r="QN8" s="207" t="s">
        <v>8140</v>
      </c>
      <c r="QO8" s="207" t="s">
        <v>8141</v>
      </c>
    </row>
    <row r="9" spans="1:457" s="184" customFormat="1" outlineLevel="1" x14ac:dyDescent="0.25">
      <c r="A9" s="218">
        <v>1</v>
      </c>
      <c r="B9" s="217"/>
      <c r="C9" s="217"/>
      <c r="D9" s="186"/>
      <c r="E9" s="185"/>
      <c r="F9" s="186"/>
      <c r="G9" s="185"/>
      <c r="H9" s="186"/>
      <c r="I9" s="185"/>
      <c r="J9" s="185"/>
      <c r="K9" s="185"/>
      <c r="L9" s="219"/>
      <c r="M9" s="186"/>
      <c r="N9" s="186"/>
      <c r="O9" s="186"/>
      <c r="P9" s="186"/>
      <c r="Q9" s="186"/>
      <c r="R9" s="186"/>
      <c r="S9" s="120"/>
      <c r="T9" s="120"/>
      <c r="U9" s="121"/>
      <c r="V9" s="122"/>
      <c r="W9" s="187">
        <f>IFERROR((V9/U9-1),0)</f>
        <v>0</v>
      </c>
      <c r="X9" s="113"/>
      <c r="Y9" s="113"/>
      <c r="Z9" s="113"/>
      <c r="AA9" s="187"/>
      <c r="AB9" s="188">
        <f>IFERROR(1-AD9/(U9/1.2),0)</f>
        <v>0</v>
      </c>
      <c r="AC9" s="187">
        <f>AB9</f>
        <v>0</v>
      </c>
      <c r="AD9" s="113"/>
      <c r="AE9" s="113"/>
      <c r="AF9" s="188">
        <f>IFERROR((AE9/AD9-1),0)</f>
        <v>0</v>
      </c>
      <c r="AG9" s="189"/>
      <c r="AH9" s="188"/>
      <c r="AI9" s="187">
        <f>IFERROR((AH9/AG9-1),0)</f>
        <v>0</v>
      </c>
      <c r="AJ9" s="113">
        <f>IFERROR((AD9*(1-AG9)),0)</f>
        <v>0</v>
      </c>
      <c r="AK9" s="113">
        <f>IFERROR((AE9*(1-AH9)),0)</f>
        <v>0</v>
      </c>
      <c r="AL9" s="187">
        <f>IFERROR((AK9/AJ9-1),0)</f>
        <v>0</v>
      </c>
      <c r="AM9" s="123">
        <f>SUM(ПланированиеНГ[[#This Row],[ИТОГО Прогноз январь, шт.]:[ИТОГО Прогноз декабрь, шт.]])</f>
        <v>0</v>
      </c>
      <c r="AN9" s="124"/>
      <c r="AO9" s="124"/>
      <c r="AP9" s="124"/>
      <c r="AQ9" s="124"/>
      <c r="AR9" s="124"/>
      <c r="AS9" s="124"/>
      <c r="AT9" s="124"/>
      <c r="AU9" s="124"/>
      <c r="AV9" s="124"/>
      <c r="AW9" s="124"/>
      <c r="AX9" s="124"/>
      <c r="AY9" s="124"/>
      <c r="AZ9" s="123">
        <f>SUM(ПланированиеНГ[[#This Row],[ИТОГО GS январь, шт.]:[ИТОГО GS декабрь, шт.]])</f>
        <v>0</v>
      </c>
      <c r="BA9" s="124">
        <f t="shared" ref="BA9:BL9" si="3">AN9*$AD9</f>
        <v>0</v>
      </c>
      <c r="BB9" s="124">
        <f t="shared" si="3"/>
        <v>0</v>
      </c>
      <c r="BC9" s="124">
        <f t="shared" si="3"/>
        <v>0</v>
      </c>
      <c r="BD9" s="124">
        <f t="shared" si="3"/>
        <v>0</v>
      </c>
      <c r="BE9" s="124">
        <f t="shared" si="3"/>
        <v>0</v>
      </c>
      <c r="BF9" s="124">
        <f t="shared" si="3"/>
        <v>0</v>
      </c>
      <c r="BG9" s="124">
        <f t="shared" si="3"/>
        <v>0</v>
      </c>
      <c r="BH9" s="124">
        <f t="shared" si="3"/>
        <v>0</v>
      </c>
      <c r="BI9" s="124">
        <f t="shared" si="3"/>
        <v>0</v>
      </c>
      <c r="BJ9" s="124">
        <f t="shared" si="3"/>
        <v>0</v>
      </c>
      <c r="BK9" s="124">
        <f t="shared" si="3"/>
        <v>0</v>
      </c>
      <c r="BL9" s="124">
        <f t="shared" si="3"/>
        <v>0</v>
      </c>
      <c r="BM9" s="123">
        <f>SUM(ПланированиеНГ[[#This Row],[ИТОГО NS январь, шт.]:[ИТОГО NS декабрь, шт.]])</f>
        <v>0</v>
      </c>
      <c r="BN9" s="190">
        <f t="shared" ref="BN9:BY9" si="4">AN9*$AJ9</f>
        <v>0</v>
      </c>
      <c r="BO9" s="190">
        <f t="shared" si="4"/>
        <v>0</v>
      </c>
      <c r="BP9" s="190">
        <f t="shared" si="4"/>
        <v>0</v>
      </c>
      <c r="BQ9" s="190">
        <f t="shared" si="4"/>
        <v>0</v>
      </c>
      <c r="BR9" s="190">
        <f t="shared" si="4"/>
        <v>0</v>
      </c>
      <c r="BS9" s="190">
        <f t="shared" si="4"/>
        <v>0</v>
      </c>
      <c r="BT9" s="190">
        <f t="shared" si="4"/>
        <v>0</v>
      </c>
      <c r="BU9" s="190">
        <f t="shared" si="4"/>
        <v>0</v>
      </c>
      <c r="BV9" s="190">
        <f t="shared" si="4"/>
        <v>0</v>
      </c>
      <c r="BW9" s="190">
        <f t="shared" si="4"/>
        <v>0</v>
      </c>
      <c r="BX9" s="190">
        <f t="shared" si="4"/>
        <v>0</v>
      </c>
      <c r="BY9" s="190">
        <f t="shared" si="4"/>
        <v>0</v>
      </c>
      <c r="BZ9" s="123">
        <f>SUM(ПланированиеНГ[[#This Row],[ИТОГО LC январь, руб.]:[ИТОГО LC декабрь, руб.]])</f>
        <v>0</v>
      </c>
      <c r="CA9" s="116">
        <f t="shared" ref="CA9:CL9" si="5">IFERROR((AN9*$S9),0)</f>
        <v>0</v>
      </c>
      <c r="CB9" s="116">
        <f t="shared" si="5"/>
        <v>0</v>
      </c>
      <c r="CC9" s="116">
        <f t="shared" si="5"/>
        <v>0</v>
      </c>
      <c r="CD9" s="116">
        <f t="shared" si="5"/>
        <v>0</v>
      </c>
      <c r="CE9" s="116">
        <f t="shared" si="5"/>
        <v>0</v>
      </c>
      <c r="CF9" s="116">
        <f t="shared" si="5"/>
        <v>0</v>
      </c>
      <c r="CG9" s="116">
        <f t="shared" si="5"/>
        <v>0</v>
      </c>
      <c r="CH9" s="116">
        <f t="shared" si="5"/>
        <v>0</v>
      </c>
      <c r="CI9" s="116">
        <f t="shared" si="5"/>
        <v>0</v>
      </c>
      <c r="CJ9" s="116">
        <f t="shared" si="5"/>
        <v>0</v>
      </c>
      <c r="CK9" s="116">
        <f t="shared" si="5"/>
        <v>0</v>
      </c>
      <c r="CL9" s="116">
        <f t="shared" si="5"/>
        <v>0</v>
      </c>
      <c r="CM9" s="123"/>
      <c r="CN9" s="113">
        <f t="shared" ref="CN9:CY9" si="6">IFERROR((DA9*BN9),0)</f>
        <v>0</v>
      </c>
      <c r="CO9" s="113">
        <f t="shared" si="6"/>
        <v>0</v>
      </c>
      <c r="CP9" s="113">
        <f t="shared" si="6"/>
        <v>0</v>
      </c>
      <c r="CQ9" s="113">
        <f t="shared" si="6"/>
        <v>0</v>
      </c>
      <c r="CR9" s="113">
        <f t="shared" si="6"/>
        <v>0</v>
      </c>
      <c r="CS9" s="113">
        <f t="shared" si="6"/>
        <v>0</v>
      </c>
      <c r="CT9" s="113">
        <f t="shared" si="6"/>
        <v>0</v>
      </c>
      <c r="CU9" s="113">
        <f t="shared" si="6"/>
        <v>0</v>
      </c>
      <c r="CV9" s="113">
        <f t="shared" si="6"/>
        <v>0</v>
      </c>
      <c r="CW9" s="113">
        <f t="shared" si="6"/>
        <v>0</v>
      </c>
      <c r="CX9" s="113">
        <f t="shared" si="6"/>
        <v>0</v>
      </c>
      <c r="CY9" s="113">
        <f t="shared" si="6"/>
        <v>0</v>
      </c>
      <c r="CZ9" s="189">
        <f t="shared" ref="CZ9:DL9" si="7">IFERROR((1-BZ9/BM9),0)</f>
        <v>0</v>
      </c>
      <c r="DA9" s="188">
        <f t="shared" si="7"/>
        <v>0</v>
      </c>
      <c r="DB9" s="188">
        <f t="shared" si="7"/>
        <v>0</v>
      </c>
      <c r="DC9" s="188">
        <f t="shared" si="7"/>
        <v>0</v>
      </c>
      <c r="DD9" s="188">
        <f t="shared" si="7"/>
        <v>0</v>
      </c>
      <c r="DE9" s="188">
        <f t="shared" si="7"/>
        <v>0</v>
      </c>
      <c r="DF9" s="188">
        <f t="shared" si="7"/>
        <v>0</v>
      </c>
      <c r="DG9" s="188">
        <f t="shared" si="7"/>
        <v>0</v>
      </c>
      <c r="DH9" s="188">
        <f t="shared" si="7"/>
        <v>0</v>
      </c>
      <c r="DI9" s="188">
        <f t="shared" si="7"/>
        <v>0</v>
      </c>
      <c r="DJ9" s="188">
        <f t="shared" si="7"/>
        <v>0</v>
      </c>
      <c r="DK9" s="188">
        <f t="shared" si="7"/>
        <v>0</v>
      </c>
      <c r="DL9" s="187">
        <f t="shared" si="7"/>
        <v>0</v>
      </c>
      <c r="DM9" s="116">
        <f t="shared" ref="DM9:DY9" si="8">IFERROR((AZ9/AM9),0)</f>
        <v>0</v>
      </c>
      <c r="DN9" s="116">
        <f t="shared" si="8"/>
        <v>0</v>
      </c>
      <c r="DO9" s="116">
        <f t="shared" si="8"/>
        <v>0</v>
      </c>
      <c r="DP9" s="116">
        <f t="shared" si="8"/>
        <v>0</v>
      </c>
      <c r="DQ9" s="116">
        <f t="shared" si="8"/>
        <v>0</v>
      </c>
      <c r="DR9" s="116">
        <f t="shared" si="8"/>
        <v>0</v>
      </c>
      <c r="DS9" s="116">
        <f t="shared" si="8"/>
        <v>0</v>
      </c>
      <c r="DT9" s="116">
        <f t="shared" si="8"/>
        <v>0</v>
      </c>
      <c r="DU9" s="116">
        <f t="shared" si="8"/>
        <v>0</v>
      </c>
      <c r="DV9" s="116">
        <f t="shared" si="8"/>
        <v>0</v>
      </c>
      <c r="DW9" s="116">
        <f t="shared" si="8"/>
        <v>0</v>
      </c>
      <c r="DX9" s="116">
        <f t="shared" si="8"/>
        <v>0</v>
      </c>
      <c r="DY9" s="116">
        <f t="shared" si="8"/>
        <v>0</v>
      </c>
      <c r="DZ9" s="117">
        <f t="shared" ref="DZ9:EL9" si="9">IFERROR((AZ9/AM9),0)</f>
        <v>0</v>
      </c>
      <c r="EA9" s="116">
        <f t="shared" si="9"/>
        <v>0</v>
      </c>
      <c r="EB9" s="116">
        <f t="shared" si="9"/>
        <v>0</v>
      </c>
      <c r="EC9" s="116">
        <f t="shared" si="9"/>
        <v>0</v>
      </c>
      <c r="ED9" s="116">
        <f t="shared" si="9"/>
        <v>0</v>
      </c>
      <c r="EE9" s="116">
        <f t="shared" si="9"/>
        <v>0</v>
      </c>
      <c r="EF9" s="116">
        <f t="shared" si="9"/>
        <v>0</v>
      </c>
      <c r="EG9" s="116">
        <f t="shared" si="9"/>
        <v>0</v>
      </c>
      <c r="EH9" s="116">
        <f t="shared" si="9"/>
        <v>0</v>
      </c>
      <c r="EI9" s="116">
        <f t="shared" si="9"/>
        <v>0</v>
      </c>
      <c r="EJ9" s="116">
        <f t="shared" si="9"/>
        <v>0</v>
      </c>
      <c r="EK9" s="116">
        <f t="shared" si="9"/>
        <v>0</v>
      </c>
      <c r="EL9" s="116">
        <f t="shared" si="9"/>
        <v>0</v>
      </c>
      <c r="EM9" s="123">
        <f>SUM(ПланированиеНГ[[#This Row],[ИТОГО Прогноз январь, шт.2]:[ИТОГО Прогноз декабрь, шт.2]])</f>
        <v>0</v>
      </c>
      <c r="EN9" s="124">
        <f t="shared" ref="EN9:EY9" si="10">IN9+MQ9</f>
        <v>0</v>
      </c>
      <c r="EO9" s="124">
        <f t="shared" si="10"/>
        <v>0</v>
      </c>
      <c r="EP9" s="124">
        <f t="shared" si="10"/>
        <v>0</v>
      </c>
      <c r="EQ9" s="124">
        <f t="shared" si="10"/>
        <v>0</v>
      </c>
      <c r="ER9" s="124">
        <f t="shared" si="10"/>
        <v>0</v>
      </c>
      <c r="ES9" s="124">
        <f t="shared" si="10"/>
        <v>0</v>
      </c>
      <c r="ET9" s="124">
        <f t="shared" si="10"/>
        <v>0</v>
      </c>
      <c r="EU9" s="124">
        <f t="shared" si="10"/>
        <v>0</v>
      </c>
      <c r="EV9" s="124">
        <f t="shared" si="10"/>
        <v>0</v>
      </c>
      <c r="EW9" s="124">
        <f t="shared" si="10"/>
        <v>0</v>
      </c>
      <c r="EX9" s="124">
        <f t="shared" si="10"/>
        <v>0</v>
      </c>
      <c r="EY9" s="124">
        <f t="shared" si="10"/>
        <v>0</v>
      </c>
      <c r="EZ9" s="125">
        <f>SUM(ПланированиеНГ[[#This Row],[ИТОГО GS январь, шт.2]:[ИТОГО GS декабрь, шт.2]])</f>
        <v>0</v>
      </c>
      <c r="FA9" s="125">
        <f t="shared" ref="FA9:FL9" si="11">JA9+ND9</f>
        <v>0</v>
      </c>
      <c r="FB9" s="125">
        <f t="shared" si="11"/>
        <v>0</v>
      </c>
      <c r="FC9" s="125">
        <f t="shared" si="11"/>
        <v>0</v>
      </c>
      <c r="FD9" s="125">
        <f t="shared" si="11"/>
        <v>0</v>
      </c>
      <c r="FE9" s="125">
        <f t="shared" si="11"/>
        <v>0</v>
      </c>
      <c r="FF9" s="125">
        <f t="shared" si="11"/>
        <v>0</v>
      </c>
      <c r="FG9" s="125">
        <f t="shared" si="11"/>
        <v>0</v>
      </c>
      <c r="FH9" s="125">
        <f t="shared" si="11"/>
        <v>0</v>
      </c>
      <c r="FI9" s="125">
        <f t="shared" si="11"/>
        <v>0</v>
      </c>
      <c r="FJ9" s="125">
        <f t="shared" si="11"/>
        <v>0</v>
      </c>
      <c r="FK9" s="125">
        <f t="shared" si="11"/>
        <v>0</v>
      </c>
      <c r="FL9" s="126">
        <f t="shared" si="11"/>
        <v>0</v>
      </c>
      <c r="FM9" s="125">
        <f>SUM(ПланированиеНГ[[#This Row],[ИТОГО NS январь, шт.2]:[ИТОГО NS декабрь, шт.2]])</f>
        <v>0</v>
      </c>
      <c r="FN9" s="125">
        <f t="shared" ref="FN9:FY9" si="12">JN9+NQ9</f>
        <v>0</v>
      </c>
      <c r="FO9" s="125">
        <f t="shared" si="12"/>
        <v>0</v>
      </c>
      <c r="FP9" s="125">
        <f t="shared" si="12"/>
        <v>0</v>
      </c>
      <c r="FQ9" s="125">
        <f t="shared" si="12"/>
        <v>0</v>
      </c>
      <c r="FR9" s="125">
        <f t="shared" si="12"/>
        <v>0</v>
      </c>
      <c r="FS9" s="125">
        <f t="shared" si="12"/>
        <v>0</v>
      </c>
      <c r="FT9" s="125">
        <f t="shared" si="12"/>
        <v>0</v>
      </c>
      <c r="FU9" s="125">
        <f t="shared" si="12"/>
        <v>0</v>
      </c>
      <c r="FV9" s="125">
        <f t="shared" si="12"/>
        <v>0</v>
      </c>
      <c r="FW9" s="125">
        <f t="shared" si="12"/>
        <v>0</v>
      </c>
      <c r="FX9" s="125">
        <f t="shared" si="12"/>
        <v>0</v>
      </c>
      <c r="FY9" s="126">
        <f t="shared" si="12"/>
        <v>0</v>
      </c>
      <c r="FZ9" s="125">
        <f>SUM(ПланированиеНГ[[#This Row],[ИТОГО LC январь, руб.2]:[ИТОГО LC декабрь, руб.2]])</f>
        <v>0</v>
      </c>
      <c r="GA9" s="124">
        <f t="shared" ref="GA9:GL9" si="13">KA9+OD9</f>
        <v>0</v>
      </c>
      <c r="GB9" s="124">
        <f t="shared" si="13"/>
        <v>0</v>
      </c>
      <c r="GC9" s="124">
        <f t="shared" si="13"/>
        <v>0</v>
      </c>
      <c r="GD9" s="124">
        <f t="shared" si="13"/>
        <v>0</v>
      </c>
      <c r="GE9" s="124">
        <f t="shared" si="13"/>
        <v>0</v>
      </c>
      <c r="GF9" s="124">
        <f t="shared" si="13"/>
        <v>0</v>
      </c>
      <c r="GG9" s="124">
        <f t="shared" si="13"/>
        <v>0</v>
      </c>
      <c r="GH9" s="124">
        <f t="shared" si="13"/>
        <v>0</v>
      </c>
      <c r="GI9" s="124">
        <f t="shared" si="13"/>
        <v>0</v>
      </c>
      <c r="GJ9" s="124">
        <f t="shared" si="13"/>
        <v>0</v>
      </c>
      <c r="GK9" s="124">
        <f t="shared" si="13"/>
        <v>0</v>
      </c>
      <c r="GL9" s="124">
        <f t="shared" si="13"/>
        <v>0</v>
      </c>
      <c r="GM9" s="125">
        <f>SUM(ПланированиеНГ[[#This Row],[ИТОГО GP value январь, руб.2]:[ИТОГО GP value декабрь, руб.2]])</f>
        <v>0</v>
      </c>
      <c r="GN9" s="113">
        <f t="shared" ref="GN9:GY9" si="14">KN9+OQ9</f>
        <v>0</v>
      </c>
      <c r="GO9" s="113">
        <f t="shared" si="14"/>
        <v>0</v>
      </c>
      <c r="GP9" s="113">
        <f t="shared" si="14"/>
        <v>0</v>
      </c>
      <c r="GQ9" s="113">
        <f t="shared" si="14"/>
        <v>0</v>
      </c>
      <c r="GR9" s="113">
        <f t="shared" si="14"/>
        <v>0</v>
      </c>
      <c r="GS9" s="113">
        <f t="shared" si="14"/>
        <v>0</v>
      </c>
      <c r="GT9" s="113">
        <f t="shared" si="14"/>
        <v>0</v>
      </c>
      <c r="GU9" s="113">
        <f t="shared" si="14"/>
        <v>0</v>
      </c>
      <c r="GV9" s="113">
        <f t="shared" si="14"/>
        <v>0</v>
      </c>
      <c r="GW9" s="113">
        <f t="shared" si="14"/>
        <v>0</v>
      </c>
      <c r="GX9" s="113">
        <f t="shared" si="14"/>
        <v>0</v>
      </c>
      <c r="GY9" s="113">
        <f t="shared" si="14"/>
        <v>0</v>
      </c>
      <c r="GZ9" s="189">
        <f t="shared" ref="GZ9:HL9" si="15">IFERROR((1-FZ9/FM9),0)</f>
        <v>0</v>
      </c>
      <c r="HA9" s="188">
        <f t="shared" si="15"/>
        <v>0</v>
      </c>
      <c r="HB9" s="188">
        <f t="shared" si="15"/>
        <v>0</v>
      </c>
      <c r="HC9" s="188">
        <f t="shared" si="15"/>
        <v>0</v>
      </c>
      <c r="HD9" s="188">
        <f t="shared" si="15"/>
        <v>0</v>
      </c>
      <c r="HE9" s="188">
        <f t="shared" si="15"/>
        <v>0</v>
      </c>
      <c r="HF9" s="188">
        <f t="shared" si="15"/>
        <v>0</v>
      </c>
      <c r="HG9" s="188">
        <f t="shared" si="15"/>
        <v>0</v>
      </c>
      <c r="HH9" s="188">
        <f t="shared" si="15"/>
        <v>0</v>
      </c>
      <c r="HI9" s="188">
        <f t="shared" si="15"/>
        <v>0</v>
      </c>
      <c r="HJ9" s="188">
        <f t="shared" si="15"/>
        <v>0</v>
      </c>
      <c r="HK9" s="188">
        <f t="shared" si="15"/>
        <v>0</v>
      </c>
      <c r="HL9" s="187">
        <f t="shared" si="15"/>
        <v>0</v>
      </c>
      <c r="HM9" s="116">
        <f t="shared" ref="HM9:HY9" si="16">IFERROR((EZ9/EM9),0)</f>
        <v>0</v>
      </c>
      <c r="HN9" s="116">
        <f t="shared" si="16"/>
        <v>0</v>
      </c>
      <c r="HO9" s="116">
        <f t="shared" si="16"/>
        <v>0</v>
      </c>
      <c r="HP9" s="116">
        <f t="shared" si="16"/>
        <v>0</v>
      </c>
      <c r="HQ9" s="116">
        <f t="shared" si="16"/>
        <v>0</v>
      </c>
      <c r="HR9" s="116">
        <f t="shared" si="16"/>
        <v>0</v>
      </c>
      <c r="HS9" s="116">
        <f t="shared" si="16"/>
        <v>0</v>
      </c>
      <c r="HT9" s="116">
        <f t="shared" si="16"/>
        <v>0</v>
      </c>
      <c r="HU9" s="116">
        <f t="shared" si="16"/>
        <v>0</v>
      </c>
      <c r="HV9" s="116">
        <f t="shared" si="16"/>
        <v>0</v>
      </c>
      <c r="HW9" s="116">
        <f t="shared" si="16"/>
        <v>0</v>
      </c>
      <c r="HX9" s="116">
        <f t="shared" si="16"/>
        <v>0</v>
      </c>
      <c r="HY9" s="116">
        <f t="shared" si="16"/>
        <v>0</v>
      </c>
      <c r="HZ9" s="117">
        <f t="shared" ref="HZ9:IL9" si="17">IFERROR((EZ9/EM9),0)</f>
        <v>0</v>
      </c>
      <c r="IA9" s="116">
        <f t="shared" si="17"/>
        <v>0</v>
      </c>
      <c r="IB9" s="116">
        <f t="shared" si="17"/>
        <v>0</v>
      </c>
      <c r="IC9" s="116">
        <f t="shared" si="17"/>
        <v>0</v>
      </c>
      <c r="ID9" s="116">
        <f t="shared" si="17"/>
        <v>0</v>
      </c>
      <c r="IE9" s="116">
        <f t="shared" si="17"/>
        <v>0</v>
      </c>
      <c r="IF9" s="116">
        <f t="shared" si="17"/>
        <v>0</v>
      </c>
      <c r="IG9" s="116">
        <f t="shared" si="17"/>
        <v>0</v>
      </c>
      <c r="IH9" s="116">
        <f t="shared" si="17"/>
        <v>0</v>
      </c>
      <c r="II9" s="116">
        <f t="shared" si="17"/>
        <v>0</v>
      </c>
      <c r="IJ9" s="116">
        <f t="shared" si="17"/>
        <v>0</v>
      </c>
      <c r="IK9" s="116">
        <f t="shared" si="17"/>
        <v>0</v>
      </c>
      <c r="IL9" s="127">
        <f t="shared" si="17"/>
        <v>0</v>
      </c>
      <c r="IM9" s="128">
        <f>SUM(ПланированиеНГ[[#This Row],[Прогноз январь, шт.]:[Прогноз декабрь, шт.]])</f>
        <v>0</v>
      </c>
      <c r="IN9" s="185"/>
      <c r="IO9" s="185"/>
      <c r="IP9" s="185"/>
      <c r="IQ9" s="185"/>
      <c r="IR9" s="185"/>
      <c r="IS9" s="185"/>
      <c r="IT9" s="185"/>
      <c r="IU9" s="185"/>
      <c r="IV9" s="185"/>
      <c r="IW9" s="185"/>
      <c r="IX9" s="185"/>
      <c r="IY9" s="191"/>
      <c r="IZ9" s="123">
        <f>SUM(ПланированиеНГ[[#This Row],[GS январь, шт.]:[GS декабрь, шт.]])</f>
        <v>0</v>
      </c>
      <c r="JA9" s="190">
        <f t="shared" ref="JA9:JL9" si="18">IFERROR((IN9*$AE9),0)</f>
        <v>0</v>
      </c>
      <c r="JB9" s="190">
        <f t="shared" si="18"/>
        <v>0</v>
      </c>
      <c r="JC9" s="190">
        <f t="shared" si="18"/>
        <v>0</v>
      </c>
      <c r="JD9" s="190">
        <f t="shared" si="18"/>
        <v>0</v>
      </c>
      <c r="JE9" s="190">
        <f t="shared" si="18"/>
        <v>0</v>
      </c>
      <c r="JF9" s="190">
        <f t="shared" si="18"/>
        <v>0</v>
      </c>
      <c r="JG9" s="190">
        <f t="shared" si="18"/>
        <v>0</v>
      </c>
      <c r="JH9" s="190">
        <f t="shared" si="18"/>
        <v>0</v>
      </c>
      <c r="JI9" s="190">
        <f t="shared" si="18"/>
        <v>0</v>
      </c>
      <c r="JJ9" s="190">
        <f t="shared" si="18"/>
        <v>0</v>
      </c>
      <c r="JK9" s="190">
        <f t="shared" si="18"/>
        <v>0</v>
      </c>
      <c r="JL9" s="192">
        <f t="shared" si="18"/>
        <v>0</v>
      </c>
      <c r="JM9" s="123">
        <f>SUM(ПланированиеНГ[[#This Row],[NS январь, шт.]:[NS декабрь, шт.]])</f>
        <v>0</v>
      </c>
      <c r="JN9" s="116">
        <f t="shared" ref="JN9:JY9" si="19">IFERROR((IN9*$AH9),0)</f>
        <v>0</v>
      </c>
      <c r="JO9" s="116">
        <f t="shared" si="19"/>
        <v>0</v>
      </c>
      <c r="JP9" s="116">
        <f t="shared" si="19"/>
        <v>0</v>
      </c>
      <c r="JQ9" s="116">
        <f t="shared" si="19"/>
        <v>0</v>
      </c>
      <c r="JR9" s="116">
        <f t="shared" si="19"/>
        <v>0</v>
      </c>
      <c r="JS9" s="116">
        <f t="shared" si="19"/>
        <v>0</v>
      </c>
      <c r="JT9" s="116">
        <f t="shared" si="19"/>
        <v>0</v>
      </c>
      <c r="JU9" s="116">
        <f t="shared" si="19"/>
        <v>0</v>
      </c>
      <c r="JV9" s="116">
        <f t="shared" si="19"/>
        <v>0</v>
      </c>
      <c r="JW9" s="116">
        <f t="shared" si="19"/>
        <v>0</v>
      </c>
      <c r="JX9" s="116">
        <f t="shared" si="19"/>
        <v>0</v>
      </c>
      <c r="JY9" s="127">
        <f t="shared" si="19"/>
        <v>0</v>
      </c>
      <c r="JZ9" s="123">
        <f>SUM(ПланированиеНГ[[#This Row],[LC январь, руб.]:[LC декабрь, руб.]])</f>
        <v>0</v>
      </c>
      <c r="KA9" s="190">
        <f t="shared" ref="KA9:KL9" si="20">IFERROR((IN9*$T9),0)</f>
        <v>0</v>
      </c>
      <c r="KB9" s="190">
        <f t="shared" si="20"/>
        <v>0</v>
      </c>
      <c r="KC9" s="190">
        <f t="shared" si="20"/>
        <v>0</v>
      </c>
      <c r="KD9" s="190">
        <f t="shared" si="20"/>
        <v>0</v>
      </c>
      <c r="KE9" s="190">
        <f t="shared" si="20"/>
        <v>0</v>
      </c>
      <c r="KF9" s="190">
        <f t="shared" si="20"/>
        <v>0</v>
      </c>
      <c r="KG9" s="190">
        <f t="shared" si="20"/>
        <v>0</v>
      </c>
      <c r="KH9" s="190">
        <f t="shared" si="20"/>
        <v>0</v>
      </c>
      <c r="KI9" s="190">
        <f t="shared" si="20"/>
        <v>0</v>
      </c>
      <c r="KJ9" s="190">
        <f t="shared" si="20"/>
        <v>0</v>
      </c>
      <c r="KK9" s="190">
        <f t="shared" si="20"/>
        <v>0</v>
      </c>
      <c r="KL9" s="192">
        <f t="shared" si="20"/>
        <v>0</v>
      </c>
      <c r="KM9" s="123">
        <f>SUM(ПланированиеНГ[[#This Row],[GP value январь, руб.]:[GP value декабрь, руб.]])</f>
        <v>0</v>
      </c>
      <c r="KN9" s="113">
        <f t="shared" ref="KN9:KY9" si="21">IFERROR((LA9*JN9),0)</f>
        <v>0</v>
      </c>
      <c r="KO9" s="113">
        <f t="shared" si="21"/>
        <v>0</v>
      </c>
      <c r="KP9" s="113">
        <f t="shared" si="21"/>
        <v>0</v>
      </c>
      <c r="KQ9" s="113">
        <f t="shared" si="21"/>
        <v>0</v>
      </c>
      <c r="KR9" s="113">
        <f t="shared" si="21"/>
        <v>0</v>
      </c>
      <c r="KS9" s="113">
        <f t="shared" si="21"/>
        <v>0</v>
      </c>
      <c r="KT9" s="113">
        <f t="shared" si="21"/>
        <v>0</v>
      </c>
      <c r="KU9" s="113">
        <f t="shared" si="21"/>
        <v>0</v>
      </c>
      <c r="KV9" s="113">
        <f t="shared" si="21"/>
        <v>0</v>
      </c>
      <c r="KW9" s="113">
        <f t="shared" si="21"/>
        <v>0</v>
      </c>
      <c r="KX9" s="113">
        <f t="shared" si="21"/>
        <v>0</v>
      </c>
      <c r="KY9" s="114">
        <f t="shared" si="21"/>
        <v>0</v>
      </c>
      <c r="KZ9" s="189">
        <f t="shared" ref="KZ9:LL9" si="22">IFERROR((1-JZ9/JM9),0)</f>
        <v>0</v>
      </c>
      <c r="LA9" s="188">
        <f t="shared" si="22"/>
        <v>0</v>
      </c>
      <c r="LB9" s="188">
        <f t="shared" si="22"/>
        <v>0</v>
      </c>
      <c r="LC9" s="188">
        <f t="shared" si="22"/>
        <v>0</v>
      </c>
      <c r="LD9" s="188">
        <f t="shared" si="22"/>
        <v>0</v>
      </c>
      <c r="LE9" s="188">
        <f t="shared" si="22"/>
        <v>0</v>
      </c>
      <c r="LF9" s="188">
        <f t="shared" si="22"/>
        <v>0</v>
      </c>
      <c r="LG9" s="188">
        <f t="shared" si="22"/>
        <v>0</v>
      </c>
      <c r="LH9" s="188">
        <f t="shared" si="22"/>
        <v>0</v>
      </c>
      <c r="LI9" s="188">
        <f t="shared" si="22"/>
        <v>0</v>
      </c>
      <c r="LJ9" s="188">
        <f t="shared" si="22"/>
        <v>0</v>
      </c>
      <c r="LK9" s="188">
        <f t="shared" si="22"/>
        <v>0</v>
      </c>
      <c r="LL9" s="187">
        <f t="shared" si="22"/>
        <v>0</v>
      </c>
      <c r="LM9" s="117">
        <f t="shared" ref="LM9:LY9" si="23">IFERROR((IZ9/IM9),0)</f>
        <v>0</v>
      </c>
      <c r="LN9" s="116">
        <f t="shared" si="23"/>
        <v>0</v>
      </c>
      <c r="LO9" s="116">
        <f t="shared" si="23"/>
        <v>0</v>
      </c>
      <c r="LP9" s="116">
        <f t="shared" si="23"/>
        <v>0</v>
      </c>
      <c r="LQ9" s="116">
        <f t="shared" si="23"/>
        <v>0</v>
      </c>
      <c r="LR9" s="116">
        <f t="shared" si="23"/>
        <v>0</v>
      </c>
      <c r="LS9" s="116">
        <f t="shared" si="23"/>
        <v>0</v>
      </c>
      <c r="LT9" s="116">
        <f t="shared" si="23"/>
        <v>0</v>
      </c>
      <c r="LU9" s="116">
        <f t="shared" si="23"/>
        <v>0</v>
      </c>
      <c r="LV9" s="116">
        <f t="shared" si="23"/>
        <v>0</v>
      </c>
      <c r="LW9" s="116">
        <f t="shared" si="23"/>
        <v>0</v>
      </c>
      <c r="LX9" s="116">
        <f t="shared" si="23"/>
        <v>0</v>
      </c>
      <c r="LY9" s="127">
        <f t="shared" si="23"/>
        <v>0</v>
      </c>
      <c r="LZ9" s="117">
        <f t="shared" ref="LZ9:ML9" si="24">IFERROR((JM9/IM9),0)</f>
        <v>0</v>
      </c>
      <c r="MA9" s="116">
        <f t="shared" si="24"/>
        <v>0</v>
      </c>
      <c r="MB9" s="116">
        <f t="shared" si="24"/>
        <v>0</v>
      </c>
      <c r="MC9" s="116">
        <f t="shared" si="24"/>
        <v>0</v>
      </c>
      <c r="MD9" s="116">
        <f t="shared" si="24"/>
        <v>0</v>
      </c>
      <c r="ME9" s="116">
        <f t="shared" si="24"/>
        <v>0</v>
      </c>
      <c r="MF9" s="116">
        <f t="shared" si="24"/>
        <v>0</v>
      </c>
      <c r="MG9" s="116">
        <f t="shared" si="24"/>
        <v>0</v>
      </c>
      <c r="MH9" s="116">
        <f t="shared" si="24"/>
        <v>0</v>
      </c>
      <c r="MI9" s="116">
        <f t="shared" si="24"/>
        <v>0</v>
      </c>
      <c r="MJ9" s="116">
        <f t="shared" si="24"/>
        <v>0</v>
      </c>
      <c r="MK9" s="116">
        <f t="shared" si="24"/>
        <v>0</v>
      </c>
      <c r="ML9" s="127">
        <f t="shared" si="24"/>
        <v>0</v>
      </c>
      <c r="MM9" s="117">
        <f>IFERROR((AE9*(1-MN9)),0)</f>
        <v>0</v>
      </c>
      <c r="MN9" s="193"/>
      <c r="MO9" s="129">
        <f>IFERROR((MM9*(1-AH9)),0)</f>
        <v>0</v>
      </c>
      <c r="MP9" s="128">
        <f>SUM(ПланированиеНГ[[#This Row],[ПРОМО прогноз январь, шт.]:[ПРОМО прогноз декабрь, шт.]])</f>
        <v>0</v>
      </c>
      <c r="NB9" s="194"/>
      <c r="NC9" s="125">
        <f>SUM(ПланированиеНГ[[#This Row],[ПРОМО GS январь, руб.]:[ПРОМО GS декабрь, руб.]])</f>
        <v>0</v>
      </c>
      <c r="ND9" s="195">
        <f t="shared" ref="ND9:NO9" si="25">$MM9*MQ9</f>
        <v>0</v>
      </c>
      <c r="NE9" s="195">
        <f t="shared" si="25"/>
        <v>0</v>
      </c>
      <c r="NF9" s="195">
        <f t="shared" si="25"/>
        <v>0</v>
      </c>
      <c r="NG9" s="195">
        <f t="shared" si="25"/>
        <v>0</v>
      </c>
      <c r="NH9" s="195">
        <f t="shared" si="25"/>
        <v>0</v>
      </c>
      <c r="NI9" s="195">
        <f t="shared" si="25"/>
        <v>0</v>
      </c>
      <c r="NJ9" s="195">
        <f t="shared" si="25"/>
        <v>0</v>
      </c>
      <c r="NK9" s="195">
        <f t="shared" si="25"/>
        <v>0</v>
      </c>
      <c r="NL9" s="195">
        <f t="shared" si="25"/>
        <v>0</v>
      </c>
      <c r="NM9" s="195">
        <f t="shared" si="25"/>
        <v>0</v>
      </c>
      <c r="NN9" s="195">
        <f t="shared" si="25"/>
        <v>0</v>
      </c>
      <c r="NO9" s="195">
        <f t="shared" si="25"/>
        <v>0</v>
      </c>
      <c r="NP9" s="123">
        <f>SUM(ПланированиеНГ[[#This Row],[ПРОМО NS январь, руб.]:[ПРОМО NS декабрь, руб.]])</f>
        <v>0</v>
      </c>
      <c r="NQ9" s="190">
        <f t="shared" ref="NQ9:OB9" si="26">MQ9*$MO9</f>
        <v>0</v>
      </c>
      <c r="NR9" s="190">
        <f t="shared" si="26"/>
        <v>0</v>
      </c>
      <c r="NS9" s="190">
        <f t="shared" si="26"/>
        <v>0</v>
      </c>
      <c r="NT9" s="190">
        <f t="shared" si="26"/>
        <v>0</v>
      </c>
      <c r="NU9" s="190">
        <f t="shared" si="26"/>
        <v>0</v>
      </c>
      <c r="NV9" s="190">
        <f t="shared" si="26"/>
        <v>0</v>
      </c>
      <c r="NW9" s="190">
        <f t="shared" si="26"/>
        <v>0</v>
      </c>
      <c r="NX9" s="190">
        <f t="shared" si="26"/>
        <v>0</v>
      </c>
      <c r="NY9" s="190">
        <f t="shared" si="26"/>
        <v>0</v>
      </c>
      <c r="NZ9" s="190">
        <f t="shared" si="26"/>
        <v>0</v>
      </c>
      <c r="OA9" s="190">
        <f t="shared" si="26"/>
        <v>0</v>
      </c>
      <c r="OB9" s="190">
        <f t="shared" si="26"/>
        <v>0</v>
      </c>
      <c r="OC9" s="123">
        <f>SUM(ПланированиеНГ[[#This Row],[ПРОМО LC январь, руб.]:[ПРОМО LC декабрь, руб.]])</f>
        <v>0</v>
      </c>
      <c r="OD9" s="190">
        <f t="shared" ref="OD9:OO9" si="27">MQ9*$T9</f>
        <v>0</v>
      </c>
      <c r="OE9" s="190">
        <f t="shared" si="27"/>
        <v>0</v>
      </c>
      <c r="OF9" s="190">
        <f t="shared" si="27"/>
        <v>0</v>
      </c>
      <c r="OG9" s="190">
        <f t="shared" si="27"/>
        <v>0</v>
      </c>
      <c r="OH9" s="190">
        <f t="shared" si="27"/>
        <v>0</v>
      </c>
      <c r="OI9" s="190">
        <f t="shared" si="27"/>
        <v>0</v>
      </c>
      <c r="OJ9" s="190">
        <f t="shared" si="27"/>
        <v>0</v>
      </c>
      <c r="OK9" s="190">
        <f t="shared" si="27"/>
        <v>0</v>
      </c>
      <c r="OL9" s="190">
        <f t="shared" si="27"/>
        <v>0</v>
      </c>
      <c r="OM9" s="190">
        <f t="shared" si="27"/>
        <v>0</v>
      </c>
      <c r="ON9" s="190">
        <f t="shared" si="27"/>
        <v>0</v>
      </c>
      <c r="OO9" s="190">
        <f t="shared" si="27"/>
        <v>0</v>
      </c>
      <c r="OP9" s="123">
        <f>SUM(ПланированиеНГ[[#This Row],[ПРОМО GP value январь, руб.]:[ПРОМО GP value декабрь, руб.]])</f>
        <v>0</v>
      </c>
      <c r="OQ9" s="113">
        <f t="shared" ref="OQ9:PB9" si="28">PD9*NQ9</f>
        <v>0</v>
      </c>
      <c r="OR9" s="113">
        <f t="shared" si="28"/>
        <v>0</v>
      </c>
      <c r="OS9" s="113">
        <f t="shared" si="28"/>
        <v>0</v>
      </c>
      <c r="OT9" s="113">
        <f t="shared" si="28"/>
        <v>0</v>
      </c>
      <c r="OU9" s="113">
        <f t="shared" si="28"/>
        <v>0</v>
      </c>
      <c r="OV9" s="113">
        <f t="shared" si="28"/>
        <v>0</v>
      </c>
      <c r="OW9" s="113">
        <f t="shared" si="28"/>
        <v>0</v>
      </c>
      <c r="OX9" s="113">
        <f t="shared" si="28"/>
        <v>0</v>
      </c>
      <c r="OY9" s="113">
        <f t="shared" si="28"/>
        <v>0</v>
      </c>
      <c r="OZ9" s="113">
        <f t="shared" si="28"/>
        <v>0</v>
      </c>
      <c r="PA9" s="113">
        <f t="shared" si="28"/>
        <v>0</v>
      </c>
      <c r="PB9" s="113">
        <f t="shared" si="28"/>
        <v>0</v>
      </c>
      <c r="PC9" s="189">
        <f t="shared" ref="PC9:PO9" si="29">IFERROR((1-OC9/NP9),0)</f>
        <v>0</v>
      </c>
      <c r="PD9" s="188">
        <f t="shared" si="29"/>
        <v>0</v>
      </c>
      <c r="PE9" s="188">
        <f t="shared" si="29"/>
        <v>0</v>
      </c>
      <c r="PF9" s="188">
        <f t="shared" si="29"/>
        <v>0</v>
      </c>
      <c r="PG9" s="188">
        <f t="shared" si="29"/>
        <v>0</v>
      </c>
      <c r="PH9" s="188">
        <f t="shared" si="29"/>
        <v>0</v>
      </c>
      <c r="PI9" s="188">
        <f t="shared" si="29"/>
        <v>0</v>
      </c>
      <c r="PJ9" s="188">
        <f t="shared" si="29"/>
        <v>0</v>
      </c>
      <c r="PK9" s="188">
        <f t="shared" si="29"/>
        <v>0</v>
      </c>
      <c r="PL9" s="188">
        <f t="shared" si="29"/>
        <v>0</v>
      </c>
      <c r="PM9" s="188">
        <f t="shared" si="29"/>
        <v>0</v>
      </c>
      <c r="PN9" s="188">
        <f t="shared" si="29"/>
        <v>0</v>
      </c>
      <c r="PO9" s="187">
        <f t="shared" si="29"/>
        <v>0</v>
      </c>
      <c r="PP9" s="117">
        <f t="shared" ref="PP9:QB9" si="30">IFERROR((NC9/MP9),0)</f>
        <v>0</v>
      </c>
      <c r="PQ9" s="116">
        <f t="shared" si="30"/>
        <v>0</v>
      </c>
      <c r="PR9" s="116">
        <f t="shared" si="30"/>
        <v>0</v>
      </c>
      <c r="PS9" s="116">
        <f t="shared" si="30"/>
        <v>0</v>
      </c>
      <c r="PT9" s="116">
        <f t="shared" si="30"/>
        <v>0</v>
      </c>
      <c r="PU9" s="116">
        <f t="shared" si="30"/>
        <v>0</v>
      </c>
      <c r="PV9" s="116">
        <f t="shared" si="30"/>
        <v>0</v>
      </c>
      <c r="PW9" s="116">
        <f t="shared" si="30"/>
        <v>0</v>
      </c>
      <c r="PX9" s="116">
        <f t="shared" si="30"/>
        <v>0</v>
      </c>
      <c r="PY9" s="116">
        <f t="shared" si="30"/>
        <v>0</v>
      </c>
      <c r="PZ9" s="116">
        <f t="shared" si="30"/>
        <v>0</v>
      </c>
      <c r="QA9" s="116">
        <f t="shared" si="30"/>
        <v>0</v>
      </c>
      <c r="QB9" s="116">
        <f t="shared" si="30"/>
        <v>0</v>
      </c>
      <c r="QC9" s="117">
        <f t="shared" ref="QC9:QO9" si="31">IFERROR((NP9/MP9),0)</f>
        <v>0</v>
      </c>
      <c r="QD9" s="116">
        <f t="shared" si="31"/>
        <v>0</v>
      </c>
      <c r="QE9" s="116">
        <f t="shared" si="31"/>
        <v>0</v>
      </c>
      <c r="QF9" s="116">
        <f t="shared" si="31"/>
        <v>0</v>
      </c>
      <c r="QG9" s="116">
        <f t="shared" si="31"/>
        <v>0</v>
      </c>
      <c r="QH9" s="116">
        <f t="shared" si="31"/>
        <v>0</v>
      </c>
      <c r="QI9" s="116">
        <f t="shared" si="31"/>
        <v>0</v>
      </c>
      <c r="QJ9" s="116">
        <f t="shared" si="31"/>
        <v>0</v>
      </c>
      <c r="QK9" s="116">
        <f t="shared" si="31"/>
        <v>0</v>
      </c>
      <c r="QL9" s="116">
        <f t="shared" si="31"/>
        <v>0</v>
      </c>
      <c r="QM9" s="116">
        <f t="shared" si="31"/>
        <v>0</v>
      </c>
      <c r="QN9" s="116">
        <f t="shared" si="31"/>
        <v>0</v>
      </c>
      <c r="QO9" s="130">
        <f t="shared" si="31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852-6883-4F06-9EC8-85019E51A21A}">
  <sheetPr codeName="Лист23"/>
  <dimension ref="A1:QR2"/>
  <sheetViews>
    <sheetView tabSelected="1" zoomScale="60" zoomScaleNormal="60" workbookViewId="0"/>
  </sheetViews>
  <sheetFormatPr defaultColWidth="17.5703125" defaultRowHeight="15.75" outlineLevelCol="1" x14ac:dyDescent="0.25"/>
  <cols>
    <col min="1" max="1" width="12.5703125" style="137" customWidth="1"/>
    <col min="2" max="2" width="16.42578125" style="138" customWidth="1"/>
    <col min="3" max="3" width="15.85546875" style="138" customWidth="1"/>
    <col min="4" max="4" width="17.85546875" style="138" customWidth="1"/>
    <col min="5" max="5" width="25.85546875" style="198" customWidth="1"/>
    <col min="6" max="6" width="44.5703125" style="198" customWidth="1"/>
    <col min="7" max="7" width="18.7109375" style="138" customWidth="1"/>
    <col min="8" max="8" width="24" style="137" customWidth="1"/>
    <col min="9" max="9" width="18.42578125" style="138" customWidth="1" outlineLevel="1"/>
    <col min="10" max="10" width="25.140625" style="139" customWidth="1" outlineLevel="1"/>
    <col min="11" max="11" width="14" style="138" customWidth="1" outlineLevel="1"/>
    <col min="12" max="12" width="18.28515625" style="137" bestFit="1" customWidth="1"/>
    <col min="13" max="13" width="37.5703125" style="137" customWidth="1" outlineLevel="1"/>
    <col min="14" max="14" width="36.5703125" style="139" customWidth="1"/>
    <col min="15" max="15" width="24.7109375" style="137" customWidth="1" outlineLevel="1"/>
    <col min="16" max="17" width="20.28515625" style="138" customWidth="1" outlineLevel="1"/>
    <col min="18" max="18" width="58.85546875" style="138" customWidth="1" outlineLevel="1"/>
    <col min="19" max="21" width="25.5703125" style="138" customWidth="1" outlineLevel="1"/>
    <col min="22" max="23" width="27.5703125" style="82" bestFit="1" customWidth="1"/>
    <col min="24" max="24" width="30.5703125" style="87" bestFit="1" customWidth="1"/>
    <col min="25" max="25" width="32.28515625" style="82" bestFit="1" customWidth="1"/>
    <col min="26" max="26" width="17.7109375" style="83" bestFit="1" customWidth="1"/>
    <col min="27" max="28" width="35.5703125" style="82" bestFit="1" customWidth="1"/>
    <col min="29" max="29" width="17.7109375" style="82" bestFit="1" customWidth="1"/>
    <col min="30" max="30" width="24" style="83" bestFit="1" customWidth="1"/>
    <col min="31" max="31" width="32.5703125" style="140" bestFit="1" customWidth="1" collapsed="1"/>
    <col min="32" max="32" width="32.5703125" style="141" bestFit="1" customWidth="1" collapsed="1"/>
    <col min="33" max="34" width="34" style="82" bestFit="1" customWidth="1" collapsed="1"/>
    <col min="35" max="35" width="17.7109375" style="82" bestFit="1" customWidth="1"/>
    <col min="36" max="36" width="29.7109375" style="87" bestFit="1" customWidth="1"/>
    <col min="37" max="37" width="30.140625" style="82" bestFit="1" customWidth="1"/>
    <col min="38" max="38" width="17.7109375" style="83" bestFit="1" customWidth="1"/>
    <col min="39" max="39" width="30.140625" style="140" bestFit="1" customWidth="1"/>
    <col min="40" max="40" width="41.28515625" style="140" bestFit="1" customWidth="1"/>
    <col min="41" max="41" width="17.7109375" style="83" bestFit="1" customWidth="1"/>
    <col min="42" max="42" width="42.28515625" style="84" customWidth="1" collapsed="1"/>
    <col min="43" max="53" width="23.140625" style="85" customWidth="1" outlineLevel="1" collapsed="1"/>
    <col min="54" max="54" width="23.140625" style="86" customWidth="1" outlineLevel="1" collapsed="1"/>
    <col min="55" max="55" width="23.140625" style="142" customWidth="1"/>
    <col min="56" max="66" width="23.140625" style="139" customWidth="1" outlineLevel="1" collapsed="1"/>
    <col min="67" max="67" width="23.140625" style="143" customWidth="1" outlineLevel="1" collapsed="1"/>
    <col min="68" max="68" width="23.140625" style="142" customWidth="1"/>
    <col min="69" max="79" width="23.140625" style="139" customWidth="1" outlineLevel="1" collapsed="1"/>
    <col min="80" max="80" width="23.140625" style="143" customWidth="1" outlineLevel="1" collapsed="1"/>
    <col min="81" max="81" width="23.140625" style="142" customWidth="1"/>
    <col min="82" max="92" width="23.140625" style="139" customWidth="1" outlineLevel="1" collapsed="1"/>
    <col min="93" max="93" width="23.140625" style="143" customWidth="1" outlineLevel="1" collapsed="1"/>
    <col min="94" max="94" width="23.140625" style="142" customWidth="1"/>
    <col min="95" max="105" width="23.140625" style="139" customWidth="1" outlineLevel="1" collapsed="1"/>
    <col min="106" max="106" width="23.140625" style="143" customWidth="1" outlineLevel="1" collapsed="1"/>
    <col min="107" max="107" width="23.140625" style="142" customWidth="1"/>
    <col min="108" max="118" width="23.140625" style="139" customWidth="1" outlineLevel="1" collapsed="1"/>
    <col min="119" max="119" width="23.140625" style="143" customWidth="1" outlineLevel="1" collapsed="1"/>
    <col min="120" max="132" width="23.140625" style="139" customWidth="1" outlineLevel="1" collapsed="1"/>
    <col min="133" max="133" width="23.140625" style="142" customWidth="1"/>
    <col min="134" max="144" width="23.140625" style="139" customWidth="1" outlineLevel="1" collapsed="1"/>
    <col min="145" max="145" width="23.140625" style="143" customWidth="1" outlineLevel="1" collapsed="1"/>
    <col min="146" max="146" width="23.140625" style="84" customWidth="1"/>
    <col min="147" max="158" width="23.140625" style="85" customWidth="1" outlineLevel="1" collapsed="1"/>
    <col min="159" max="170" width="23.140625" style="139" customWidth="1" outlineLevel="1"/>
    <col min="171" max="171" width="23.140625" style="143" customWidth="1" outlineLevel="1"/>
    <col min="172" max="172" width="23.140625" style="142" customWidth="1"/>
    <col min="173" max="183" width="23.140625" style="139" customWidth="1"/>
    <col min="184" max="184" width="23.140625" style="143" customWidth="1"/>
    <col min="185" max="185" width="23.140625" style="139" customWidth="1"/>
    <col min="186" max="196" width="23.140625" style="139" customWidth="1" outlineLevel="1" collapsed="1"/>
    <col min="197" max="197" width="23.140625" style="143" customWidth="1" outlineLevel="1" collapsed="1"/>
    <col min="198" max="198" width="23.140625" style="142" customWidth="1"/>
    <col min="199" max="209" width="23.140625" style="139" customWidth="1" outlineLevel="1" collapsed="1"/>
    <col min="210" max="210" width="23.140625" style="143" customWidth="1" outlineLevel="1" collapsed="1"/>
    <col min="211" max="211" width="23.140625" style="142" customWidth="1"/>
    <col min="212" max="222" width="23.140625" style="139" customWidth="1" outlineLevel="1" collapsed="1"/>
    <col min="223" max="223" width="23.140625" style="143" customWidth="1" outlineLevel="1" collapsed="1"/>
    <col min="224" max="236" width="23.140625" style="139" customWidth="1" outlineLevel="1" collapsed="1"/>
    <col min="237" max="237" width="23.140625" style="142" customWidth="1"/>
    <col min="238" max="248" width="23.140625" style="139" customWidth="1" outlineLevel="1" collapsed="1"/>
    <col min="249" max="249" width="23.140625" style="143" customWidth="1" outlineLevel="1" collapsed="1"/>
    <col min="250" max="250" width="38.42578125" style="142" customWidth="1"/>
    <col min="251" max="261" width="23.140625" style="139" customWidth="1" outlineLevel="1" collapsed="1"/>
    <col min="262" max="262" width="23.140625" style="143" customWidth="1" outlineLevel="1" collapsed="1"/>
    <col min="263" max="263" width="23.140625" style="150" customWidth="1"/>
    <col min="264" max="274" width="23.140625" style="137" customWidth="1" outlineLevel="1"/>
    <col min="275" max="275" width="23.140625" style="151" customWidth="1" outlineLevel="1"/>
    <col min="276" max="276" width="23.140625" style="150" customWidth="1"/>
    <col min="277" max="287" width="23.140625" style="137" customWidth="1" outlineLevel="1"/>
    <col min="288" max="288" width="23.140625" style="151" customWidth="1" outlineLevel="1"/>
    <col min="289" max="289" width="23.140625" style="150" customWidth="1"/>
    <col min="290" max="300" width="23.140625" style="137" customWidth="1" outlineLevel="1"/>
    <col min="301" max="301" width="23.140625" style="151" customWidth="1" outlineLevel="1"/>
    <col min="302" max="302" width="23.140625" style="150" customWidth="1"/>
    <col min="303" max="313" width="23.140625" style="137" customWidth="1" outlineLevel="1"/>
    <col min="314" max="314" width="23.140625" style="151" customWidth="1" outlineLevel="1"/>
    <col min="315" max="315" width="23.140625" style="150" customWidth="1"/>
    <col min="316" max="326" width="23.140625" style="137" customWidth="1" outlineLevel="1"/>
    <col min="327" max="327" width="23.140625" style="151" customWidth="1" outlineLevel="1"/>
    <col min="328" max="328" width="23.140625" style="150" customWidth="1"/>
    <col min="329" max="339" width="23.140625" style="137" customWidth="1" outlineLevel="1"/>
    <col min="340" max="340" width="23.140625" style="151" customWidth="1" outlineLevel="1"/>
    <col min="341" max="341" width="23.140625" style="150" customWidth="1"/>
    <col min="342" max="352" width="23.140625" style="137" customWidth="1" outlineLevel="1"/>
    <col min="353" max="353" width="23.140625" style="151" customWidth="1" outlineLevel="1"/>
    <col min="354" max="354" width="39.5703125" style="150" customWidth="1"/>
    <col min="355" max="355" width="23.140625" style="196" customWidth="1"/>
    <col min="356" max="356" width="23.140625" style="197" customWidth="1"/>
    <col min="357" max="357" width="41.5703125" style="150" customWidth="1"/>
    <col min="358" max="368" width="23.140625" style="137" customWidth="1" outlineLevel="1"/>
    <col min="369" max="369" width="23.140625" style="151" customWidth="1" outlineLevel="1"/>
    <col min="370" max="370" width="23.140625" style="137" customWidth="1"/>
    <col min="371" max="382" width="23.140625" style="137" customWidth="1" outlineLevel="1"/>
    <col min="383" max="383" width="23.140625" style="150" customWidth="1"/>
    <col min="384" max="394" width="23.140625" style="137" customWidth="1" outlineLevel="1"/>
    <col min="395" max="395" width="23.140625" style="151" customWidth="1" outlineLevel="1"/>
    <col min="396" max="396" width="23.140625" style="150" customWidth="1"/>
    <col min="397" max="407" width="23.140625" style="137" customWidth="1" outlineLevel="1"/>
    <col min="408" max="408" width="23.140625" style="151" customWidth="1" outlineLevel="1"/>
    <col min="409" max="409" width="23.140625" style="150" customWidth="1"/>
    <col min="410" max="420" width="23.140625" style="137" customWidth="1" outlineLevel="1"/>
    <col min="421" max="421" width="23.140625" style="151" customWidth="1" outlineLevel="1"/>
    <col min="422" max="422" width="23.140625" style="150" customWidth="1"/>
    <col min="423" max="433" width="23.140625" style="137" customWidth="1" outlineLevel="1"/>
    <col min="434" max="434" width="23.140625" style="151" customWidth="1" outlineLevel="1"/>
    <col min="435" max="435" width="23.140625" style="150" customWidth="1"/>
    <col min="436" max="446" width="23.140625" style="137" customWidth="1" outlineLevel="1"/>
    <col min="447" max="447" width="23.140625" style="151" customWidth="1" outlineLevel="1"/>
    <col min="448" max="448" width="23.140625" style="150" customWidth="1"/>
    <col min="449" max="459" width="23.140625" style="137" customWidth="1" outlineLevel="1"/>
    <col min="460" max="460" width="23.140625" style="151" customWidth="1" outlineLevel="1"/>
    <col min="461" max="16384" width="17.5703125" style="137"/>
  </cols>
  <sheetData>
    <row r="1" spans="1:460" s="206" customFormat="1" ht="68.25" customHeight="1" x14ac:dyDescent="0.25">
      <c r="A1" s="206" t="s">
        <v>0</v>
      </c>
      <c r="B1" s="206" t="s">
        <v>39</v>
      </c>
      <c r="C1" s="206" t="s">
        <v>48</v>
      </c>
      <c r="D1" s="206" t="s">
        <v>40</v>
      </c>
      <c r="E1" s="207" t="s">
        <v>1549</v>
      </c>
      <c r="F1" s="207" t="s">
        <v>1342</v>
      </c>
      <c r="G1" s="207" t="s">
        <v>1345</v>
      </c>
      <c r="H1" s="207" t="s">
        <v>8006</v>
      </c>
      <c r="I1" s="207" t="s">
        <v>1348</v>
      </c>
      <c r="J1" s="207" t="s">
        <v>13</v>
      </c>
      <c r="K1" s="207" t="s">
        <v>15</v>
      </c>
      <c r="L1" s="207" t="s">
        <v>8007</v>
      </c>
      <c r="M1" s="207" t="s">
        <v>8008</v>
      </c>
      <c r="N1" s="207" t="s">
        <v>8009</v>
      </c>
      <c r="O1" s="207" t="s">
        <v>165</v>
      </c>
      <c r="P1" s="207" t="s">
        <v>166</v>
      </c>
      <c r="Q1" s="207" t="s">
        <v>183</v>
      </c>
      <c r="R1" s="207" t="s">
        <v>8010</v>
      </c>
      <c r="S1" s="207" t="s">
        <v>8011</v>
      </c>
      <c r="T1" s="207" t="s">
        <v>8012</v>
      </c>
      <c r="U1" s="207" t="s">
        <v>8013</v>
      </c>
      <c r="V1" s="132" t="s">
        <v>8014</v>
      </c>
      <c r="W1" s="132" t="s">
        <v>8015</v>
      </c>
      <c r="X1" s="134" t="s">
        <v>1195</v>
      </c>
      <c r="Y1" s="132" t="s">
        <v>8016</v>
      </c>
      <c r="Z1" s="199" t="s">
        <v>8354</v>
      </c>
      <c r="AA1" s="132" t="s">
        <v>8017</v>
      </c>
      <c r="AB1" s="132" t="s">
        <v>8018</v>
      </c>
      <c r="AC1" s="132" t="s">
        <v>8142</v>
      </c>
      <c r="AD1" s="199" t="s">
        <v>8019</v>
      </c>
      <c r="AE1" s="200" t="s">
        <v>8020</v>
      </c>
      <c r="AF1" s="199" t="s">
        <v>8021</v>
      </c>
      <c r="AG1" s="132" t="s">
        <v>8022</v>
      </c>
      <c r="AH1" s="132" t="s">
        <v>8023</v>
      </c>
      <c r="AI1" s="200" t="s">
        <v>8143</v>
      </c>
      <c r="AJ1" s="201" t="s">
        <v>8024</v>
      </c>
      <c r="AK1" s="200" t="s">
        <v>8025</v>
      </c>
      <c r="AL1" s="199" t="s">
        <v>8144</v>
      </c>
      <c r="AM1" s="132" t="s">
        <v>8026</v>
      </c>
      <c r="AN1" s="132" t="s">
        <v>8027</v>
      </c>
      <c r="AO1" s="199" t="s">
        <v>8145</v>
      </c>
      <c r="AP1" s="134" t="s">
        <v>1213</v>
      </c>
      <c r="AQ1" s="132" t="s">
        <v>1214</v>
      </c>
      <c r="AR1" s="132" t="s">
        <v>1215</v>
      </c>
      <c r="AS1" s="132" t="s">
        <v>1216</v>
      </c>
      <c r="AT1" s="132" t="s">
        <v>1217</v>
      </c>
      <c r="AU1" s="132" t="s">
        <v>1218</v>
      </c>
      <c r="AV1" s="132" t="s">
        <v>1219</v>
      </c>
      <c r="AW1" s="132" t="s">
        <v>1220</v>
      </c>
      <c r="AX1" s="132" t="s">
        <v>1221</v>
      </c>
      <c r="AY1" s="132" t="s">
        <v>1332</v>
      </c>
      <c r="AZ1" s="132" t="s">
        <v>1222</v>
      </c>
      <c r="BA1" s="132" t="s">
        <v>1223</v>
      </c>
      <c r="BB1" s="135" t="s">
        <v>1224</v>
      </c>
      <c r="BC1" s="208" t="s">
        <v>1225</v>
      </c>
      <c r="BD1" s="207" t="s">
        <v>1226</v>
      </c>
      <c r="BE1" s="207" t="s">
        <v>1227</v>
      </c>
      <c r="BF1" s="207" t="s">
        <v>1228</v>
      </c>
      <c r="BG1" s="207" t="s">
        <v>1229</v>
      </c>
      <c r="BH1" s="207" t="s">
        <v>1230</v>
      </c>
      <c r="BI1" s="207" t="s">
        <v>1231</v>
      </c>
      <c r="BJ1" s="207" t="s">
        <v>1232</v>
      </c>
      <c r="BK1" s="207" t="s">
        <v>1233</v>
      </c>
      <c r="BL1" s="207" t="s">
        <v>1333</v>
      </c>
      <c r="BM1" s="207" t="s">
        <v>1234</v>
      </c>
      <c r="BN1" s="207" t="s">
        <v>1235</v>
      </c>
      <c r="BO1" s="209" t="s">
        <v>8028</v>
      </c>
      <c r="BP1" s="208" t="s">
        <v>1236</v>
      </c>
      <c r="BQ1" s="207" t="s">
        <v>1237</v>
      </c>
      <c r="BR1" s="207" t="s">
        <v>1238</v>
      </c>
      <c r="BS1" s="207" t="s">
        <v>1239</v>
      </c>
      <c r="BT1" s="207" t="s">
        <v>1240</v>
      </c>
      <c r="BU1" s="207" t="s">
        <v>1241</v>
      </c>
      <c r="BV1" s="207" t="s">
        <v>1242</v>
      </c>
      <c r="BW1" s="207" t="s">
        <v>1243</v>
      </c>
      <c r="BX1" s="207" t="s">
        <v>1244</v>
      </c>
      <c r="BY1" s="207" t="s">
        <v>1334</v>
      </c>
      <c r="BZ1" s="207" t="s">
        <v>1245</v>
      </c>
      <c r="CA1" s="207" t="s">
        <v>1246</v>
      </c>
      <c r="CB1" s="209" t="s">
        <v>1317</v>
      </c>
      <c r="CC1" s="208" t="s">
        <v>1247</v>
      </c>
      <c r="CD1" s="207" t="s">
        <v>1248</v>
      </c>
      <c r="CE1" s="207" t="s">
        <v>1249</v>
      </c>
      <c r="CF1" s="207" t="s">
        <v>1250</v>
      </c>
      <c r="CG1" s="207" t="s">
        <v>1251</v>
      </c>
      <c r="CH1" s="207" t="s">
        <v>1252</v>
      </c>
      <c r="CI1" s="207" t="s">
        <v>1253</v>
      </c>
      <c r="CJ1" s="207" t="s">
        <v>1254</v>
      </c>
      <c r="CK1" s="207" t="s">
        <v>1255</v>
      </c>
      <c r="CL1" s="207" t="s">
        <v>1335</v>
      </c>
      <c r="CM1" s="207" t="s">
        <v>1256</v>
      </c>
      <c r="CN1" s="207" t="s">
        <v>1257</v>
      </c>
      <c r="CO1" s="209" t="s">
        <v>1318</v>
      </c>
      <c r="CP1" s="208" t="s">
        <v>1258</v>
      </c>
      <c r="CQ1" s="207" t="s">
        <v>1259</v>
      </c>
      <c r="CR1" s="207" t="s">
        <v>1260</v>
      </c>
      <c r="CS1" s="207" t="s">
        <v>1261</v>
      </c>
      <c r="CT1" s="207" t="s">
        <v>1262</v>
      </c>
      <c r="CU1" s="207" t="s">
        <v>1263</v>
      </c>
      <c r="CV1" s="207" t="s">
        <v>1264</v>
      </c>
      <c r="CW1" s="207" t="s">
        <v>1265</v>
      </c>
      <c r="CX1" s="207" t="s">
        <v>1266</v>
      </c>
      <c r="CY1" s="207" t="s">
        <v>1336</v>
      </c>
      <c r="CZ1" s="207" t="s">
        <v>1267</v>
      </c>
      <c r="DA1" s="207" t="s">
        <v>1268</v>
      </c>
      <c r="DB1" s="209" t="s">
        <v>1319</v>
      </c>
      <c r="DC1" s="208" t="s">
        <v>1269</v>
      </c>
      <c r="DD1" s="207" t="s">
        <v>1270</v>
      </c>
      <c r="DE1" s="207" t="s">
        <v>1271</v>
      </c>
      <c r="DF1" s="207" t="s">
        <v>1272</v>
      </c>
      <c r="DG1" s="207" t="s">
        <v>1273</v>
      </c>
      <c r="DH1" s="207" t="s">
        <v>1274</v>
      </c>
      <c r="DI1" s="207" t="s">
        <v>1275</v>
      </c>
      <c r="DJ1" s="207" t="s">
        <v>1276</v>
      </c>
      <c r="DK1" s="207" t="s">
        <v>1277</v>
      </c>
      <c r="DL1" s="207" t="s">
        <v>1337</v>
      </c>
      <c r="DM1" s="207" t="s">
        <v>1278</v>
      </c>
      <c r="DN1" s="207" t="s">
        <v>1279</v>
      </c>
      <c r="DO1" s="209" t="s">
        <v>1320</v>
      </c>
      <c r="DP1" s="207" t="s">
        <v>1280</v>
      </c>
      <c r="DQ1" s="207" t="s">
        <v>1281</v>
      </c>
      <c r="DR1" s="207" t="s">
        <v>1282</v>
      </c>
      <c r="DS1" s="207" t="s">
        <v>1283</v>
      </c>
      <c r="DT1" s="207" t="s">
        <v>1284</v>
      </c>
      <c r="DU1" s="207" t="s">
        <v>1285</v>
      </c>
      <c r="DV1" s="207" t="s">
        <v>1286</v>
      </c>
      <c r="DW1" s="207" t="s">
        <v>1287</v>
      </c>
      <c r="DX1" s="207" t="s">
        <v>1288</v>
      </c>
      <c r="DY1" s="207" t="s">
        <v>1338</v>
      </c>
      <c r="DZ1" s="207" t="s">
        <v>1289</v>
      </c>
      <c r="EA1" s="207" t="s">
        <v>1290</v>
      </c>
      <c r="EB1" s="207" t="s">
        <v>1315</v>
      </c>
      <c r="EC1" s="208" t="s">
        <v>1291</v>
      </c>
      <c r="ED1" s="207" t="s">
        <v>1292</v>
      </c>
      <c r="EE1" s="207" t="s">
        <v>1293</v>
      </c>
      <c r="EF1" s="207" t="s">
        <v>1294</v>
      </c>
      <c r="EG1" s="207" t="s">
        <v>1295</v>
      </c>
      <c r="EH1" s="207" t="s">
        <v>1296</v>
      </c>
      <c r="EI1" s="207" t="s">
        <v>1297</v>
      </c>
      <c r="EJ1" s="207" t="s">
        <v>1298</v>
      </c>
      <c r="EK1" s="207" t="s">
        <v>1299</v>
      </c>
      <c r="EL1" s="207" t="s">
        <v>1339</v>
      </c>
      <c r="EM1" s="207" t="s">
        <v>1300</v>
      </c>
      <c r="EN1" s="207" t="s">
        <v>1301</v>
      </c>
      <c r="EO1" s="209" t="s">
        <v>1314</v>
      </c>
      <c r="EP1" s="134" t="s">
        <v>8240</v>
      </c>
      <c r="EQ1" s="132" t="s">
        <v>8239</v>
      </c>
      <c r="ER1" s="132" t="s">
        <v>8238</v>
      </c>
      <c r="ES1" s="132" t="s">
        <v>8237</v>
      </c>
      <c r="ET1" s="132" t="s">
        <v>8236</v>
      </c>
      <c r="EU1" s="132" t="s">
        <v>8235</v>
      </c>
      <c r="EV1" s="132" t="s">
        <v>8234</v>
      </c>
      <c r="EW1" s="132" t="s">
        <v>8233</v>
      </c>
      <c r="EX1" s="132" t="s">
        <v>8232</v>
      </c>
      <c r="EY1" s="132" t="s">
        <v>8241</v>
      </c>
      <c r="EZ1" s="132" t="s">
        <v>8231</v>
      </c>
      <c r="FA1" s="132" t="s">
        <v>8230</v>
      </c>
      <c r="FB1" s="132" t="s">
        <v>8229</v>
      </c>
      <c r="FC1" s="207" t="s">
        <v>8228</v>
      </c>
      <c r="FD1" s="207" t="s">
        <v>8227</v>
      </c>
      <c r="FE1" s="207" t="s">
        <v>8226</v>
      </c>
      <c r="FF1" s="207" t="s">
        <v>8225</v>
      </c>
      <c r="FG1" s="207" t="s">
        <v>8224</v>
      </c>
      <c r="FH1" s="207" t="s">
        <v>8223</v>
      </c>
      <c r="FI1" s="207" t="s">
        <v>8222</v>
      </c>
      <c r="FJ1" s="207" t="s">
        <v>8221</v>
      </c>
      <c r="FK1" s="207" t="s">
        <v>8220</v>
      </c>
      <c r="FL1" s="207" t="s">
        <v>8242</v>
      </c>
      <c r="FM1" s="207" t="s">
        <v>8219</v>
      </c>
      <c r="FN1" s="207" t="s">
        <v>8218</v>
      </c>
      <c r="FO1" s="209" t="s">
        <v>1316</v>
      </c>
      <c r="FP1" s="208" t="s">
        <v>8217</v>
      </c>
      <c r="FQ1" s="207" t="s">
        <v>8216</v>
      </c>
      <c r="FR1" s="207" t="s">
        <v>8215</v>
      </c>
      <c r="FS1" s="207" t="s">
        <v>8214</v>
      </c>
      <c r="FT1" s="207" t="s">
        <v>8213</v>
      </c>
      <c r="FU1" s="207" t="s">
        <v>8212</v>
      </c>
      <c r="FV1" s="207" t="s">
        <v>8211</v>
      </c>
      <c r="FW1" s="207" t="s">
        <v>8210</v>
      </c>
      <c r="FX1" s="207" t="s">
        <v>8209</v>
      </c>
      <c r="FY1" s="207" t="s">
        <v>8243</v>
      </c>
      <c r="FZ1" s="207" t="s">
        <v>8208</v>
      </c>
      <c r="GA1" s="207" t="s">
        <v>8207</v>
      </c>
      <c r="GB1" s="209" t="s">
        <v>8206</v>
      </c>
      <c r="GC1" s="207" t="s">
        <v>8146</v>
      </c>
      <c r="GD1" s="207" t="s">
        <v>8205</v>
      </c>
      <c r="GE1" s="207" t="s">
        <v>8204</v>
      </c>
      <c r="GF1" s="207" t="s">
        <v>8203</v>
      </c>
      <c r="GG1" s="207" t="s">
        <v>8202</v>
      </c>
      <c r="GH1" s="207" t="s">
        <v>8201</v>
      </c>
      <c r="GI1" s="207" t="s">
        <v>8200</v>
      </c>
      <c r="GJ1" s="207" t="s">
        <v>8199</v>
      </c>
      <c r="GK1" s="207" t="s">
        <v>8198</v>
      </c>
      <c r="GL1" s="207" t="s">
        <v>8244</v>
      </c>
      <c r="GM1" s="207" t="s">
        <v>8197</v>
      </c>
      <c r="GN1" s="207" t="s">
        <v>8196</v>
      </c>
      <c r="GO1" s="209" t="s">
        <v>8195</v>
      </c>
      <c r="GP1" s="208" t="s">
        <v>8194</v>
      </c>
      <c r="GQ1" s="207" t="s">
        <v>8193</v>
      </c>
      <c r="GR1" s="207" t="s">
        <v>8192</v>
      </c>
      <c r="GS1" s="207" t="s">
        <v>8191</v>
      </c>
      <c r="GT1" s="207" t="s">
        <v>8190</v>
      </c>
      <c r="GU1" s="207" t="s">
        <v>8189</v>
      </c>
      <c r="GV1" s="207" t="s">
        <v>8188</v>
      </c>
      <c r="GW1" s="207" t="s">
        <v>8187</v>
      </c>
      <c r="GX1" s="207" t="s">
        <v>8186</v>
      </c>
      <c r="GY1" s="207" t="s">
        <v>8245</v>
      </c>
      <c r="GZ1" s="207" t="s">
        <v>8185</v>
      </c>
      <c r="HA1" s="207" t="s">
        <v>8184</v>
      </c>
      <c r="HB1" s="209" t="s">
        <v>8183</v>
      </c>
      <c r="HC1" s="208" t="s">
        <v>8182</v>
      </c>
      <c r="HD1" s="207" t="s">
        <v>8181</v>
      </c>
      <c r="HE1" s="207" t="s">
        <v>8180</v>
      </c>
      <c r="HF1" s="207" t="s">
        <v>8179</v>
      </c>
      <c r="HG1" s="207" t="s">
        <v>8178</v>
      </c>
      <c r="HH1" s="207" t="s">
        <v>8177</v>
      </c>
      <c r="HI1" s="207" t="s">
        <v>8176</v>
      </c>
      <c r="HJ1" s="207" t="s">
        <v>8175</v>
      </c>
      <c r="HK1" s="207" t="s">
        <v>8174</v>
      </c>
      <c r="HL1" s="207" t="s">
        <v>8246</v>
      </c>
      <c r="HM1" s="207" t="s">
        <v>8173</v>
      </c>
      <c r="HN1" s="207" t="s">
        <v>8172</v>
      </c>
      <c r="HO1" s="209" t="s">
        <v>8171</v>
      </c>
      <c r="HP1" s="207" t="s">
        <v>8170</v>
      </c>
      <c r="HQ1" s="207" t="s">
        <v>8169</v>
      </c>
      <c r="HR1" s="207" t="s">
        <v>8168</v>
      </c>
      <c r="HS1" s="207" t="s">
        <v>8167</v>
      </c>
      <c r="HT1" s="207" t="s">
        <v>8166</v>
      </c>
      <c r="HU1" s="207" t="s">
        <v>8165</v>
      </c>
      <c r="HV1" s="207" t="s">
        <v>8164</v>
      </c>
      <c r="HW1" s="207" t="s">
        <v>8163</v>
      </c>
      <c r="HX1" s="207" t="s">
        <v>8162</v>
      </c>
      <c r="HY1" s="207" t="s">
        <v>8247</v>
      </c>
      <c r="HZ1" s="207" t="s">
        <v>8161</v>
      </c>
      <c r="IA1" s="207" t="s">
        <v>8160</v>
      </c>
      <c r="IB1" s="207" t="s">
        <v>8159</v>
      </c>
      <c r="IC1" s="208" t="s">
        <v>8158</v>
      </c>
      <c r="ID1" s="207" t="s">
        <v>8157</v>
      </c>
      <c r="IE1" s="207" t="s">
        <v>8156</v>
      </c>
      <c r="IF1" s="207" t="s">
        <v>8155</v>
      </c>
      <c r="IG1" s="207" t="s">
        <v>8154</v>
      </c>
      <c r="IH1" s="207" t="s">
        <v>8153</v>
      </c>
      <c r="II1" s="207" t="s">
        <v>8152</v>
      </c>
      <c r="IJ1" s="207" t="s">
        <v>8151</v>
      </c>
      <c r="IK1" s="207" t="s">
        <v>8150</v>
      </c>
      <c r="IL1" s="207" t="s">
        <v>8248</v>
      </c>
      <c r="IM1" s="207" t="s">
        <v>8149</v>
      </c>
      <c r="IN1" s="207" t="s">
        <v>8148</v>
      </c>
      <c r="IO1" s="209" t="s">
        <v>8147</v>
      </c>
      <c r="IP1" s="208" t="s">
        <v>1302</v>
      </c>
      <c r="IQ1" s="207" t="s">
        <v>1303</v>
      </c>
      <c r="IR1" s="207" t="s">
        <v>1304</v>
      </c>
      <c r="IS1" s="207" t="s">
        <v>1305</v>
      </c>
      <c r="IT1" s="207" t="s">
        <v>1306</v>
      </c>
      <c r="IU1" s="207" t="s">
        <v>1307</v>
      </c>
      <c r="IV1" s="207" t="s">
        <v>1308</v>
      </c>
      <c r="IW1" s="207" t="s">
        <v>1309</v>
      </c>
      <c r="IX1" s="207" t="s">
        <v>1310</v>
      </c>
      <c r="IY1" s="207" t="s">
        <v>1340</v>
      </c>
      <c r="IZ1" s="207" t="s">
        <v>1311</v>
      </c>
      <c r="JA1" s="207" t="s">
        <v>1312</v>
      </c>
      <c r="JB1" s="209" t="s">
        <v>1313</v>
      </c>
      <c r="JC1" s="208" t="s">
        <v>8303</v>
      </c>
      <c r="JD1" s="207" t="s">
        <v>8304</v>
      </c>
      <c r="JE1" s="207" t="s">
        <v>8305</v>
      </c>
      <c r="JF1" s="207" t="s">
        <v>8306</v>
      </c>
      <c r="JG1" s="207" t="s">
        <v>8307</v>
      </c>
      <c r="JH1" s="207" t="s">
        <v>8308</v>
      </c>
      <c r="JI1" s="207" t="s">
        <v>8309</v>
      </c>
      <c r="JJ1" s="207" t="s">
        <v>8310</v>
      </c>
      <c r="JK1" s="207" t="s">
        <v>8311</v>
      </c>
      <c r="JL1" s="207" t="s">
        <v>8312</v>
      </c>
      <c r="JM1" s="207" t="s">
        <v>8313</v>
      </c>
      <c r="JN1" s="207" t="s">
        <v>8314</v>
      </c>
      <c r="JO1" s="209" t="s">
        <v>8315</v>
      </c>
      <c r="JP1" s="208" t="s">
        <v>8316</v>
      </c>
      <c r="JQ1" s="207" t="s">
        <v>8317</v>
      </c>
      <c r="JR1" s="207" t="s">
        <v>8318</v>
      </c>
      <c r="JS1" s="207" t="s">
        <v>8319</v>
      </c>
      <c r="JT1" s="207" t="s">
        <v>8320</v>
      </c>
      <c r="JU1" s="207" t="s">
        <v>8321</v>
      </c>
      <c r="JV1" s="207" t="s">
        <v>8322</v>
      </c>
      <c r="JW1" s="207" t="s">
        <v>8302</v>
      </c>
      <c r="JX1" s="207" t="s">
        <v>8323</v>
      </c>
      <c r="JY1" s="207" t="s">
        <v>8324</v>
      </c>
      <c r="JZ1" s="207" t="s">
        <v>8325</v>
      </c>
      <c r="KA1" s="207" t="s">
        <v>8326</v>
      </c>
      <c r="KB1" s="209" t="s">
        <v>8327</v>
      </c>
      <c r="KC1" s="208" t="s">
        <v>8328</v>
      </c>
      <c r="KD1" s="207" t="s">
        <v>8329</v>
      </c>
      <c r="KE1" s="207" t="s">
        <v>8330</v>
      </c>
      <c r="KF1" s="207" t="s">
        <v>8331</v>
      </c>
      <c r="KG1" s="207" t="s">
        <v>8332</v>
      </c>
      <c r="KH1" s="207" t="s">
        <v>8333</v>
      </c>
      <c r="KI1" s="207" t="s">
        <v>8334</v>
      </c>
      <c r="KJ1" s="207" t="s">
        <v>8335</v>
      </c>
      <c r="KK1" s="207" t="s">
        <v>8336</v>
      </c>
      <c r="KL1" s="207" t="s">
        <v>8337</v>
      </c>
      <c r="KM1" s="207" t="s">
        <v>8338</v>
      </c>
      <c r="KN1" s="207" t="s">
        <v>8339</v>
      </c>
      <c r="KO1" s="209" t="s">
        <v>8340</v>
      </c>
      <c r="KP1" s="208" t="s">
        <v>8341</v>
      </c>
      <c r="KQ1" s="207" t="s">
        <v>8342</v>
      </c>
      <c r="KR1" s="207" t="s">
        <v>8343</v>
      </c>
      <c r="KS1" s="207" t="s">
        <v>8344</v>
      </c>
      <c r="KT1" s="207" t="s">
        <v>8345</v>
      </c>
      <c r="KU1" s="207" t="s">
        <v>8346</v>
      </c>
      <c r="KV1" s="207" t="s">
        <v>8347</v>
      </c>
      <c r="KW1" s="207" t="s">
        <v>8348</v>
      </c>
      <c r="KX1" s="207" t="s">
        <v>8349</v>
      </c>
      <c r="KY1" s="207" t="s">
        <v>8350</v>
      </c>
      <c r="KZ1" s="207" t="s">
        <v>8351</v>
      </c>
      <c r="LA1" s="207" t="s">
        <v>8352</v>
      </c>
      <c r="LB1" s="209" t="s">
        <v>8353</v>
      </c>
      <c r="LC1" s="208" t="s">
        <v>8029</v>
      </c>
      <c r="LD1" s="207" t="s">
        <v>8030</v>
      </c>
      <c r="LE1" s="207" t="s">
        <v>8031</v>
      </c>
      <c r="LF1" s="207" t="s">
        <v>8032</v>
      </c>
      <c r="LG1" s="207" t="s">
        <v>8033</v>
      </c>
      <c r="LH1" s="207" t="s">
        <v>8034</v>
      </c>
      <c r="LI1" s="207" t="s">
        <v>8035</v>
      </c>
      <c r="LJ1" s="207" t="s">
        <v>8036</v>
      </c>
      <c r="LK1" s="207" t="s">
        <v>8037</v>
      </c>
      <c r="LL1" s="207" t="s">
        <v>8249</v>
      </c>
      <c r="LM1" s="207" t="s">
        <v>8038</v>
      </c>
      <c r="LN1" s="207" t="s">
        <v>8039</v>
      </c>
      <c r="LO1" s="209" t="s">
        <v>8040</v>
      </c>
      <c r="LP1" s="208" t="s">
        <v>8041</v>
      </c>
      <c r="LQ1" s="207" t="s">
        <v>8042</v>
      </c>
      <c r="LR1" s="207" t="s">
        <v>8043</v>
      </c>
      <c r="LS1" s="207" t="s">
        <v>8044</v>
      </c>
      <c r="LT1" s="207" t="s">
        <v>8045</v>
      </c>
      <c r="LU1" s="207" t="s">
        <v>8046</v>
      </c>
      <c r="LV1" s="207" t="s">
        <v>8047</v>
      </c>
      <c r="LW1" s="207" t="s">
        <v>8048</v>
      </c>
      <c r="LX1" s="207" t="s">
        <v>8049</v>
      </c>
      <c r="LY1" s="207" t="s">
        <v>8250</v>
      </c>
      <c r="LZ1" s="207" t="s">
        <v>8050</v>
      </c>
      <c r="MA1" s="207" t="s">
        <v>8051</v>
      </c>
      <c r="MB1" s="209" t="s">
        <v>8052</v>
      </c>
      <c r="MC1" s="208" t="s">
        <v>8053</v>
      </c>
      <c r="MD1" s="207" t="s">
        <v>8054</v>
      </c>
      <c r="ME1" s="207" t="s">
        <v>8055</v>
      </c>
      <c r="MF1" s="207" t="s">
        <v>8056</v>
      </c>
      <c r="MG1" s="207" t="s">
        <v>8057</v>
      </c>
      <c r="MH1" s="207" t="s">
        <v>8058</v>
      </c>
      <c r="MI1" s="207" t="s">
        <v>8059</v>
      </c>
      <c r="MJ1" s="207" t="s">
        <v>8060</v>
      </c>
      <c r="MK1" s="207" t="s">
        <v>8061</v>
      </c>
      <c r="ML1" s="207" t="s">
        <v>8251</v>
      </c>
      <c r="MM1" s="207" t="s">
        <v>8062</v>
      </c>
      <c r="MN1" s="207" t="s">
        <v>8063</v>
      </c>
      <c r="MO1" s="209" t="s">
        <v>8064</v>
      </c>
      <c r="MP1" s="208" t="s">
        <v>8065</v>
      </c>
      <c r="MQ1" s="207" t="s">
        <v>8066</v>
      </c>
      <c r="MR1" s="209" t="s">
        <v>8067</v>
      </c>
      <c r="MS1" s="208" t="s">
        <v>8068</v>
      </c>
      <c r="MT1" s="207" t="s">
        <v>8069</v>
      </c>
      <c r="MU1" s="207" t="s">
        <v>8070</v>
      </c>
      <c r="MV1" s="207" t="s">
        <v>8071</v>
      </c>
      <c r="MW1" s="207" t="s">
        <v>8072</v>
      </c>
      <c r="MX1" s="207" t="s">
        <v>8073</v>
      </c>
      <c r="MY1" s="207" t="s">
        <v>8074</v>
      </c>
      <c r="MZ1" s="207" t="s">
        <v>8075</v>
      </c>
      <c r="NA1" s="207" t="s">
        <v>8076</v>
      </c>
      <c r="NB1" s="207" t="s">
        <v>8252</v>
      </c>
      <c r="NC1" s="207" t="s">
        <v>8077</v>
      </c>
      <c r="ND1" s="207" t="s">
        <v>8078</v>
      </c>
      <c r="NE1" s="209" t="s">
        <v>8079</v>
      </c>
      <c r="NF1" s="207" t="s">
        <v>8080</v>
      </c>
      <c r="NG1" s="207" t="s">
        <v>8278</v>
      </c>
      <c r="NH1" s="207" t="s">
        <v>8279</v>
      </c>
      <c r="NI1" s="207" t="s">
        <v>8280</v>
      </c>
      <c r="NJ1" s="207" t="s">
        <v>8281</v>
      </c>
      <c r="NK1" s="207" t="s">
        <v>8282</v>
      </c>
      <c r="NL1" s="207" t="s">
        <v>8283</v>
      </c>
      <c r="NM1" s="207" t="s">
        <v>8284</v>
      </c>
      <c r="NN1" s="207" t="s">
        <v>8285</v>
      </c>
      <c r="NO1" s="207" t="s">
        <v>8286</v>
      </c>
      <c r="NP1" s="207" t="s">
        <v>8287</v>
      </c>
      <c r="NQ1" s="207" t="s">
        <v>8288</v>
      </c>
      <c r="NR1" s="207" t="s">
        <v>8289</v>
      </c>
      <c r="NS1" s="208" t="s">
        <v>8081</v>
      </c>
      <c r="NT1" s="207" t="s">
        <v>8290</v>
      </c>
      <c r="NU1" s="207" t="s">
        <v>8291</v>
      </c>
      <c r="NV1" s="207" t="s">
        <v>8292</v>
      </c>
      <c r="NW1" s="207" t="s">
        <v>8293</v>
      </c>
      <c r="NX1" s="207" t="s">
        <v>8294</v>
      </c>
      <c r="NY1" s="207" t="s">
        <v>8295</v>
      </c>
      <c r="NZ1" s="207" t="s">
        <v>8296</v>
      </c>
      <c r="OA1" s="207" t="s">
        <v>8297</v>
      </c>
      <c r="OB1" s="207" t="s">
        <v>8298</v>
      </c>
      <c r="OC1" s="207" t="s">
        <v>8299</v>
      </c>
      <c r="OD1" s="207" t="s">
        <v>8300</v>
      </c>
      <c r="OE1" s="209" t="s">
        <v>8301</v>
      </c>
      <c r="OF1" s="208" t="s">
        <v>8082</v>
      </c>
      <c r="OG1" s="207" t="s">
        <v>8083</v>
      </c>
      <c r="OH1" s="207" t="s">
        <v>8084</v>
      </c>
      <c r="OI1" s="207" t="s">
        <v>8085</v>
      </c>
      <c r="OJ1" s="207" t="s">
        <v>8086</v>
      </c>
      <c r="OK1" s="207" t="s">
        <v>8087</v>
      </c>
      <c r="OL1" s="207" t="s">
        <v>8088</v>
      </c>
      <c r="OM1" s="207" t="s">
        <v>8089</v>
      </c>
      <c r="ON1" s="207" t="s">
        <v>8090</v>
      </c>
      <c r="OO1" s="207" t="s">
        <v>8253</v>
      </c>
      <c r="OP1" s="207" t="s">
        <v>8091</v>
      </c>
      <c r="OQ1" s="207" t="s">
        <v>8092</v>
      </c>
      <c r="OR1" s="209" t="s">
        <v>8093</v>
      </c>
      <c r="OS1" s="208" t="s">
        <v>8094</v>
      </c>
      <c r="OT1" s="207" t="s">
        <v>8095</v>
      </c>
      <c r="OU1" s="207" t="s">
        <v>8096</v>
      </c>
      <c r="OV1" s="207" t="s">
        <v>8097</v>
      </c>
      <c r="OW1" s="207" t="s">
        <v>8098</v>
      </c>
      <c r="OX1" s="207" t="s">
        <v>8099</v>
      </c>
      <c r="OY1" s="207" t="s">
        <v>8100</v>
      </c>
      <c r="OZ1" s="207" t="s">
        <v>8101</v>
      </c>
      <c r="PA1" s="207" t="s">
        <v>8102</v>
      </c>
      <c r="PB1" s="207" t="s">
        <v>8254</v>
      </c>
      <c r="PC1" s="207" t="s">
        <v>8103</v>
      </c>
      <c r="PD1" s="207" t="s">
        <v>8104</v>
      </c>
      <c r="PE1" s="209" t="s">
        <v>8105</v>
      </c>
      <c r="PF1" s="208" t="s">
        <v>8106</v>
      </c>
      <c r="PG1" s="207" t="s">
        <v>8107</v>
      </c>
      <c r="PH1" s="207" t="s">
        <v>8108</v>
      </c>
      <c r="PI1" s="207" t="s">
        <v>8109</v>
      </c>
      <c r="PJ1" s="207" t="s">
        <v>8110</v>
      </c>
      <c r="PK1" s="207" t="s">
        <v>8111</v>
      </c>
      <c r="PL1" s="207" t="s">
        <v>8112</v>
      </c>
      <c r="PM1" s="207" t="s">
        <v>8113</v>
      </c>
      <c r="PN1" s="207" t="s">
        <v>8114</v>
      </c>
      <c r="PO1" s="207" t="s">
        <v>8255</v>
      </c>
      <c r="PP1" s="207" t="s">
        <v>8115</v>
      </c>
      <c r="PQ1" s="207" t="s">
        <v>8116</v>
      </c>
      <c r="PR1" s="209" t="s">
        <v>8117</v>
      </c>
      <c r="PS1" s="208" t="s">
        <v>8118</v>
      </c>
      <c r="PT1" s="207" t="s">
        <v>8119</v>
      </c>
      <c r="PU1" s="207" t="s">
        <v>8120</v>
      </c>
      <c r="PV1" s="207" t="s">
        <v>8121</v>
      </c>
      <c r="PW1" s="207" t="s">
        <v>8122</v>
      </c>
      <c r="PX1" s="207" t="s">
        <v>8123</v>
      </c>
      <c r="PY1" s="207" t="s">
        <v>8124</v>
      </c>
      <c r="PZ1" s="207" t="s">
        <v>8125</v>
      </c>
      <c r="QA1" s="207" t="s">
        <v>8126</v>
      </c>
      <c r="QB1" s="207" t="s">
        <v>8256</v>
      </c>
      <c r="QC1" s="207" t="s">
        <v>8127</v>
      </c>
      <c r="QD1" s="207" t="s">
        <v>8128</v>
      </c>
      <c r="QE1" s="209" t="s">
        <v>8129</v>
      </c>
      <c r="QF1" s="208" t="s">
        <v>8130</v>
      </c>
      <c r="QG1" s="207" t="s">
        <v>8131</v>
      </c>
      <c r="QH1" s="207" t="s">
        <v>8132</v>
      </c>
      <c r="QI1" s="207" t="s">
        <v>8133</v>
      </c>
      <c r="QJ1" s="207" t="s">
        <v>8134</v>
      </c>
      <c r="QK1" s="207" t="s">
        <v>8135</v>
      </c>
      <c r="QL1" s="207" t="s">
        <v>8136</v>
      </c>
      <c r="QM1" s="207" t="s">
        <v>8137</v>
      </c>
      <c r="QN1" s="207" t="s">
        <v>8138</v>
      </c>
      <c r="QO1" s="207" t="s">
        <v>8257</v>
      </c>
      <c r="QP1" s="207" t="s">
        <v>8139</v>
      </c>
      <c r="QQ1" s="207" t="s">
        <v>8140</v>
      </c>
      <c r="QR1" s="207" t="s">
        <v>8141</v>
      </c>
    </row>
    <row r="2" spans="1:460" s="184" customFormat="1" x14ac:dyDescent="0.25">
      <c r="A2" s="218"/>
      <c r="B2" s="228"/>
      <c r="C2" s="228"/>
      <c r="D2" s="228"/>
      <c r="E2" s="224"/>
      <c r="F2" s="224"/>
      <c r="G2" s="186"/>
      <c r="H2" s="185"/>
      <c r="I2" s="186"/>
      <c r="J2" s="185"/>
      <c r="K2" s="186"/>
      <c r="L2" s="185"/>
      <c r="M2" s="185"/>
      <c r="N2" s="185"/>
      <c r="O2" s="219"/>
      <c r="P2" s="186"/>
      <c r="Q2" s="186"/>
      <c r="R2" s="186"/>
      <c r="S2" s="186"/>
      <c r="T2" s="186"/>
      <c r="U2" s="186"/>
      <c r="V2" s="120"/>
      <c r="W2" s="120"/>
      <c r="X2" s="121"/>
      <c r="Y2" s="122"/>
      <c r="Z2" s="187"/>
      <c r="AA2" s="113"/>
      <c r="AB2" s="113"/>
      <c r="AC2" s="113"/>
      <c r="AD2" s="187"/>
      <c r="AE2" s="188"/>
      <c r="AF2" s="187"/>
      <c r="AG2" s="113"/>
      <c r="AH2" s="113"/>
      <c r="AI2" s="188"/>
      <c r="AJ2" s="189"/>
      <c r="AK2" s="188"/>
      <c r="AL2" s="187"/>
      <c r="AM2" s="113"/>
      <c r="AN2" s="113"/>
      <c r="AO2" s="187"/>
      <c r="AP2" s="123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3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3"/>
      <c r="BQ2" s="190"/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C2" s="123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2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89"/>
      <c r="DD2" s="188"/>
      <c r="DE2" s="188"/>
      <c r="DF2" s="188"/>
      <c r="DG2" s="188"/>
      <c r="DH2" s="188"/>
      <c r="DI2" s="188"/>
      <c r="DJ2" s="188"/>
      <c r="DK2" s="188"/>
      <c r="DL2" s="188"/>
      <c r="DM2" s="188"/>
      <c r="DN2" s="188"/>
      <c r="DO2" s="187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7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23"/>
      <c r="EQ2" s="124"/>
      <c r="ER2" s="124"/>
      <c r="ES2" s="124"/>
      <c r="ET2" s="124"/>
      <c r="EU2" s="124"/>
      <c r="EV2" s="124"/>
      <c r="EW2" s="124"/>
      <c r="EX2" s="124"/>
      <c r="EY2" s="124"/>
      <c r="EZ2" s="124"/>
      <c r="FA2" s="124"/>
      <c r="FB2" s="124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6"/>
      <c r="GC2" s="125"/>
      <c r="GD2" s="124"/>
      <c r="GE2" s="124"/>
      <c r="GF2" s="124"/>
      <c r="GG2" s="124"/>
      <c r="GH2" s="124"/>
      <c r="GI2" s="124"/>
      <c r="GJ2" s="124"/>
      <c r="GK2" s="124"/>
      <c r="GL2" s="124"/>
      <c r="GM2" s="124"/>
      <c r="GN2" s="124"/>
      <c r="GO2" s="124"/>
      <c r="GP2" s="125"/>
      <c r="GQ2" s="113"/>
      <c r="GR2" s="113"/>
      <c r="GS2" s="113"/>
      <c r="GT2" s="113"/>
      <c r="GU2" s="113"/>
      <c r="GV2" s="113"/>
      <c r="GW2" s="113"/>
      <c r="GX2" s="113"/>
      <c r="GY2" s="113"/>
      <c r="GZ2" s="113"/>
      <c r="HA2" s="113"/>
      <c r="HB2" s="113"/>
      <c r="HC2" s="189"/>
      <c r="HD2" s="188"/>
      <c r="HE2" s="188"/>
      <c r="HF2" s="188"/>
      <c r="HG2" s="188"/>
      <c r="HH2" s="188"/>
      <c r="HI2" s="188"/>
      <c r="HJ2" s="188"/>
      <c r="HK2" s="188"/>
      <c r="HL2" s="188"/>
      <c r="HM2" s="188"/>
      <c r="HN2" s="188"/>
      <c r="HO2" s="187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7"/>
      <c r="ID2" s="116"/>
      <c r="IE2" s="116"/>
      <c r="IF2" s="116"/>
      <c r="IG2" s="116"/>
      <c r="IH2" s="116"/>
      <c r="II2" s="116"/>
      <c r="IJ2" s="116"/>
      <c r="IK2" s="116"/>
      <c r="IL2" s="116"/>
      <c r="IM2" s="116"/>
      <c r="IN2" s="116"/>
      <c r="IO2" s="127"/>
      <c r="IP2" s="128"/>
      <c r="IQ2" s="185"/>
      <c r="IR2" s="185"/>
      <c r="IS2" s="185"/>
      <c r="IT2" s="185"/>
      <c r="IU2" s="185"/>
      <c r="IV2" s="185"/>
      <c r="IW2" s="185"/>
      <c r="IX2" s="185"/>
      <c r="IY2" s="185"/>
      <c r="IZ2" s="185"/>
      <c r="JA2" s="185"/>
      <c r="JB2" s="191"/>
      <c r="JC2" s="123"/>
      <c r="JD2" s="190"/>
      <c r="JE2" s="190"/>
      <c r="JF2" s="190"/>
      <c r="JG2" s="190"/>
      <c r="JH2" s="190"/>
      <c r="JI2" s="190"/>
      <c r="JJ2" s="190"/>
      <c r="JK2" s="190"/>
      <c r="JL2" s="190"/>
      <c r="JM2" s="190"/>
      <c r="JN2" s="190"/>
      <c r="JO2" s="192"/>
      <c r="JP2" s="123"/>
      <c r="JQ2" s="116"/>
      <c r="JR2" s="116"/>
      <c r="JS2" s="116"/>
      <c r="JT2" s="116"/>
      <c r="JU2" s="116"/>
      <c r="JV2" s="116"/>
      <c r="JW2" s="116"/>
      <c r="JX2" s="116"/>
      <c r="JY2" s="116"/>
      <c r="JZ2" s="116"/>
      <c r="KA2" s="116"/>
      <c r="KB2" s="127"/>
      <c r="KC2" s="123"/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O2" s="192"/>
      <c r="KP2" s="123"/>
      <c r="KQ2" s="113"/>
      <c r="KR2" s="113"/>
      <c r="KS2" s="113"/>
      <c r="KT2" s="113"/>
      <c r="KU2" s="113"/>
      <c r="KV2" s="113"/>
      <c r="KW2" s="113"/>
      <c r="KX2" s="113"/>
      <c r="KY2" s="113"/>
      <c r="KZ2" s="113"/>
      <c r="LA2" s="113"/>
      <c r="LB2" s="114"/>
      <c r="LC2" s="189"/>
      <c r="LD2" s="188"/>
      <c r="LE2" s="188"/>
      <c r="LF2" s="188"/>
      <c r="LG2" s="188"/>
      <c r="LH2" s="188"/>
      <c r="LI2" s="188"/>
      <c r="LJ2" s="188"/>
      <c r="LK2" s="188"/>
      <c r="LL2" s="188"/>
      <c r="LM2" s="188"/>
      <c r="LN2" s="188"/>
      <c r="LO2" s="187"/>
      <c r="LP2" s="117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6"/>
      <c r="MB2" s="127"/>
      <c r="MC2" s="117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27"/>
      <c r="MP2" s="117"/>
      <c r="MQ2" s="193"/>
      <c r="MR2" s="129"/>
      <c r="MS2" s="128"/>
      <c r="NE2" s="194"/>
      <c r="NF2" s="125"/>
      <c r="NG2" s="195"/>
      <c r="NH2" s="195"/>
      <c r="NI2" s="195"/>
      <c r="NJ2" s="195"/>
      <c r="NK2" s="195"/>
      <c r="NL2" s="195"/>
      <c r="NM2" s="195"/>
      <c r="NN2" s="195"/>
      <c r="NO2" s="195"/>
      <c r="NP2" s="195"/>
      <c r="NQ2" s="195"/>
      <c r="NR2" s="195"/>
      <c r="NS2" s="123"/>
      <c r="NT2" s="190"/>
      <c r="NU2" s="190"/>
      <c r="NV2" s="190"/>
      <c r="NW2" s="190"/>
      <c r="NX2" s="190"/>
      <c r="NY2" s="190"/>
      <c r="NZ2" s="190"/>
      <c r="OA2" s="190"/>
      <c r="OB2" s="190"/>
      <c r="OC2" s="190"/>
      <c r="OD2" s="190"/>
      <c r="OE2" s="190"/>
      <c r="OF2" s="123"/>
      <c r="OG2" s="190"/>
      <c r="OH2" s="190"/>
      <c r="OI2" s="190"/>
      <c r="OJ2" s="190"/>
      <c r="OK2" s="190"/>
      <c r="OL2" s="190"/>
      <c r="OM2" s="190"/>
      <c r="ON2" s="190"/>
      <c r="OO2" s="190"/>
      <c r="OP2" s="190"/>
      <c r="OQ2" s="190"/>
      <c r="OR2" s="190"/>
      <c r="OS2" s="123"/>
      <c r="OT2" s="113"/>
      <c r="OU2" s="113"/>
      <c r="OV2" s="113"/>
      <c r="OW2" s="113"/>
      <c r="OX2" s="113"/>
      <c r="OY2" s="113"/>
      <c r="OZ2" s="113"/>
      <c r="PA2" s="113"/>
      <c r="PB2" s="113"/>
      <c r="PC2" s="113"/>
      <c r="PD2" s="113"/>
      <c r="PE2" s="113"/>
      <c r="PF2" s="189"/>
      <c r="PG2" s="188"/>
      <c r="PH2" s="188"/>
      <c r="PI2" s="188"/>
      <c r="PJ2" s="188"/>
      <c r="PK2" s="188"/>
      <c r="PL2" s="188"/>
      <c r="PM2" s="188"/>
      <c r="PN2" s="188"/>
      <c r="PO2" s="188"/>
      <c r="PP2" s="188"/>
      <c r="PQ2" s="188"/>
      <c r="PR2" s="187"/>
      <c r="PS2" s="117"/>
      <c r="PT2" s="116"/>
      <c r="PU2" s="116"/>
      <c r="PV2" s="116"/>
      <c r="PW2" s="116"/>
      <c r="PX2" s="116"/>
      <c r="PY2" s="116"/>
      <c r="PZ2" s="116"/>
      <c r="QA2" s="116"/>
      <c r="QB2" s="116"/>
      <c r="QC2" s="116"/>
      <c r="QD2" s="116"/>
      <c r="QE2" s="116"/>
      <c r="QF2" s="117"/>
      <c r="QG2" s="116"/>
      <c r="QH2" s="116"/>
      <c r="QI2" s="116"/>
      <c r="QJ2" s="116"/>
      <c r="QK2" s="116"/>
      <c r="QL2" s="116"/>
      <c r="QM2" s="116"/>
      <c r="QN2" s="116"/>
      <c r="QO2" s="116"/>
      <c r="QP2" s="116"/>
      <c r="QQ2" s="116"/>
      <c r="QR2" s="130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8" sqref="E18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9" priority="1">
      <formula>$AL2="Новинка следующего года"</formula>
    </cfRule>
    <cfRule type="expression" dxfId="168" priority="2">
      <formula>$AL2="Новинка текущего года"</formula>
    </cfRule>
    <cfRule type="expression" dxfId="167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1551</v>
      </c>
      <c r="D1" s="22" t="s">
        <v>1552</v>
      </c>
      <c r="E1" s="22" t="s">
        <v>1553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0" t="s">
        <v>28</v>
      </c>
      <c r="D1" s="70" t="s">
        <v>7969</v>
      </c>
      <c r="E1" s="70" t="s">
        <v>7970</v>
      </c>
      <c r="F1" s="70" t="s">
        <v>29</v>
      </c>
      <c r="G1" s="70" t="s">
        <v>30</v>
      </c>
      <c r="H1" s="17" t="s">
        <v>27</v>
      </c>
    </row>
    <row r="2" spans="1:8" x14ac:dyDescent="0.25">
      <c r="A2">
        <v>1</v>
      </c>
      <c r="B2" s="35" t="s">
        <v>2888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1737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1711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1759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1766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1767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1770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1763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1764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1629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1636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1637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1638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1639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1640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1641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1658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1659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1660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1654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1649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1650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1647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1648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1642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1644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1645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1646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2618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2607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3154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3142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3143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3144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3171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3145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3146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3147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3148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3172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3150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3151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3152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3153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3308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3320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3322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3334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3288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3289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3343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3352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3353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3344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3346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3347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3349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3213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3291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3319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3350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3119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3035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3036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3038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3284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3246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3247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3248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3249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3242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3245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3043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3044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3046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2920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2921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3057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3058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3059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3122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3123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3124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2918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3066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3067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3068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3069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3125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3070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3072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3073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3080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3083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3084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3085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3086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3087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3088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3155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2780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2783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2809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2812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2792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2793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2794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2791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2810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2811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2819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2816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2773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2774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2777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2803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2801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2851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2844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3278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3282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3269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3270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3271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3272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3214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3215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3217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3218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3219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3216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3220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3276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3262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3263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3264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3268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3273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3274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3275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3226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3230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3227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3231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3228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3232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3233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3229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3234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3255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3256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3257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3258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3266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3267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3259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3260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3261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3265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3223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3224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3225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2705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2708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2719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2707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2721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2720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2710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2713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2715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2718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2716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2717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2617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2668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2655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2667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2673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2656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2657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2616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2623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1914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1915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1913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1971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1916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1919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1918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1927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1896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1883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1885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1906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1908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1910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1898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1899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1902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1887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1903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1905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1946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1947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1948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1949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1950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1954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1921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1925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1924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1970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1972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2021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2022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1600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1935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2012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2013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2017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2018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2014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2015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2016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2011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2270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2272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2267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2573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2574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3023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3024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3025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3026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3027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3028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3029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3030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3031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2815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2845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2846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2884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2807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2820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2821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2825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2827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2624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2625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2609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2611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3239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3240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3241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3250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3235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3237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3252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3317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3325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3318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3326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3342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3351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3286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3307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3300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3301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3293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3312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3296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3297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3299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3328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3329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3305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3310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3311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3354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3313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3337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3303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3302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3327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1732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1733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1744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1787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1795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1796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1798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1800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1801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1774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1775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1778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1779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1780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1713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1712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1741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1723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2527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2529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2530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2592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2532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2535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2537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2541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2542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2544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2545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2593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2556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2557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2558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2559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2560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2562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2565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2566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2570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2571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2572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2575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2577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2579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2520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2691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2698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2123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2119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2138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2264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2159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2191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2173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2174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2346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2786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3338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3333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3332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3356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3292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3358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2919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3034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2808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2222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2223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2224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2220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2221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2659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1931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1933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1891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1953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1940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1941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2350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2351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2347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2348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2349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2326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2327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2328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2329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2206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2207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2208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2205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2885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3340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3339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3295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1781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1785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1786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1783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1782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1784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1720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1715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1716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1717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1727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1728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1729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1730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2165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2166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2139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2140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2143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3365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3366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3369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3373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3374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2522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2521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2678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2681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2633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2636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2648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2651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2468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2471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2476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2479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2497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2490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2500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1722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1760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1768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1655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3279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3136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3041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2273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2335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2334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2353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2354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2352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2355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2250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2247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2245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2249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2246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2110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1960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1962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1964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1965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1966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1968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1969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1973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1974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1976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1977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1978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1979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1980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1981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1982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1986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1987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1990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1991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2124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2181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2146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2147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2108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2117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2118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2111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2502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2504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2487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2505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2508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2510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2509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2582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2287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2289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2356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2641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2683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2685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2643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2645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2703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2702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2594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2889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2852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2853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2854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2857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2859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2863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2864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2503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2511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2488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2507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2492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2442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2513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2443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2516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2444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2514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3364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3376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3355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3380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3381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3382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3383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3385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3386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3387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3388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1742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1743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1893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1894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1945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1942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1943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1944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1989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1993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1630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1633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1634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1635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1707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1592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1593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1594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1595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1596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1569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2142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2133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2134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2125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2126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3139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3140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2196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2197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2198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2199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2332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2225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2226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2227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2228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1615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1616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1617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1618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2194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2195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2184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2183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1571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1572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1573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1574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1575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1576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2251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2254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2239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2240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2241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2160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2152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2153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2154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2155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2156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2157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2158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2302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2303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2304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2305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2306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2307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1745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1746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1747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1748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1749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1750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1751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1752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1753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1754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1755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1756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1757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1803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1805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1956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1957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1997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1999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2000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2001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2003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2004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2005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2006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2008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2009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2019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2023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2025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2027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2028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2029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2030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2031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2033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2034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2041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2042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2043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2044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2045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2620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2621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2660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2661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2670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2671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2524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2583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2584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2585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2586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2587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2589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2870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2871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2872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2874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2875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2891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2787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2517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2518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2519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3156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3158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3159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3244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3280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3287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3359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3360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3361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3391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3392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3394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3398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2121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2122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3033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3049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3050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3051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3052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3054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3055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3056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3060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3061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3062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3063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3065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3074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3075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3076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3077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3078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3079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2046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1663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2266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2343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2243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2244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3400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3401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3404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3089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3090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3091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3092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3093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3094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3095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3096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3097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3098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2168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2169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2170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2185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2187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2188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2189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1808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1810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1811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1813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1815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3402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3403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2318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2319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2598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2599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2600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2726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2830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2832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2833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2834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2835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2836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2837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2838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2839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2840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2841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2842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54" priority="1">
      <formula>$AN2="Новинка следующего года"</formula>
    </cfRule>
    <cfRule type="expression" dxfId="153" priority="2">
      <formula>$AN2="Новинка текущего года"</formula>
    </cfRule>
    <cfRule type="expression" dxfId="152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1331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8277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1321</v>
      </c>
      <c r="BY2" s="26" t="s">
        <v>1322</v>
      </c>
      <c r="BZ2" s="26" t="s">
        <v>1323</v>
      </c>
      <c r="CA2" s="26" t="s">
        <v>124</v>
      </c>
      <c r="CB2" s="26" t="s">
        <v>1324</v>
      </c>
      <c r="CC2" s="26" t="s">
        <v>1325</v>
      </c>
      <c r="CD2" s="26" t="s">
        <v>1326</v>
      </c>
      <c r="CE2" s="26" t="s">
        <v>1327</v>
      </c>
      <c r="CF2" s="26" t="s">
        <v>1328</v>
      </c>
      <c r="CG2" s="26" t="s">
        <v>1329</v>
      </c>
      <c r="CH2" s="26" t="s">
        <v>1330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 codeName="Лист22"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1348</v>
      </c>
      <c r="B1" t="s">
        <v>1341</v>
      </c>
      <c r="C1" t="s">
        <v>1547</v>
      </c>
      <c r="D1" t="s">
        <v>1342</v>
      </c>
      <c r="E1" t="s">
        <v>1343</v>
      </c>
      <c r="F1" t="s">
        <v>1344</v>
      </c>
      <c r="G1" t="s">
        <v>1345</v>
      </c>
      <c r="H1" t="s">
        <v>1346</v>
      </c>
      <c r="I1" t="s">
        <v>1347</v>
      </c>
      <c r="J1" t="s">
        <v>13</v>
      </c>
      <c r="K1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2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2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2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2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2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2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2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2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2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2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2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2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2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2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2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2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2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2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2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2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2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2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2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2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2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2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2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2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2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2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2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2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2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2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2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2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2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2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2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2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2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2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2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2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2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2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2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2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2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2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2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2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2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2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2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2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2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2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2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2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2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2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2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2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2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2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3406</v>
      </c>
      <c r="C2" s="68" t="s">
        <v>7952</v>
      </c>
    </row>
    <row r="3" spans="1:3" x14ac:dyDescent="0.25">
      <c r="A3" s="7">
        <v>2</v>
      </c>
      <c r="B3" s="8" t="s">
        <v>4431</v>
      </c>
      <c r="C3" s="68" t="s">
        <v>7953</v>
      </c>
    </row>
    <row r="4" spans="1:3" x14ac:dyDescent="0.25">
      <c r="A4" s="7">
        <v>3</v>
      </c>
      <c r="B4" s="8" t="s">
        <v>4432</v>
      </c>
      <c r="C4" s="68" t="s">
        <v>7954</v>
      </c>
    </row>
    <row r="5" spans="1:3" x14ac:dyDescent="0.25">
      <c r="A5" s="7">
        <v>4</v>
      </c>
      <c r="B5" s="8" t="s">
        <v>3411</v>
      </c>
      <c r="C5" s="68" t="s">
        <v>7955</v>
      </c>
    </row>
    <row r="6" spans="1:3" x14ac:dyDescent="0.25">
      <c r="A6" s="7">
        <v>5</v>
      </c>
      <c r="B6" s="8" t="s">
        <v>3580</v>
      </c>
      <c r="C6" s="68" t="s">
        <v>7956</v>
      </c>
    </row>
    <row r="7" spans="1:3" x14ac:dyDescent="0.25">
      <c r="A7" s="7">
        <v>6</v>
      </c>
      <c r="B7" s="8" t="s">
        <v>7957</v>
      </c>
      <c r="C7" s="68" t="s">
        <v>7958</v>
      </c>
    </row>
    <row r="8" spans="1:3" x14ac:dyDescent="0.25">
      <c r="A8" s="7">
        <v>7</v>
      </c>
      <c r="B8" s="8" t="s">
        <v>3416</v>
      </c>
      <c r="C8" s="68" t="s">
        <v>7959</v>
      </c>
    </row>
    <row r="9" spans="1:3" x14ac:dyDescent="0.25">
      <c r="A9" s="7">
        <v>8</v>
      </c>
      <c r="B9" s="8" t="s">
        <v>3406</v>
      </c>
      <c r="C9" s="68" t="s">
        <v>7952</v>
      </c>
    </row>
    <row r="10" spans="1:3" x14ac:dyDescent="0.25">
      <c r="A10" s="7">
        <v>9</v>
      </c>
      <c r="B10" s="8" t="s">
        <v>4431</v>
      </c>
      <c r="C10" s="68" t="s">
        <v>7953</v>
      </c>
    </row>
    <row r="11" spans="1:3" x14ac:dyDescent="0.25">
      <c r="A11" s="7">
        <v>10</v>
      </c>
      <c r="B11" s="8" t="s">
        <v>4432</v>
      </c>
      <c r="C11" s="68" t="s">
        <v>7954</v>
      </c>
    </row>
    <row r="12" spans="1:3" x14ac:dyDescent="0.25">
      <c r="A12" s="7">
        <v>11</v>
      </c>
      <c r="B12" s="8" t="s">
        <v>3411</v>
      </c>
      <c r="C12" s="68" t="s">
        <v>7955</v>
      </c>
    </row>
    <row r="13" spans="1:3" x14ac:dyDescent="0.25">
      <c r="A13" s="7">
        <v>12</v>
      </c>
      <c r="B13" s="8" t="s">
        <v>3580</v>
      </c>
      <c r="C13" s="68" t="s">
        <v>7956</v>
      </c>
    </row>
    <row r="14" spans="1:3" x14ac:dyDescent="0.25">
      <c r="A14" s="7">
        <v>13</v>
      </c>
      <c r="B14" s="8" t="s">
        <v>3519</v>
      </c>
      <c r="C14" s="68" t="s">
        <v>7960</v>
      </c>
    </row>
    <row r="15" spans="1:3" x14ac:dyDescent="0.25">
      <c r="A15" s="7">
        <v>14</v>
      </c>
      <c r="B15" s="8" t="s">
        <v>3416</v>
      </c>
      <c r="C15" s="68" t="s">
        <v>7959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7961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</vt:i4>
      </vt:variant>
    </vt:vector>
  </HeadingPairs>
  <TitlesOfParts>
    <vt:vector size="23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Планирование</vt:lpstr>
      <vt:lpstr>STK</vt:lpstr>
      <vt:lpstr>Бюджетные курсы</vt:lpstr>
      <vt:lpstr>РРЦ</vt:lpstr>
      <vt:lpstr>Планирование_old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2020-09-01T14:04:05Z</dcterms:modified>
</cp:coreProperties>
</file>