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R:\Cage\Cage Shift Managers\MBCS\2021\8.AUGUST\VIP\"/>
    </mc:Choice>
  </mc:AlternateContent>
  <bookViews>
    <workbookView showSheetTabs="0" xWindow="-120" yWindow="-120" windowWidth="29040" windowHeight="15840" tabRatio="773" activeTab="6"/>
  </bookViews>
  <sheets>
    <sheet name="MENU" sheetId="94" r:id="rId1"/>
    <sheet name="VIP-DB" sheetId="75" r:id="rId2"/>
    <sheet name="Main Bank" sheetId="68" r:id="rId3"/>
    <sheet name="Chip Bank" sheetId="70" r:id="rId4"/>
    <sheet name="F&amp;C Report" sheetId="90" r:id="rId5"/>
    <sheet name="Table Breadown" sheetId="71" r:id="rId6"/>
    <sheet name="TABLE RESULT " sheetId="92" r:id="rId7"/>
    <sheet name="Unredeemed" sheetId="89" r:id="rId8"/>
    <sheet name="Marker Daily Log" sheetId="81" state="hidden" r:id="rId9"/>
    <sheet name="Dep Daliy Log" sheetId="91" state="hidden" r:id="rId10"/>
    <sheet name="VIP Chip Count " sheetId="74" state="hidden" r:id="rId11"/>
    <sheet name="OPENING NEW DAY" sheetId="93" r:id="rId12"/>
  </sheets>
  <functionGroups builtInGroupCount="18"/>
  <externalReferences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</externalReferences>
  <definedNames>
    <definedName name="_xlnm._FilterDatabase" localSheetId="4" hidden="1">'F&amp;C Report'!$I$1:$I$114</definedName>
    <definedName name="_Order1" hidden="1">0</definedName>
    <definedName name="a" localSheetId="6">#REF!*#REF!+#REF!*#REF!+#REF!*#REF!+#REF!*#REF!+#REF!*#REF!+#REF!*#REF!+#REF!*#REF!+#REF!*#REF!</definedName>
    <definedName name="a">[1]DEPOSIT!$H$30*[1]DEPOSIT!$E$30+[1]DEPOSIT!$H$31*[1]DEPOSIT!$E$31+[1]DEPOSIT!$H$32*[1]DEPOSIT!$E$32+[1]DEPOSIT!$H$33*[1]DEPOSIT!$E$33+[1]DEPOSIT!$H$34*[1]DEPOSIT!$E$34+[1]DEPOSIT!$H$35*[1]DEPOSIT!$E$35+[1]DEPOSIT!$H$36*[1]DEPOSIT!$E$36+[1]DEPOSIT!$H$37*[1]DEPOSIT!$E$37</definedName>
    <definedName name="ACCOUNTABILITY" localSheetId="4">'[2]Chips Bank Settlement'!#REF!</definedName>
    <definedName name="ACCOUNTABILITY" localSheetId="5">'[2]Chips Bank Settlement'!#REF!</definedName>
    <definedName name="ACCOUNTABILITY" localSheetId="6">'[2]Chips Bank Settlement'!#REF!</definedName>
    <definedName name="ACCOUNTABILITY" localSheetId="10">'[2]Chips Bank Settlement'!#REF!</definedName>
    <definedName name="ACCOUNTABILITY">'[2]Chips Bank Settlement'!#REF!</definedName>
    <definedName name="AGENT379" localSheetId="4">'[3]TURNOVER( BCC)'!#REF!</definedName>
    <definedName name="AGENT379" localSheetId="5">'[3]TURNOVER( BCC)'!#REF!</definedName>
    <definedName name="AGENT379" localSheetId="6">'[4]TURNOVER( BCC)'!#REF!</definedName>
    <definedName name="AGENT379" localSheetId="10">'[3]TURNOVER( BCC)'!#REF!</definedName>
    <definedName name="AGENT379">'[3]TURNOVER( BCC)'!#REF!</definedName>
    <definedName name="august">#REF!</definedName>
    <definedName name="August1">#REF!</definedName>
    <definedName name="august2">#REF!</definedName>
    <definedName name="BALANCING" localSheetId="6">[5]GRAVE!$G$72</definedName>
    <definedName name="BALANCING">[6]GRAVE!$G$72</definedName>
    <definedName name="BUB">'[7]Chips Bank Settlement'!$E$23</definedName>
    <definedName name="CHIPBANK">#REF!</definedName>
    <definedName name="COLLECTION">IF('[8]ROULLET REPORT'!A$2="WHOLE MONTH",SUM(('[8]ROULLET INPUT'!#REF!='[8]ROULLET REPORT'!#REF!)*'[8]ROULLET INPUT'!A$3:AE$26),SUM(('[8]ROULLET INPUT'!A$2:AE$2='[8]ROULLET REPORT'!A$2)*('[8]ROULLET INPUT'!#REF!='[8]ROULLET REPORT'!#REF!)*'[8]ROULLET INPUT'!A$3:AE$69))</definedName>
    <definedName name="COMRMB" localSheetId="4">#REF!</definedName>
    <definedName name="COMRMB" localSheetId="5">#REF!</definedName>
    <definedName name="COMRMB" localSheetId="10">#REF!</definedName>
    <definedName name="COMRMB">#REF!</definedName>
    <definedName name="COMUSD" localSheetId="4">#REF!</definedName>
    <definedName name="COMUSD" localSheetId="5">#REF!</definedName>
    <definedName name="COMUSD" localSheetId="10">#REF!</definedName>
    <definedName name="COMUSD">#REF!</definedName>
    <definedName name="COPY_AREA" localSheetId="4">#REF!</definedName>
    <definedName name="COPY_AREA" localSheetId="5">#REF!</definedName>
    <definedName name="COPY_AREA" localSheetId="6">#REF!</definedName>
    <definedName name="COPY_AREA" localSheetId="10">#REF!</definedName>
    <definedName name="COPY_AREA">#REF!</definedName>
    <definedName name="CURRENCY" localSheetId="4">#REF!</definedName>
    <definedName name="CURRENCY" localSheetId="5">#REF!</definedName>
    <definedName name="CURRENCY" localSheetId="10">#REF!</definedName>
    <definedName name="CURRENCY">#REF!</definedName>
    <definedName name="DATA_02" localSheetId="4" hidden="1">'[9]SALE REPORT'!#REF!</definedName>
    <definedName name="DATA_02" localSheetId="5" hidden="1">'[9]SALE REPORT'!#REF!</definedName>
    <definedName name="DATA_02" localSheetId="6" hidden="1">'[10]SALE REPORT'!#REF!</definedName>
    <definedName name="DATA_02" localSheetId="10" hidden="1">'[9]SALE REPORT'!#REF!</definedName>
    <definedName name="DATA_02" hidden="1">'[9]SALE REPORT'!#REF!</definedName>
    <definedName name="DATA_04" localSheetId="4" hidden="1">'[9]SALE REPORT'!#REF!</definedName>
    <definedName name="DATA_04" localSheetId="5" hidden="1">'[9]SALE REPORT'!#REF!</definedName>
    <definedName name="DATA_04" localSheetId="6" hidden="1">'[10]SALE REPORT'!#REF!</definedName>
    <definedName name="DATA_04" localSheetId="10" hidden="1">'[9]SALE REPORT'!#REF!</definedName>
    <definedName name="DATA_04" hidden="1">'[9]SALE REPORT'!#REF!</definedName>
    <definedName name="DATA_06" localSheetId="4" hidden="1">'[9]SALE REPORT'!#REF!</definedName>
    <definedName name="DATA_06" localSheetId="5" hidden="1">'[9]SALE REPORT'!#REF!</definedName>
    <definedName name="DATA_06" localSheetId="6" hidden="1">'[10]SALE REPORT'!#REF!</definedName>
    <definedName name="DATA_06" localSheetId="10" hidden="1">'[9]SALE REPORT'!#REF!</definedName>
    <definedName name="DATA_06" hidden="1">'[9]SALE REPORT'!#REF!</definedName>
    <definedName name="DATA_07" localSheetId="4" hidden="1">'[9]SALE REPORT'!#REF!</definedName>
    <definedName name="DATA_07" localSheetId="5" hidden="1">'[9]SALE REPORT'!#REF!</definedName>
    <definedName name="DATA_07" localSheetId="6" hidden="1">'[10]SALE REPORT'!#REF!</definedName>
    <definedName name="DATA_07" localSheetId="10" hidden="1">'[9]SALE REPORT'!#REF!</definedName>
    <definedName name="DATA_07" hidden="1">'[9]SALE REPORT'!#REF!</definedName>
    <definedName name="DATA_08" localSheetId="4" hidden="1">'[9]SALE REPORT'!#REF!</definedName>
    <definedName name="DATA_08" localSheetId="5" hidden="1">'[9]SALE REPORT'!#REF!</definedName>
    <definedName name="DATA_08" localSheetId="6" hidden="1">'[10]SALE REPORT'!#REF!</definedName>
    <definedName name="DATA_08" localSheetId="10" hidden="1">'[9]SALE REPORT'!#REF!</definedName>
    <definedName name="DATA_08" hidden="1">'[9]SALE REPORT'!#REF!</definedName>
    <definedName name="DATE" localSheetId="6">[8]REPORT!$B$4</definedName>
    <definedName name="DATE">'[11]DAILY REPORT'!$B$4</definedName>
    <definedName name="dd">'[12]SHIFT BALANCE'!#REF!</definedName>
    <definedName name="DEPOSITCHIP">#REF!</definedName>
    <definedName name="DK">#REF!</definedName>
    <definedName name="ee" localSheetId="4">'[12]SHIFT BALANCE'!#REF!</definedName>
    <definedName name="ee" localSheetId="5">'[12]SHIFT BALANCE'!#REF!</definedName>
    <definedName name="ee" localSheetId="6">'[12]SHIFT BALANCE'!#REF!</definedName>
    <definedName name="ee" localSheetId="10">'[12]SHIFT BALANCE'!#REF!</definedName>
    <definedName name="ee">'[12]SHIFT BALANCE'!#REF!</definedName>
    <definedName name="GAIN" localSheetId="5">"GAIN   " &amp; "$ " &amp; OFFSET(#REF!,0,1)</definedName>
    <definedName name="GAIN" localSheetId="6">"GAIN  " &amp;  "$   " &amp;[8]REPORT!#REF!</definedName>
    <definedName name="GAIN" localSheetId="10">"GAIN   " &amp; "$ " &amp; OFFSET(#REF!,0,1)</definedName>
    <definedName name="GAIN">"GAIN   " &amp; "$ " &amp; OFFSET(#REF!,0,1)</definedName>
    <definedName name="gg">[8]REPORT!$C$4</definedName>
    <definedName name="GRAVE" localSheetId="4">#REF!</definedName>
    <definedName name="GRAVE" localSheetId="5">#REF!</definedName>
    <definedName name="GRAVE" localSheetId="6">#REF!</definedName>
    <definedName name="GRAVE" localSheetId="10">#REF!</definedName>
    <definedName name="GRAVE">#REF!</definedName>
    <definedName name="GRAVE1">#REF!</definedName>
    <definedName name="HOTEL">#REF!</definedName>
    <definedName name="INSURANCE">#REF!</definedName>
    <definedName name="IntroPrintArea" localSheetId="4" hidden="1">#REF!</definedName>
    <definedName name="IntroPrintArea" localSheetId="5" hidden="1">#REF!</definedName>
    <definedName name="IntroPrintArea" localSheetId="6" hidden="1">#REF!</definedName>
    <definedName name="IntroPrintArea" localSheetId="10" hidden="1">#REF!</definedName>
    <definedName name="IntroPrintArea" hidden="1">#REF!</definedName>
    <definedName name="INVENTORY" localSheetId="4">'[2]Chips Bank Settlement'!#REF!</definedName>
    <definedName name="INVENTORY" localSheetId="5">'[2]Chips Bank Settlement'!#REF!</definedName>
    <definedName name="INVENTORY" localSheetId="6">'[2]Chips Bank Settlement'!#REF!</definedName>
    <definedName name="INVENTORY" localSheetId="10">'[2]Chips Bank Settlement'!#REF!</definedName>
    <definedName name="INVENTORY">'[2]Chips Bank Settlement'!#REF!</definedName>
    <definedName name="JAME" localSheetId="4">'[13]Chips Bank Settlement'!#REF!</definedName>
    <definedName name="JAME" localSheetId="5">'[13]Chips Bank Settlement'!#REF!</definedName>
    <definedName name="JAME" localSheetId="6">'[14]Chip bank Settlement'!#REF!</definedName>
    <definedName name="JAME" localSheetId="10">'[13]Chips Bank Settlement'!#REF!</definedName>
    <definedName name="JAME">'[13]Chips Bank Settlement'!#REF!</definedName>
    <definedName name="JVIN" localSheetId="4">#REF!</definedName>
    <definedName name="JVIN" localSheetId="5">#REF!</definedName>
    <definedName name="JVIN" localSheetId="10">#REF!</definedName>
    <definedName name="JVIN">#REF!</definedName>
    <definedName name="JVOUT" localSheetId="4">#REF!</definedName>
    <definedName name="JVOUT" localSheetId="5">#REF!</definedName>
    <definedName name="JVOUT" localSheetId="10">#REF!</definedName>
    <definedName name="JVOUT">#REF!</definedName>
    <definedName name="L">IF(#REF!="MARKETING PROMOTION",SUM(#REF!)/2,IF(#REF!="TRANSFER FROM MB/MV",SUM(#REF!)/2,SUM(#REF!)))</definedName>
    <definedName name="Look1Area" localSheetId="4">#REF!</definedName>
    <definedName name="Look1Area" localSheetId="5">#REF!</definedName>
    <definedName name="Look1Area" localSheetId="6">#REF!</definedName>
    <definedName name="Look1Area" localSheetId="10">#REF!</definedName>
    <definedName name="Look1Area">#REF!</definedName>
    <definedName name="Look2Area" localSheetId="4">#REF!</definedName>
    <definedName name="Look2Area" localSheetId="5">#REF!</definedName>
    <definedName name="Look2Area" localSheetId="6">#REF!</definedName>
    <definedName name="Look2Area" localSheetId="10">#REF!</definedName>
    <definedName name="Look2Area">#REF!</definedName>
    <definedName name="Look3Area" localSheetId="4">#REF!</definedName>
    <definedName name="Look3Area" localSheetId="5">#REF!</definedName>
    <definedName name="Look3Area" localSheetId="6">#REF!</definedName>
    <definedName name="Look3Area" localSheetId="10">#REF!</definedName>
    <definedName name="Look3Area">#REF!</definedName>
    <definedName name="Look4Area" localSheetId="4">#REF!</definedName>
    <definedName name="Look4Area" localSheetId="5">#REF!</definedName>
    <definedName name="Look4Area" localSheetId="6">#REF!</definedName>
    <definedName name="Look4Area" localSheetId="10">#REF!</definedName>
    <definedName name="Look4Area">#REF!</definedName>
    <definedName name="Look5Area" localSheetId="4">#REF!</definedName>
    <definedName name="Look5Area" localSheetId="5">#REF!</definedName>
    <definedName name="Look5Area" localSheetId="6">#REF!</definedName>
    <definedName name="Look5Area" localSheetId="10">#REF!</definedName>
    <definedName name="Look5Area">#REF!</definedName>
    <definedName name="LOSS">IF(#REF!&lt;0,-#REF!,0)</definedName>
    <definedName name="LUCKY" localSheetId="4">'[3]TURNOVER( BCC)'!#REF!</definedName>
    <definedName name="LUCKY" localSheetId="5">'[3]TURNOVER( BCC)'!#REF!</definedName>
    <definedName name="LUCKY" localSheetId="6">'[4]TURNOVER( BCC)'!#REF!</definedName>
    <definedName name="LUCKY" localSheetId="10">'[3]TURNOVER( BCC)'!#REF!</definedName>
    <definedName name="LUCKY">'[3]TURNOVER( BCC)'!#REF!</definedName>
    <definedName name="MAINBANK">#REF!</definedName>
    <definedName name="MORNING" localSheetId="4">#REF!</definedName>
    <definedName name="MORNING" localSheetId="5">#REF!</definedName>
    <definedName name="MORNING" localSheetId="6">#REF!</definedName>
    <definedName name="MORNING" localSheetId="10">#REF!</definedName>
    <definedName name="MORNING">#REF!</definedName>
    <definedName name="MYSANG" localSheetId="4">'[3]TURNOVER( BCC)'!#REF!</definedName>
    <definedName name="MYSANG" localSheetId="5">'[3]TURNOVER( BCC)'!#REF!</definedName>
    <definedName name="MYSANG" localSheetId="6">'[4]TURNOVER( BCC)'!#REF!</definedName>
    <definedName name="MYSANG" localSheetId="10">'[3]TURNOVER( BCC)'!#REF!</definedName>
    <definedName name="MYSANG">'[3]TURNOVER( BCC)'!#REF!</definedName>
    <definedName name="NEWPROMO">#REF!</definedName>
    <definedName name="NN">#REF!</definedName>
    <definedName name="OO">'[15]Chips Bank Settlement'!$E$23</definedName>
    <definedName name="_xlnm.Print_Area" localSheetId="3">'Chip Bank'!$B$2:$V$41</definedName>
    <definedName name="_xlnm.Print_Area" localSheetId="9">'Dep Daliy Log'!$A$1:$N$24</definedName>
    <definedName name="_xlnm.Print_Area" localSheetId="4">'F&amp;C Report'!$H$1:$AS$109</definedName>
    <definedName name="_xlnm.Print_Area" localSheetId="2">'Main Bank'!$B$2:$H$37</definedName>
    <definedName name="_xlnm.Print_Area" localSheetId="8">'Marker Daily Log'!$A$1:$H$42</definedName>
    <definedName name="_xlnm.Print_Area" localSheetId="5">'Table Breadown'!$A$1:$BU$35</definedName>
    <definedName name="_xlnm.Print_Area" localSheetId="6">'TABLE RESULT '!$B$1:$M$62</definedName>
    <definedName name="_xlnm.Print_Area" localSheetId="7">Unredeemed!$A$2:$K$138</definedName>
    <definedName name="_xlnm.Print_Area" localSheetId="10">'VIP Chip Count '!$B$2:$L$41</definedName>
    <definedName name="_xlnm.Print_Area" localSheetId="1">'VIP-DB'!$B$2:$J$61</definedName>
    <definedName name="qn" localSheetId="4">'[16]Chips Bank Settlement'!#REF!</definedName>
    <definedName name="qn" localSheetId="5">'[16]Chips Bank Settlement'!#REF!</definedName>
    <definedName name="qn" localSheetId="6">'[17]Chips Bank Settlement'!#REF!</definedName>
    <definedName name="qn" localSheetId="10">'[16]Chips Bank Settlement'!#REF!</definedName>
    <definedName name="qn">'[16]Chips Bank Settlement'!#REF!</definedName>
    <definedName name="QN\" localSheetId="4">'[7]Chips Bank Settlement'!#REF!</definedName>
    <definedName name="QN\" localSheetId="5">'[7]Chips Bank Settlement'!#REF!</definedName>
    <definedName name="QN\" localSheetId="6">'[7]Chips Bank Settlement'!#REF!</definedName>
    <definedName name="QN\" localSheetId="10">'[7]Chips Bank Settlement'!#REF!</definedName>
    <definedName name="QN\">'[7]Chips Bank Settlement'!#REF!</definedName>
    <definedName name="R.ANH3" localSheetId="4">#REF!</definedName>
    <definedName name="R.ANH3" localSheetId="5">#REF!</definedName>
    <definedName name="R.ANH3" localSheetId="6">#REF!</definedName>
    <definedName name="R.ANH3" localSheetId="10">#REF!</definedName>
    <definedName name="R.ANH3">#REF!</definedName>
    <definedName name="R.BADA" localSheetId="4">#REF!</definedName>
    <definedName name="R.BADA" localSheetId="5">#REF!</definedName>
    <definedName name="R.BADA" localSheetId="6">#REF!</definedName>
    <definedName name="R.BADA" localSheetId="10">#REF!</definedName>
    <definedName name="R.BADA">#REF!</definedName>
    <definedName name="RAGENT199" localSheetId="4">#REF!</definedName>
    <definedName name="RAGENT199" localSheetId="5">#REF!</definedName>
    <definedName name="RAGENT199" localSheetId="6">#REF!</definedName>
    <definedName name="RAGENT199" localSheetId="10">#REF!</definedName>
    <definedName name="RAGENT199">#REF!</definedName>
    <definedName name="RAGENT379" localSheetId="4">#REF!</definedName>
    <definedName name="RAGENT379" localSheetId="5">#REF!</definedName>
    <definedName name="RAGENT379" localSheetId="6">#REF!</definedName>
    <definedName name="RAGENT379" localSheetId="10">#REF!</definedName>
    <definedName name="RAGENT379">#REF!</definedName>
    <definedName name="RANH3" localSheetId="4">#REF!</definedName>
    <definedName name="RANH3" localSheetId="5">#REF!</definedName>
    <definedName name="RANH3" localSheetId="6">#REF!</definedName>
    <definedName name="RANH3" localSheetId="10">#REF!</definedName>
    <definedName name="RANH3">#REF!</definedName>
    <definedName name="RBADA" localSheetId="4">#REF!</definedName>
    <definedName name="RBADA" localSheetId="5">#REF!</definedName>
    <definedName name="RBADA" localSheetId="6">#REF!</definedName>
    <definedName name="RBADA" localSheetId="10">#REF!</definedName>
    <definedName name="RBADA">#REF!</definedName>
    <definedName name="RBANG" localSheetId="4">#REF!</definedName>
    <definedName name="RBANG" localSheetId="5">#REF!</definedName>
    <definedName name="RBANG" localSheetId="6">#REF!</definedName>
    <definedName name="RBANG" localSheetId="10">#REF!</definedName>
    <definedName name="RBANG">#REF!</definedName>
    <definedName name="RBDTOTAL" localSheetId="4">#REF!</definedName>
    <definedName name="RBDTOTAL" localSheetId="5">#REF!</definedName>
    <definedName name="RBDTOTAL" localSheetId="6">#REF!</definedName>
    <definedName name="RBDTOTAL" localSheetId="10">#REF!</definedName>
    <definedName name="RBDTOTAL">#REF!</definedName>
    <definedName name="RCHUNG" localSheetId="4">#REF!</definedName>
    <definedName name="RCHUNG" localSheetId="5">#REF!</definedName>
    <definedName name="RCHUNG" localSheetId="6">#REF!</definedName>
    <definedName name="RCHUNG" localSheetId="10">#REF!</definedName>
    <definedName name="RCHUNG">#REF!</definedName>
    <definedName name="RCUONGDUNG" localSheetId="4">#REF!</definedName>
    <definedName name="RCUONGDUNG" localSheetId="5">#REF!</definedName>
    <definedName name="RCUONGDUNG" localSheetId="6">#REF!</definedName>
    <definedName name="RCUONGDUNG" localSheetId="10">#REF!</definedName>
    <definedName name="RCUONGDUNG">#REF!</definedName>
    <definedName name="RDALIN" localSheetId="4">#REF!</definedName>
    <definedName name="RDALIN" localSheetId="5">#REF!</definedName>
    <definedName name="RDALIN" localSheetId="6">#REF!</definedName>
    <definedName name="RDALIN" localSheetId="10">#REF!</definedName>
    <definedName name="RDALIN">#REF!</definedName>
    <definedName name="RDUONG" localSheetId="4">#REF!</definedName>
    <definedName name="RDUONG" localSheetId="5">#REF!</definedName>
    <definedName name="RDUONG" localSheetId="6">#REF!</definedName>
    <definedName name="RDUONG" localSheetId="10">#REF!</definedName>
    <definedName name="RDUONG">#REF!</definedName>
    <definedName name="RFAT" localSheetId="4">#REF!</definedName>
    <definedName name="RFAT" localSheetId="5">#REF!</definedName>
    <definedName name="RFAT" localSheetId="6">#REF!</definedName>
    <definedName name="RFAT" localSheetId="10">#REF!</definedName>
    <definedName name="RFAT">#REF!</definedName>
    <definedName name="RHAI" localSheetId="4">#REF!</definedName>
    <definedName name="RHAI" localSheetId="5">#REF!</definedName>
    <definedName name="RHAI" localSheetId="6">#REF!</definedName>
    <definedName name="RHAI" localSheetId="10">#REF!</definedName>
    <definedName name="RHAI">#REF!</definedName>
    <definedName name="RHAPPYDAY" localSheetId="4">#REF!</definedName>
    <definedName name="RHAPPYDAY" localSheetId="5">#REF!</definedName>
    <definedName name="RHAPPYDAY" localSheetId="6">#REF!</definedName>
    <definedName name="RHAPPYDAY" localSheetId="10">#REF!</definedName>
    <definedName name="RHAPPYDAY">#REF!</definedName>
    <definedName name="RHENHEN" localSheetId="4">#REF!</definedName>
    <definedName name="RHENHEN" localSheetId="5">#REF!</definedName>
    <definedName name="RHENHEN" localSheetId="6">#REF!</definedName>
    <definedName name="RHENHEN" localSheetId="10">#REF!</definedName>
    <definedName name="RHENHEN">#REF!</definedName>
    <definedName name="RHOAHK" localSheetId="4">#REF!</definedName>
    <definedName name="RHOAHK" localSheetId="5">#REF!</definedName>
    <definedName name="RHOAHK" localSheetId="6">#REF!</definedName>
    <definedName name="RHOAHK" localSheetId="10">#REF!</definedName>
    <definedName name="RHOAHK">#REF!</definedName>
    <definedName name="RHOAIMINH" localSheetId="4">#REF!</definedName>
    <definedName name="RHOAIMINH" localSheetId="5">#REF!</definedName>
    <definedName name="RHOAIMINH" localSheetId="6">#REF!</definedName>
    <definedName name="RHOAIMINH" localSheetId="10">#REF!</definedName>
    <definedName name="RHOAIMINH">#REF!</definedName>
    <definedName name="RHON" localSheetId="4">#REF!</definedName>
    <definedName name="RHON" localSheetId="5">#REF!</definedName>
    <definedName name="RHON" localSheetId="6">#REF!</definedName>
    <definedName name="RHON" localSheetId="10">#REF!</definedName>
    <definedName name="RHON">#REF!</definedName>
    <definedName name="RHONG" localSheetId="4">#REF!</definedName>
    <definedName name="RHONG" localSheetId="5">#REF!</definedName>
    <definedName name="RHONG" localSheetId="6">#REF!</definedName>
    <definedName name="RHONG" localSheetId="10">#REF!</definedName>
    <definedName name="RHONG">#REF!</definedName>
    <definedName name="RJOHNSON" localSheetId="4">#REF!</definedName>
    <definedName name="RJOHNSON" localSheetId="5">#REF!</definedName>
    <definedName name="RJOHNSON" localSheetId="6">#REF!</definedName>
    <definedName name="RJOHNSON" localSheetId="10">#REF!</definedName>
    <definedName name="RJOHNSON">#REF!</definedName>
    <definedName name="RKAO" localSheetId="4">#REF!</definedName>
    <definedName name="RKAO" localSheetId="5">#REF!</definedName>
    <definedName name="RKAO" localSheetId="6">#REF!</definedName>
    <definedName name="RKAO" localSheetId="10">#REF!</definedName>
    <definedName name="RKAO">#REF!</definedName>
    <definedName name="RKHANVI" localSheetId="4">#REF!</definedName>
    <definedName name="RKHANVI" localSheetId="5">#REF!</definedName>
    <definedName name="RKHANVI" localSheetId="6">#REF!</definedName>
    <definedName name="RKHANVI" localSheetId="10">#REF!</definedName>
    <definedName name="RKHANVI">#REF!</definedName>
    <definedName name="RKIM" localSheetId="4">#REF!</definedName>
    <definedName name="RKIM" localSheetId="5">#REF!</definedName>
    <definedName name="RKIM" localSheetId="6">#REF!</definedName>
    <definedName name="RKIM" localSheetId="10">#REF!</definedName>
    <definedName name="RKIM">#REF!</definedName>
    <definedName name="RKIMANH" localSheetId="4">#REF!</definedName>
    <definedName name="RKIMANH" localSheetId="5">#REF!</definedName>
    <definedName name="RKIMANH" localSheetId="6">#REF!</definedName>
    <definedName name="RKIMANH" localSheetId="10">#REF!</definedName>
    <definedName name="RKIMANH">#REF!</definedName>
    <definedName name="RLUC838" localSheetId="4">#REF!</definedName>
    <definedName name="RLUC838" localSheetId="5">#REF!</definedName>
    <definedName name="RLUC838" localSheetId="6">#REF!</definedName>
    <definedName name="RLUC838" localSheetId="10">#REF!</definedName>
    <definedName name="RLUC838">#REF!</definedName>
    <definedName name="RLUCKY" localSheetId="4">#REF!</definedName>
    <definedName name="RLUCKY" localSheetId="5">#REF!</definedName>
    <definedName name="RLUCKY" localSheetId="6">#REF!</definedName>
    <definedName name="RLUCKY" localSheetId="10">#REF!</definedName>
    <definedName name="RLUCKY">#REF!</definedName>
    <definedName name="RMALY" localSheetId="4">#REF!</definedName>
    <definedName name="RMALY" localSheetId="5">#REF!</definedName>
    <definedName name="RMALY" localSheetId="6">#REF!</definedName>
    <definedName name="RMALY" localSheetId="10">#REF!</definedName>
    <definedName name="RMALY">#REF!</definedName>
    <definedName name="RMENG" localSheetId="4">#REF!</definedName>
    <definedName name="RMENG" localSheetId="5">#REF!</definedName>
    <definedName name="RMENG" localSheetId="6">#REF!</definedName>
    <definedName name="RMENG" localSheetId="10">#REF!</definedName>
    <definedName name="RMENG">#REF!</definedName>
    <definedName name="RMENGHOUR" localSheetId="4">#REF!</definedName>
    <definedName name="RMENGHOUR" localSheetId="5">#REF!</definedName>
    <definedName name="RMENGHOUR" localSheetId="6">#REF!</definedName>
    <definedName name="RMENGHOUR" localSheetId="10">#REF!</definedName>
    <definedName name="RMENGHOUR">#REF!</definedName>
    <definedName name="RMINHTRUNG" localSheetId="4">#REF!</definedName>
    <definedName name="RMINHTRUNG" localSheetId="5">#REF!</definedName>
    <definedName name="RMINHTRUNG" localSheetId="6">#REF!</definedName>
    <definedName name="RMINHTRUNG" localSheetId="10">#REF!</definedName>
    <definedName name="RMINHTRUNG">#REF!</definedName>
    <definedName name="RMYHIEN" localSheetId="4">#REF!</definedName>
    <definedName name="RMYHIEN" localSheetId="5">#REF!</definedName>
    <definedName name="RMYHIEN" localSheetId="6">#REF!</definedName>
    <definedName name="RMYHIEN" localSheetId="10">#REF!</definedName>
    <definedName name="RMYHIEN">#REF!</definedName>
    <definedName name="RMYSANG" localSheetId="4">#REF!</definedName>
    <definedName name="RMYSANG" localSheetId="5">#REF!</definedName>
    <definedName name="RMYSANG" localSheetId="6">#REF!</definedName>
    <definedName name="RMYSANG" localSheetId="10">#REF!</definedName>
    <definedName name="RMYSANG">#REF!</definedName>
    <definedName name="RNGOCMAI" localSheetId="4">#REF!</definedName>
    <definedName name="RNGOCMAI" localSheetId="5">#REF!</definedName>
    <definedName name="RNGOCMAI" localSheetId="6">#REF!</definedName>
    <definedName name="RNGOCMAI" localSheetId="10">#REF!</definedName>
    <definedName name="RNGOCMAI">#REF!</definedName>
    <definedName name="ROLLING">#REF!</definedName>
    <definedName name="ROLLING1">#REF!</definedName>
    <definedName name="RPHUC" localSheetId="4">#REF!</definedName>
    <definedName name="RPHUC" localSheetId="5">#REF!</definedName>
    <definedName name="RPHUC" localSheetId="6">#REF!</definedName>
    <definedName name="RPHUC" localSheetId="10">#REF!</definedName>
    <definedName name="RPHUC">#REF!</definedName>
    <definedName name="RPHUONGHA" localSheetId="4">#REF!</definedName>
    <definedName name="RPHUONGHA" localSheetId="5">#REF!</definedName>
    <definedName name="RPHUONGHA" localSheetId="6">#REF!</definedName>
    <definedName name="RPHUONGHA" localSheetId="10">#REF!</definedName>
    <definedName name="RPHUONGHA">#REF!</definedName>
    <definedName name="RRSN" localSheetId="4">#REF!</definedName>
    <definedName name="RRSN" localSheetId="5">#REF!</definedName>
    <definedName name="RRSN" localSheetId="6">#REF!</definedName>
    <definedName name="RRSN" localSheetId="10">#REF!</definedName>
    <definedName name="RRSN">#REF!</definedName>
    <definedName name="RSAM" localSheetId="4">#REF!</definedName>
    <definedName name="RSAM" localSheetId="5">#REF!</definedName>
    <definedName name="RSAM" localSheetId="6">#REF!</definedName>
    <definedName name="RSAM" localSheetId="10">#REF!</definedName>
    <definedName name="RSAM">#REF!</definedName>
    <definedName name="RSANH" localSheetId="4">#REF!</definedName>
    <definedName name="RSANH" localSheetId="5">#REF!</definedName>
    <definedName name="RSANH" localSheetId="6">#REF!</definedName>
    <definedName name="RSANH" localSheetId="10">#REF!</definedName>
    <definedName name="RSANH">#REF!</definedName>
    <definedName name="RSHEA" localSheetId="4">#REF!</definedName>
    <definedName name="RSHEA" localSheetId="5">#REF!</definedName>
    <definedName name="RSHEA" localSheetId="6">#REF!</definedName>
    <definedName name="RSHEA" localSheetId="10">#REF!</definedName>
    <definedName name="RSHEA">#REF!</definedName>
    <definedName name="RSOCLY" localSheetId="4">#REF!</definedName>
    <definedName name="RSOCLY" localSheetId="5">#REF!</definedName>
    <definedName name="RSOCLY" localSheetId="6">#REF!</definedName>
    <definedName name="RSOCLY" localSheetId="10">#REF!</definedName>
    <definedName name="RSOCLY">#REF!</definedName>
    <definedName name="RSOKCHAY" localSheetId="4">#REF!</definedName>
    <definedName name="RSOKCHAY" localSheetId="5">#REF!</definedName>
    <definedName name="RSOKCHAY" localSheetId="6">#REF!</definedName>
    <definedName name="RSOKCHAY" localSheetId="10">#REF!</definedName>
    <definedName name="RSOKCHAY">#REF!</definedName>
    <definedName name="RSOKHA" localSheetId="4">#REF!</definedName>
    <definedName name="RSOKHA" localSheetId="5">#REF!</definedName>
    <definedName name="RSOKHA" localSheetId="6">#REF!</definedName>
    <definedName name="RSOKHA" localSheetId="10">#REF!</definedName>
    <definedName name="RSOKHA">#REF!</definedName>
    <definedName name="RSOKTHAI" localSheetId="4">#REF!</definedName>
    <definedName name="RSOKTHAI" localSheetId="5">#REF!</definedName>
    <definedName name="RSOKTHAI" localSheetId="6">#REF!</definedName>
    <definedName name="RSOKTHAI" localSheetId="10">#REF!</definedName>
    <definedName name="RSOKTHAI">#REF!</definedName>
    <definedName name="RTANLOC" localSheetId="4">#REF!</definedName>
    <definedName name="RTANLOC" localSheetId="5">#REF!</definedName>
    <definedName name="RTANLOC" localSheetId="6">#REF!</definedName>
    <definedName name="RTANLOC" localSheetId="10">#REF!</definedName>
    <definedName name="RTANLOC">#REF!</definedName>
    <definedName name="RTHA" localSheetId="4">#REF!</definedName>
    <definedName name="RTHA" localSheetId="5">#REF!</definedName>
    <definedName name="RTHA" localSheetId="6">#REF!</definedName>
    <definedName name="RTHA" localSheetId="10">#REF!</definedName>
    <definedName name="RTHA">#REF!</definedName>
    <definedName name="RTHAIPHUOC" localSheetId="4">#REF!</definedName>
    <definedName name="RTHAIPHUOC" localSheetId="5">#REF!</definedName>
    <definedName name="RTHAIPHUOC" localSheetId="6">#REF!</definedName>
    <definedName name="RTHAIPHUOC" localSheetId="10">#REF!</definedName>
    <definedName name="RTHAIPHUOC">#REF!</definedName>
    <definedName name="RTHANTHUY." localSheetId="4">#REF!</definedName>
    <definedName name="RTHANTHUY." localSheetId="5">#REF!</definedName>
    <definedName name="RTHANTHUY." localSheetId="6">#REF!</definedName>
    <definedName name="RTHANTHUY." localSheetId="10">#REF!</definedName>
    <definedName name="RTHANTHUY.">#REF!</definedName>
    <definedName name="RTHUAN" localSheetId="4">#REF!</definedName>
    <definedName name="RTHUAN" localSheetId="5">#REF!</definedName>
    <definedName name="RTHUAN" localSheetId="6">#REF!</definedName>
    <definedName name="RTHUAN" localSheetId="10">#REF!</definedName>
    <definedName name="RTHUAN">#REF!</definedName>
    <definedName name="RTHUANANH" localSheetId="4">#REF!</definedName>
    <definedName name="RTHUANANH" localSheetId="5">#REF!</definedName>
    <definedName name="RTHUANANH" localSheetId="6">#REF!</definedName>
    <definedName name="RTHUANANH" localSheetId="10">#REF!</definedName>
    <definedName name="RTHUANANH">#REF!</definedName>
    <definedName name="RTHUANDIEN" localSheetId="4">#REF!</definedName>
    <definedName name="RTHUANDIEN" localSheetId="5">#REF!</definedName>
    <definedName name="RTHUANDIEN" localSheetId="6">#REF!</definedName>
    <definedName name="RTHUANDIEN" localSheetId="10">#REF!</definedName>
    <definedName name="RTHUANDIEN">#REF!</definedName>
    <definedName name="RTHUONG" localSheetId="4">#REF!</definedName>
    <definedName name="RTHUONG" localSheetId="5">#REF!</definedName>
    <definedName name="RTHUONG" localSheetId="6">#REF!</definedName>
    <definedName name="RTHUONG" localSheetId="10">#REF!</definedName>
    <definedName name="RTHUONG">#REF!</definedName>
    <definedName name="RTHUYLIEU" localSheetId="4">#REF!</definedName>
    <definedName name="RTHUYLIEU" localSheetId="5">#REF!</definedName>
    <definedName name="RTHUYLIEU" localSheetId="6">#REF!</definedName>
    <definedName name="RTHUYLIEU" localSheetId="10">#REF!</definedName>
    <definedName name="RTHUYLIEU">#REF!</definedName>
    <definedName name="RTOANTHANG" localSheetId="4">#REF!</definedName>
    <definedName name="RTOANTHANG" localSheetId="5">#REF!</definedName>
    <definedName name="RTOANTHANG" localSheetId="6">#REF!</definedName>
    <definedName name="RTOANTHANG" localSheetId="10">#REF!</definedName>
    <definedName name="RTOANTHANG">#REF!</definedName>
    <definedName name="RTRANTAI" localSheetId="4">#REF!</definedName>
    <definedName name="RTRANTAI" localSheetId="5">#REF!</definedName>
    <definedName name="RTRANTAI" localSheetId="6">#REF!</definedName>
    <definedName name="RTRANTAI" localSheetId="10">#REF!</definedName>
    <definedName name="RTRANTAI">#REF!</definedName>
    <definedName name="RUTVANG" localSheetId="4">#REF!</definedName>
    <definedName name="RUTVANG" localSheetId="5">#REF!</definedName>
    <definedName name="RUTVANG" localSheetId="6">#REF!</definedName>
    <definedName name="RUTVANG" localSheetId="10">#REF!</definedName>
    <definedName name="RUTVANG">#REF!</definedName>
    <definedName name="RWIN99" localSheetId="4">#REF!</definedName>
    <definedName name="RWIN99" localSheetId="5">#REF!</definedName>
    <definedName name="RWIN99" localSheetId="6">#REF!</definedName>
    <definedName name="RWIN99" localSheetId="10">#REF!</definedName>
    <definedName name="RWIN99">#REF!</definedName>
    <definedName name="Saturday__January_00__1900" localSheetId="5">#REF!</definedName>
    <definedName name="SAVICA">#REF!</definedName>
    <definedName name="SELECTION" localSheetId="4">#REF!</definedName>
    <definedName name="SELECTION" localSheetId="5">#REF!</definedName>
    <definedName name="SELECTION" localSheetId="6">#REF!</definedName>
    <definedName name="SELECTION" localSheetId="10">#REF!</definedName>
    <definedName name="SELECTION">#REF!</definedName>
    <definedName name="SHIFT" localSheetId="4">[18]Commission!#REF!</definedName>
    <definedName name="SHIFT" localSheetId="5">[18]Commission!#REF!</definedName>
    <definedName name="SHIFT" localSheetId="6">#REF!</definedName>
    <definedName name="SHIFT" localSheetId="10">[18]Commission!#REF!</definedName>
    <definedName name="SHIFT">[18]Commission!#REF!</definedName>
    <definedName name="SHIFT1">#REF!</definedName>
    <definedName name="SLOT">#REF!</definedName>
    <definedName name="SOCLY" localSheetId="4">'[3]TURNOVER( BCC)'!#REF!</definedName>
    <definedName name="SOCLY" localSheetId="5">'[3]TURNOVER( BCC)'!#REF!</definedName>
    <definedName name="SOCLY" localSheetId="6">'[4]TURNOVER( BCC)'!#REF!</definedName>
    <definedName name="SOCLY" localSheetId="10">'[3]TURNOVER( BCC)'!#REF!</definedName>
    <definedName name="SOCLY">'[3]TURNOVER( BCC)'!#REF!</definedName>
    <definedName name="STATUS">IF(ISERROR(VLOOKUP([19]!DATE,#REF!,10,FALSE)),"_",VLOOKUP([19]!DATE,#REF!,10,FALSE))</definedName>
    <definedName name="SVWORLD">#REF!</definedName>
    <definedName name="SWING" localSheetId="4">#REF!</definedName>
    <definedName name="SWING" localSheetId="5">#REF!</definedName>
    <definedName name="SWING" localSheetId="6">#REF!</definedName>
    <definedName name="SWING" localSheetId="10">#REF!</definedName>
    <definedName name="SWING">#REF!</definedName>
    <definedName name="TABLE">#REF!</definedName>
    <definedName name="THUYLIEU" localSheetId="4">'[3]TURNOVER( BCC)'!#REF!</definedName>
    <definedName name="THUYLIEU" localSheetId="5">'[3]TURNOVER( BCC)'!#REF!</definedName>
    <definedName name="THUYLIEU" localSheetId="6">'[4]TURNOVER( BCC)'!#REF!</definedName>
    <definedName name="THUYLIEU" localSheetId="10">'[3]TURNOVER( BCC)'!#REF!</definedName>
    <definedName name="THUYLIEU">'[3]TURNOVER( BCC)'!#REF!</definedName>
    <definedName name="TOANTHANG" localSheetId="4">'[3]TURNOVER( BCC)'!#REF!</definedName>
    <definedName name="TOANTHANG" localSheetId="5">'[3]TURNOVER( BCC)'!#REF!</definedName>
    <definedName name="TOANTHANG" localSheetId="6">'[4]TURNOVER( BCC)'!#REF!</definedName>
    <definedName name="TOANTHANG" localSheetId="10">'[3]TURNOVER( BCC)'!#REF!</definedName>
    <definedName name="TOANTHANG">'[3]TURNOVER( BCC)'!#REF!</definedName>
    <definedName name="TOTAL" localSheetId="4">IF('[1]PRINT DETAIL'!XFD1="MARKETING PROMOTION",SUM('[1]PRINT DETAIL'!A3:A399)/2,IF('[1]PRINT DETAIL'!XFD1="TRANSFER FROM MB/MV",SUM('[1]PRINT DETAIL'!A3:A399)/2,SUM('[1]PRINT DETAIL'!A3:A399)))</definedName>
    <definedName name="TOTAL" localSheetId="6">IF(#REF!="MARKETING PROMOTION",SUM(#REF!)/2,IF(#REF!="TRANSFER FROM MB/MV",SUM(#REF!)/2,SUM(#REF!)))</definedName>
    <definedName name="TOTAL">IF('[1]PRINT DETAIL'!XFD1="MARKETING PROMOTION",SUM('[1]PRINT DETAIL'!A3:A399)/2,IF('[1]PRINT DETAIL'!XFD1="TRANSFER FROM MB/MV",SUM('[1]PRINT DETAIL'!A3:A399)/2,SUM('[1]PRINT DETAIL'!A3:A399)))</definedName>
    <definedName name="tt" localSheetId="4">IF(#REF!="MARKETING PROMOTION",SUM(#REF!)/2,IF(#REF!="TRANSFER FROM MB/MV",SUM(#REF!)/2,SUM(#REF!)))</definedName>
    <definedName name="tt" localSheetId="5">IF(#REF!="MARKETING PROMOTION",SUM(#REF!)/2,IF(#REF!="TRANSFER FROM MB/MV",SUM(#REF!)/2,SUM(#REF!)))</definedName>
    <definedName name="tt" localSheetId="6">IF(#REF!="MARKETING PROMOTION",SUM(#REF!)/2,IF(#REF!="TRANSFER FROM MB/MV",SUM(#REF!)/2,SUM(#REF!)))</definedName>
    <definedName name="tt" localSheetId="10">IF(#REF!="MARKETING PROMOTION",SUM(#REF!)/2,IF(#REF!="TRANSFER FROM MB/MV",SUM(#REF!)/2,SUM(#REF!)))</definedName>
    <definedName name="tt">IF(#REF!="MARKETING PROMOTION",SUM(#REF!)/2,IF(#REF!="TRANSFER FROM MB/MV",SUM(#REF!)/2,SUM(#REF!)))</definedName>
    <definedName name="TUANANH" localSheetId="4">'[3]TURNOVER( BCC)'!#REF!</definedName>
    <definedName name="TUANANH" localSheetId="5">'[3]TURNOVER( BCC)'!#REF!</definedName>
    <definedName name="TUANANH" localSheetId="6">'[4]TURNOVER( BCC)'!#REF!</definedName>
    <definedName name="TUANANH" localSheetId="10">'[3]TURNOVER( BCC)'!#REF!</definedName>
    <definedName name="TUANANH">'[3]TURNOVER( BCC)'!#REF!</definedName>
    <definedName name="VIP2CHIP">#REF!</definedName>
    <definedName name="WHOLEDAY">#REF!</definedName>
    <definedName name="WIN">IF(#REF!&gt;0,#REF!,0)</definedName>
    <definedName name="XFSD" localSheetId="4">#REF!</definedName>
    <definedName name="XFSD" localSheetId="5">#REF!</definedName>
    <definedName name="XFSD" localSheetId="6">#REF!</definedName>
    <definedName name="XFSD" localSheetId="10">#REF!</definedName>
    <definedName name="XFSD">#REF!</definedName>
    <definedName name="Z_326894F2_8F0F_4988_90D9_C1317EEBE6FF_.wvu.Rows" localSheetId="6" hidden="1">'TABLE RESULT '!#REF!,'TABLE RESULT '!$15:$15</definedName>
  </definedNames>
  <calcPr calcId="162913"/>
  <fileRecoveryPr autoRecover="0"/>
</workbook>
</file>

<file path=xl/calcChain.xml><?xml version="1.0" encoding="utf-8"?>
<calcChain xmlns="http://schemas.openxmlformats.org/spreadsheetml/2006/main">
  <c r="AQ29" i="90" l="1"/>
  <c r="T19" i="70"/>
  <c r="T18" i="70"/>
  <c r="T17" i="70"/>
  <c r="T16" i="70"/>
  <c r="T15" i="70"/>
  <c r="T14" i="70"/>
  <c r="T13" i="70"/>
  <c r="T12" i="70"/>
  <c r="T11" i="70"/>
  <c r="T10" i="70"/>
  <c r="T9" i="70"/>
  <c r="S10" i="70"/>
  <c r="S11" i="70"/>
  <c r="S12" i="70"/>
  <c r="S13" i="70"/>
  <c r="S14" i="70"/>
  <c r="S15" i="70"/>
  <c r="S16" i="70"/>
  <c r="S17" i="70"/>
  <c r="S18" i="70"/>
  <c r="S19" i="70"/>
  <c r="S9" i="70"/>
  <c r="M10" i="70"/>
  <c r="M11" i="70"/>
  <c r="M12" i="70"/>
  <c r="M13" i="70"/>
  <c r="M14" i="70"/>
  <c r="M15" i="70"/>
  <c r="M16" i="70"/>
  <c r="M17" i="70"/>
  <c r="M18" i="70"/>
  <c r="M9" i="70"/>
  <c r="N18" i="70"/>
  <c r="N17" i="70"/>
  <c r="N16" i="70"/>
  <c r="N15" i="70"/>
  <c r="N14" i="70"/>
  <c r="N13" i="70"/>
  <c r="N12" i="70"/>
  <c r="N11" i="70"/>
  <c r="N10" i="70"/>
  <c r="N9" i="70"/>
  <c r="H27" i="70"/>
  <c r="G28" i="70"/>
  <c r="G29" i="70"/>
  <c r="G30" i="70"/>
  <c r="G27" i="70"/>
  <c r="B3" i="75" l="1"/>
  <c r="A3" i="89" s="1"/>
  <c r="H30" i="70" l="1"/>
  <c r="H29" i="70"/>
  <c r="H28" i="70"/>
  <c r="H26" i="70"/>
  <c r="I26" i="70" s="1"/>
  <c r="H25" i="70"/>
  <c r="I25" i="70" s="1"/>
  <c r="H24" i="70"/>
  <c r="I24" i="70" s="1"/>
  <c r="H19" i="70"/>
  <c r="H18" i="70"/>
  <c r="H17" i="70"/>
  <c r="H16" i="70"/>
  <c r="H15" i="70"/>
  <c r="H14" i="70"/>
  <c r="H13" i="70"/>
  <c r="H12" i="70"/>
  <c r="H11" i="70"/>
  <c r="H10" i="70"/>
  <c r="H9" i="70"/>
  <c r="J24" i="70"/>
  <c r="J25" i="70"/>
  <c r="J26" i="70"/>
  <c r="M32" i="70" l="1"/>
  <c r="M31" i="70"/>
  <c r="M30" i="70"/>
  <c r="M29" i="70"/>
  <c r="M28" i="70"/>
  <c r="M27" i="70"/>
  <c r="M26" i="70"/>
  <c r="M25" i="70"/>
  <c r="M24" i="70"/>
  <c r="AL17" i="90"/>
  <c r="AL18" i="90"/>
  <c r="AL19" i="90"/>
  <c r="AL20" i="90"/>
  <c r="AL21" i="90"/>
  <c r="AL22" i="90"/>
  <c r="AL23" i="90"/>
  <c r="AL24" i="90"/>
  <c r="AL25" i="90"/>
  <c r="AL26" i="90"/>
  <c r="AL27" i="90"/>
  <c r="AL28" i="90"/>
  <c r="AL29" i="90"/>
  <c r="AL30" i="90"/>
  <c r="AL31" i="90"/>
  <c r="AL32" i="90"/>
  <c r="AL33" i="90"/>
  <c r="AL34" i="90"/>
  <c r="AL35" i="90"/>
  <c r="AL36" i="90"/>
  <c r="AL37" i="90"/>
  <c r="AL38" i="90"/>
  <c r="AL39" i="90"/>
  <c r="AL40" i="90"/>
  <c r="AL41" i="90"/>
  <c r="AL42" i="90"/>
  <c r="AL43" i="90"/>
  <c r="AL44" i="90"/>
  <c r="AL45" i="90"/>
  <c r="AL46" i="90"/>
  <c r="AL47" i="90"/>
  <c r="AK9" i="90"/>
  <c r="AL9" i="90" s="1"/>
  <c r="AK10" i="90"/>
  <c r="AL10" i="90" s="1"/>
  <c r="AK11" i="90"/>
  <c r="AL11" i="90" s="1"/>
  <c r="AK12" i="90"/>
  <c r="AL12" i="90" s="1"/>
  <c r="AK13" i="90"/>
  <c r="AL13" i="90" s="1"/>
  <c r="AK14" i="90"/>
  <c r="AL14" i="90" s="1"/>
  <c r="AK15" i="90"/>
  <c r="AL15" i="90" s="1"/>
  <c r="AK16" i="90"/>
  <c r="AL16" i="90" s="1"/>
  <c r="AK17" i="90"/>
  <c r="AK18" i="90"/>
  <c r="AK19" i="90"/>
  <c r="AK20" i="90"/>
  <c r="AK21" i="90"/>
  <c r="AK22" i="90"/>
  <c r="AK23" i="90"/>
  <c r="AK24" i="90"/>
  <c r="AK25" i="90"/>
  <c r="AK26" i="90"/>
  <c r="AK27" i="90"/>
  <c r="AK28" i="90"/>
  <c r="AK29" i="90"/>
  <c r="AK30" i="90"/>
  <c r="AK31" i="90"/>
  <c r="AK32" i="90"/>
  <c r="AK33" i="90"/>
  <c r="AK34" i="90"/>
  <c r="AK35" i="90"/>
  <c r="AK36" i="90"/>
  <c r="AK37" i="90"/>
  <c r="AK38" i="90"/>
  <c r="AK39" i="90"/>
  <c r="AK40" i="90"/>
  <c r="AK41" i="90"/>
  <c r="AK42" i="90"/>
  <c r="AK43" i="90"/>
  <c r="AK44" i="90"/>
  <c r="AK45" i="90"/>
  <c r="AK46" i="90"/>
  <c r="AK47" i="90"/>
  <c r="AK8" i="90"/>
  <c r="AL8" i="90" s="1"/>
  <c r="AQ16" i="90" l="1"/>
  <c r="AQ40" i="90"/>
  <c r="AQ9" i="90"/>
  <c r="AQ41" i="90"/>
  <c r="AQ39" i="90"/>
  <c r="AQ38" i="90"/>
  <c r="AQ37" i="90"/>
  <c r="AQ36" i="90"/>
  <c r="D7" i="68" s="1"/>
  <c r="AQ35" i="90"/>
  <c r="D8" i="68" s="1"/>
  <c r="AQ34" i="90"/>
  <c r="D9" i="68" s="1"/>
  <c r="AQ33" i="90"/>
  <c r="D10" i="68" s="1"/>
  <c r="AQ30" i="90"/>
  <c r="AQ28" i="90"/>
  <c r="AQ27" i="90"/>
  <c r="AQ25" i="90"/>
  <c r="AQ24" i="90"/>
  <c r="AQ23" i="90"/>
  <c r="F134" i="89" l="1"/>
  <c r="D7" i="92" l="1"/>
  <c r="D8" i="92"/>
  <c r="D9" i="92"/>
  <c r="D10" i="92"/>
  <c r="D11" i="92"/>
  <c r="D12" i="92"/>
  <c r="D13" i="92"/>
  <c r="D14" i="92"/>
  <c r="D15" i="92"/>
  <c r="D16" i="92"/>
  <c r="D17" i="92"/>
  <c r="D18" i="92"/>
  <c r="D19" i="92"/>
  <c r="D20" i="92"/>
  <c r="D21" i="92"/>
  <c r="D22" i="92"/>
  <c r="D23" i="92"/>
  <c r="D24" i="92"/>
  <c r="D25" i="92"/>
  <c r="D26" i="92"/>
  <c r="D27" i="92"/>
  <c r="D28" i="92"/>
  <c r="D29" i="92"/>
  <c r="D30" i="92"/>
  <c r="D31" i="92"/>
  <c r="D32" i="92"/>
  <c r="D33" i="92"/>
  <c r="D34" i="92"/>
  <c r="D35" i="92"/>
  <c r="D36" i="92"/>
  <c r="D37" i="92"/>
  <c r="D38" i="92"/>
  <c r="D39" i="92"/>
  <c r="D40" i="92"/>
  <c r="D41" i="92"/>
  <c r="D42" i="92"/>
  <c r="D43" i="92"/>
  <c r="D44" i="92"/>
  <c r="D45" i="92"/>
  <c r="D46" i="92"/>
  <c r="D47" i="92"/>
  <c r="K7" i="92"/>
  <c r="K8" i="92"/>
  <c r="K9" i="92"/>
  <c r="K10" i="92"/>
  <c r="K11" i="92"/>
  <c r="K12" i="92"/>
  <c r="K13" i="92"/>
  <c r="K14" i="92"/>
  <c r="K15" i="92"/>
  <c r="K16" i="92"/>
  <c r="K17" i="92"/>
  <c r="K18" i="92"/>
  <c r="K19" i="92"/>
  <c r="K20" i="92"/>
  <c r="K21" i="92"/>
  <c r="K22" i="92"/>
  <c r="K23" i="92"/>
  <c r="K24" i="92"/>
  <c r="K25" i="92"/>
  <c r="K26" i="92"/>
  <c r="K27" i="92"/>
  <c r="K28" i="92"/>
  <c r="K29" i="92"/>
  <c r="K30" i="92"/>
  <c r="K31" i="92"/>
  <c r="K32" i="92"/>
  <c r="K33" i="92"/>
  <c r="K34" i="92"/>
  <c r="K35" i="92"/>
  <c r="K36" i="92"/>
  <c r="K37" i="92"/>
  <c r="K38" i="92"/>
  <c r="K39" i="92"/>
  <c r="K40" i="92"/>
  <c r="K41" i="92"/>
  <c r="K42" i="92"/>
  <c r="K43" i="92"/>
  <c r="K44" i="92"/>
  <c r="K45" i="92"/>
  <c r="K46" i="92"/>
  <c r="K47" i="92"/>
  <c r="BT7" i="71"/>
  <c r="BU7" i="71"/>
  <c r="G11" i="92" s="1"/>
  <c r="M10" i="93" s="1"/>
  <c r="BT8" i="71"/>
  <c r="BU8" i="71"/>
  <c r="G14" i="92" s="1"/>
  <c r="M13" i="93" s="1"/>
  <c r="BT9" i="71"/>
  <c r="BU9" i="71"/>
  <c r="G17" i="92" s="1"/>
  <c r="M16" i="93" s="1"/>
  <c r="BT10" i="71"/>
  <c r="BU10" i="71"/>
  <c r="G20" i="92" s="1"/>
  <c r="M19" i="93" s="1"/>
  <c r="BT11" i="71"/>
  <c r="BU11" i="71"/>
  <c r="G23" i="92" s="1"/>
  <c r="M22" i="93" s="1"/>
  <c r="BT12" i="71"/>
  <c r="BU12" i="71"/>
  <c r="G26" i="92" s="1"/>
  <c r="M25" i="93" s="1"/>
  <c r="BT13" i="71"/>
  <c r="BU13" i="71"/>
  <c r="G29" i="92" s="1"/>
  <c r="M28" i="93" s="1"/>
  <c r="BT14" i="71"/>
  <c r="G31" i="92" s="1"/>
  <c r="M30" i="93" s="1"/>
  <c r="BU14" i="71"/>
  <c r="G32" i="92" s="1"/>
  <c r="M31" i="93" s="1"/>
  <c r="BT15" i="71"/>
  <c r="BU15" i="71"/>
  <c r="G35" i="92" s="1"/>
  <c r="M34" i="93" s="1"/>
  <c r="BT16" i="71"/>
  <c r="BU16" i="71"/>
  <c r="G38" i="92" s="1"/>
  <c r="M37" i="93" s="1"/>
  <c r="BT17" i="71"/>
  <c r="BU17" i="71"/>
  <c r="G41" i="92" s="1"/>
  <c r="M40" i="93" s="1"/>
  <c r="BT18" i="71"/>
  <c r="BU18" i="71"/>
  <c r="G44" i="92" s="1"/>
  <c r="M43" i="93" s="1"/>
  <c r="BT19" i="71"/>
  <c r="BU19" i="71"/>
  <c r="G47" i="92" s="1"/>
  <c r="BT20" i="71"/>
  <c r="BU20" i="71"/>
  <c r="BU6" i="71"/>
  <c r="BT6" i="71"/>
  <c r="G7" i="92" s="1"/>
  <c r="M6" i="93" s="1"/>
  <c r="F47" i="92"/>
  <c r="F46" i="92"/>
  <c r="F44" i="92"/>
  <c r="F43" i="92"/>
  <c r="F41" i="92"/>
  <c r="F40" i="92"/>
  <c r="F38" i="92"/>
  <c r="F37" i="92"/>
  <c r="F35" i="92"/>
  <c r="F34" i="92"/>
  <c r="F32" i="92"/>
  <c r="F31" i="92"/>
  <c r="F29" i="92"/>
  <c r="F28" i="92"/>
  <c r="F26" i="92"/>
  <c r="F25" i="92"/>
  <c r="F23" i="92"/>
  <c r="F22" i="92"/>
  <c r="F20" i="92"/>
  <c r="F19" i="92"/>
  <c r="F17" i="92"/>
  <c r="F16" i="92"/>
  <c r="F14" i="92"/>
  <c r="F13" i="92"/>
  <c r="F11" i="92"/>
  <c r="F10" i="92"/>
  <c r="F8" i="92"/>
  <c r="F7" i="92"/>
  <c r="E47" i="92"/>
  <c r="E46" i="92"/>
  <c r="E44" i="92"/>
  <c r="E43" i="92"/>
  <c r="E41" i="92"/>
  <c r="E40" i="92"/>
  <c r="E38" i="92"/>
  <c r="E37" i="92"/>
  <c r="E35" i="92"/>
  <c r="E34" i="92"/>
  <c r="E32" i="92"/>
  <c r="E31" i="92"/>
  <c r="E29" i="92"/>
  <c r="E28" i="92"/>
  <c r="E26" i="92"/>
  <c r="E25" i="92"/>
  <c r="E23" i="92"/>
  <c r="E22" i="92"/>
  <c r="E20" i="92"/>
  <c r="E19" i="92"/>
  <c r="E17" i="92"/>
  <c r="E14" i="92"/>
  <c r="E13" i="92"/>
  <c r="E11" i="92"/>
  <c r="E10" i="92"/>
  <c r="E7" i="92"/>
  <c r="E6" i="92"/>
  <c r="E10" i="71" l="1"/>
  <c r="E6" i="71"/>
  <c r="E11" i="71"/>
  <c r="E7" i="71"/>
  <c r="K50" i="92"/>
  <c r="E12" i="71"/>
  <c r="E8" i="71"/>
  <c r="E13" i="71"/>
  <c r="E9" i="71"/>
  <c r="BU31" i="71"/>
  <c r="G8" i="92"/>
  <c r="M7" i="93" s="1"/>
  <c r="K49" i="92"/>
  <c r="D50" i="92"/>
  <c r="H29" i="92"/>
  <c r="L29" i="92" s="1"/>
  <c r="N28" i="93" s="1"/>
  <c r="H47" i="92"/>
  <c r="L47" i="92" s="1"/>
  <c r="H38" i="92"/>
  <c r="L38" i="92" s="1"/>
  <c r="N37" i="93" s="1"/>
  <c r="H44" i="92"/>
  <c r="L44" i="92" s="1"/>
  <c r="N43" i="93" s="1"/>
  <c r="H41" i="92"/>
  <c r="L41" i="92" s="1"/>
  <c r="N40" i="93" s="1"/>
  <c r="H35" i="92"/>
  <c r="L35" i="92" s="1"/>
  <c r="N34" i="93" s="1"/>
  <c r="H32" i="92"/>
  <c r="L32" i="92" s="1"/>
  <c r="N31" i="93" s="1"/>
  <c r="H26" i="92"/>
  <c r="L26" i="92" s="1"/>
  <c r="N25" i="93" s="1"/>
  <c r="H23" i="92"/>
  <c r="L23" i="92" s="1"/>
  <c r="N22" i="93" s="1"/>
  <c r="H20" i="92"/>
  <c r="L20" i="92" s="1"/>
  <c r="N19" i="93" s="1"/>
  <c r="H17" i="92"/>
  <c r="L17" i="92" s="1"/>
  <c r="N16" i="93" s="1"/>
  <c r="H14" i="92"/>
  <c r="L14" i="92" s="1"/>
  <c r="N13" i="93" s="1"/>
  <c r="H11" i="92"/>
  <c r="L11" i="92" s="1"/>
  <c r="N10" i="93" s="1"/>
  <c r="G50" i="92" l="1"/>
  <c r="AP10" i="90"/>
  <c r="AP17" i="90"/>
  <c r="AQ22" i="90" l="1"/>
  <c r="AR18" i="90"/>
  <c r="AR17" i="90"/>
  <c r="AR16" i="90"/>
  <c r="AQ17" i="90"/>
  <c r="AR11" i="90"/>
  <c r="AR10" i="90"/>
  <c r="AR9" i="90"/>
  <c r="AQ10" i="90"/>
  <c r="H3" i="90" l="1"/>
  <c r="E24" i="75" l="1"/>
  <c r="E25" i="75"/>
  <c r="E26" i="75"/>
  <c r="E27" i="75"/>
  <c r="E28" i="75"/>
  <c r="E29" i="75"/>
  <c r="E30" i="75"/>
  <c r="E31" i="75"/>
  <c r="E32" i="75"/>
  <c r="E33" i="75"/>
  <c r="E34" i="75"/>
  <c r="E23" i="75"/>
  <c r="E9" i="75"/>
  <c r="J9" i="75" s="1"/>
  <c r="E10" i="75"/>
  <c r="E11" i="75"/>
  <c r="E12" i="75"/>
  <c r="E13" i="75"/>
  <c r="E14" i="75"/>
  <c r="E15" i="75"/>
  <c r="E16" i="75"/>
  <c r="E17" i="75"/>
  <c r="E18" i="75"/>
  <c r="E19" i="75"/>
  <c r="E8" i="75"/>
  <c r="E37" i="75" l="1"/>
  <c r="J54" i="75"/>
  <c r="E54" i="75"/>
  <c r="J12" i="75" l="1"/>
  <c r="H130" i="89" l="1"/>
  <c r="AQ31" i="90" l="1"/>
  <c r="E16" i="92"/>
  <c r="E8" i="92" l="1"/>
  <c r="E50" i="92" s="1"/>
  <c r="AQ42" i="90"/>
  <c r="AQ26" i="90" l="1"/>
  <c r="AP16" i="90"/>
  <c r="AP11" i="90"/>
  <c r="AQ18" i="90"/>
  <c r="AQ11" i="90"/>
  <c r="AP9" i="90"/>
  <c r="AP18" i="90"/>
  <c r="H8" i="92"/>
  <c r="F50" i="92"/>
  <c r="AL109" i="90"/>
  <c r="D5" i="70"/>
  <c r="I28" i="93"/>
  <c r="L8" i="92" l="1"/>
  <c r="H50" i="92"/>
  <c r="E57" i="92" s="1"/>
  <c r="E20" i="75"/>
  <c r="K6" i="92"/>
  <c r="D7" i="71"/>
  <c r="D8" i="71"/>
  <c r="D9" i="71"/>
  <c r="D10" i="71"/>
  <c r="D11" i="71"/>
  <c r="D12" i="71"/>
  <c r="D13" i="71"/>
  <c r="E14" i="71"/>
  <c r="D6" i="92"/>
  <c r="D6" i="71" s="1"/>
  <c r="N32" i="70"/>
  <c r="K56" i="93" s="1"/>
  <c r="N31" i="70"/>
  <c r="K55" i="93" s="1"/>
  <c r="N30" i="70"/>
  <c r="K54" i="93" s="1"/>
  <c r="N29" i="70"/>
  <c r="K53" i="93" s="1"/>
  <c r="N28" i="70"/>
  <c r="K52" i="93" s="1"/>
  <c r="N27" i="70"/>
  <c r="K51" i="93" s="1"/>
  <c r="N26" i="70"/>
  <c r="K50" i="93" s="1"/>
  <c r="N25" i="70"/>
  <c r="K49" i="93" s="1"/>
  <c r="N24" i="70"/>
  <c r="K48" i="93" s="1"/>
  <c r="L56" i="93"/>
  <c r="L55" i="93"/>
  <c r="L54" i="93"/>
  <c r="L53" i="93"/>
  <c r="L52" i="93"/>
  <c r="L51" i="93"/>
  <c r="L50" i="93"/>
  <c r="L49" i="93"/>
  <c r="L48" i="93"/>
  <c r="K46" i="93"/>
  <c r="K45" i="93"/>
  <c r="K44" i="93"/>
  <c r="K43" i="93"/>
  <c r="K42" i="93"/>
  <c r="K41" i="93"/>
  <c r="K40" i="93"/>
  <c r="L46" i="93"/>
  <c r="L45" i="93"/>
  <c r="L44" i="93"/>
  <c r="L43" i="93"/>
  <c r="L42" i="93"/>
  <c r="L41" i="93"/>
  <c r="L40" i="93"/>
  <c r="K38" i="93"/>
  <c r="K37" i="93"/>
  <c r="K36" i="93"/>
  <c r="K35" i="93"/>
  <c r="K34" i="93"/>
  <c r="K33" i="93"/>
  <c r="K32" i="93"/>
  <c r="K31" i="93"/>
  <c r="K30" i="93"/>
  <c r="K29" i="93"/>
  <c r="K28" i="93"/>
  <c r="L38" i="93"/>
  <c r="L37" i="93"/>
  <c r="L36" i="93"/>
  <c r="L35" i="93"/>
  <c r="L34" i="93"/>
  <c r="L33" i="93"/>
  <c r="L32" i="93"/>
  <c r="L31" i="93"/>
  <c r="L30" i="93"/>
  <c r="L29" i="93"/>
  <c r="L28" i="93"/>
  <c r="K26" i="93"/>
  <c r="K25" i="93"/>
  <c r="K24" i="93"/>
  <c r="K23" i="93"/>
  <c r="K22" i="93"/>
  <c r="K21" i="93"/>
  <c r="K20" i="93"/>
  <c r="K19" i="93"/>
  <c r="K18" i="93"/>
  <c r="L26" i="93"/>
  <c r="L25" i="93"/>
  <c r="L24" i="93"/>
  <c r="L23" i="93"/>
  <c r="L22" i="93"/>
  <c r="L21" i="93"/>
  <c r="L20" i="93"/>
  <c r="L19" i="93"/>
  <c r="L18" i="93"/>
  <c r="L17" i="93"/>
  <c r="K17" i="93"/>
  <c r="L50" i="92" l="1"/>
  <c r="I57" i="92" s="1"/>
  <c r="N7" i="93"/>
  <c r="E31" i="71"/>
  <c r="D31" i="71"/>
  <c r="D28" i="70"/>
  <c r="K15" i="93"/>
  <c r="K14" i="93"/>
  <c r="K13" i="93"/>
  <c r="K12" i="93"/>
  <c r="K11" i="93"/>
  <c r="K10" i="93"/>
  <c r="K9" i="93"/>
  <c r="K7" i="93"/>
  <c r="K6" i="93"/>
  <c r="K8" i="93"/>
  <c r="L15" i="93"/>
  <c r="L14" i="93"/>
  <c r="L13" i="93"/>
  <c r="L12" i="93"/>
  <c r="L11" i="93"/>
  <c r="L10" i="93"/>
  <c r="L9" i="93"/>
  <c r="L8" i="93"/>
  <c r="L7" i="93"/>
  <c r="L6" i="93"/>
  <c r="K5" i="93"/>
  <c r="L5" i="93"/>
  <c r="D12" i="70" l="1"/>
  <c r="I27" i="70" l="1"/>
  <c r="J27" i="70" s="1"/>
  <c r="I28" i="70"/>
  <c r="J28" i="70" s="1"/>
  <c r="I29" i="70"/>
  <c r="J29" i="70" s="1"/>
  <c r="I30" i="70"/>
  <c r="J30" i="70" s="1"/>
  <c r="I10" i="70"/>
  <c r="I11" i="70"/>
  <c r="I12" i="70"/>
  <c r="I13" i="70"/>
  <c r="I14" i="70"/>
  <c r="I15" i="70"/>
  <c r="I16" i="70"/>
  <c r="I17" i="70"/>
  <c r="I18" i="70"/>
  <c r="I19" i="70"/>
  <c r="I9" i="70"/>
  <c r="G20" i="68" l="1"/>
  <c r="G19" i="68"/>
  <c r="J13" i="93" s="1"/>
  <c r="D5" i="68"/>
  <c r="G26" i="68"/>
  <c r="G25" i="68"/>
  <c r="G24" i="68"/>
  <c r="G23" i="68"/>
  <c r="G22" i="68"/>
  <c r="G21" i="68"/>
  <c r="G18" i="68"/>
  <c r="G13" i="68" l="1"/>
  <c r="G11" i="68"/>
  <c r="G10" i="68"/>
  <c r="G9" i="68"/>
  <c r="G8" i="68"/>
  <c r="G7" i="68"/>
  <c r="E39" i="75" l="1"/>
  <c r="E56" i="75" s="1"/>
  <c r="J20" i="93" l="1"/>
  <c r="J14" i="93"/>
  <c r="J15" i="93"/>
  <c r="J16" i="93"/>
  <c r="J17" i="93"/>
  <c r="J18" i="93"/>
  <c r="J19" i="93"/>
  <c r="J12" i="93"/>
  <c r="J6" i="93"/>
  <c r="J7" i="93"/>
  <c r="J8" i="93"/>
  <c r="J9" i="93"/>
  <c r="J10" i="93"/>
  <c r="J11" i="93"/>
  <c r="J5" i="93"/>
  <c r="I18" i="93"/>
  <c r="I19" i="93"/>
  <c r="I21" i="93"/>
  <c r="I25" i="93"/>
  <c r="I26" i="93"/>
  <c r="I27" i="93"/>
  <c r="I16" i="93"/>
  <c r="I8" i="93"/>
  <c r="I11" i="93"/>
  <c r="I12" i="93"/>
  <c r="I14" i="93"/>
  <c r="I15" i="93"/>
  <c r="F45" i="92" l="1"/>
  <c r="F42" i="92"/>
  <c r="F39" i="92"/>
  <c r="F36" i="92"/>
  <c r="F33" i="92"/>
  <c r="F30" i="92"/>
  <c r="F27" i="92"/>
  <c r="F24" i="92"/>
  <c r="F21" i="92"/>
  <c r="E45" i="92"/>
  <c r="E42" i="92"/>
  <c r="E39" i="92"/>
  <c r="E36" i="92"/>
  <c r="E33" i="92"/>
  <c r="E30" i="92"/>
  <c r="E27" i="92"/>
  <c r="E24" i="92"/>
  <c r="E21" i="92"/>
  <c r="E18" i="92"/>
  <c r="E15" i="92"/>
  <c r="E12" i="92"/>
  <c r="E9" i="92"/>
  <c r="K48" i="92" l="1"/>
  <c r="K52" i="92" s="1"/>
  <c r="F49" i="92"/>
  <c r="D49" i="92"/>
  <c r="D48" i="92"/>
  <c r="BS7" i="71"/>
  <c r="G9" i="92" s="1"/>
  <c r="M8" i="93" s="1"/>
  <c r="BS8" i="71"/>
  <c r="G12" i="92" s="1"/>
  <c r="M11" i="93" s="1"/>
  <c r="BS9" i="71"/>
  <c r="G15" i="92" s="1"/>
  <c r="M14" i="93" s="1"/>
  <c r="BS10" i="71"/>
  <c r="G18" i="92" s="1"/>
  <c r="M17" i="93" s="1"/>
  <c r="BS11" i="71"/>
  <c r="G21" i="92" s="1"/>
  <c r="M20" i="93" s="1"/>
  <c r="BS12" i="71"/>
  <c r="G24" i="92" s="1"/>
  <c r="M23" i="93" s="1"/>
  <c r="BS13" i="71"/>
  <c r="G27" i="92" s="1"/>
  <c r="M26" i="93" s="1"/>
  <c r="BS14" i="71"/>
  <c r="G30" i="92" s="1"/>
  <c r="BS15" i="71"/>
  <c r="G33" i="92" s="1"/>
  <c r="M32" i="93" s="1"/>
  <c r="BS16" i="71"/>
  <c r="G36" i="92" s="1"/>
  <c r="M35" i="93" s="1"/>
  <c r="BS17" i="71"/>
  <c r="G39" i="92" s="1"/>
  <c r="M38" i="93" s="1"/>
  <c r="BS18" i="71"/>
  <c r="G42" i="92" s="1"/>
  <c r="M41" i="93" s="1"/>
  <c r="BS19" i="71"/>
  <c r="G45" i="92" s="1"/>
  <c r="M44" i="93" s="1"/>
  <c r="BS20" i="71"/>
  <c r="BS6" i="71"/>
  <c r="G6" i="92" s="1"/>
  <c r="M5" i="93" s="1"/>
  <c r="G10" i="92"/>
  <c r="M9" i="93" s="1"/>
  <c r="G13" i="92"/>
  <c r="M12" i="93" s="1"/>
  <c r="G16" i="92"/>
  <c r="M15" i="93" s="1"/>
  <c r="G19" i="92"/>
  <c r="M18" i="93" s="1"/>
  <c r="G22" i="92"/>
  <c r="M21" i="93" s="1"/>
  <c r="G25" i="92"/>
  <c r="M24" i="93" s="1"/>
  <c r="G28" i="92"/>
  <c r="M27" i="93" s="1"/>
  <c r="G34" i="92"/>
  <c r="M33" i="93" s="1"/>
  <c r="G37" i="92"/>
  <c r="M36" i="93" s="1"/>
  <c r="G40" i="92"/>
  <c r="M39" i="93" s="1"/>
  <c r="G43" i="92"/>
  <c r="M42" i="93" s="1"/>
  <c r="G46" i="92"/>
  <c r="M45" i="93" s="1"/>
  <c r="D52" i="92" l="1"/>
  <c r="G48" i="92"/>
  <c r="M29" i="93"/>
  <c r="H46" i="92"/>
  <c r="H45" i="92"/>
  <c r="L45" i="92" s="1"/>
  <c r="N44" i="93" s="1"/>
  <c r="H33" i="92"/>
  <c r="L33" i="92" s="1"/>
  <c r="N32" i="93" s="1"/>
  <c r="H34" i="92"/>
  <c r="H42" i="92"/>
  <c r="L42" i="92" s="1"/>
  <c r="N41" i="93" s="1"/>
  <c r="H30" i="92"/>
  <c r="L30" i="92" s="1"/>
  <c r="N29" i="93" s="1"/>
  <c r="H43" i="92"/>
  <c r="H31" i="92"/>
  <c r="H39" i="92"/>
  <c r="L39" i="92" s="1"/>
  <c r="N38" i="93" s="1"/>
  <c r="H37" i="92"/>
  <c r="H40" i="92"/>
  <c r="H36" i="92"/>
  <c r="L36" i="92" s="1"/>
  <c r="N35" i="93" s="1"/>
  <c r="BS31" i="71"/>
  <c r="H21" i="92"/>
  <c r="L21" i="92" s="1"/>
  <c r="H19" i="92"/>
  <c r="H13" i="92"/>
  <c r="N20" i="93" l="1"/>
  <c r="L46" i="92"/>
  <c r="N45" i="93" s="1"/>
  <c r="I45" i="92"/>
  <c r="L43" i="92"/>
  <c r="N42" i="93" s="1"/>
  <c r="I42" i="92"/>
  <c r="L40" i="92"/>
  <c r="N39" i="93" s="1"/>
  <c r="I39" i="92"/>
  <c r="L37" i="92"/>
  <c r="N36" i="93" s="1"/>
  <c r="I36" i="92"/>
  <c r="L34" i="92"/>
  <c r="N33" i="93" s="1"/>
  <c r="I33" i="92"/>
  <c r="L19" i="92"/>
  <c r="N18" i="93" s="1"/>
  <c r="L13" i="92"/>
  <c r="N12" i="93" s="1"/>
  <c r="L31" i="92"/>
  <c r="I30" i="92"/>
  <c r="G49" i="92"/>
  <c r="G52" i="92" s="1"/>
  <c r="H25" i="92"/>
  <c r="H27" i="92"/>
  <c r="L27" i="92" s="1"/>
  <c r="H7" i="92"/>
  <c r="H22" i="92"/>
  <c r="I21" i="92" s="1"/>
  <c r="H24" i="92"/>
  <c r="L24" i="92" s="1"/>
  <c r="H28" i="92"/>
  <c r="N26" i="93" l="1"/>
  <c r="N23" i="93"/>
  <c r="M30" i="92"/>
  <c r="N30" i="93"/>
  <c r="L7" i="92"/>
  <c r="N6" i="93" s="1"/>
  <c r="M42" i="92"/>
  <c r="M39" i="92"/>
  <c r="M36" i="92"/>
  <c r="M45" i="92"/>
  <c r="M33" i="92"/>
  <c r="L28" i="92"/>
  <c r="N27" i="93" s="1"/>
  <c r="I27" i="92"/>
  <c r="L25" i="92"/>
  <c r="N24" i="93" s="1"/>
  <c r="I24" i="92"/>
  <c r="L22" i="92"/>
  <c r="M27" i="92" l="1"/>
  <c r="M24" i="92"/>
  <c r="N21" i="93"/>
  <c r="M21" i="92"/>
  <c r="I24" i="93"/>
  <c r="I23" i="93"/>
  <c r="I22" i="93"/>
  <c r="I13" i="93"/>
  <c r="I10" i="93"/>
  <c r="I6" i="93" l="1"/>
  <c r="I9" i="93" l="1"/>
  <c r="H104" i="89"/>
  <c r="H13" i="75" l="1"/>
  <c r="H16" i="75"/>
  <c r="H29" i="75"/>
  <c r="H30" i="75"/>
  <c r="G67" i="89" l="1"/>
  <c r="G68" i="89"/>
  <c r="G69" i="89"/>
  <c r="G70" i="89"/>
  <c r="G71" i="89"/>
  <c r="G72" i="89"/>
  <c r="G73" i="89"/>
  <c r="G74" i="89"/>
  <c r="G75" i="89"/>
  <c r="G76" i="89"/>
  <c r="G66" i="89"/>
  <c r="S23" i="70" l="1"/>
  <c r="AQ49" i="90" s="1"/>
  <c r="F6" i="92" l="1"/>
  <c r="C28" i="75"/>
  <c r="C12" i="75"/>
  <c r="B3" i="70" l="1"/>
  <c r="B3" i="68"/>
  <c r="J13" i="89" l="1"/>
  <c r="J29" i="89"/>
  <c r="H25" i="68" l="1"/>
  <c r="U9" i="70" l="1"/>
  <c r="L12" i="74" l="1"/>
  <c r="O10" i="70" l="1"/>
  <c r="O11" i="70"/>
  <c r="E96" i="89" s="1"/>
  <c r="O12" i="70"/>
  <c r="O13" i="70"/>
  <c r="O14" i="70"/>
  <c r="O15" i="70"/>
  <c r="O16" i="70"/>
  <c r="O17" i="70"/>
  <c r="O18" i="70"/>
  <c r="P16" i="70" l="1"/>
  <c r="J24" i="91" l="1"/>
  <c r="G24" i="91"/>
  <c r="K23" i="91"/>
  <c r="K22" i="91"/>
  <c r="K21" i="91"/>
  <c r="K20" i="91"/>
  <c r="K19" i="91"/>
  <c r="K18" i="91"/>
  <c r="K17" i="91"/>
  <c r="K16" i="91"/>
  <c r="K15" i="91"/>
  <c r="K14" i="91"/>
  <c r="K13" i="91"/>
  <c r="K12" i="91"/>
  <c r="K11" i="91"/>
  <c r="K10" i="91"/>
  <c r="K9" i="91"/>
  <c r="K8" i="91"/>
  <c r="K7" i="91"/>
  <c r="K6" i="91"/>
  <c r="K5" i="91"/>
  <c r="F42" i="81"/>
  <c r="E42" i="81"/>
  <c r="G7" i="81"/>
  <c r="F4" i="81"/>
  <c r="E4" i="81"/>
  <c r="D33" i="74"/>
  <c r="D32" i="74"/>
  <c r="H31" i="74"/>
  <c r="D31" i="74"/>
  <c r="H30" i="74"/>
  <c r="D30" i="74"/>
  <c r="L29" i="74"/>
  <c r="H29" i="74"/>
  <c r="D29" i="74"/>
  <c r="L28" i="74"/>
  <c r="H28" i="74"/>
  <c r="D28" i="74"/>
  <c r="L27" i="74"/>
  <c r="H27" i="74"/>
  <c r="D27" i="74"/>
  <c r="L26" i="74"/>
  <c r="H26" i="74"/>
  <c r="D26" i="74"/>
  <c r="L25" i="74"/>
  <c r="H25" i="74"/>
  <c r="D25" i="74"/>
  <c r="L24" i="74"/>
  <c r="H24" i="74"/>
  <c r="D24" i="74"/>
  <c r="L23" i="74"/>
  <c r="H23" i="74"/>
  <c r="D23" i="74"/>
  <c r="L19" i="74"/>
  <c r="D19" i="74"/>
  <c r="L18" i="74"/>
  <c r="H18" i="74"/>
  <c r="D18" i="74"/>
  <c r="L17" i="74"/>
  <c r="H17" i="74"/>
  <c r="D17" i="74"/>
  <c r="L16" i="74"/>
  <c r="H16" i="74"/>
  <c r="D16" i="74"/>
  <c r="L15" i="74"/>
  <c r="H15" i="74"/>
  <c r="D15" i="74"/>
  <c r="L14" i="74"/>
  <c r="H14" i="74"/>
  <c r="D14" i="74"/>
  <c r="L13" i="74"/>
  <c r="H13" i="74"/>
  <c r="D13" i="74"/>
  <c r="H12" i="74"/>
  <c r="D12" i="74"/>
  <c r="L11" i="74"/>
  <c r="H11" i="74"/>
  <c r="D11" i="74"/>
  <c r="L10" i="74"/>
  <c r="H10" i="74"/>
  <c r="D10" i="74"/>
  <c r="L9" i="74"/>
  <c r="H9" i="74"/>
  <c r="D9" i="74"/>
  <c r="D134" i="89"/>
  <c r="H133" i="89"/>
  <c r="N133" i="89" s="1"/>
  <c r="O133" i="89"/>
  <c r="M133" i="89"/>
  <c r="C133" i="89"/>
  <c r="M132" i="89"/>
  <c r="H132" i="89"/>
  <c r="P132" i="89" s="1"/>
  <c r="O132" i="89"/>
  <c r="C132" i="89"/>
  <c r="M131" i="89"/>
  <c r="H131" i="89"/>
  <c r="N131" i="89" s="1"/>
  <c r="O131" i="89"/>
  <c r="C131" i="89"/>
  <c r="M130" i="89"/>
  <c r="N130" i="89"/>
  <c r="O130" i="89"/>
  <c r="C130" i="89"/>
  <c r="M129" i="89"/>
  <c r="H129" i="89"/>
  <c r="N129" i="89" s="1"/>
  <c r="O129" i="89"/>
  <c r="C129" i="89"/>
  <c r="M128" i="89"/>
  <c r="H128" i="89"/>
  <c r="P128" i="89" s="1"/>
  <c r="O128" i="89"/>
  <c r="C128" i="89"/>
  <c r="M127" i="89"/>
  <c r="H127" i="89"/>
  <c r="N127" i="89" s="1"/>
  <c r="O127" i="89"/>
  <c r="C127" i="89"/>
  <c r="M126" i="89"/>
  <c r="H126" i="89"/>
  <c r="P126" i="89" s="1"/>
  <c r="O126" i="89"/>
  <c r="C126" i="89"/>
  <c r="M125" i="89"/>
  <c r="H125" i="89"/>
  <c r="N125" i="89" s="1"/>
  <c r="O125" i="89"/>
  <c r="C125" i="89"/>
  <c r="M124" i="89"/>
  <c r="H124" i="89"/>
  <c r="P124" i="89" s="1"/>
  <c r="O124" i="89"/>
  <c r="C124" i="89"/>
  <c r="M123" i="89"/>
  <c r="H123" i="89"/>
  <c r="C123" i="89"/>
  <c r="G118" i="89"/>
  <c r="D118" i="89"/>
  <c r="O117" i="89"/>
  <c r="N117" i="89"/>
  <c r="H117" i="89"/>
  <c r="P117" i="89" s="1"/>
  <c r="C117" i="89"/>
  <c r="O116" i="89"/>
  <c r="N116" i="89"/>
  <c r="H116" i="89"/>
  <c r="P116" i="89" s="1"/>
  <c r="C116" i="89"/>
  <c r="O115" i="89"/>
  <c r="H115" i="89"/>
  <c r="P115" i="89" s="1"/>
  <c r="F115" i="89"/>
  <c r="N115" i="89" s="1"/>
  <c r="C115" i="89"/>
  <c r="O114" i="89"/>
  <c r="H114" i="89"/>
  <c r="P114" i="89" s="1"/>
  <c r="F114" i="89"/>
  <c r="C114" i="89"/>
  <c r="O113" i="89"/>
  <c r="H113" i="89"/>
  <c r="P113" i="89" s="1"/>
  <c r="F113" i="89"/>
  <c r="N113" i="89" s="1"/>
  <c r="C113" i="89"/>
  <c r="O112" i="89"/>
  <c r="H112" i="89"/>
  <c r="P112" i="89" s="1"/>
  <c r="F112" i="89"/>
  <c r="C112" i="89"/>
  <c r="O111" i="89"/>
  <c r="H111" i="89"/>
  <c r="P111" i="89" s="1"/>
  <c r="F111" i="89"/>
  <c r="N111" i="89" s="1"/>
  <c r="C111" i="89"/>
  <c r="O110" i="89"/>
  <c r="H110" i="89"/>
  <c r="P110" i="89" s="1"/>
  <c r="F110" i="89"/>
  <c r="C110" i="89"/>
  <c r="O109" i="89"/>
  <c r="H109" i="89"/>
  <c r="F109" i="89"/>
  <c r="C109" i="89"/>
  <c r="D104" i="89"/>
  <c r="P103" i="89"/>
  <c r="G103" i="89"/>
  <c r="O103" i="89" s="1"/>
  <c r="F103" i="89"/>
  <c r="C103" i="89"/>
  <c r="P102" i="89"/>
  <c r="G102" i="89"/>
  <c r="O102" i="89" s="1"/>
  <c r="F102" i="89"/>
  <c r="E102" i="89"/>
  <c r="M102" i="89" s="1"/>
  <c r="C102" i="89"/>
  <c r="P101" i="89"/>
  <c r="G101" i="89"/>
  <c r="O101" i="89" s="1"/>
  <c r="F101" i="89"/>
  <c r="E101" i="89"/>
  <c r="M101" i="89" s="1"/>
  <c r="C101" i="89"/>
  <c r="P100" i="89"/>
  <c r="G100" i="89"/>
  <c r="O100" i="89" s="1"/>
  <c r="F100" i="89"/>
  <c r="C100" i="89"/>
  <c r="P99" i="89"/>
  <c r="G99" i="89"/>
  <c r="O99" i="89" s="1"/>
  <c r="F99" i="89"/>
  <c r="C99" i="89"/>
  <c r="P98" i="89"/>
  <c r="G98" i="89"/>
  <c r="O98" i="89" s="1"/>
  <c r="F98" i="89"/>
  <c r="E98" i="89"/>
  <c r="M98" i="89" s="1"/>
  <c r="C98" i="89"/>
  <c r="P97" i="89"/>
  <c r="G97" i="89"/>
  <c r="O97" i="89" s="1"/>
  <c r="F97" i="89"/>
  <c r="E97" i="89"/>
  <c r="M97" i="89" s="1"/>
  <c r="C97" i="89"/>
  <c r="P96" i="89"/>
  <c r="G96" i="89"/>
  <c r="O96" i="89" s="1"/>
  <c r="F96" i="89"/>
  <c r="M96" i="89"/>
  <c r="C96" i="89"/>
  <c r="P95" i="89"/>
  <c r="G95" i="89"/>
  <c r="O95" i="89" s="1"/>
  <c r="F95" i="89"/>
  <c r="E95" i="89"/>
  <c r="M95" i="89" s="1"/>
  <c r="C95" i="89"/>
  <c r="P94" i="89"/>
  <c r="G94" i="89"/>
  <c r="O94" i="89" s="1"/>
  <c r="F94" i="89"/>
  <c r="C94" i="89"/>
  <c r="D89" i="89"/>
  <c r="H88" i="89"/>
  <c r="P88" i="89" s="1"/>
  <c r="G88" i="89"/>
  <c r="O88" i="89" s="1"/>
  <c r="F88" i="89"/>
  <c r="M88" i="89"/>
  <c r="C88" i="89"/>
  <c r="H87" i="89"/>
  <c r="P87" i="89" s="1"/>
  <c r="G87" i="89"/>
  <c r="O87" i="89" s="1"/>
  <c r="F87" i="89"/>
  <c r="M87" i="89"/>
  <c r="C87" i="89"/>
  <c r="H86" i="89"/>
  <c r="P86" i="89" s="1"/>
  <c r="G86" i="89"/>
  <c r="O86" i="89" s="1"/>
  <c r="F86" i="89"/>
  <c r="M86" i="89"/>
  <c r="C86" i="89"/>
  <c r="H85" i="89"/>
  <c r="P85" i="89" s="1"/>
  <c r="G85" i="89"/>
  <c r="F85" i="89"/>
  <c r="M85" i="89"/>
  <c r="C85" i="89"/>
  <c r="H84" i="89"/>
  <c r="P84" i="89" s="1"/>
  <c r="G84" i="89"/>
  <c r="O84" i="89" s="1"/>
  <c r="F84" i="89"/>
  <c r="M84" i="89"/>
  <c r="C84" i="89"/>
  <c r="H83" i="89"/>
  <c r="P83" i="89" s="1"/>
  <c r="G83" i="89"/>
  <c r="O83" i="89" s="1"/>
  <c r="F83" i="89"/>
  <c r="M83" i="89"/>
  <c r="C83" i="89"/>
  <c r="H82" i="89"/>
  <c r="P82" i="89" s="1"/>
  <c r="G82" i="89"/>
  <c r="O82" i="89" s="1"/>
  <c r="F82" i="89"/>
  <c r="C82" i="89"/>
  <c r="D77" i="89"/>
  <c r="O76" i="89"/>
  <c r="H76" i="89"/>
  <c r="P76" i="89" s="1"/>
  <c r="F76" i="89"/>
  <c r="N76" i="89" s="1"/>
  <c r="E76" i="89"/>
  <c r="M76" i="89" s="1"/>
  <c r="C76" i="89"/>
  <c r="H75" i="89"/>
  <c r="O75" i="89"/>
  <c r="F75" i="89"/>
  <c r="E75" i="89"/>
  <c r="M75" i="89" s="1"/>
  <c r="C75" i="89"/>
  <c r="H74" i="89"/>
  <c r="P74" i="89" s="1"/>
  <c r="O74" i="89"/>
  <c r="F74" i="89"/>
  <c r="E74" i="89"/>
  <c r="M74" i="89" s="1"/>
  <c r="C74" i="89"/>
  <c r="H73" i="89"/>
  <c r="P73" i="89" s="1"/>
  <c r="O73" i="89"/>
  <c r="F73" i="89"/>
  <c r="E73" i="89"/>
  <c r="M73" i="89" s="1"/>
  <c r="C73" i="89"/>
  <c r="H72" i="89"/>
  <c r="P72" i="89" s="1"/>
  <c r="O72" i="89"/>
  <c r="F72" i="89"/>
  <c r="E72" i="89"/>
  <c r="M72" i="89" s="1"/>
  <c r="C72" i="89"/>
  <c r="H71" i="89"/>
  <c r="P71" i="89" s="1"/>
  <c r="O71" i="89"/>
  <c r="F71" i="89"/>
  <c r="E71" i="89"/>
  <c r="M71" i="89" s="1"/>
  <c r="C71" i="89"/>
  <c r="H70" i="89"/>
  <c r="P70" i="89" s="1"/>
  <c r="O70" i="89"/>
  <c r="F70" i="89"/>
  <c r="E70" i="89"/>
  <c r="M70" i="89" s="1"/>
  <c r="C70" i="89"/>
  <c r="H69" i="89"/>
  <c r="P69" i="89" s="1"/>
  <c r="O69" i="89"/>
  <c r="F69" i="89"/>
  <c r="E69" i="89"/>
  <c r="M69" i="89" s="1"/>
  <c r="C69" i="89"/>
  <c r="H68" i="89"/>
  <c r="P68" i="89" s="1"/>
  <c r="O68" i="89"/>
  <c r="F68" i="89"/>
  <c r="E68" i="89"/>
  <c r="M68" i="89" s="1"/>
  <c r="C68" i="89"/>
  <c r="H67" i="89"/>
  <c r="P67" i="89" s="1"/>
  <c r="O67" i="89"/>
  <c r="F67" i="89"/>
  <c r="E67" i="89"/>
  <c r="M67" i="89" s="1"/>
  <c r="C67" i="89"/>
  <c r="H66" i="89"/>
  <c r="P66" i="89" s="1"/>
  <c r="O66" i="89"/>
  <c r="F66" i="89"/>
  <c r="E66" i="89"/>
  <c r="M66" i="89" s="1"/>
  <c r="C66" i="89"/>
  <c r="E61" i="89"/>
  <c r="D61" i="89"/>
  <c r="P60" i="89"/>
  <c r="O60" i="89"/>
  <c r="N60" i="89"/>
  <c r="M60" i="89"/>
  <c r="J60" i="89"/>
  <c r="K60" i="89" s="1"/>
  <c r="C60" i="89"/>
  <c r="P59" i="89"/>
  <c r="O59" i="89"/>
  <c r="N59" i="89"/>
  <c r="M59" i="89"/>
  <c r="J59" i="89"/>
  <c r="K59" i="89" s="1"/>
  <c r="C59" i="89"/>
  <c r="P58" i="89"/>
  <c r="O58" i="89"/>
  <c r="N58" i="89"/>
  <c r="M58" i="89"/>
  <c r="J58" i="89"/>
  <c r="K58" i="89" s="1"/>
  <c r="C58" i="89"/>
  <c r="P57" i="89"/>
  <c r="O57" i="89"/>
  <c r="N57" i="89"/>
  <c r="M57" i="89"/>
  <c r="J57" i="89"/>
  <c r="K57" i="89" s="1"/>
  <c r="C57" i="89"/>
  <c r="P56" i="89"/>
  <c r="O56" i="89"/>
  <c r="N56" i="89"/>
  <c r="M56" i="89"/>
  <c r="J56" i="89"/>
  <c r="K56" i="89" s="1"/>
  <c r="C56" i="89"/>
  <c r="P55" i="89"/>
  <c r="O55" i="89"/>
  <c r="N55" i="89"/>
  <c r="M55" i="89"/>
  <c r="J55" i="89"/>
  <c r="K55" i="89" s="1"/>
  <c r="C55" i="89"/>
  <c r="P54" i="89"/>
  <c r="O54" i="89"/>
  <c r="N54" i="89"/>
  <c r="M54" i="89"/>
  <c r="J54" i="89"/>
  <c r="K54" i="89" s="1"/>
  <c r="C54" i="89"/>
  <c r="P53" i="89"/>
  <c r="O53" i="89"/>
  <c r="N53" i="89"/>
  <c r="M53" i="89"/>
  <c r="J53" i="89"/>
  <c r="K53" i="89" s="1"/>
  <c r="C53" i="89"/>
  <c r="P52" i="89"/>
  <c r="O52" i="89"/>
  <c r="N52" i="89"/>
  <c r="M52" i="89"/>
  <c r="J52" i="89"/>
  <c r="K52" i="89" s="1"/>
  <c r="C52" i="89"/>
  <c r="E47" i="89"/>
  <c r="P46" i="89"/>
  <c r="O46" i="89"/>
  <c r="N46" i="89"/>
  <c r="M46" i="89"/>
  <c r="C46" i="89"/>
  <c r="P45" i="89"/>
  <c r="O45" i="89"/>
  <c r="N45" i="89"/>
  <c r="M45" i="89"/>
  <c r="C45" i="89"/>
  <c r="P44" i="89"/>
  <c r="O44" i="89"/>
  <c r="N44" i="89"/>
  <c r="M44" i="89"/>
  <c r="C44" i="89"/>
  <c r="P43" i="89"/>
  <c r="O43" i="89"/>
  <c r="N43" i="89"/>
  <c r="M43" i="89"/>
  <c r="C43" i="89"/>
  <c r="P42" i="89"/>
  <c r="O42" i="89"/>
  <c r="N42" i="89"/>
  <c r="M42" i="89"/>
  <c r="C42" i="89"/>
  <c r="P41" i="89"/>
  <c r="O41" i="89"/>
  <c r="N41" i="89"/>
  <c r="M41" i="89"/>
  <c r="J41" i="89"/>
  <c r="K41" i="89" s="1"/>
  <c r="C41" i="89"/>
  <c r="P40" i="89"/>
  <c r="O40" i="89"/>
  <c r="N40" i="89"/>
  <c r="M40" i="89"/>
  <c r="J40" i="89"/>
  <c r="K40" i="89" s="1"/>
  <c r="C40" i="89"/>
  <c r="P39" i="89"/>
  <c r="O39" i="89"/>
  <c r="N39" i="89"/>
  <c r="M39" i="89"/>
  <c r="J39" i="89"/>
  <c r="K39" i="89" s="1"/>
  <c r="C39" i="89"/>
  <c r="P38" i="89"/>
  <c r="O38" i="89"/>
  <c r="N38" i="89"/>
  <c r="M38" i="89"/>
  <c r="J38" i="89"/>
  <c r="K38" i="89" s="1"/>
  <c r="C38" i="89"/>
  <c r="P37" i="89"/>
  <c r="O37" i="89"/>
  <c r="N37" i="89"/>
  <c r="M37" i="89"/>
  <c r="J37" i="89"/>
  <c r="K37" i="89" s="1"/>
  <c r="C37" i="89"/>
  <c r="P36" i="89"/>
  <c r="O36" i="89"/>
  <c r="N36" i="89"/>
  <c r="M36" i="89"/>
  <c r="J36" i="89"/>
  <c r="K36" i="89" s="1"/>
  <c r="C36" i="89"/>
  <c r="E31" i="89"/>
  <c r="D31" i="89"/>
  <c r="P30" i="89"/>
  <c r="O30" i="89"/>
  <c r="N30" i="89"/>
  <c r="M30" i="89"/>
  <c r="J30" i="89"/>
  <c r="K30" i="89" s="1"/>
  <c r="C30" i="89"/>
  <c r="P29" i="89"/>
  <c r="O29" i="89"/>
  <c r="N29" i="89"/>
  <c r="M29" i="89"/>
  <c r="K29" i="89"/>
  <c r="C29" i="89"/>
  <c r="P28" i="89"/>
  <c r="O28" i="89"/>
  <c r="N28" i="89"/>
  <c r="M28" i="89"/>
  <c r="J28" i="89"/>
  <c r="K28" i="89" s="1"/>
  <c r="C28" i="89"/>
  <c r="P27" i="89"/>
  <c r="O27" i="89"/>
  <c r="N27" i="89"/>
  <c r="M27" i="89"/>
  <c r="J27" i="89"/>
  <c r="K27" i="89" s="1"/>
  <c r="C27" i="89"/>
  <c r="P26" i="89"/>
  <c r="O26" i="89"/>
  <c r="N26" i="89"/>
  <c r="M26" i="89"/>
  <c r="J26" i="89"/>
  <c r="K26" i="89" s="1"/>
  <c r="C26" i="89"/>
  <c r="P25" i="89"/>
  <c r="O25" i="89"/>
  <c r="N25" i="89"/>
  <c r="M25" i="89"/>
  <c r="J25" i="89"/>
  <c r="K25" i="89" s="1"/>
  <c r="C25" i="89"/>
  <c r="P24" i="89"/>
  <c r="O24" i="89"/>
  <c r="N24" i="89"/>
  <c r="M24" i="89"/>
  <c r="J24" i="89"/>
  <c r="K24" i="89" s="1"/>
  <c r="C24" i="89"/>
  <c r="P23" i="89"/>
  <c r="O23" i="89"/>
  <c r="N23" i="89"/>
  <c r="M23" i="89"/>
  <c r="J23" i="89"/>
  <c r="K23" i="89" s="1"/>
  <c r="C23" i="89"/>
  <c r="I18" i="89"/>
  <c r="H18" i="89"/>
  <c r="G18" i="89"/>
  <c r="F18" i="89"/>
  <c r="E18" i="89"/>
  <c r="D18" i="89"/>
  <c r="P17" i="89"/>
  <c r="O17" i="89"/>
  <c r="N17" i="89"/>
  <c r="M17" i="89"/>
  <c r="J17" i="89"/>
  <c r="K17" i="89" s="1"/>
  <c r="C17" i="89"/>
  <c r="P16" i="89"/>
  <c r="O16" i="89"/>
  <c r="N16" i="89"/>
  <c r="M16" i="89"/>
  <c r="J16" i="89"/>
  <c r="K16" i="89" s="1"/>
  <c r="C16" i="89"/>
  <c r="P15" i="89"/>
  <c r="O15" i="89"/>
  <c r="N15" i="89"/>
  <c r="M15" i="89"/>
  <c r="J15" i="89"/>
  <c r="K15" i="89" s="1"/>
  <c r="C15" i="89"/>
  <c r="P14" i="89"/>
  <c r="O14" i="89"/>
  <c r="N14" i="89"/>
  <c r="M14" i="89"/>
  <c r="J14" i="89"/>
  <c r="K14" i="89" s="1"/>
  <c r="C14" i="89"/>
  <c r="P13" i="89"/>
  <c r="O13" i="89"/>
  <c r="N13" i="89"/>
  <c r="M13" i="89"/>
  <c r="K13" i="89"/>
  <c r="C13" i="89"/>
  <c r="P12" i="89"/>
  <c r="O12" i="89"/>
  <c r="N12" i="89"/>
  <c r="M12" i="89"/>
  <c r="J12" i="89"/>
  <c r="K12" i="89" s="1"/>
  <c r="C12" i="89"/>
  <c r="P11" i="89"/>
  <c r="O11" i="89"/>
  <c r="N11" i="89"/>
  <c r="M11" i="89"/>
  <c r="J11" i="89"/>
  <c r="K11" i="89" s="1"/>
  <c r="C11" i="89"/>
  <c r="P10" i="89"/>
  <c r="O10" i="89"/>
  <c r="N10" i="89"/>
  <c r="M10" i="89"/>
  <c r="J10" i="89"/>
  <c r="K10" i="89" s="1"/>
  <c r="C10" i="89"/>
  <c r="P9" i="89"/>
  <c r="O9" i="89"/>
  <c r="N9" i="89"/>
  <c r="M9" i="89"/>
  <c r="J9" i="89"/>
  <c r="K9" i="89" s="1"/>
  <c r="C9" i="89"/>
  <c r="P8" i="89"/>
  <c r="O8" i="89"/>
  <c r="N8" i="89"/>
  <c r="M8" i="89"/>
  <c r="J8" i="89"/>
  <c r="C8" i="89"/>
  <c r="BR31" i="71"/>
  <c r="I88" i="89" s="1"/>
  <c r="BQ31" i="71"/>
  <c r="I87" i="89" s="1"/>
  <c r="BP31" i="71"/>
  <c r="I86" i="89" s="1"/>
  <c r="BO31" i="71"/>
  <c r="I85" i="89" s="1"/>
  <c r="BN31" i="71"/>
  <c r="I84" i="89" s="1"/>
  <c r="BM31" i="71"/>
  <c r="I83" i="89" s="1"/>
  <c r="BL31" i="71"/>
  <c r="BB31" i="71"/>
  <c r="I124" i="89" s="1"/>
  <c r="BA31" i="71"/>
  <c r="AZ31" i="71"/>
  <c r="AY31" i="71"/>
  <c r="AX31" i="71"/>
  <c r="AW31" i="71"/>
  <c r="AV31" i="71"/>
  <c r="AU31" i="71"/>
  <c r="AT31" i="71"/>
  <c r="AS31" i="71"/>
  <c r="AR31" i="71"/>
  <c r="AQ31" i="71"/>
  <c r="AP31" i="71"/>
  <c r="AO31" i="71"/>
  <c r="AN31" i="71"/>
  <c r="AM31" i="71"/>
  <c r="AL31" i="71"/>
  <c r="AK31" i="71"/>
  <c r="AJ31" i="71"/>
  <c r="AI31" i="71"/>
  <c r="AH31" i="71"/>
  <c r="AG31" i="71"/>
  <c r="AF31" i="71"/>
  <c r="AE31" i="71"/>
  <c r="AD31" i="71"/>
  <c r="AC31" i="71"/>
  <c r="AB31" i="71"/>
  <c r="I76" i="89" s="1"/>
  <c r="AA31" i="71"/>
  <c r="Z31" i="71"/>
  <c r="Y31" i="71"/>
  <c r="X31" i="71"/>
  <c r="I113" i="89" s="1"/>
  <c r="W31" i="71"/>
  <c r="I112" i="89" s="1"/>
  <c r="V31" i="71"/>
  <c r="I111" i="89" s="1"/>
  <c r="U31" i="71"/>
  <c r="I110" i="89" s="1"/>
  <c r="T31" i="71"/>
  <c r="I109" i="89" s="1"/>
  <c r="S31" i="71"/>
  <c r="I67" i="89" s="1"/>
  <c r="R31" i="71"/>
  <c r="I66" i="89" s="1"/>
  <c r="Q31" i="71"/>
  <c r="I103" i="89" s="1"/>
  <c r="P31" i="71"/>
  <c r="I102" i="89" s="1"/>
  <c r="O31" i="71"/>
  <c r="I101" i="89" s="1"/>
  <c r="N31" i="71"/>
  <c r="I100" i="89" s="1"/>
  <c r="M31" i="71"/>
  <c r="I99" i="89" s="1"/>
  <c r="L31" i="71"/>
  <c r="I98" i="89" s="1"/>
  <c r="K31" i="71"/>
  <c r="I97" i="89" s="1"/>
  <c r="J31" i="71"/>
  <c r="I96" i="89" s="1"/>
  <c r="I31" i="71"/>
  <c r="I95" i="89" s="1"/>
  <c r="H31" i="71"/>
  <c r="I94" i="89" s="1"/>
  <c r="G31" i="71"/>
  <c r="F31" i="71"/>
  <c r="BT29" i="71"/>
  <c r="BT28" i="71"/>
  <c r="BT27" i="71"/>
  <c r="BT26" i="71"/>
  <c r="BT25" i="71"/>
  <c r="BT24" i="71"/>
  <c r="BT23" i="71"/>
  <c r="BT22" i="71"/>
  <c r="BT21" i="71"/>
  <c r="A20" i="71"/>
  <c r="A21" i="71" s="1"/>
  <c r="A22" i="71" s="1"/>
  <c r="A23" i="71" s="1"/>
  <c r="A24" i="71" s="1"/>
  <c r="A25" i="71" s="1"/>
  <c r="A26" i="71" s="1"/>
  <c r="A27" i="71" s="1"/>
  <c r="A28" i="71" s="1"/>
  <c r="A7" i="71"/>
  <c r="A8" i="71" s="1"/>
  <c r="A9" i="71" s="1"/>
  <c r="A10" i="71" s="1"/>
  <c r="A11" i="71" s="1"/>
  <c r="A12" i="71" s="1"/>
  <c r="A13" i="71" s="1"/>
  <c r="A14" i="71" s="1"/>
  <c r="A15" i="71" s="1"/>
  <c r="A16" i="71" s="1"/>
  <c r="A17" i="71" s="1"/>
  <c r="A18" i="71" s="1"/>
  <c r="AK108" i="90"/>
  <c r="AK107" i="90"/>
  <c r="AK106" i="90"/>
  <c r="AK105" i="90"/>
  <c r="AK104" i="90"/>
  <c r="AK103" i="90"/>
  <c r="AK102" i="90"/>
  <c r="AK101" i="90"/>
  <c r="AK100" i="90"/>
  <c r="AK99" i="90"/>
  <c r="AK98" i="90"/>
  <c r="AK97" i="90"/>
  <c r="AK96" i="90"/>
  <c r="AK95" i="90"/>
  <c r="AK94" i="90"/>
  <c r="AK93" i="90"/>
  <c r="AK92" i="90"/>
  <c r="AK91" i="90"/>
  <c r="AK90" i="90"/>
  <c r="AK89" i="90"/>
  <c r="AK88" i="90"/>
  <c r="AK87" i="90"/>
  <c r="AK86" i="90"/>
  <c r="AK85" i="90"/>
  <c r="AK84" i="90"/>
  <c r="AK83" i="90"/>
  <c r="AK82" i="90"/>
  <c r="AK81" i="90"/>
  <c r="AK80" i="90"/>
  <c r="AK79" i="90"/>
  <c r="AK78" i="90"/>
  <c r="AK77" i="90"/>
  <c r="AK76" i="90"/>
  <c r="AK75" i="90"/>
  <c r="AK74" i="90"/>
  <c r="AK73" i="90"/>
  <c r="AK72" i="90"/>
  <c r="AK71" i="90"/>
  <c r="AK70" i="90"/>
  <c r="AK69" i="90"/>
  <c r="AK68" i="90"/>
  <c r="AK67" i="90"/>
  <c r="AK66" i="90"/>
  <c r="AK65" i="90"/>
  <c r="AK64" i="90"/>
  <c r="AK63" i="90"/>
  <c r="AK62" i="90"/>
  <c r="AK61" i="90"/>
  <c r="AK60" i="90"/>
  <c r="AK59" i="90"/>
  <c r="AK58" i="90"/>
  <c r="AK57" i="90"/>
  <c r="AK56" i="90"/>
  <c r="AK55" i="90"/>
  <c r="AK54" i="90"/>
  <c r="AK53" i="90"/>
  <c r="AK52" i="90"/>
  <c r="AK51" i="90"/>
  <c r="AK50" i="90"/>
  <c r="AK49" i="90"/>
  <c r="AK48" i="90"/>
  <c r="D8" i="70"/>
  <c r="D24" i="70"/>
  <c r="D25" i="70"/>
  <c r="D20" i="68"/>
  <c r="AO3" i="90"/>
  <c r="A2" i="71"/>
  <c r="L2" i="92" s="1"/>
  <c r="O32" i="70"/>
  <c r="E117" i="89" s="1"/>
  <c r="M117" i="89" s="1"/>
  <c r="O31" i="70"/>
  <c r="E116" i="89" s="1"/>
  <c r="M116" i="89" s="1"/>
  <c r="O30" i="70"/>
  <c r="E115" i="89" s="1"/>
  <c r="M115" i="89" s="1"/>
  <c r="O29" i="70"/>
  <c r="E114" i="89" s="1"/>
  <c r="M114" i="89" s="1"/>
  <c r="O28" i="70"/>
  <c r="E113" i="89" s="1"/>
  <c r="M113" i="89" s="1"/>
  <c r="O27" i="70"/>
  <c r="E112" i="89" s="1"/>
  <c r="M112" i="89" s="1"/>
  <c r="O26" i="70"/>
  <c r="E111" i="89" s="1"/>
  <c r="M111" i="89" s="1"/>
  <c r="O25" i="70"/>
  <c r="E110" i="89" s="1"/>
  <c r="M110" i="89" s="1"/>
  <c r="O24" i="70"/>
  <c r="P24" i="70" s="1"/>
  <c r="U19" i="70"/>
  <c r="V19" i="70" s="1"/>
  <c r="J19" i="70"/>
  <c r="U18" i="70"/>
  <c r="V18" i="70" s="1"/>
  <c r="P18" i="70"/>
  <c r="J18" i="70"/>
  <c r="U17" i="70"/>
  <c r="V17" i="70" s="1"/>
  <c r="P17" i="70"/>
  <c r="J17" i="70"/>
  <c r="U16" i="70"/>
  <c r="E130" i="89" s="1"/>
  <c r="J16" i="70"/>
  <c r="U15" i="70"/>
  <c r="E129" i="89" s="1"/>
  <c r="E100" i="89"/>
  <c r="M100" i="89" s="1"/>
  <c r="J15" i="70"/>
  <c r="U14" i="70"/>
  <c r="E128" i="89" s="1"/>
  <c r="E99" i="89"/>
  <c r="J14" i="70"/>
  <c r="U13" i="70"/>
  <c r="E127" i="89" s="1"/>
  <c r="P13" i="70"/>
  <c r="J13" i="70"/>
  <c r="U12" i="70"/>
  <c r="E126" i="89" s="1"/>
  <c r="P12" i="70"/>
  <c r="J12" i="70"/>
  <c r="U11" i="70"/>
  <c r="E125" i="89" s="1"/>
  <c r="P11" i="70"/>
  <c r="J11" i="70"/>
  <c r="U10" i="70"/>
  <c r="E124" i="89" s="1"/>
  <c r="P10" i="70"/>
  <c r="J10" i="70"/>
  <c r="E123" i="89"/>
  <c r="O9" i="70"/>
  <c r="E94" i="89" s="1"/>
  <c r="J9" i="70"/>
  <c r="H26" i="68"/>
  <c r="H24" i="68"/>
  <c r="H23" i="68"/>
  <c r="H22" i="68"/>
  <c r="H21" i="68"/>
  <c r="H20" i="68"/>
  <c r="H19" i="68"/>
  <c r="H18" i="68"/>
  <c r="H13" i="68"/>
  <c r="H12" i="68"/>
  <c r="H11" i="68"/>
  <c r="H10" i="68"/>
  <c r="H9" i="68"/>
  <c r="H8" i="68"/>
  <c r="H7" i="68"/>
  <c r="G53" i="75"/>
  <c r="G52" i="75"/>
  <c r="G51" i="75"/>
  <c r="G50" i="75"/>
  <c r="G49" i="75"/>
  <c r="G48" i="75"/>
  <c r="G47" i="75"/>
  <c r="G46" i="75"/>
  <c r="G45" i="75"/>
  <c r="G44" i="75"/>
  <c r="G43" i="75"/>
  <c r="H36" i="75"/>
  <c r="H35" i="75"/>
  <c r="G35" i="75"/>
  <c r="H34" i="75"/>
  <c r="G34" i="75"/>
  <c r="H33" i="75"/>
  <c r="G33" i="75"/>
  <c r="H32" i="75"/>
  <c r="G32" i="75"/>
  <c r="H31" i="75"/>
  <c r="G31" i="75"/>
  <c r="G30" i="75"/>
  <c r="G29" i="75"/>
  <c r="G28" i="75"/>
  <c r="G27" i="75"/>
  <c r="H26" i="75"/>
  <c r="G26" i="75"/>
  <c r="H24" i="75"/>
  <c r="G24" i="75"/>
  <c r="H23" i="75"/>
  <c r="G23" i="75"/>
  <c r="H19" i="75"/>
  <c r="G19" i="75"/>
  <c r="H18" i="75"/>
  <c r="G18" i="75"/>
  <c r="H17" i="75"/>
  <c r="G17" i="75"/>
  <c r="G16" i="75"/>
  <c r="H15" i="75"/>
  <c r="G15" i="75"/>
  <c r="H14" i="75"/>
  <c r="G14" i="75"/>
  <c r="G13" i="75"/>
  <c r="G12" i="75"/>
  <c r="H11" i="75"/>
  <c r="G11" i="75"/>
  <c r="H10" i="75"/>
  <c r="G10" i="75"/>
  <c r="H9" i="75"/>
  <c r="G9" i="75"/>
  <c r="H8" i="75"/>
  <c r="G8" i="75"/>
  <c r="H32" i="74" l="1"/>
  <c r="BT31" i="71"/>
  <c r="BH33" i="71" s="1"/>
  <c r="J26" i="75" s="1"/>
  <c r="BH32" i="71"/>
  <c r="H118" i="89"/>
  <c r="D20" i="74"/>
  <c r="M61" i="89"/>
  <c r="C104" i="89"/>
  <c r="J18" i="89"/>
  <c r="H89" i="89"/>
  <c r="L30" i="74"/>
  <c r="P129" i="89"/>
  <c r="C134" i="89"/>
  <c r="J124" i="89"/>
  <c r="K124" i="89" s="1"/>
  <c r="F18" i="92"/>
  <c r="H18" i="92" s="1"/>
  <c r="D24" i="68"/>
  <c r="F15" i="92"/>
  <c r="H15" i="92" s="1"/>
  <c r="L15" i="92" s="1"/>
  <c r="F9" i="92"/>
  <c r="H9" i="92" s="1"/>
  <c r="L9" i="92" s="1"/>
  <c r="F12" i="92"/>
  <c r="H12" i="92" s="1"/>
  <c r="H16" i="92"/>
  <c r="C5" i="74"/>
  <c r="B3" i="81"/>
  <c r="I123" i="89"/>
  <c r="J123" i="89" s="1"/>
  <c r="K123" i="89" s="1"/>
  <c r="D22" i="68"/>
  <c r="E48" i="92"/>
  <c r="H6" i="92"/>
  <c r="I82" i="89"/>
  <c r="I89" i="89" s="1"/>
  <c r="O31" i="89"/>
  <c r="C61" i="89"/>
  <c r="P125" i="89"/>
  <c r="N47" i="89"/>
  <c r="J66" i="89"/>
  <c r="P130" i="89"/>
  <c r="C77" i="89"/>
  <c r="M47" i="89"/>
  <c r="C31" i="89"/>
  <c r="M18" i="89"/>
  <c r="N61" i="89"/>
  <c r="P31" i="89"/>
  <c r="N18" i="89"/>
  <c r="P47" i="89"/>
  <c r="O61" i="89"/>
  <c r="O18" i="89"/>
  <c r="P18" i="89"/>
  <c r="M31" i="89"/>
  <c r="O47" i="89"/>
  <c r="C18" i="89"/>
  <c r="N31" i="89"/>
  <c r="C118" i="89"/>
  <c r="J31" i="89"/>
  <c r="O118" i="89"/>
  <c r="K8" i="89"/>
  <c r="K18" i="89" s="1"/>
  <c r="K31" i="89"/>
  <c r="C89" i="89"/>
  <c r="K61" i="89"/>
  <c r="P61" i="89"/>
  <c r="J61" i="89"/>
  <c r="D136" i="89"/>
  <c r="D11" i="70"/>
  <c r="D26" i="70"/>
  <c r="P127" i="89"/>
  <c r="N128" i="89"/>
  <c r="N126" i="89"/>
  <c r="H134" i="89"/>
  <c r="N134" i="89" s="1"/>
  <c r="P133" i="89"/>
  <c r="N124" i="89"/>
  <c r="N132" i="89"/>
  <c r="P123" i="89"/>
  <c r="P131" i="89"/>
  <c r="D21" i="68"/>
  <c r="D23" i="68"/>
  <c r="D11" i="68"/>
  <c r="D27" i="70"/>
  <c r="AR38" i="90"/>
  <c r="D9" i="70"/>
  <c r="H27" i="68"/>
  <c r="K24" i="91"/>
  <c r="G42" i="81"/>
  <c r="P29" i="70"/>
  <c r="P26" i="70"/>
  <c r="P25" i="70"/>
  <c r="J20" i="70"/>
  <c r="J31" i="70"/>
  <c r="H77" i="89"/>
  <c r="P89" i="89"/>
  <c r="P109" i="89"/>
  <c r="P118" i="89" s="1"/>
  <c r="G8" i="81"/>
  <c r="G9" i="81" s="1"/>
  <c r="G10" i="81" s="1"/>
  <c r="G11" i="81" s="1"/>
  <c r="G12" i="81" s="1"/>
  <c r="G13" i="81" s="1"/>
  <c r="G14" i="81" s="1"/>
  <c r="G15" i="81" s="1"/>
  <c r="G16" i="81" s="1"/>
  <c r="G17" i="81" s="1"/>
  <c r="G18" i="81" s="1"/>
  <c r="G19" i="81" s="1"/>
  <c r="G20" i="81" s="1"/>
  <c r="G21" i="81" s="1"/>
  <c r="G22" i="81" s="1"/>
  <c r="G23" i="81" s="1"/>
  <c r="G24" i="81" s="1"/>
  <c r="G25" i="81" s="1"/>
  <c r="G26" i="81" s="1"/>
  <c r="G27" i="81" s="1"/>
  <c r="G28" i="81" s="1"/>
  <c r="G29" i="81" s="1"/>
  <c r="G30" i="81" s="1"/>
  <c r="G31" i="81" s="1"/>
  <c r="G32" i="81" s="1"/>
  <c r="G33" i="81" s="1"/>
  <c r="G34" i="81" s="1"/>
  <c r="G35" i="81" s="1"/>
  <c r="G36" i="81" s="1"/>
  <c r="G37" i="81" s="1"/>
  <c r="G38" i="81" s="1"/>
  <c r="G39" i="81" s="1"/>
  <c r="G40" i="81" s="1"/>
  <c r="G41" i="81" s="1"/>
  <c r="G4" i="81"/>
  <c r="P134" i="89"/>
  <c r="N123" i="89"/>
  <c r="I69" i="89"/>
  <c r="J69" i="89" s="1"/>
  <c r="K69" i="89" s="1"/>
  <c r="I73" i="89"/>
  <c r="J73" i="89" s="1"/>
  <c r="K73" i="89" s="1"/>
  <c r="I72" i="89"/>
  <c r="J72" i="89" s="1"/>
  <c r="K72" i="89" s="1"/>
  <c r="L20" i="74"/>
  <c r="I70" i="89"/>
  <c r="J70" i="89" s="1"/>
  <c r="K70" i="89" s="1"/>
  <c r="I68" i="89"/>
  <c r="J68" i="89" s="1"/>
  <c r="K68" i="89" s="1"/>
  <c r="I74" i="89"/>
  <c r="J74" i="89" s="1"/>
  <c r="K74" i="89" s="1"/>
  <c r="E109" i="89"/>
  <c r="M109" i="89" s="1"/>
  <c r="M118" i="89" s="1"/>
  <c r="P28" i="70"/>
  <c r="P31" i="70"/>
  <c r="P27" i="70"/>
  <c r="P30" i="70"/>
  <c r="E89" i="89"/>
  <c r="P32" i="70"/>
  <c r="M77" i="89"/>
  <c r="J116" i="89"/>
  <c r="K116" i="89" s="1"/>
  <c r="E77" i="89"/>
  <c r="M82" i="89"/>
  <c r="M89" i="89" s="1"/>
  <c r="V9" i="70"/>
  <c r="I118" i="89"/>
  <c r="J117" i="89"/>
  <c r="K117" i="89" s="1"/>
  <c r="I71" i="89"/>
  <c r="J71" i="89" s="1"/>
  <c r="K71" i="89" s="1"/>
  <c r="I75" i="89"/>
  <c r="J75" i="89" s="1"/>
  <c r="K75" i="89" s="1"/>
  <c r="J110" i="89"/>
  <c r="K110" i="89" s="1"/>
  <c r="J112" i="89"/>
  <c r="K112" i="89" s="1"/>
  <c r="J114" i="89"/>
  <c r="K114" i="89" s="1"/>
  <c r="V10" i="70"/>
  <c r="P75" i="89"/>
  <c r="P77" i="89" s="1"/>
  <c r="E103" i="89"/>
  <c r="M103" i="89" s="1"/>
  <c r="M99" i="89"/>
  <c r="J99" i="89"/>
  <c r="K99" i="89" s="1"/>
  <c r="P9" i="70"/>
  <c r="P15" i="70"/>
  <c r="P14" i="70"/>
  <c r="M94" i="89"/>
  <c r="O123" i="89"/>
  <c r="O77" i="89"/>
  <c r="J86" i="89"/>
  <c r="K86" i="89" s="1"/>
  <c r="D34" i="74"/>
  <c r="J67" i="89"/>
  <c r="K67" i="89" s="1"/>
  <c r="M134" i="89"/>
  <c r="O134" i="89"/>
  <c r="G134" i="89"/>
  <c r="H19" i="74"/>
  <c r="G89" i="89"/>
  <c r="N114" i="89"/>
  <c r="J113" i="89"/>
  <c r="K113" i="89" s="1"/>
  <c r="G77" i="89"/>
  <c r="O85" i="89"/>
  <c r="O89" i="89" s="1"/>
  <c r="F77" i="89"/>
  <c r="J83" i="89"/>
  <c r="K83" i="89" s="1"/>
  <c r="J87" i="89"/>
  <c r="K87" i="89" s="1"/>
  <c r="J84" i="89"/>
  <c r="K84" i="89" s="1"/>
  <c r="J88" i="89"/>
  <c r="K88" i="89" s="1"/>
  <c r="J85" i="89"/>
  <c r="K85" i="89" s="1"/>
  <c r="AR19" i="90"/>
  <c r="AR12" i="90"/>
  <c r="E133" i="89"/>
  <c r="E132" i="89"/>
  <c r="V14" i="70"/>
  <c r="V13" i="70"/>
  <c r="V12" i="70"/>
  <c r="N66" i="89"/>
  <c r="N68" i="89"/>
  <c r="N70" i="89"/>
  <c r="N72" i="89"/>
  <c r="N74" i="89"/>
  <c r="N83" i="89"/>
  <c r="N85" i="89"/>
  <c r="N87" i="89"/>
  <c r="F104" i="89"/>
  <c r="J95" i="89"/>
  <c r="K95" i="89" s="1"/>
  <c r="N110" i="89"/>
  <c r="J111" i="89"/>
  <c r="K111" i="89" s="1"/>
  <c r="F89" i="89"/>
  <c r="O104" i="89"/>
  <c r="J115" i="89"/>
  <c r="K115" i="89" s="1"/>
  <c r="N67" i="89"/>
  <c r="N69" i="89"/>
  <c r="N71" i="89"/>
  <c r="N73" i="89"/>
  <c r="N75" i="89"/>
  <c r="J76" i="89"/>
  <c r="K76" i="89" s="1"/>
  <c r="N82" i="89"/>
  <c r="N84" i="89"/>
  <c r="N86" i="89"/>
  <c r="N88" i="89"/>
  <c r="G104" i="89"/>
  <c r="N109" i="89"/>
  <c r="P104" i="89"/>
  <c r="J97" i="89"/>
  <c r="K97" i="89" s="1"/>
  <c r="J102" i="89"/>
  <c r="K102" i="89" s="1"/>
  <c r="J101" i="89"/>
  <c r="K101" i="89" s="1"/>
  <c r="E131" i="89"/>
  <c r="V15" i="70"/>
  <c r="AK109" i="90"/>
  <c r="J100" i="89"/>
  <c r="K100" i="89" s="1"/>
  <c r="I104" i="89"/>
  <c r="J98" i="89"/>
  <c r="K98" i="89" s="1"/>
  <c r="J96" i="89"/>
  <c r="K96" i="89" s="1"/>
  <c r="N94" i="89"/>
  <c r="N95" i="89"/>
  <c r="N96" i="89"/>
  <c r="N97" i="89"/>
  <c r="N98" i="89"/>
  <c r="N99" i="89"/>
  <c r="N100" i="89"/>
  <c r="N101" i="89"/>
  <c r="N102" i="89"/>
  <c r="N103" i="89"/>
  <c r="F118" i="89"/>
  <c r="J94" i="89"/>
  <c r="K94" i="89" s="1"/>
  <c r="N112" i="89"/>
  <c r="V16" i="70"/>
  <c r="V11" i="70"/>
  <c r="H14" i="68"/>
  <c r="J10" i="75" l="1"/>
  <c r="I7" i="93" s="1"/>
  <c r="J82" i="89"/>
  <c r="J89" i="89" s="1"/>
  <c r="H136" i="89"/>
  <c r="N14" i="93"/>
  <c r="N8" i="93"/>
  <c r="L6" i="92"/>
  <c r="I6" i="92"/>
  <c r="L12" i="92"/>
  <c r="M12" i="92" s="1"/>
  <c r="I12" i="92"/>
  <c r="L18" i="92"/>
  <c r="I18" i="92"/>
  <c r="L16" i="92"/>
  <c r="N15" i="93" s="1"/>
  <c r="I15" i="92"/>
  <c r="J77" i="89"/>
  <c r="F48" i="92"/>
  <c r="F52" i="92" s="1"/>
  <c r="E49" i="92"/>
  <c r="E52" i="92" s="1"/>
  <c r="H10" i="92"/>
  <c r="H48" i="92"/>
  <c r="E55" i="92" s="1"/>
  <c r="C136" i="89"/>
  <c r="AR22" i="90"/>
  <c r="AR33" i="90"/>
  <c r="AR27" i="90"/>
  <c r="D10" i="70"/>
  <c r="D20" i="70" s="1"/>
  <c r="AP19" i="90"/>
  <c r="J109" i="89"/>
  <c r="K109" i="89" s="1"/>
  <c r="K118" i="89" s="1"/>
  <c r="H29" i="68"/>
  <c r="J8" i="75" s="1"/>
  <c r="D17" i="68"/>
  <c r="D36" i="74"/>
  <c r="D34" i="70"/>
  <c r="E118" i="89"/>
  <c r="P33" i="70"/>
  <c r="AQ19" i="90"/>
  <c r="AP12" i="90"/>
  <c r="AQ12" i="90"/>
  <c r="I77" i="89"/>
  <c r="E104" i="89"/>
  <c r="J103" i="89"/>
  <c r="K103" i="89" s="1"/>
  <c r="P19" i="70"/>
  <c r="M104" i="89"/>
  <c r="D30" i="68"/>
  <c r="F136" i="89"/>
  <c r="G136" i="89"/>
  <c r="E134" i="89"/>
  <c r="N118" i="89"/>
  <c r="N89" i="89"/>
  <c r="N77" i="89"/>
  <c r="V20" i="70"/>
  <c r="N104" i="89"/>
  <c r="K66" i="89"/>
  <c r="K77" i="89" s="1"/>
  <c r="J20" i="75" l="1"/>
  <c r="I35" i="70"/>
  <c r="J23" i="93" s="1"/>
  <c r="K82" i="89"/>
  <c r="K89" i="89" s="1"/>
  <c r="M15" i="92"/>
  <c r="N17" i="93"/>
  <c r="M18" i="92"/>
  <c r="N5" i="93"/>
  <c r="M6" i="92"/>
  <c r="L48" i="92"/>
  <c r="I55" i="92" s="1"/>
  <c r="N11" i="93"/>
  <c r="I9" i="92"/>
  <c r="I48" i="92" s="1"/>
  <c r="L10" i="92"/>
  <c r="M9" i="92" s="1"/>
  <c r="H49" i="92"/>
  <c r="J22" i="93"/>
  <c r="D37" i="70"/>
  <c r="AS15" i="90"/>
  <c r="J118" i="89"/>
  <c r="D32" i="68"/>
  <c r="D34" i="68" s="1"/>
  <c r="AS8" i="90"/>
  <c r="J104" i="89"/>
  <c r="E136" i="89"/>
  <c r="K104" i="89"/>
  <c r="AS45" i="90"/>
  <c r="M48" i="92" l="1"/>
  <c r="M52" i="92" s="1"/>
  <c r="L49" i="92"/>
  <c r="I56" i="92" s="1"/>
  <c r="L55" i="92" s="1"/>
  <c r="N9" i="93"/>
  <c r="H52" i="92"/>
  <c r="E56" i="92"/>
  <c r="G55" i="92" s="1"/>
  <c r="J23" i="75"/>
  <c r="J37" i="75" s="1"/>
  <c r="J39" i="75" s="1"/>
  <c r="J56" i="75" s="1"/>
  <c r="J58" i="75" s="1"/>
  <c r="I5" i="93"/>
  <c r="AS21" i="90"/>
  <c r="AS47" i="90" s="1"/>
  <c r="AR47" i="90" s="1"/>
  <c r="D41" i="70"/>
  <c r="C41" i="70" s="1"/>
  <c r="BK31" i="71"/>
  <c r="I133" i="89" s="1"/>
  <c r="J133" i="89" s="1"/>
  <c r="K133" i="89" s="1"/>
  <c r="BJ31" i="71"/>
  <c r="I132" i="89" s="1"/>
  <c r="J132" i="89" s="1"/>
  <c r="K132" i="89" s="1"/>
  <c r="BI31" i="71"/>
  <c r="I131" i="89" s="1"/>
  <c r="J131" i="89" s="1"/>
  <c r="K131" i="89" s="1"/>
  <c r="BF31" i="71"/>
  <c r="I128" i="89" s="1"/>
  <c r="J128" i="89" s="1"/>
  <c r="K128" i="89" s="1"/>
  <c r="BG31" i="71"/>
  <c r="BH31" i="71"/>
  <c r="I130" i="89" s="1"/>
  <c r="J130" i="89" s="1"/>
  <c r="K130" i="89" s="1"/>
  <c r="BE31" i="71"/>
  <c r="BD31" i="71"/>
  <c r="I126" i="89" s="1"/>
  <c r="J126" i="89" s="1"/>
  <c r="K126" i="89" s="1"/>
  <c r="BC31" i="71"/>
  <c r="BT32" i="71" l="1"/>
  <c r="BT33" i="71" s="1"/>
  <c r="L52" i="92"/>
  <c r="I129" i="89"/>
  <c r="J129" i="89" s="1"/>
  <c r="K129" i="89" s="1"/>
  <c r="I17" i="93"/>
  <c r="I125" i="89"/>
  <c r="J125" i="89" s="1"/>
  <c r="K125" i="89" s="1"/>
  <c r="I127" i="89"/>
  <c r="J127" i="89" s="1"/>
  <c r="K127" i="89" s="1"/>
  <c r="I134" i="89" l="1"/>
  <c r="I136" i="89" s="1"/>
  <c r="K134" i="89"/>
  <c r="K136" i="89" s="1"/>
  <c r="J134" i="89"/>
  <c r="J136" i="89" s="1"/>
  <c r="I20" i="93"/>
  <c r="I58" i="75" l="1"/>
</calcChain>
</file>

<file path=xl/sharedStrings.xml><?xml version="1.0" encoding="utf-8"?>
<sst xmlns="http://schemas.openxmlformats.org/spreadsheetml/2006/main" count="888" uniqueCount="399">
  <si>
    <t xml:space="preserve"> </t>
  </si>
  <si>
    <t>Add</t>
  </si>
  <si>
    <t>Total</t>
  </si>
  <si>
    <t>Amount</t>
  </si>
  <si>
    <t>Denom</t>
  </si>
  <si>
    <t>AMOUNT</t>
  </si>
  <si>
    <t xml:space="preserve">TOTAL </t>
  </si>
  <si>
    <t>Qty</t>
  </si>
  <si>
    <t>TOTAL</t>
  </si>
  <si>
    <t>DENOM</t>
  </si>
  <si>
    <t>No.</t>
  </si>
  <si>
    <t>QTY</t>
  </si>
  <si>
    <t>PIT</t>
  </si>
  <si>
    <t>CASH</t>
  </si>
  <si>
    <t>Shift</t>
  </si>
  <si>
    <t>M</t>
  </si>
  <si>
    <t>A</t>
  </si>
  <si>
    <t>N</t>
  </si>
  <si>
    <t>Chip Code</t>
  </si>
  <si>
    <t>FILL</t>
  </si>
  <si>
    <t>CREDIT</t>
  </si>
  <si>
    <t>Sub-Total (a + b)</t>
  </si>
  <si>
    <t>Counterfeit Chips</t>
  </si>
  <si>
    <t>Fill To Table Games</t>
  </si>
  <si>
    <t>Credit From Table Games</t>
  </si>
  <si>
    <t>Add (+):</t>
  </si>
  <si>
    <t>Minus (-):</t>
  </si>
  <si>
    <t>CHIP BANK</t>
  </si>
  <si>
    <t>OPERATIONS BANK</t>
  </si>
  <si>
    <t>CAGE WINDOW</t>
  </si>
  <si>
    <t>RESERVE BANK</t>
  </si>
  <si>
    <t>TABLE GAMES</t>
  </si>
  <si>
    <t>UNREDEEMED</t>
  </si>
  <si>
    <t>Trans. No.</t>
  </si>
  <si>
    <t>1M</t>
  </si>
  <si>
    <t>500K</t>
  </si>
  <si>
    <t>100K</t>
  </si>
  <si>
    <t>50K</t>
  </si>
  <si>
    <t>10K</t>
  </si>
  <si>
    <t>5K</t>
  </si>
  <si>
    <t>1K</t>
  </si>
  <si>
    <t>Location</t>
  </si>
  <si>
    <t>Area</t>
  </si>
  <si>
    <t>Type</t>
  </si>
  <si>
    <t>CHIP</t>
  </si>
  <si>
    <t>SHIFT</t>
  </si>
  <si>
    <t>CASH FILL</t>
  </si>
  <si>
    <t>CASH CREDIT</t>
  </si>
  <si>
    <t>CHIP FILL</t>
  </si>
  <si>
    <t>CHIP CREDIT</t>
  </si>
  <si>
    <t>Cage Shift Manager:</t>
  </si>
  <si>
    <t>TABLE NO.</t>
  </si>
  <si>
    <t>VIP</t>
  </si>
  <si>
    <t>INITIAL STOCK</t>
  </si>
  <si>
    <t>CAGE</t>
  </si>
  <si>
    <t>CASH FILL TO TABLE</t>
  </si>
  <si>
    <t>CASH FILL TO OB</t>
  </si>
  <si>
    <t>CASH FILL TO RB</t>
  </si>
  <si>
    <t>CHIP FILL TO TABLE</t>
  </si>
  <si>
    <t>CHIP FILL TO OB</t>
  </si>
  <si>
    <t>CHIP FILL TO RB</t>
  </si>
  <si>
    <t>TOTAL SUMMARY BY TRANSACTION</t>
  </si>
  <si>
    <t>TOTAL SUMMARY BY AREA</t>
  </si>
  <si>
    <t>TOTAL FILL &amp; CREDIT</t>
  </si>
  <si>
    <t>CC01</t>
  </si>
  <si>
    <t>MKR</t>
  </si>
  <si>
    <t>CC02</t>
  </si>
  <si>
    <t>VCC</t>
  </si>
  <si>
    <t>VNN</t>
  </si>
  <si>
    <t>VJCC</t>
  </si>
  <si>
    <t>VJNN</t>
  </si>
  <si>
    <t>OUTGOING CAGE SHIFT MANAGER:</t>
  </si>
  <si>
    <t>INCOMING CAGE SHIFT MANAGER:</t>
  </si>
  <si>
    <t>Sub-Total</t>
  </si>
  <si>
    <t xml:space="preserve">TOTAL CHIPS INVENTORY </t>
  </si>
  <si>
    <t xml:space="preserve">TOTAL VIP CHIPS INVENTORY </t>
  </si>
  <si>
    <t>MARKER</t>
  </si>
  <si>
    <t>MARKER FILL TO OB</t>
  </si>
  <si>
    <t>CREDIT SUMMARY</t>
  </si>
  <si>
    <t xml:space="preserve">FILL SUMMARY </t>
  </si>
  <si>
    <t>VOID</t>
  </si>
  <si>
    <t xml:space="preserve">OPENING AMOUNT </t>
  </si>
  <si>
    <t>Sub-Total (+)</t>
  </si>
  <si>
    <r>
      <t xml:space="preserve">Sub-Total </t>
    </r>
    <r>
      <rPr>
        <sz val="12"/>
        <color rgb="FFFF0000"/>
        <rFont val="Tahoma"/>
        <family val="2"/>
      </rPr>
      <t>(-)</t>
    </r>
  </si>
  <si>
    <t>VIP CAGE</t>
  </si>
  <si>
    <t>CAGE SHIFT MANAGER:</t>
  </si>
  <si>
    <t xml:space="preserve">INVENTORY - KHR </t>
  </si>
  <si>
    <t xml:space="preserve">Sub- Total </t>
  </si>
  <si>
    <t>CASH CREDIT FROM TABLE</t>
  </si>
  <si>
    <t>CASH CREDIT FROM OB</t>
  </si>
  <si>
    <t>CASH CREDIT FROM RB</t>
  </si>
  <si>
    <t>MARKER CREDIT FROM OB</t>
  </si>
  <si>
    <t>CHIP CREDIT FROM TABLE</t>
  </si>
  <si>
    <t>CHIP CREDIT FROM OB</t>
  </si>
  <si>
    <t>CHIP CREDIT FROM RB</t>
  </si>
  <si>
    <t xml:space="preserve">VIP TABLE RESULT </t>
  </si>
  <si>
    <t xml:space="preserve">(c) Transfer-In Total </t>
  </si>
  <si>
    <t xml:space="preserve">(b) Chips Total </t>
  </si>
  <si>
    <t xml:space="preserve">(a) Cash Total </t>
  </si>
  <si>
    <t>CA-1449</t>
  </si>
  <si>
    <t>Emp ID</t>
  </si>
  <si>
    <t>Transaction</t>
  </si>
  <si>
    <t>DATE:</t>
  </si>
  <si>
    <t>SHIFT:</t>
  </si>
  <si>
    <t>CAGE SUPERVISOR/ABOVE:</t>
  </si>
  <si>
    <t>TIME:</t>
  </si>
  <si>
    <t>Enter the qty here to link in the unredeemed report</t>
  </si>
  <si>
    <t>Date</t>
  </si>
  <si>
    <t>Doc. No.</t>
  </si>
  <si>
    <t>Player Name</t>
  </si>
  <si>
    <t>Player ID</t>
  </si>
  <si>
    <t>Print this form every night to log the actual chips as VIP Cage</t>
  </si>
  <si>
    <t>ISSUE</t>
  </si>
  <si>
    <t>REDEEM</t>
  </si>
  <si>
    <t>20</t>
  </si>
  <si>
    <t>24</t>
  </si>
  <si>
    <t>25</t>
  </si>
  <si>
    <t>30</t>
  </si>
  <si>
    <t>29</t>
  </si>
  <si>
    <t>12</t>
  </si>
  <si>
    <t>14</t>
  </si>
  <si>
    <t>15</t>
  </si>
  <si>
    <t>17</t>
  </si>
  <si>
    <t>18</t>
  </si>
  <si>
    <t>19</t>
  </si>
  <si>
    <t>21</t>
  </si>
  <si>
    <t>22</t>
  </si>
  <si>
    <t>23</t>
  </si>
  <si>
    <t>26</t>
  </si>
  <si>
    <t>27</t>
  </si>
  <si>
    <t>28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</si>
  <si>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</si>
  <si>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</si>
  <si>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</si>
  <si>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</si>
  <si>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</si>
  <si>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</si>
  <si>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</si>
  <si>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</si>
  <si>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</si>
  <si>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TOTAL CHIPS</t>
  </si>
  <si>
    <t xml:space="preserve">                        </t>
  </si>
  <si>
    <t xml:space="preserve">TOTAL CASH </t>
  </si>
  <si>
    <t xml:space="preserve">VIP UNREDEEMED REPORT </t>
  </si>
  <si>
    <t>Enter CC01/CC02 and NNP in MASS CHIP COUNT</t>
  </si>
  <si>
    <t>Credit From Reserve Bank</t>
  </si>
  <si>
    <t>Credit From Operations Bank</t>
  </si>
  <si>
    <t>Marker From Operations Bank</t>
  </si>
  <si>
    <t>OB</t>
  </si>
  <si>
    <t xml:space="preserve">CAGE </t>
  </si>
  <si>
    <t>RB</t>
  </si>
  <si>
    <t>VB13</t>
  </si>
  <si>
    <t>VB12</t>
  </si>
  <si>
    <t>VB11</t>
  </si>
  <si>
    <t>VB10</t>
  </si>
  <si>
    <t>VB09</t>
  </si>
  <si>
    <t>VB02</t>
  </si>
  <si>
    <t>Fill To Reserve Bank</t>
  </si>
  <si>
    <t>Fill To Operations Bank</t>
  </si>
  <si>
    <t>Marker To Operations Bank</t>
  </si>
  <si>
    <t>VIP FILL &amp; CREDIT REPORT</t>
  </si>
  <si>
    <t>DO not print this part, it is only for double checking amount on your balance sheets</t>
  </si>
  <si>
    <t xml:space="preserve">                                </t>
  </si>
  <si>
    <t>MB607</t>
  </si>
  <si>
    <t>NN601</t>
  </si>
  <si>
    <t>NN602</t>
  </si>
  <si>
    <t>MB606</t>
  </si>
  <si>
    <t>Value</t>
  </si>
  <si>
    <t>NN02</t>
  </si>
  <si>
    <t>PIT 6</t>
  </si>
  <si>
    <t>LH VIP CAGE</t>
  </si>
  <si>
    <t>MB603</t>
  </si>
  <si>
    <t>MB605</t>
  </si>
  <si>
    <t>00064</t>
  </si>
  <si>
    <t>Guang Dong</t>
  </si>
  <si>
    <t>000108</t>
  </si>
  <si>
    <t>LH VIP CAGE A</t>
  </si>
  <si>
    <t>000109</t>
  </si>
  <si>
    <t>LH VIP CAGE B</t>
  </si>
  <si>
    <t>000115</t>
  </si>
  <si>
    <t>000064</t>
  </si>
  <si>
    <t>MB610</t>
  </si>
  <si>
    <t>MB611</t>
  </si>
  <si>
    <t>0001279</t>
  </si>
  <si>
    <t>JCC2</t>
  </si>
  <si>
    <t>JNN2</t>
  </si>
  <si>
    <t>JCC02</t>
  </si>
  <si>
    <t>JNN02</t>
  </si>
  <si>
    <t>000119</t>
  </si>
  <si>
    <t>NNP</t>
  </si>
  <si>
    <t>NIGHT</t>
  </si>
  <si>
    <t>7</t>
    <phoneticPr fontId="53" type="noConversion"/>
  </si>
  <si>
    <t>8</t>
    <phoneticPr fontId="53" type="noConversion"/>
  </si>
  <si>
    <t>10</t>
    <phoneticPr fontId="53" type="noConversion"/>
  </si>
  <si>
    <t>11</t>
    <phoneticPr fontId="53" type="noConversion"/>
  </si>
  <si>
    <t>9</t>
    <phoneticPr fontId="53" type="noConversion"/>
  </si>
  <si>
    <t>VB01</t>
  </si>
  <si>
    <t>CA-1749</t>
  </si>
  <si>
    <t>CA-1899</t>
  </si>
  <si>
    <t>VB03</t>
  </si>
  <si>
    <t xml:space="preserve">                                                                                                                                                                                                                                  </t>
  </si>
  <si>
    <t>VB08</t>
  </si>
  <si>
    <t>MH CAGE</t>
  </si>
  <si>
    <t>DEPOSIT/WITHDRAW MONITORING LOG</t>
  </si>
  <si>
    <t xml:space="preserve">DEPOSIT </t>
  </si>
  <si>
    <t xml:space="preserve">WITHDRAW  </t>
  </si>
  <si>
    <t>Deno</t>
  </si>
  <si>
    <t>Deposit Amount</t>
  </si>
  <si>
    <t>Time</t>
  </si>
  <si>
    <t>Withdraw Amount</t>
  </si>
  <si>
    <t>Balance</t>
  </si>
  <si>
    <t>Received By</t>
  </si>
  <si>
    <t>Release By</t>
  </si>
  <si>
    <t>131</t>
  </si>
  <si>
    <t>jack pot toro</t>
  </si>
  <si>
    <t>Jackpot Toro</t>
  </si>
  <si>
    <t>chip</t>
  </si>
  <si>
    <t>JACKPOT TORO</t>
  </si>
  <si>
    <t>CA-1987</t>
  </si>
  <si>
    <t>13</t>
  </si>
  <si>
    <t>Jackpot Toro Loss - VIP</t>
  </si>
  <si>
    <t>VNN05</t>
  </si>
  <si>
    <t>VNN06</t>
  </si>
  <si>
    <t>VNN07</t>
  </si>
  <si>
    <t>VNN13</t>
  </si>
  <si>
    <t>VNN15</t>
  </si>
  <si>
    <t>chips</t>
  </si>
  <si>
    <t>zhang li hong</t>
  </si>
  <si>
    <t>cc89888</t>
  </si>
  <si>
    <t>julian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</si>
  <si>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phoneticPr fontId="53" type="noConversion"/>
  </si>
  <si>
    <t>VNN16</t>
    <phoneticPr fontId="48" type="noConversion"/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</si>
  <si>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</si>
  <si>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</si>
  <si>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</si>
  <si>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</si>
  <si>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</si>
  <si>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</si>
  <si>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</si>
  <si>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</si>
  <si>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</si>
  <si>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</si>
  <si>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</si>
  <si>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VB15</t>
    <phoneticPr fontId="48" type="noConversion"/>
  </si>
  <si>
    <t>ivy</t>
    <phoneticPr fontId="53" type="noConversion"/>
  </si>
  <si>
    <t xml:space="preserve">QTY (MH CB) </t>
    <phoneticPr fontId="53" type="noConversion"/>
  </si>
  <si>
    <t xml:space="preserve">QTY (VIP) </t>
    <phoneticPr fontId="53" type="noConversion"/>
  </si>
  <si>
    <t>Qty (TOTAL)</t>
    <phoneticPr fontId="53" type="noConversion"/>
  </si>
  <si>
    <t xml:space="preserve">QTY (MH CB) </t>
  </si>
  <si>
    <t xml:space="preserve">QTY (VIP) </t>
  </si>
  <si>
    <t>Qty (TOTAL)</t>
  </si>
  <si>
    <t>Alex</t>
    <phoneticPr fontId="53" type="noConversion"/>
  </si>
  <si>
    <t>TOTAL (a+b)</t>
    <phoneticPr fontId="53" type="noConversion"/>
  </si>
  <si>
    <t xml:space="preserve">(d) Disbursement Total </t>
    <phoneticPr fontId="53" type="noConversion"/>
  </si>
  <si>
    <t>TOTAL (a+b+c+d)</t>
    <phoneticPr fontId="53" type="noConversion"/>
  </si>
  <si>
    <t>VNN17</t>
    <phoneticPr fontId="48" type="noConversion"/>
  </si>
  <si>
    <t>VNN17</t>
    <phoneticPr fontId="53" type="noConversion"/>
  </si>
  <si>
    <t>JCC2</t>
    <phoneticPr fontId="48" type="noConversion"/>
  </si>
  <si>
    <t>JCC1</t>
    <phoneticPr fontId="48" type="noConversion"/>
  </si>
  <si>
    <t>JNN1</t>
    <phoneticPr fontId="48" type="noConversion"/>
  </si>
  <si>
    <t>JNN2</t>
    <phoneticPr fontId="48" type="noConversion"/>
  </si>
  <si>
    <t>·</t>
    <phoneticPr fontId="53" type="noConversion"/>
  </si>
  <si>
    <t>Credit From Reserve Bank</t>
    <phoneticPr fontId="53" type="noConversion"/>
  </si>
  <si>
    <t>132</t>
    <phoneticPr fontId="53" type="noConversion"/>
  </si>
  <si>
    <t>133</t>
    <phoneticPr fontId="53" type="noConversion"/>
  </si>
  <si>
    <t>134</t>
    <phoneticPr fontId="53" type="noConversion"/>
  </si>
  <si>
    <t>Emp ID</t>
    <phoneticPr fontId="48" type="noConversion"/>
  </si>
  <si>
    <t xml:space="preserve">INVENTORY </t>
    <phoneticPr fontId="53" type="noConversion"/>
  </si>
  <si>
    <t>VIP FRONTWINDOW</t>
    <phoneticPr fontId="53" type="noConversion"/>
  </si>
  <si>
    <t>CAGE SHIFT MANAGER/ SUPV</t>
    <phoneticPr fontId="53" type="noConversion"/>
  </si>
  <si>
    <t>VIP-FW</t>
    <phoneticPr fontId="53" type="noConversion"/>
  </si>
  <si>
    <t>CA-2022</t>
    <phoneticPr fontId="48" type="noConversion"/>
  </si>
  <si>
    <t>CA-2023</t>
  </si>
  <si>
    <t>Deposit redeem</t>
    <phoneticPr fontId="53" type="noConversion"/>
  </si>
  <si>
    <t xml:space="preserve">ACCOUNTABILITY </t>
    <phoneticPr fontId="53" type="noConversion"/>
  </si>
  <si>
    <r>
      <t>CASH CLOSING INVENTORY</t>
    </r>
    <r>
      <rPr>
        <b/>
        <sz val="11"/>
        <rFont val="MingLiU"/>
        <family val="3"/>
        <charset val="136"/>
      </rPr>
      <t>（现金关台数）</t>
    </r>
    <phoneticPr fontId="53" type="noConversion"/>
  </si>
  <si>
    <r>
      <t>CHIP OPENING INVENTORY</t>
    </r>
    <r>
      <rPr>
        <b/>
        <sz val="11"/>
        <rFont val="MingLiU"/>
        <family val="3"/>
        <charset val="136"/>
      </rPr>
      <t>（筹码开台数）</t>
    </r>
    <r>
      <rPr>
        <b/>
        <sz val="11"/>
        <rFont val="Tahoma"/>
        <family val="2"/>
      </rPr>
      <t xml:space="preserve"> </t>
    </r>
    <phoneticPr fontId="53" type="noConversion"/>
  </si>
  <si>
    <r>
      <t>CHIP CLOSING INVENTORY</t>
    </r>
    <r>
      <rPr>
        <b/>
        <sz val="11"/>
        <rFont val="MingLiU"/>
        <family val="3"/>
        <charset val="136"/>
      </rPr>
      <t>（筹码关台数）</t>
    </r>
    <phoneticPr fontId="53" type="noConversion"/>
  </si>
  <si>
    <r>
      <t>TRANSFER-IN (+)</t>
    </r>
    <r>
      <rPr>
        <b/>
        <sz val="11"/>
        <rFont val="MingLiU"/>
        <family val="3"/>
        <charset val="136"/>
      </rPr>
      <t>（进）</t>
    </r>
    <phoneticPr fontId="53" type="noConversion"/>
  </si>
  <si>
    <r>
      <t>DISBURSEMENT (-)</t>
    </r>
    <r>
      <rPr>
        <b/>
        <sz val="11"/>
        <rFont val="MingLiU"/>
        <family val="3"/>
        <charset val="136"/>
      </rPr>
      <t>（出）</t>
    </r>
    <phoneticPr fontId="53" type="noConversion"/>
  </si>
  <si>
    <r>
      <t>Main Bank</t>
    </r>
    <r>
      <rPr>
        <sz val="11"/>
        <rFont val="MingLiU"/>
        <family val="3"/>
        <charset val="136"/>
      </rPr>
      <t>（大账房）</t>
    </r>
    <phoneticPr fontId="53" type="noConversion"/>
  </si>
  <si>
    <t>Operations Bank</t>
    <phoneticPr fontId="53" type="noConversion"/>
  </si>
  <si>
    <r>
      <t>Gaming Table</t>
    </r>
    <r>
      <rPr>
        <sz val="11"/>
        <rFont val="MingLiU"/>
        <family val="3"/>
        <charset val="136"/>
      </rPr>
      <t>（台面现金）</t>
    </r>
    <phoneticPr fontId="53" type="noConversion"/>
  </si>
  <si>
    <t>Counterfeit Notes</t>
    <phoneticPr fontId="53" type="noConversion"/>
  </si>
  <si>
    <r>
      <t>Chip Bank</t>
    </r>
    <r>
      <rPr>
        <sz val="11"/>
        <rFont val="MingLiU"/>
        <family val="3"/>
        <charset val="136"/>
      </rPr>
      <t>（大账房筹码）</t>
    </r>
    <phoneticPr fontId="53" type="noConversion"/>
  </si>
  <si>
    <r>
      <t>Gaming Table</t>
    </r>
    <r>
      <rPr>
        <sz val="11"/>
        <rFont val="MingLiU"/>
        <family val="3"/>
        <charset val="136"/>
      </rPr>
      <t>（台面筹码）</t>
    </r>
    <phoneticPr fontId="53" type="noConversion"/>
  </si>
  <si>
    <r>
      <t>VIP MAIN BANK(VIP</t>
    </r>
    <r>
      <rPr>
        <b/>
        <sz val="22"/>
        <rFont val="MingLiU"/>
        <family val="3"/>
        <charset val="136"/>
      </rPr>
      <t>大账金额</t>
    </r>
    <r>
      <rPr>
        <b/>
        <sz val="22"/>
        <rFont val="Tahoma"/>
        <family val="2"/>
      </rPr>
      <t>)</t>
    </r>
    <phoneticPr fontId="53" type="noConversion"/>
  </si>
  <si>
    <t>VIP MARKER DAILY LOG</t>
    <phoneticPr fontId="53" type="noConversion"/>
  </si>
  <si>
    <r>
      <t xml:space="preserve">DAILY </t>
    </r>
    <r>
      <rPr>
        <b/>
        <sz val="18"/>
        <color rgb="FFFF0000"/>
        <rFont val="Tahoma"/>
        <family val="2"/>
      </rPr>
      <t>LH VIP</t>
    </r>
    <r>
      <rPr>
        <b/>
        <sz val="18"/>
        <color theme="1"/>
        <rFont val="Tahoma"/>
        <family val="2"/>
      </rPr>
      <t xml:space="preserve"> CHIP COUNT</t>
    </r>
    <r>
      <rPr>
        <b/>
        <sz val="18"/>
        <color theme="1"/>
        <rFont val="MingLiU"/>
        <family val="3"/>
        <charset val="136"/>
      </rPr>
      <t>（柜统筹码数量）</t>
    </r>
    <phoneticPr fontId="53" type="noConversion"/>
  </si>
  <si>
    <r>
      <t>VIP CHIP BANK</t>
    </r>
    <r>
      <rPr>
        <b/>
        <sz val="24"/>
        <rFont val="MingLiU"/>
        <family val="3"/>
        <charset val="136"/>
      </rPr>
      <t>（大账房筹码数量）</t>
    </r>
  </si>
  <si>
    <t>CA-2044</t>
    <phoneticPr fontId="48" type="noConversion"/>
  </si>
  <si>
    <t>Fill To FW CTR</t>
  </si>
  <si>
    <t>Credit From FW CTR</t>
  </si>
  <si>
    <t>FW01</t>
  </si>
  <si>
    <t>FW02</t>
  </si>
  <si>
    <t>TORO</t>
  </si>
  <si>
    <t>CASH FILL TO FW</t>
  </si>
  <si>
    <t>CHIP FILL TO FW</t>
  </si>
  <si>
    <t>CASH CREDIT FROM FW</t>
  </si>
  <si>
    <t>CHIP CREDIT FROM FW</t>
  </si>
  <si>
    <t>Credit From FW</t>
  </si>
  <si>
    <t>Fill To FW</t>
  </si>
  <si>
    <t>CAGE TORO</t>
  </si>
  <si>
    <r>
      <t>VIP-FW01 (Buy In&amp;Cash Out)</t>
    </r>
    <r>
      <rPr>
        <sz val="11"/>
        <rFont val="MingLiU"/>
        <family val="3"/>
        <charset val="136"/>
      </rPr>
      <t>（柜统）</t>
    </r>
  </si>
  <si>
    <t>VIP-FW02 (Payment)</t>
  </si>
  <si>
    <t>VIP-FW01 (Buy In&amp;Cash Out)（柜统）</t>
  </si>
  <si>
    <t>KHR</t>
  </si>
  <si>
    <t>Commission redeem deposit AA2 (May)</t>
  </si>
  <si>
    <t>Early commission paid 1.5% OF JUNE</t>
  </si>
  <si>
    <t>VIP FW</t>
  </si>
  <si>
    <t>FW01 CAGE CC01</t>
  </si>
  <si>
    <t xml:space="preserve"> FW02 VIP CAGE CC01</t>
  </si>
  <si>
    <t xml:space="preserve">VIP FILL &amp; CREDIT REPORT </t>
  </si>
  <si>
    <t>Marker Redeemed B MK#1227#19069#19070#19071#19074</t>
  </si>
  <si>
    <t>Marker B M#1241 M#1242</t>
  </si>
  <si>
    <t>DAILY TABLE WIN &amp; LOSE</t>
  </si>
  <si>
    <t>DATE</t>
  </si>
  <si>
    <t>TABLE No.</t>
  </si>
  <si>
    <t>TYPE</t>
  </si>
  <si>
    <t>OPENER TABLE</t>
  </si>
  <si>
    <t>CLOSER TABLE</t>
  </si>
  <si>
    <t>RESULT</t>
  </si>
  <si>
    <t>B/F</t>
  </si>
  <si>
    <t>MONTHLY</t>
  </si>
  <si>
    <r>
      <t>NET WIN/</t>
    </r>
    <r>
      <rPr>
        <b/>
        <sz val="11"/>
        <color rgb="FFFF0000"/>
        <rFont val="Times New Roman"/>
        <family val="1"/>
      </rPr>
      <t>LOSS</t>
    </r>
  </si>
  <si>
    <t>GREND TOTAL:</t>
  </si>
  <si>
    <t>DAILY WIN/LOSE</t>
  </si>
  <si>
    <t>TABLE CASH</t>
  </si>
  <si>
    <t xml:space="preserve">   PREPARED BY:</t>
  </si>
  <si>
    <t>CHECKED BY:</t>
  </si>
  <si>
    <t xml:space="preserve">     CONFIRMED BY :</t>
  </si>
  <si>
    <t>TABLE CLOSER (Cash)</t>
  </si>
  <si>
    <t>VB15</t>
  </si>
  <si>
    <t>VNN16</t>
  </si>
  <si>
    <t xml:space="preserve"> TABLE OPENER (CASH)</t>
  </si>
  <si>
    <t xml:space="preserve"> TABLE OPENER (CHIP)</t>
  </si>
  <si>
    <t>OPENING</t>
  </si>
  <si>
    <t>CLOSING</t>
  </si>
  <si>
    <t>20000</t>
  </si>
  <si>
    <t>2000</t>
  </si>
  <si>
    <t>20K</t>
  </si>
  <si>
    <t>2K</t>
  </si>
  <si>
    <t>USD</t>
  </si>
  <si>
    <t>USD$</t>
  </si>
  <si>
    <t>INVENTORY</t>
  </si>
  <si>
    <t>40</t>
  </si>
  <si>
    <t>41</t>
  </si>
  <si>
    <t>VIP CC02</t>
  </si>
  <si>
    <t>VIP JCC2</t>
  </si>
  <si>
    <t>VIP CC01</t>
  </si>
  <si>
    <t>MH CC01</t>
  </si>
  <si>
    <t>MH JCC2</t>
  </si>
  <si>
    <t>VIP NN02</t>
  </si>
  <si>
    <t>MH NN02</t>
  </si>
  <si>
    <t>VIP JNN2</t>
  </si>
  <si>
    <t>MH JNN2</t>
  </si>
  <si>
    <t>MH CC02</t>
  </si>
  <si>
    <t>Transfer From Cage MH</t>
  </si>
  <si>
    <t>Transfer To Cage MH</t>
  </si>
  <si>
    <t>CHIP Transfer To MH</t>
  </si>
  <si>
    <t>CHIPS Trasfer From MH</t>
  </si>
  <si>
    <t>MBCS</t>
  </si>
  <si>
    <t>MB</t>
  </si>
  <si>
    <t>REMARK</t>
  </si>
  <si>
    <t xml:space="preserve">DEPOSIT (CASH) #802 </t>
  </si>
  <si>
    <r>
      <t xml:space="preserve">CASH OPENING INVENTORY </t>
    </r>
    <r>
      <rPr>
        <b/>
        <sz val="11"/>
        <rFont val="MingLiU"/>
        <family val="3"/>
        <charset val="136"/>
      </rPr>
      <t>（现金开台数）</t>
    </r>
  </si>
  <si>
    <t>TABLE CHIPS (A)</t>
  </si>
  <si>
    <t>TABLE CHIPS (B)</t>
  </si>
  <si>
    <t>CHIP(A)</t>
  </si>
  <si>
    <t>CHIP(B)</t>
  </si>
  <si>
    <t>TABLE CLOSER (CHIPS) A</t>
  </si>
  <si>
    <t>TABLE CLOSER (CHIPS) B</t>
  </si>
  <si>
    <t>Jackpot Toro Win - VIP</t>
  </si>
  <si>
    <t>Table Games Win （台面赢）</t>
  </si>
  <si>
    <t xml:space="preserve">Vip Customer Deposit </t>
  </si>
  <si>
    <t>Table Games Loss （台面输）</t>
  </si>
  <si>
    <t>Marker Redeemed JCC2 (B)</t>
  </si>
  <si>
    <t>Tem.Deposit （暂存 No</t>
  </si>
  <si>
    <t>Issued Marker JCC2 (B)</t>
  </si>
  <si>
    <t>DEPOSIT REDEEM JCC2 (B)</t>
  </si>
  <si>
    <t>TABLE GAMES TEXAS</t>
  </si>
  <si>
    <t xml:space="preserve">Issued Marker JCC2 (B) </t>
  </si>
  <si>
    <t xml:space="preserve">Marker Redeemed JCC2 (B) </t>
  </si>
  <si>
    <r>
      <t xml:space="preserve">VIP DAILY BALANCE </t>
    </r>
    <r>
      <rPr>
        <b/>
        <sz val="20"/>
        <rFont val="MingLiU"/>
        <family val="3"/>
        <charset val="136"/>
      </rPr>
      <t>（</t>
    </r>
    <r>
      <rPr>
        <b/>
        <sz val="20"/>
        <rFont val="Tahoma"/>
        <family val="2"/>
      </rPr>
      <t>VIP</t>
    </r>
    <r>
      <rPr>
        <b/>
        <sz val="20"/>
        <rFont val="MingLiU"/>
        <family val="3"/>
        <charset val="136"/>
      </rPr>
      <t>日常报表）</t>
    </r>
  </si>
  <si>
    <t xml:space="preserve">Deposit  (CASH) </t>
  </si>
  <si>
    <t>Early Commission of AUG (CHIP)</t>
  </si>
  <si>
    <t>Early Commission of AUG (CASH)</t>
  </si>
  <si>
    <t>DEPOSIT REDEEM (CASH)</t>
  </si>
  <si>
    <t>Temp DEPOSIT (CHIP) JCC2</t>
  </si>
  <si>
    <t xml:space="preserve">TEMPERORY DEPOSIT REDEEM JCC2 (B) </t>
  </si>
  <si>
    <t>CA-2044</t>
  </si>
  <si>
    <t>10297</t>
  </si>
  <si>
    <t>10298</t>
  </si>
  <si>
    <t>10299</t>
  </si>
  <si>
    <t>10300</t>
  </si>
  <si>
    <t xml:space="preserve">OR#259 charge of gain </t>
  </si>
  <si>
    <t xml:space="preserve">OR#257 exchange small notes </t>
  </si>
  <si>
    <t xml:space="preserve">CDV #447 Exchange small notes </t>
  </si>
  <si>
    <t>CDV #448 Exchange small notes charge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</si>
</sst>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3">
    <numFmt numFmtId="7" formatCode="&quot;$&quot;#,##0.00_);\(&quot;$&quot;#,##0.00\)"/>
    <numFmt numFmtId="8" formatCode="&quot;$&quot;#,##0.00_);[Red]\(&quot;$&quot;#,##0.0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#,##0;[Red]#,##0"/>
    <numFmt numFmtId="165" formatCode="_(* #,##0_);_(* \(#,##0\);_(* &quot;-&quot;??_);_(@_)"/>
    <numFmt numFmtId="166" formatCode="0_);[Red]\(0\)"/>
    <numFmt numFmtId="167" formatCode="#,##0.0_);\(#,##0.0\)"/>
    <numFmt numFmtId="168" formatCode="mm/dd/yy"/>
    <numFmt numFmtId="169" formatCode="&quot;$&quot;#,##0.00"/>
    <numFmt numFmtId="170" formatCode="_-* #,##0.00_-;\-* #,##0.00_-;_-* &quot;-&quot;??_-;_-@_-"/>
    <numFmt numFmtId="171" formatCode="0_);\(0\)"/>
    <numFmt numFmtId="172" formatCode="mm/dd/yy;@"/>
    <numFmt numFmtId="173" formatCode="h:mm;@"/>
    <numFmt numFmtId="174" formatCode="[$-3409]mmmm\ dd\,\ yyyy;@"/>
    <numFmt numFmtId="175" formatCode="#,##0.0;\-#,##0.0"/>
    <numFmt numFmtId="176" formatCode="#,##0.0"/>
    <numFmt numFmtId="177" formatCode="[$-3409]dd\-mmm\-yy;@"/>
    <numFmt numFmtId="178" formatCode="_(* #,##0.0_);_(* \(#,##0.0\);_(* &quot;-&quot;??_);_(@_)"/>
    <numFmt numFmtId="179" formatCode="[$-409]d\-mmm\-yy;@"/>
    <numFmt numFmtId="180" formatCode="#,###_);[Red]\(&quot;$&quot;#,###\)"/>
    <numFmt numFmtId="181" formatCode="0.00_);[Red]\(0.00\)"/>
  </numFmts>
  <fonts count="9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1"/>
      <color theme="1"/>
      <name val="Tahoma"/>
      <family val="2"/>
    </font>
    <font>
      <sz val="12"/>
      <color theme="1"/>
      <name val="Tahoma"/>
      <family val="2"/>
    </font>
    <font>
      <sz val="11"/>
      <name val="Tahoma"/>
      <family val="2"/>
    </font>
    <font>
      <b/>
      <sz val="11"/>
      <color theme="1"/>
      <name val="Tahoma"/>
      <family val="2"/>
    </font>
    <font>
      <b/>
      <sz val="20"/>
      <color theme="1"/>
      <name val="Tahoma"/>
      <family val="2"/>
    </font>
    <font>
      <sz val="10"/>
      <name val="Tahoma"/>
      <family val="2"/>
    </font>
    <font>
      <b/>
      <sz val="14"/>
      <color rgb="FFFF0000"/>
      <name val="Tahoma"/>
      <family val="2"/>
    </font>
    <font>
      <sz val="18"/>
      <name val="Tahoma"/>
      <family val="2"/>
    </font>
    <font>
      <b/>
      <sz val="18"/>
      <name val="Tahoma"/>
      <family val="2"/>
    </font>
    <font>
      <b/>
      <sz val="16"/>
      <name val="Tahoma"/>
      <family val="2"/>
    </font>
    <font>
      <b/>
      <sz val="14"/>
      <name val="Tahoma"/>
      <family val="2"/>
    </font>
    <font>
      <sz val="14"/>
      <name val="Tahoma"/>
      <family val="2"/>
    </font>
    <font>
      <sz val="16"/>
      <name val="Tahoma"/>
      <family val="2"/>
    </font>
    <font>
      <b/>
      <sz val="10"/>
      <name val="Tahoma"/>
      <family val="2"/>
    </font>
    <font>
      <sz val="10"/>
      <color theme="1"/>
      <name val="Tahoma"/>
      <family val="2"/>
    </font>
    <font>
      <b/>
      <sz val="10"/>
      <color theme="1"/>
      <name val="Tahoma"/>
      <family val="2"/>
    </font>
    <font>
      <sz val="7"/>
      <color theme="1"/>
      <name val="Arial Narrow"/>
      <family val="2"/>
    </font>
    <font>
      <sz val="14"/>
      <color theme="1"/>
      <name val="Tahoma"/>
      <family val="2"/>
    </font>
    <font>
      <b/>
      <sz val="18"/>
      <color theme="1"/>
      <name val="Tahoma"/>
      <family val="2"/>
    </font>
    <font>
      <sz val="14"/>
      <color rgb="FFFF0000"/>
      <name val="Tahoma"/>
      <family val="2"/>
    </font>
    <font>
      <b/>
      <sz val="22"/>
      <name val="Tahoma"/>
      <family val="2"/>
    </font>
    <font>
      <b/>
      <sz val="10"/>
      <color rgb="FFFF0000"/>
      <name val="Tahoma"/>
      <family val="2"/>
    </font>
    <font>
      <sz val="10"/>
      <color rgb="FFFF0000"/>
      <name val="Tahoma"/>
      <family val="2"/>
    </font>
    <font>
      <b/>
      <sz val="12"/>
      <color rgb="FFFF0000"/>
      <name val="Tahoma"/>
      <family val="2"/>
    </font>
    <font>
      <sz val="12"/>
      <name val="Tahoma"/>
      <family val="2"/>
    </font>
    <font>
      <b/>
      <sz val="12"/>
      <name val="Tahoma"/>
      <family val="2"/>
    </font>
    <font>
      <b/>
      <i/>
      <sz val="12"/>
      <name val="Tahoma"/>
      <family val="2"/>
    </font>
    <font>
      <b/>
      <i/>
      <sz val="12"/>
      <color rgb="FFFF0000"/>
      <name val="Tahoma"/>
      <family val="2"/>
    </font>
    <font>
      <sz val="12"/>
      <color theme="0"/>
      <name val="Tahoma"/>
      <family val="2"/>
    </font>
    <font>
      <sz val="12"/>
      <color rgb="FFFF0000"/>
      <name val="Tahoma"/>
      <family val="2"/>
    </font>
    <font>
      <sz val="12"/>
      <color rgb="FF0070C0"/>
      <name val="Tahoma"/>
      <family val="2"/>
    </font>
    <font>
      <b/>
      <sz val="24"/>
      <name val="Tahoma"/>
      <family val="2"/>
    </font>
    <font>
      <b/>
      <sz val="12"/>
      <color indexed="8"/>
      <name val="Tahoma"/>
      <family val="2"/>
    </font>
    <font>
      <i/>
      <sz val="12"/>
      <color rgb="FFFF0000"/>
      <name val="Tahoma"/>
      <family val="2"/>
    </font>
    <font>
      <b/>
      <sz val="12"/>
      <color theme="1"/>
      <name val="Tahoma"/>
      <family val="2"/>
    </font>
    <font>
      <b/>
      <sz val="11"/>
      <name val="Tahoma"/>
      <family val="2"/>
    </font>
    <font>
      <b/>
      <sz val="11"/>
      <color rgb="FFFF0000"/>
      <name val="Tahoma"/>
      <family val="2"/>
    </font>
    <font>
      <sz val="11"/>
      <color rgb="FFFF0000"/>
      <name val="Tahoma"/>
      <family val="2"/>
    </font>
    <font>
      <b/>
      <sz val="26"/>
      <name val="Tahoma"/>
      <family val="2"/>
    </font>
    <font>
      <b/>
      <sz val="20"/>
      <name val="Tahoma"/>
      <family val="2"/>
    </font>
    <font>
      <b/>
      <i/>
      <sz val="11"/>
      <color rgb="FFFF0000"/>
      <name val="Tahoma"/>
      <family val="2"/>
    </font>
    <font>
      <b/>
      <sz val="9"/>
      <color theme="1"/>
      <name val="Tahoma"/>
      <family val="2"/>
    </font>
    <font>
      <b/>
      <sz val="18"/>
      <color theme="0"/>
      <name val="Tahoma"/>
      <family val="2"/>
    </font>
    <font>
      <b/>
      <sz val="18"/>
      <color rgb="FFFF0000"/>
      <name val="Tahoma"/>
      <family val="2"/>
    </font>
    <font>
      <sz val="8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Tahoma"/>
      <family val="2"/>
    </font>
    <font>
      <sz val="20"/>
      <name val="Tahoma"/>
      <family val="2"/>
    </font>
    <font>
      <sz val="9"/>
      <color theme="1"/>
      <name val="Tahoma"/>
      <family val="2"/>
    </font>
    <font>
      <sz val="9"/>
      <name val="Calibri"/>
      <family val="3"/>
      <charset val="136"/>
      <scheme val="minor"/>
    </font>
    <font>
      <sz val="20"/>
      <color rgb="FFFF0000"/>
      <name val="Tahoma"/>
      <family val="2"/>
    </font>
    <font>
      <b/>
      <sz val="20"/>
      <color rgb="FFFF0000"/>
      <name val="Tahoma"/>
      <family val="2"/>
    </font>
    <font>
      <sz val="16"/>
      <color theme="1"/>
      <name val="Tahoma"/>
      <family val="2"/>
    </font>
    <font>
      <sz val="16"/>
      <color rgb="FFFF0000"/>
      <name val="Tahoma"/>
      <family val="2"/>
    </font>
    <font>
      <b/>
      <sz val="16"/>
      <color rgb="FFFF0000"/>
      <name val="Tahoma"/>
      <family val="2"/>
    </font>
    <font>
      <b/>
      <sz val="20"/>
      <name val="MingLiU"/>
      <family val="3"/>
      <charset val="136"/>
    </font>
    <font>
      <b/>
      <sz val="11"/>
      <name val="MingLiU"/>
      <family val="3"/>
      <charset val="136"/>
    </font>
    <font>
      <sz val="11"/>
      <name val="MingLiU"/>
      <family val="3"/>
      <charset val="136"/>
    </font>
    <font>
      <b/>
      <sz val="22"/>
      <name val="MingLiU"/>
      <family val="3"/>
      <charset val="136"/>
    </font>
    <font>
      <b/>
      <sz val="18"/>
      <color theme="1"/>
      <name val="MingLiU"/>
      <family val="3"/>
      <charset val="136"/>
    </font>
    <font>
      <b/>
      <sz val="24"/>
      <name val="MingLiU"/>
      <family val="3"/>
      <charset val="136"/>
    </font>
    <font>
      <sz val="26"/>
      <color theme="1"/>
      <name val="Tahoma"/>
      <family val="2"/>
    </font>
    <font>
      <sz val="26"/>
      <name val="Tahoma"/>
      <family val="2"/>
    </font>
    <font>
      <sz val="26"/>
      <color rgb="FFFF0000"/>
      <name val="Tahoma"/>
      <family val="2"/>
    </font>
    <font>
      <sz val="36"/>
      <name val="Tahoma"/>
      <family val="2"/>
    </font>
    <font>
      <b/>
      <sz val="48"/>
      <name val="Tahoma"/>
      <family val="2"/>
    </font>
    <font>
      <b/>
      <sz val="8"/>
      <name val="Tahoma"/>
      <family val="2"/>
    </font>
    <font>
      <sz val="18"/>
      <color theme="1"/>
      <name val="Tahoma"/>
      <family val="2"/>
    </font>
    <font>
      <sz val="12"/>
      <name val="Calibri"/>
      <family val="2"/>
      <scheme val="minor"/>
    </font>
    <font>
      <b/>
      <sz val="24"/>
      <name val="Times New Roman"/>
      <family val="1"/>
    </font>
    <font>
      <b/>
      <sz val="18"/>
      <name val="Times New Roman"/>
      <family val="1"/>
    </font>
    <font>
      <b/>
      <sz val="14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1"/>
      <name val="Times New Roman"/>
      <family val="1"/>
    </font>
    <font>
      <b/>
      <sz val="12"/>
      <color theme="1"/>
      <name val="Times New Roman"/>
      <family val="1"/>
    </font>
    <font>
      <b/>
      <sz val="11"/>
      <color theme="1"/>
      <name val="Times New Roman"/>
      <family val="1"/>
    </font>
    <font>
      <b/>
      <sz val="11"/>
      <color rgb="FFFF0000"/>
      <name val="Times New Roman"/>
      <family val="1"/>
    </font>
    <font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sz val="14"/>
      <name val="Calibri"/>
      <family val="2"/>
      <scheme val="minor"/>
    </font>
    <font>
      <b/>
      <sz val="18"/>
      <name val="Calibri"/>
      <family val="2"/>
      <scheme val="minor"/>
    </font>
    <font>
      <sz val="24"/>
      <color theme="1"/>
      <name val="Calibri"/>
      <family val="2"/>
      <scheme val="minor"/>
    </font>
    <font>
      <sz val="18"/>
      <color rgb="FF000000"/>
      <name val="Calibri"/>
      <family val="2"/>
    </font>
    <font>
      <sz val="18"/>
      <color theme="1"/>
      <name val="Calibri"/>
      <family val="2"/>
      <scheme val="minor"/>
    </font>
    <font>
      <sz val="22"/>
      <color rgb="FF000000"/>
      <name val="Calibri"/>
      <family val="2"/>
    </font>
  </fonts>
  <fills count="2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99FF6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-0.249977111117893"/>
        <bgColor indexed="64"/>
      </patternFill>
    </fill>
  </fills>
  <borders count="10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auto="1"/>
      </right>
      <top style="medium">
        <color indexed="64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auto="1"/>
      </right>
      <top style="dotted">
        <color auto="1"/>
      </top>
      <bottom style="medium">
        <color indexed="64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/>
      <top style="medium">
        <color indexed="64"/>
      </top>
      <bottom style="dotted">
        <color auto="1"/>
      </bottom>
      <diagonal/>
    </border>
    <border>
      <left style="dotted">
        <color auto="1"/>
      </left>
      <right/>
      <top style="dotted">
        <color auto="1"/>
      </top>
      <bottom style="dotted">
        <color auto="1"/>
      </bottom>
      <diagonal/>
    </border>
    <border>
      <left style="dotted">
        <color auto="1"/>
      </left>
      <right/>
      <top style="dotted">
        <color auto="1"/>
      </top>
      <bottom style="medium">
        <color indexed="64"/>
      </bottom>
      <diagonal/>
    </border>
    <border>
      <left style="dotted">
        <color auto="1"/>
      </left>
      <right/>
      <top/>
      <bottom style="dotted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auto="1"/>
      </right>
      <top style="dotted">
        <color auto="1"/>
      </top>
      <bottom/>
      <diagonal/>
    </border>
    <border>
      <left style="dotted">
        <color auto="1"/>
      </left>
      <right style="dotted">
        <color auto="1"/>
      </right>
      <top style="dotted">
        <color auto="1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22">
    <xf numFmtId="174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174" fontId="2" fillId="0" borderId="0"/>
    <xf numFmtId="43" fontId="2" fillId="0" borderId="0" applyFont="0" applyFill="0" applyBorder="0" applyAlignment="0" applyProtection="0"/>
    <xf numFmtId="174" fontId="2" fillId="0" borderId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74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49" fontId="2" fillId="0" borderId="0" applyFont="0" applyFill="0" applyBorder="0" applyAlignment="0" applyProtection="0"/>
    <xf numFmtId="170" fontId="1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74" fontId="2" fillId="0" borderId="0" applyFont="0" applyFill="0" applyBorder="0" applyAlignment="0" applyProtection="0"/>
    <xf numFmtId="174" fontId="2" fillId="0" borderId="0"/>
    <xf numFmtId="174" fontId="2" fillId="0" borderId="0"/>
    <xf numFmtId="0" fontId="1" fillId="0" borderId="0">
      <alignment vertical="center"/>
    </xf>
  </cellStyleXfs>
  <cellXfs count="1066">
    <xf numFmtId="174" fontId="0" fillId="0" borderId="0" xfId="0"/>
    <xf numFmtId="174" fontId="0" fillId="2" borderId="0" xfId="0" applyFill="1" applyProtection="1">
      <protection locked="0"/>
    </xf>
    <xf numFmtId="174" fontId="4" fillId="0" borderId="0" xfId="0" applyFont="1"/>
    <xf numFmtId="174" fontId="15" fillId="2" borderId="0" xfId="0" applyFont="1" applyFill="1" applyProtection="1">
      <protection locked="0"/>
    </xf>
    <xf numFmtId="44" fontId="15" fillId="2" borderId="0" xfId="0" applyNumberFormat="1" applyFont="1" applyFill="1" applyAlignment="1" applyProtection="1">
      <alignment horizontal="left"/>
      <protection locked="0"/>
    </xf>
    <xf numFmtId="174" fontId="14" fillId="2" borderId="0" xfId="0" applyFont="1" applyFill="1" applyProtection="1">
      <protection locked="0"/>
    </xf>
    <xf numFmtId="44" fontId="15" fillId="2" borderId="20" xfId="0" applyNumberFormat="1" applyFont="1" applyFill="1" applyBorder="1" applyAlignment="1" applyProtection="1">
      <alignment horizontal="left" vertical="center"/>
      <protection hidden="1"/>
    </xf>
    <xf numFmtId="174" fontId="4" fillId="0" borderId="0" xfId="0" applyNumberFormat="1" applyFont="1"/>
    <xf numFmtId="44" fontId="4" fillId="0" borderId="0" xfId="0" applyNumberFormat="1" applyFont="1"/>
    <xf numFmtId="174" fontId="7" fillId="0" borderId="0" xfId="0" applyFont="1" applyAlignment="1">
      <alignment horizontal="center" vertical="center"/>
    </xf>
    <xf numFmtId="174" fontId="4" fillId="0" borderId="19" xfId="0" applyNumberFormat="1" applyFont="1" applyBorder="1" applyAlignment="1">
      <alignment horizontal="center"/>
    </xf>
    <xf numFmtId="44" fontId="4" fillId="0" borderId="19" xfId="0" applyNumberFormat="1" applyFont="1" applyBorder="1" applyAlignment="1">
      <alignment horizontal="center"/>
    </xf>
    <xf numFmtId="174" fontId="4" fillId="0" borderId="0" xfId="0" applyNumberFormat="1" applyFont="1"/>
    <xf numFmtId="174" fontId="4" fillId="0" borderId="19" xfId="0" applyNumberFormat="1" applyFont="1" applyBorder="1" applyAlignment="1">
      <alignment horizontal="center"/>
    </xf>
    <xf numFmtId="44" fontId="14" fillId="2" borderId="20" xfId="0" applyNumberFormat="1" applyFont="1" applyFill="1" applyBorder="1" applyAlignment="1" applyProtection="1">
      <alignment horizontal="center" vertical="center"/>
      <protection locked="0"/>
    </xf>
    <xf numFmtId="174" fontId="4" fillId="0" borderId="0" xfId="0" applyNumberFormat="1" applyFont="1" applyAlignment="1">
      <alignment vertical="center"/>
    </xf>
    <xf numFmtId="174" fontId="4" fillId="0" borderId="0" xfId="0" applyFont="1" applyAlignment="1">
      <alignment vertical="center"/>
    </xf>
    <xf numFmtId="44" fontId="4" fillId="0" borderId="19" xfId="0" applyNumberFormat="1" applyFont="1" applyBorder="1" applyAlignment="1" applyProtection="1">
      <alignment horizontal="center"/>
      <protection hidden="1"/>
    </xf>
    <xf numFmtId="44" fontId="45" fillId="0" borderId="0" xfId="0" applyNumberFormat="1" applyFont="1" applyAlignment="1" applyProtection="1">
      <alignment vertical="center"/>
      <protection hidden="1"/>
    </xf>
    <xf numFmtId="174" fontId="4" fillId="0" borderId="19" xfId="0" applyFont="1" applyBorder="1"/>
    <xf numFmtId="174" fontId="4" fillId="0" borderId="0" xfId="0" applyNumberFormat="1" applyFont="1" applyAlignment="1">
      <alignment vertical="center"/>
    </xf>
    <xf numFmtId="174" fontId="4" fillId="0" borderId="19" xfId="0" applyNumberFormat="1" applyFont="1" applyBorder="1"/>
    <xf numFmtId="174" fontId="4" fillId="2" borderId="0" xfId="0" applyFont="1" applyFill="1" applyProtection="1">
      <protection locked="0"/>
    </xf>
    <xf numFmtId="174" fontId="41" fillId="2" borderId="0" xfId="0" applyFont="1" applyFill="1" applyProtection="1">
      <protection hidden="1"/>
    </xf>
    <xf numFmtId="174" fontId="41" fillId="2" borderId="0" xfId="0" applyFont="1" applyFill="1" applyProtection="1">
      <protection locked="0"/>
    </xf>
    <xf numFmtId="174" fontId="7" fillId="2" borderId="0" xfId="0" applyFont="1" applyFill="1" applyAlignment="1" applyProtection="1">
      <alignment horizontal="right"/>
      <protection locked="0"/>
    </xf>
    <xf numFmtId="165" fontId="28" fillId="2" borderId="0" xfId="1" applyNumberFormat="1" applyFont="1" applyFill="1" applyAlignment="1" applyProtection="1">
      <alignment horizontal="center" vertical="center"/>
      <protection locked="0"/>
    </xf>
    <xf numFmtId="174" fontId="28" fillId="2" borderId="0" xfId="0" applyFont="1" applyFill="1" applyAlignment="1" applyProtection="1">
      <alignment horizontal="left" vertical="center"/>
      <protection locked="0"/>
    </xf>
    <xf numFmtId="174" fontId="28" fillId="2" borderId="0" xfId="0" applyFont="1" applyFill="1" applyAlignment="1" applyProtection="1">
      <alignment horizontal="center" vertical="center"/>
      <protection locked="0"/>
    </xf>
    <xf numFmtId="165" fontId="28" fillId="2" borderId="0" xfId="1" applyNumberFormat="1" applyFont="1" applyFill="1" applyBorder="1" applyAlignment="1" applyProtection="1">
      <alignment horizontal="center" vertical="center"/>
      <protection locked="0"/>
    </xf>
    <xf numFmtId="165" fontId="28" fillId="2" borderId="0" xfId="1" applyNumberFormat="1" applyFont="1" applyFill="1" applyAlignment="1" applyProtection="1">
      <alignment horizontal="right" vertical="center"/>
      <protection locked="0"/>
    </xf>
    <xf numFmtId="165" fontId="28" fillId="2" borderId="0" xfId="1" applyNumberFormat="1" applyFont="1" applyFill="1" applyAlignment="1" applyProtection="1">
      <alignment vertical="center"/>
      <protection locked="0"/>
    </xf>
    <xf numFmtId="165" fontId="9" fillId="2" borderId="0" xfId="1" applyNumberFormat="1" applyFont="1" applyFill="1" applyAlignment="1" applyProtection="1">
      <alignment vertical="center"/>
      <protection locked="0"/>
    </xf>
    <xf numFmtId="174" fontId="18" fillId="2" borderId="0" xfId="0" applyFont="1" applyFill="1" applyProtection="1">
      <protection locked="0"/>
    </xf>
    <xf numFmtId="174" fontId="4" fillId="2" borderId="0" xfId="0" applyFont="1" applyFill="1" applyBorder="1" applyProtection="1">
      <protection locked="0"/>
    </xf>
    <xf numFmtId="174" fontId="28" fillId="2" borderId="0" xfId="0" applyFont="1" applyFill="1" applyBorder="1" applyAlignment="1" applyProtection="1">
      <alignment horizontal="center" vertical="center"/>
      <protection locked="0"/>
    </xf>
    <xf numFmtId="174" fontId="28" fillId="2" borderId="20" xfId="0" applyFont="1" applyFill="1" applyBorder="1" applyAlignment="1" applyProtection="1">
      <alignment horizontal="center" vertical="center"/>
      <protection locked="0"/>
    </xf>
    <xf numFmtId="37" fontId="28" fillId="2" borderId="20" xfId="0" applyNumberFormat="1" applyFont="1" applyFill="1" applyBorder="1" applyAlignment="1" applyProtection="1">
      <alignment horizontal="center" vertical="center"/>
      <protection hidden="1"/>
    </xf>
    <xf numFmtId="174" fontId="5" fillId="2" borderId="0" xfId="0" applyFont="1" applyFill="1" applyBorder="1" applyAlignment="1" applyProtection="1">
      <alignment vertical="center"/>
      <protection locked="0"/>
    </xf>
    <xf numFmtId="174" fontId="38" fillId="2" borderId="0" xfId="0" applyFont="1" applyFill="1" applyBorder="1" applyAlignment="1" applyProtection="1">
      <alignment horizontal="right" vertical="center"/>
      <protection locked="0"/>
    </xf>
    <xf numFmtId="38" fontId="28" fillId="2" borderId="20" xfId="0" applyNumberFormat="1" applyFont="1" applyFill="1" applyBorder="1" applyAlignment="1" applyProtection="1">
      <alignment horizontal="center" vertical="center"/>
      <protection locked="0"/>
    </xf>
    <xf numFmtId="174" fontId="0" fillId="2" borderId="0" xfId="0" applyFill="1" applyBorder="1" applyProtection="1">
      <protection locked="0"/>
    </xf>
    <xf numFmtId="174" fontId="29" fillId="2" borderId="20" xfId="0" applyFont="1" applyFill="1" applyBorder="1" applyAlignment="1" applyProtection="1">
      <alignment horizontal="center" vertical="center"/>
      <protection locked="0"/>
    </xf>
    <xf numFmtId="174" fontId="5" fillId="2" borderId="0" xfId="0" applyFont="1" applyFill="1" applyProtection="1">
      <protection locked="0"/>
    </xf>
    <xf numFmtId="174" fontId="5" fillId="2" borderId="0" xfId="0" applyFont="1" applyFill="1" applyAlignment="1" applyProtection="1">
      <protection locked="0"/>
    </xf>
    <xf numFmtId="174" fontId="29" fillId="2" borderId="0" xfId="0" applyFont="1" applyFill="1" applyAlignment="1" applyProtection="1">
      <alignment vertical="center"/>
      <protection locked="0"/>
    </xf>
    <xf numFmtId="44" fontId="29" fillId="2" borderId="0" xfId="0" applyNumberFormat="1" applyFont="1" applyFill="1" applyAlignment="1" applyProtection="1">
      <alignment vertical="center"/>
      <protection locked="0"/>
    </xf>
    <xf numFmtId="44" fontId="28" fillId="2" borderId="20" xfId="2" applyFont="1" applyFill="1" applyBorder="1" applyAlignment="1" applyProtection="1">
      <alignment vertical="center"/>
      <protection hidden="1"/>
    </xf>
    <xf numFmtId="44" fontId="28" fillId="2" borderId="20" xfId="1" applyNumberFormat="1" applyFont="1" applyFill="1" applyBorder="1" applyAlignment="1" applyProtection="1">
      <alignment horizontal="left" vertical="center"/>
      <protection hidden="1"/>
    </xf>
    <xf numFmtId="44" fontId="28" fillId="2" borderId="20" xfId="2" applyFont="1" applyFill="1" applyBorder="1" applyAlignment="1" applyProtection="1">
      <alignment horizontal="left" vertical="center"/>
      <protection hidden="1"/>
    </xf>
    <xf numFmtId="44" fontId="28" fillId="2" borderId="20" xfId="2" applyFont="1" applyFill="1" applyBorder="1" applyAlignment="1" applyProtection="1">
      <alignment vertical="center"/>
      <protection locked="0"/>
    </xf>
    <xf numFmtId="38" fontId="28" fillId="2" borderId="0" xfId="0" applyNumberFormat="1" applyFont="1" applyFill="1" applyAlignment="1" applyProtection="1">
      <alignment horizontal="left"/>
      <protection locked="0"/>
    </xf>
    <xf numFmtId="174" fontId="28" fillId="2" borderId="0" xfId="0" applyFont="1" applyFill="1" applyAlignment="1" applyProtection="1">
      <alignment horizontal="right"/>
      <protection locked="0"/>
    </xf>
    <xf numFmtId="38" fontId="37" fillId="2" borderId="0" xfId="0" applyNumberFormat="1" applyFont="1" applyFill="1" applyAlignment="1" applyProtection="1">
      <alignment horizontal="left"/>
      <protection locked="0"/>
    </xf>
    <xf numFmtId="174" fontId="28" fillId="2" borderId="0" xfId="0" applyFont="1" applyFill="1" applyProtection="1">
      <protection locked="0"/>
    </xf>
    <xf numFmtId="38" fontId="28" fillId="2" borderId="0" xfId="2" applyNumberFormat="1" applyFont="1" applyFill="1" applyAlignment="1" applyProtection="1">
      <alignment vertical="center"/>
      <protection locked="0"/>
    </xf>
    <xf numFmtId="37" fontId="28" fillId="2" borderId="0" xfId="0" applyNumberFormat="1" applyFont="1" applyFill="1" applyAlignment="1" applyProtection="1">
      <alignment horizontal="center"/>
      <protection locked="0"/>
    </xf>
    <xf numFmtId="38" fontId="28" fillId="2" borderId="0" xfId="0" applyNumberFormat="1" applyFont="1" applyFill="1" applyProtection="1">
      <protection locked="0"/>
    </xf>
    <xf numFmtId="38" fontId="28" fillId="2" borderId="0" xfId="0" applyNumberFormat="1" applyFont="1" applyFill="1" applyAlignment="1" applyProtection="1">
      <alignment horizontal="left" vertical="center"/>
      <protection locked="0"/>
    </xf>
    <xf numFmtId="169" fontId="28" fillId="2" borderId="0" xfId="0" applyNumberFormat="1" applyFont="1" applyFill="1" applyProtection="1">
      <protection locked="0"/>
    </xf>
    <xf numFmtId="174" fontId="5" fillId="2" borderId="0" xfId="0" applyFont="1" applyFill="1" applyAlignment="1" applyProtection="1">
      <alignment horizontal="center" vertical="center"/>
      <protection locked="0"/>
    </xf>
    <xf numFmtId="38" fontId="29" fillId="2" borderId="0" xfId="0" applyNumberFormat="1" applyFont="1" applyFill="1" applyAlignment="1" applyProtection="1">
      <alignment vertical="center"/>
      <protection locked="0"/>
    </xf>
    <xf numFmtId="37" fontId="28" fillId="2" borderId="0" xfId="0" applyNumberFormat="1" applyFont="1" applyFill="1" applyAlignment="1" applyProtection="1">
      <alignment horizontal="center" vertical="center"/>
      <protection locked="0"/>
    </xf>
    <xf numFmtId="174" fontId="29" fillId="2" borderId="0" xfId="0" applyFont="1" applyFill="1" applyAlignment="1" applyProtection="1">
      <alignment horizontal="right" vertical="center"/>
      <protection locked="0"/>
    </xf>
    <xf numFmtId="174" fontId="39" fillId="2" borderId="0" xfId="0" applyFont="1" applyFill="1" applyAlignment="1" applyProtection="1">
      <alignment horizontal="right" vertical="center"/>
      <protection locked="0"/>
    </xf>
    <xf numFmtId="38" fontId="28" fillId="2" borderId="0" xfId="0" applyNumberFormat="1" applyFont="1" applyFill="1" applyAlignment="1" applyProtection="1">
      <alignment horizontal="center"/>
      <protection locked="0"/>
    </xf>
    <xf numFmtId="40" fontId="29" fillId="2" borderId="0" xfId="2" applyNumberFormat="1" applyFont="1" applyFill="1" applyAlignment="1" applyProtection="1">
      <protection locked="0"/>
    </xf>
    <xf numFmtId="40" fontId="34" fillId="2" borderId="0" xfId="0" applyNumberFormat="1" applyFont="1" applyFill="1" applyAlignment="1" applyProtection="1">
      <alignment horizontal="right" vertical="center"/>
      <protection locked="0"/>
    </xf>
    <xf numFmtId="40" fontId="27" fillId="2" borderId="0" xfId="2" applyNumberFormat="1" applyFont="1" applyFill="1" applyAlignment="1" applyProtection="1">
      <alignment vertical="center"/>
      <protection locked="0"/>
    </xf>
    <xf numFmtId="40" fontId="28" fillId="2" borderId="0" xfId="0" applyNumberFormat="1" applyFont="1" applyFill="1" applyAlignment="1" applyProtection="1">
      <alignment horizontal="center"/>
      <protection locked="0"/>
    </xf>
    <xf numFmtId="40" fontId="27" fillId="2" borderId="0" xfId="2" applyNumberFormat="1" applyFont="1" applyFill="1" applyAlignment="1" applyProtection="1">
      <protection locked="0"/>
    </xf>
    <xf numFmtId="20" fontId="28" fillId="2" borderId="0" xfId="0" applyNumberFormat="1" applyFont="1" applyFill="1" applyProtection="1">
      <protection locked="0"/>
    </xf>
    <xf numFmtId="38" fontId="29" fillId="2" borderId="0" xfId="0" applyNumberFormat="1" applyFont="1" applyFill="1" applyAlignment="1" applyProtection="1">
      <protection locked="0"/>
    </xf>
    <xf numFmtId="174" fontId="29" fillId="2" borderId="0" xfId="0" applyFont="1" applyFill="1" applyAlignment="1" applyProtection="1">
      <alignment horizontal="center" vertical="center"/>
      <protection locked="0"/>
    </xf>
    <xf numFmtId="40" fontId="28" fillId="2" borderId="0" xfId="0" applyNumberFormat="1" applyFont="1" applyFill="1" applyAlignment="1" applyProtection="1">
      <protection locked="0"/>
    </xf>
    <xf numFmtId="40" fontId="29" fillId="2" borderId="0" xfId="0" applyNumberFormat="1" applyFont="1" applyFill="1" applyAlignment="1" applyProtection="1">
      <protection locked="0"/>
    </xf>
    <xf numFmtId="40" fontId="28" fillId="2" borderId="0" xfId="0" applyNumberFormat="1" applyFont="1" applyFill="1" applyAlignment="1" applyProtection="1">
      <alignment wrapText="1"/>
      <protection locked="0"/>
    </xf>
    <xf numFmtId="174" fontId="28" fillId="2" borderId="0" xfId="0" applyFont="1" applyFill="1" applyAlignment="1" applyProtection="1">
      <protection locked="0"/>
    </xf>
    <xf numFmtId="40" fontId="28" fillId="2" borderId="0" xfId="0" applyNumberFormat="1" applyFont="1" applyFill="1" applyProtection="1">
      <protection locked="0"/>
    </xf>
    <xf numFmtId="174" fontId="28" fillId="2" borderId="0" xfId="0" applyNumberFormat="1" applyFont="1" applyFill="1" applyBorder="1" applyAlignment="1" applyProtection="1">
      <alignment horizontal="center" vertical="center"/>
      <protection locked="0"/>
    </xf>
    <xf numFmtId="174" fontId="28" fillId="2" borderId="2" xfId="0" applyNumberFormat="1" applyFont="1" applyFill="1" applyBorder="1" applyAlignment="1" applyProtection="1">
      <alignment horizontal="center" vertical="center"/>
      <protection locked="0"/>
    </xf>
    <xf numFmtId="174" fontId="28" fillId="2" borderId="40" xfId="0" applyNumberFormat="1" applyFont="1" applyFill="1" applyBorder="1" applyAlignment="1" applyProtection="1">
      <alignment horizontal="center" vertical="center"/>
      <protection locked="0"/>
    </xf>
    <xf numFmtId="40" fontId="28" fillId="2" borderId="0" xfId="0" applyNumberFormat="1" applyFont="1" applyFill="1" applyBorder="1" applyAlignment="1" applyProtection="1">
      <alignment horizontal="right" vertical="center"/>
      <protection locked="0"/>
    </xf>
    <xf numFmtId="44" fontId="28" fillId="2" borderId="20" xfId="2" applyFont="1" applyFill="1" applyBorder="1" applyAlignment="1" applyProtection="1">
      <alignment horizontal="left" vertical="center"/>
      <protection locked="0"/>
    </xf>
    <xf numFmtId="40" fontId="28" fillId="2" borderId="0" xfId="0" applyNumberFormat="1" applyFont="1" applyFill="1" applyBorder="1" applyAlignment="1" applyProtection="1">
      <alignment horizontal="center" vertical="center"/>
      <protection locked="0"/>
    </xf>
    <xf numFmtId="174" fontId="28" fillId="2" borderId="0" xfId="0" applyFont="1" applyFill="1" applyAlignment="1" applyProtection="1">
      <alignment horizontal="right" vertical="center"/>
      <protection locked="0"/>
    </xf>
    <xf numFmtId="40" fontId="28" fillId="2" borderId="0" xfId="2" applyNumberFormat="1" applyFont="1" applyFill="1" applyBorder="1" applyAlignment="1" applyProtection="1">
      <alignment horizontal="right" vertical="center"/>
      <protection locked="0"/>
    </xf>
    <xf numFmtId="174" fontId="28" fillId="2" borderId="0" xfId="0" applyFont="1" applyFill="1" applyBorder="1" applyProtection="1">
      <protection locked="0"/>
    </xf>
    <xf numFmtId="38" fontId="28" fillId="2" borderId="0" xfId="2" applyNumberFormat="1" applyFont="1" applyFill="1" applyBorder="1" applyAlignment="1" applyProtection="1">
      <alignment horizontal="right" vertical="center"/>
      <protection locked="0"/>
    </xf>
    <xf numFmtId="174" fontId="28" fillId="2" borderId="0" xfId="0" applyFont="1" applyFill="1" applyBorder="1" applyAlignment="1" applyProtection="1">
      <alignment vertical="center"/>
      <protection locked="0"/>
    </xf>
    <xf numFmtId="38" fontId="32" fillId="2" borderId="0" xfId="0" applyNumberFormat="1" applyFont="1" applyFill="1" applyBorder="1" applyAlignment="1" applyProtection="1">
      <alignment horizontal="center" vertical="center"/>
      <protection locked="0"/>
    </xf>
    <xf numFmtId="169" fontId="28" fillId="2" borderId="0" xfId="0" quotePrefix="1" applyNumberFormat="1" applyFont="1" applyFill="1" applyBorder="1" applyAlignment="1" applyProtection="1">
      <alignment vertical="center"/>
      <protection locked="0"/>
    </xf>
    <xf numFmtId="38" fontId="29" fillId="2" borderId="0" xfId="0" applyNumberFormat="1" applyFont="1" applyFill="1" applyBorder="1" applyAlignment="1" applyProtection="1">
      <alignment horizontal="right" vertical="center"/>
      <protection locked="0"/>
    </xf>
    <xf numFmtId="3" fontId="28" fillId="2" borderId="0" xfId="1" applyNumberFormat="1" applyFont="1" applyFill="1" applyBorder="1" applyAlignment="1" applyProtection="1">
      <alignment horizontal="center" vertical="center"/>
      <protection locked="0"/>
    </xf>
    <xf numFmtId="44" fontId="28" fillId="2" borderId="0" xfId="2" applyFont="1" applyFill="1" applyBorder="1" applyProtection="1">
      <protection locked="0"/>
    </xf>
    <xf numFmtId="44" fontId="28" fillId="2" borderId="0" xfId="2" applyFont="1" applyFill="1" applyBorder="1" applyAlignment="1" applyProtection="1">
      <alignment vertical="center"/>
      <protection locked="0"/>
    </xf>
    <xf numFmtId="38" fontId="28" fillId="2" borderId="0" xfId="0" applyNumberFormat="1" applyFont="1" applyFill="1" applyBorder="1" applyAlignment="1" applyProtection="1">
      <alignment horizontal="left" vertical="center"/>
      <protection locked="0"/>
    </xf>
    <xf numFmtId="44" fontId="28" fillId="2" borderId="0" xfId="2" applyFont="1" applyFill="1" applyBorder="1" applyAlignment="1" applyProtection="1">
      <alignment horizontal="left" vertical="center"/>
      <protection locked="0"/>
    </xf>
    <xf numFmtId="174" fontId="38" fillId="2" borderId="0" xfId="0" applyFont="1" applyFill="1" applyAlignment="1" applyProtection="1">
      <alignment horizontal="center"/>
      <protection locked="0"/>
    </xf>
    <xf numFmtId="3" fontId="28" fillId="2" borderId="14" xfId="1" applyNumberFormat="1" applyFont="1" applyFill="1" applyBorder="1" applyAlignment="1" applyProtection="1">
      <alignment horizontal="center" vertical="center"/>
      <protection locked="0"/>
    </xf>
    <xf numFmtId="44" fontId="28" fillId="2" borderId="14" xfId="2" applyFont="1" applyFill="1" applyBorder="1" applyProtection="1">
      <protection locked="0"/>
    </xf>
    <xf numFmtId="38" fontId="28" fillId="2" borderId="0" xfId="0" applyNumberFormat="1" applyFont="1" applyFill="1" applyBorder="1" applyAlignment="1" applyProtection="1">
      <alignment vertical="center"/>
      <protection locked="0"/>
    </xf>
    <xf numFmtId="44" fontId="28" fillId="2" borderId="0" xfId="2" applyFont="1" applyFill="1" applyBorder="1" applyAlignment="1" applyProtection="1">
      <alignment horizontal="center" vertical="center"/>
      <protection locked="0"/>
    </xf>
    <xf numFmtId="40" fontId="29" fillId="2" borderId="20" xfId="0" applyNumberFormat="1" applyFont="1" applyFill="1" applyBorder="1" applyAlignment="1" applyProtection="1">
      <alignment horizontal="center" vertical="center"/>
      <protection locked="0"/>
    </xf>
    <xf numFmtId="44" fontId="28" fillId="2" borderId="20" xfId="2" applyFont="1" applyFill="1" applyBorder="1" applyAlignment="1" applyProtection="1">
      <alignment horizontal="center" vertical="center"/>
      <protection hidden="1"/>
    </xf>
    <xf numFmtId="44" fontId="28" fillId="2" borderId="21" xfId="2" applyFont="1" applyFill="1" applyBorder="1" applyAlignment="1" applyProtection="1">
      <alignment horizontal="left" vertical="center"/>
      <protection locked="0"/>
    </xf>
    <xf numFmtId="44" fontId="33" fillId="2" borderId="20" xfId="2" applyFont="1" applyFill="1" applyBorder="1" applyAlignment="1" applyProtection="1">
      <alignment horizontal="left" vertical="center"/>
      <protection hidden="1"/>
    </xf>
    <xf numFmtId="44" fontId="28" fillId="3" borderId="20" xfId="2" applyFont="1" applyFill="1" applyBorder="1" applyAlignment="1" applyProtection="1">
      <alignment horizontal="left" vertical="center"/>
      <protection hidden="1"/>
    </xf>
    <xf numFmtId="44" fontId="28" fillId="3" borderId="20" xfId="2" applyFont="1" applyFill="1" applyBorder="1" applyAlignment="1" applyProtection="1">
      <alignment horizontal="right" vertical="center"/>
      <protection hidden="1"/>
    </xf>
    <xf numFmtId="49" fontId="28" fillId="2" borderId="0" xfId="0" applyNumberFormat="1" applyFont="1" applyFill="1" applyBorder="1" applyAlignment="1" applyProtection="1">
      <protection locked="0"/>
    </xf>
    <xf numFmtId="174" fontId="28" fillId="2" borderId="0" xfId="0" applyFont="1" applyFill="1" applyBorder="1" applyAlignment="1" applyProtection="1">
      <protection locked="0"/>
    </xf>
    <xf numFmtId="44" fontId="28" fillId="2" borderId="0" xfId="0" applyNumberFormat="1" applyFont="1" applyFill="1" applyBorder="1" applyAlignment="1" applyProtection="1">
      <protection locked="0"/>
    </xf>
    <xf numFmtId="174" fontId="28" fillId="2" borderId="4" xfId="0" applyNumberFormat="1" applyFont="1" applyFill="1" applyBorder="1" applyAlignment="1" applyProtection="1">
      <alignment vertical="center"/>
      <protection locked="0"/>
    </xf>
    <xf numFmtId="174" fontId="18" fillId="2" borderId="0" xfId="0" applyFont="1" applyFill="1" applyAlignment="1" applyProtection="1">
      <alignment horizontal="center"/>
      <protection locked="0"/>
    </xf>
    <xf numFmtId="44" fontId="4" fillId="2" borderId="0" xfId="0" applyNumberFormat="1" applyFont="1" applyFill="1" applyProtection="1">
      <protection locked="0"/>
    </xf>
    <xf numFmtId="174" fontId="5" fillId="2" borderId="0" xfId="0" applyNumberFormat="1" applyFont="1" applyFill="1" applyBorder="1" applyAlignment="1" applyProtection="1">
      <protection locked="0"/>
    </xf>
    <xf numFmtId="174" fontId="38" fillId="2" borderId="0" xfId="0" applyFont="1" applyFill="1" applyAlignment="1" applyProtection="1">
      <alignment vertical="center"/>
      <protection locked="0"/>
    </xf>
    <xf numFmtId="174" fontId="39" fillId="2" borderId="0" xfId="0" applyFont="1" applyFill="1" applyAlignment="1" applyProtection="1">
      <alignment vertical="center"/>
      <protection locked="0"/>
    </xf>
    <xf numFmtId="174" fontId="38" fillId="2" borderId="0" xfId="0" applyNumberFormat="1" applyFont="1" applyFill="1" applyAlignment="1" applyProtection="1">
      <alignment vertical="center"/>
      <protection locked="0"/>
    </xf>
    <xf numFmtId="174" fontId="39" fillId="2" borderId="0" xfId="0" applyFont="1" applyFill="1" applyAlignment="1" applyProtection="1">
      <alignment horizontal="center" vertical="center"/>
      <protection locked="0"/>
    </xf>
    <xf numFmtId="174" fontId="38" fillId="2" borderId="0" xfId="0" applyNumberFormat="1" applyFont="1" applyFill="1" applyBorder="1" applyAlignment="1" applyProtection="1">
      <alignment vertical="center"/>
      <protection locked="0"/>
    </xf>
    <xf numFmtId="174" fontId="6" fillId="2" borderId="0" xfId="0" applyFont="1" applyFill="1" applyAlignment="1" applyProtection="1">
      <alignment horizontal="center" vertical="center"/>
      <protection locked="0"/>
    </xf>
    <xf numFmtId="174" fontId="5" fillId="2" borderId="0" xfId="0" applyFont="1" applyFill="1" applyAlignment="1" applyProtection="1">
      <alignment vertical="center"/>
      <protection locked="0"/>
    </xf>
    <xf numFmtId="174" fontId="6" fillId="2" borderId="0" xfId="0" applyFont="1" applyFill="1" applyAlignment="1" applyProtection="1">
      <alignment vertical="center"/>
      <protection locked="0"/>
    </xf>
    <xf numFmtId="40" fontId="5" fillId="2" borderId="0" xfId="0" applyNumberFormat="1" applyFont="1" applyFill="1" applyAlignment="1" applyProtection="1">
      <alignment vertical="center"/>
      <protection locked="0"/>
    </xf>
    <xf numFmtId="174" fontId="6" fillId="2" borderId="0" xfId="0" applyFont="1" applyFill="1" applyAlignment="1" applyProtection="1">
      <alignment horizontal="right" vertical="center"/>
      <protection locked="0"/>
    </xf>
    <xf numFmtId="40" fontId="5" fillId="2" borderId="0" xfId="0" applyNumberFormat="1" applyFont="1" applyFill="1" applyBorder="1" applyAlignment="1" applyProtection="1">
      <alignment vertical="center"/>
      <protection locked="0"/>
    </xf>
    <xf numFmtId="38" fontId="5" fillId="2" borderId="0" xfId="0" applyNumberFormat="1" applyFont="1" applyFill="1" applyAlignment="1" applyProtection="1">
      <alignment vertical="center"/>
      <protection locked="0"/>
    </xf>
    <xf numFmtId="174" fontId="6" fillId="2" borderId="0" xfId="0" applyFont="1" applyFill="1" applyAlignment="1" applyProtection="1">
      <alignment horizontal="left" vertical="center"/>
      <protection locked="0"/>
    </xf>
    <xf numFmtId="44" fontId="6" fillId="2" borderId="0" xfId="2" applyFont="1" applyFill="1" applyAlignment="1" applyProtection="1">
      <alignment vertical="center"/>
      <protection locked="0"/>
    </xf>
    <xf numFmtId="38" fontId="6" fillId="2" borderId="0" xfId="0" applyNumberFormat="1" applyFont="1" applyFill="1" applyAlignment="1" applyProtection="1">
      <alignment vertical="center"/>
      <protection locked="0"/>
    </xf>
    <xf numFmtId="38" fontId="39" fillId="2" borderId="0" xfId="0" applyNumberFormat="1" applyFont="1" applyFill="1" applyAlignment="1" applyProtection="1">
      <alignment horizontal="right" vertical="center"/>
      <protection locked="0"/>
    </xf>
    <xf numFmtId="38" fontId="41" fillId="2" borderId="0" xfId="0" applyNumberFormat="1" applyFont="1" applyFill="1" applyAlignment="1" applyProtection="1">
      <alignment vertical="center"/>
      <protection locked="0"/>
    </xf>
    <xf numFmtId="44" fontId="6" fillId="2" borderId="0" xfId="0" applyNumberFormat="1" applyFont="1" applyFill="1" applyAlignment="1" applyProtection="1">
      <alignment vertical="center"/>
      <protection locked="0"/>
    </xf>
    <xf numFmtId="38" fontId="41" fillId="2" borderId="0" xfId="0" applyNumberFormat="1" applyFont="1" applyFill="1" applyAlignment="1" applyProtection="1">
      <alignment horizontal="left" vertical="center"/>
      <protection locked="0"/>
    </xf>
    <xf numFmtId="44" fontId="6" fillId="2" borderId="0" xfId="1" applyNumberFormat="1" applyFont="1" applyFill="1" applyAlignment="1" applyProtection="1">
      <alignment vertical="center"/>
      <protection locked="0"/>
    </xf>
    <xf numFmtId="44" fontId="6" fillId="2" borderId="0" xfId="0" applyNumberFormat="1" applyFont="1" applyFill="1" applyProtection="1">
      <protection locked="0"/>
    </xf>
    <xf numFmtId="49" fontId="5" fillId="2" borderId="0" xfId="0" applyNumberFormat="1" applyFont="1" applyFill="1" applyBorder="1" applyAlignment="1" applyProtection="1">
      <alignment horizontal="center"/>
      <protection locked="0"/>
    </xf>
    <xf numFmtId="44" fontId="5" fillId="2" borderId="0" xfId="0" applyNumberFormat="1" applyFont="1" applyFill="1" applyAlignment="1" applyProtection="1">
      <protection locked="0"/>
    </xf>
    <xf numFmtId="49" fontId="5" fillId="2" borderId="0" xfId="0" applyNumberFormat="1" applyFont="1" applyFill="1" applyAlignment="1" applyProtection="1">
      <alignment horizontal="center"/>
      <protection locked="0"/>
    </xf>
    <xf numFmtId="174" fontId="6" fillId="2" borderId="0" xfId="0" applyFont="1" applyFill="1" applyBorder="1" applyAlignment="1" applyProtection="1">
      <alignment vertical="center"/>
      <protection locked="0"/>
    </xf>
    <xf numFmtId="44" fontId="6" fillId="2" borderId="0" xfId="0" applyNumberFormat="1" applyFont="1" applyFill="1" applyBorder="1" applyAlignment="1" applyProtection="1">
      <alignment vertical="center"/>
      <protection locked="0"/>
    </xf>
    <xf numFmtId="44" fontId="6" fillId="2" borderId="20" xfId="2" applyFont="1" applyFill="1" applyBorder="1" applyAlignment="1" applyProtection="1">
      <alignment horizontal="left" vertical="center"/>
      <protection locked="0"/>
    </xf>
    <xf numFmtId="44" fontId="6" fillId="2" borderId="20" xfId="2" applyFont="1" applyFill="1" applyBorder="1" applyAlignment="1" applyProtection="1">
      <alignment horizontal="left" vertical="center"/>
      <protection hidden="1"/>
    </xf>
    <xf numFmtId="44" fontId="6" fillId="2" borderId="20" xfId="2" applyFont="1" applyFill="1" applyBorder="1" applyAlignment="1" applyProtection="1">
      <alignment vertical="center"/>
      <protection locked="0"/>
    </xf>
    <xf numFmtId="44" fontId="6" fillId="2" borderId="20" xfId="2" applyFont="1" applyFill="1" applyBorder="1" applyAlignment="1" applyProtection="1">
      <alignment vertical="center"/>
      <protection hidden="1"/>
    </xf>
    <xf numFmtId="44" fontId="6" fillId="2" borderId="20" xfId="2" applyNumberFormat="1" applyFont="1" applyFill="1" applyBorder="1" applyAlignment="1" applyProtection="1">
      <alignment vertical="center"/>
      <protection locked="0"/>
    </xf>
    <xf numFmtId="174" fontId="6" fillId="2" borderId="0" xfId="0" quotePrefix="1" applyFont="1" applyFill="1" applyBorder="1" applyAlignment="1" applyProtection="1">
      <alignment horizontal="right" vertical="center"/>
      <protection locked="0"/>
    </xf>
    <xf numFmtId="44" fontId="41" fillId="2" borderId="20" xfId="2" applyFont="1" applyFill="1" applyBorder="1" applyAlignment="1" applyProtection="1">
      <alignment vertical="center"/>
      <protection hidden="1"/>
    </xf>
    <xf numFmtId="44" fontId="15" fillId="2" borderId="0" xfId="2" applyFont="1" applyFill="1" applyProtection="1">
      <protection locked="0"/>
    </xf>
    <xf numFmtId="44" fontId="10" fillId="2" borderId="0" xfId="0" applyNumberFormat="1" applyFont="1" applyFill="1" applyProtection="1">
      <protection locked="0"/>
    </xf>
    <xf numFmtId="174" fontId="14" fillId="2" borderId="20" xfId="5" applyFont="1" applyFill="1" applyBorder="1" applyAlignment="1" applyProtection="1">
      <alignment horizontal="center" vertical="center" wrapText="1"/>
      <protection locked="0"/>
    </xf>
    <xf numFmtId="174" fontId="14" fillId="2" borderId="20" xfId="0" applyFont="1" applyFill="1" applyBorder="1" applyAlignment="1" applyProtection="1">
      <alignment horizontal="center" vertical="center"/>
      <protection locked="0"/>
    </xf>
    <xf numFmtId="3" fontId="14" fillId="2" borderId="20" xfId="0" applyNumberFormat="1" applyFont="1" applyFill="1" applyBorder="1" applyAlignment="1" applyProtection="1">
      <alignment horizontal="center" vertical="center"/>
      <protection locked="0"/>
    </xf>
    <xf numFmtId="165" fontId="14" fillId="2" borderId="20" xfId="4" applyNumberFormat="1" applyFont="1" applyFill="1" applyBorder="1" applyAlignment="1" applyProtection="1">
      <alignment horizontal="center" vertical="center"/>
      <protection locked="0"/>
    </xf>
    <xf numFmtId="44" fontId="14" fillId="2" borderId="20" xfId="5" applyNumberFormat="1" applyFont="1" applyFill="1" applyBorder="1" applyAlignment="1" applyProtection="1">
      <alignment horizontal="center" vertical="center"/>
      <protection locked="0"/>
    </xf>
    <xf numFmtId="174" fontId="14" fillId="2" borderId="0" xfId="0" applyFont="1" applyFill="1" applyAlignment="1" applyProtection="1">
      <alignment horizontal="center" vertical="center"/>
      <protection locked="0"/>
    </xf>
    <xf numFmtId="3" fontId="21" fillId="2" borderId="13" xfId="0" applyNumberFormat="1" applyFont="1" applyFill="1" applyBorder="1" applyAlignment="1" applyProtection="1">
      <alignment horizontal="center" vertical="center"/>
      <protection locked="0"/>
    </xf>
    <xf numFmtId="164" fontId="15" fillId="2" borderId="20" xfId="0" applyNumberFormat="1" applyFont="1" applyFill="1" applyBorder="1" applyAlignment="1" applyProtection="1">
      <alignment horizontal="center" vertical="center"/>
      <protection hidden="1"/>
    </xf>
    <xf numFmtId="3" fontId="21" fillId="2" borderId="20" xfId="0" applyNumberFormat="1" applyFont="1" applyFill="1" applyBorder="1" applyAlignment="1" applyProtection="1">
      <alignment horizontal="center" vertical="center"/>
      <protection hidden="1"/>
    </xf>
    <xf numFmtId="44" fontId="15" fillId="2" borderId="0" xfId="2" applyNumberFormat="1" applyFont="1" applyFill="1" applyProtection="1">
      <protection hidden="1"/>
    </xf>
    <xf numFmtId="3" fontId="21" fillId="2" borderId="10" xfId="0" applyNumberFormat="1" applyFont="1" applyFill="1" applyBorder="1" applyAlignment="1" applyProtection="1">
      <alignment horizontal="center" vertical="center"/>
      <protection locked="0"/>
    </xf>
    <xf numFmtId="167" fontId="13" fillId="2" borderId="0" xfId="0" applyNumberFormat="1" applyFont="1" applyFill="1" applyBorder="1" applyAlignment="1" applyProtection="1">
      <alignment vertical="center"/>
      <protection locked="0"/>
    </xf>
    <xf numFmtId="167" fontId="13" fillId="2" borderId="0" xfId="0" applyNumberFormat="1" applyFont="1" applyFill="1" applyBorder="1" applyAlignment="1" applyProtection="1">
      <alignment horizontal="right" vertical="center"/>
      <protection locked="0"/>
    </xf>
    <xf numFmtId="164" fontId="15" fillId="2" borderId="37" xfId="0" applyNumberFormat="1" applyFont="1" applyFill="1" applyBorder="1" applyAlignment="1" applyProtection="1">
      <alignment horizontal="center" vertical="center"/>
      <protection hidden="1"/>
    </xf>
    <xf numFmtId="44" fontId="15" fillId="2" borderId="37" xfId="0" applyNumberFormat="1" applyFont="1" applyFill="1" applyBorder="1" applyAlignment="1" applyProtection="1">
      <alignment horizontal="left" vertical="center"/>
      <protection hidden="1"/>
    </xf>
    <xf numFmtId="44" fontId="15" fillId="2" borderId="0" xfId="2" applyNumberFormat="1" applyFont="1" applyFill="1" applyProtection="1">
      <protection locked="0"/>
    </xf>
    <xf numFmtId="3" fontId="21" fillId="2" borderId="37" xfId="0" applyNumberFormat="1" applyFont="1" applyFill="1" applyBorder="1" applyAlignment="1" applyProtection="1">
      <alignment horizontal="center" vertical="center"/>
      <protection locked="0"/>
    </xf>
    <xf numFmtId="3" fontId="21" fillId="2" borderId="20" xfId="0" applyNumberFormat="1" applyFont="1" applyFill="1" applyBorder="1" applyAlignment="1" applyProtection="1">
      <alignment horizontal="center" vertical="center"/>
      <protection locked="0"/>
    </xf>
    <xf numFmtId="167" fontId="13" fillId="2" borderId="0" xfId="0" applyNumberFormat="1" applyFont="1" applyFill="1" applyBorder="1" applyAlignment="1" applyProtection="1">
      <alignment horizontal="center" vertical="center"/>
      <protection locked="0"/>
    </xf>
    <xf numFmtId="164" fontId="15" fillId="2" borderId="0" xfId="0" applyNumberFormat="1" applyFont="1" applyFill="1" applyBorder="1" applyAlignment="1" applyProtection="1">
      <alignment horizontal="center" vertical="center"/>
      <protection locked="0"/>
    </xf>
    <xf numFmtId="44" fontId="15" fillId="2" borderId="0" xfId="0" applyNumberFormat="1" applyFont="1" applyFill="1" applyBorder="1" applyAlignment="1" applyProtection="1">
      <alignment horizontal="right" vertical="center"/>
      <protection locked="0"/>
    </xf>
    <xf numFmtId="44" fontId="14" fillId="2" borderId="0" xfId="2" applyFont="1" applyFill="1" applyProtection="1">
      <protection locked="0"/>
    </xf>
    <xf numFmtId="44" fontId="14" fillId="2" borderId="0" xfId="2" applyFont="1" applyFill="1" applyAlignment="1" applyProtection="1">
      <alignment horizontal="center" vertical="center"/>
      <protection locked="0"/>
    </xf>
    <xf numFmtId="44" fontId="15" fillId="2" borderId="0" xfId="0" applyNumberFormat="1" applyFont="1" applyFill="1" applyBorder="1" applyAlignment="1" applyProtection="1">
      <alignment horizontal="left" vertical="center"/>
      <protection locked="0"/>
    </xf>
    <xf numFmtId="44" fontId="15" fillId="2" borderId="0" xfId="0" applyNumberFormat="1" applyFont="1" applyFill="1" applyAlignment="1" applyProtection="1">
      <alignment horizontal="right"/>
      <protection locked="0"/>
    </xf>
    <xf numFmtId="174" fontId="15" fillId="2" borderId="0" xfId="0" applyFont="1" applyFill="1" applyBorder="1" applyProtection="1">
      <protection locked="0"/>
    </xf>
    <xf numFmtId="164" fontId="15" fillId="7" borderId="37" xfId="0" applyNumberFormat="1" applyFont="1" applyFill="1" applyBorder="1" applyAlignment="1" applyProtection="1">
      <alignment horizontal="center" vertical="center"/>
      <protection hidden="1"/>
    </xf>
    <xf numFmtId="44" fontId="6" fillId="2" borderId="9" xfId="0" applyNumberFormat="1" applyFont="1" applyFill="1" applyBorder="1" applyAlignment="1" applyProtection="1">
      <alignment vertical="center"/>
      <protection locked="0"/>
    </xf>
    <xf numFmtId="44" fontId="15" fillId="2" borderId="20" xfId="0" applyNumberFormat="1" applyFont="1" applyFill="1" applyBorder="1" applyAlignment="1" applyProtection="1">
      <alignment horizontal="center" vertical="center"/>
      <protection hidden="1"/>
    </xf>
    <xf numFmtId="44" fontId="15" fillId="2" borderId="20" xfId="1" applyNumberFormat="1" applyFont="1" applyFill="1" applyBorder="1" applyAlignment="1" applyProtection="1">
      <alignment horizontal="right" vertical="center"/>
      <protection locked="0"/>
    </xf>
    <xf numFmtId="44" fontId="28" fillId="0" borderId="20" xfId="2" applyFont="1" applyFill="1" applyBorder="1" applyAlignment="1" applyProtection="1">
      <alignment horizontal="left" vertical="center"/>
      <protection hidden="1"/>
    </xf>
    <xf numFmtId="174" fontId="13" fillId="2" borderId="0" xfId="0" applyFont="1" applyFill="1" applyAlignment="1" applyProtection="1">
      <alignment horizontal="right"/>
      <protection locked="0"/>
    </xf>
    <xf numFmtId="174" fontId="40" fillId="2" borderId="0" xfId="0" applyFont="1" applyFill="1" applyProtection="1">
      <protection locked="0"/>
    </xf>
    <xf numFmtId="44" fontId="6" fillId="0" borderId="20" xfId="2" applyNumberFormat="1" applyFont="1" applyFill="1" applyBorder="1" applyAlignment="1" applyProtection="1">
      <alignment vertical="center"/>
      <protection hidden="1"/>
    </xf>
    <xf numFmtId="174" fontId="6" fillId="0" borderId="0" xfId="0" applyFont="1" applyFill="1"/>
    <xf numFmtId="174" fontId="6" fillId="0" borderId="0" xfId="0" applyFont="1" applyFill="1" applyProtection="1">
      <protection locked="0"/>
    </xf>
    <xf numFmtId="49" fontId="18" fillId="2" borderId="0" xfId="0" applyNumberFormat="1" applyFont="1" applyFill="1" applyAlignment="1" applyProtection="1">
      <alignment horizontal="center"/>
      <protection locked="0"/>
    </xf>
    <xf numFmtId="174" fontId="18" fillId="2" borderId="0" xfId="0" applyFont="1" applyFill="1" applyBorder="1" applyProtection="1">
      <protection locked="0"/>
    </xf>
    <xf numFmtId="174" fontId="19" fillId="2" borderId="0" xfId="0" applyFont="1" applyFill="1" applyAlignment="1" applyProtection="1">
      <alignment horizontal="right"/>
      <protection locked="0"/>
    </xf>
    <xf numFmtId="174" fontId="18" fillId="2" borderId="0" xfId="0" applyFont="1" applyFill="1" applyBorder="1" applyAlignment="1" applyProtection="1">
      <alignment horizontal="center" vertical="center"/>
      <protection locked="0"/>
    </xf>
    <xf numFmtId="49" fontId="18" fillId="2" borderId="0" xfId="0" applyNumberFormat="1" applyFont="1" applyFill="1" applyProtection="1">
      <protection locked="0"/>
    </xf>
    <xf numFmtId="174" fontId="18" fillId="2" borderId="0" xfId="0" applyFont="1" applyFill="1" applyAlignment="1" applyProtection="1">
      <alignment horizontal="center" vertical="center"/>
      <protection locked="0"/>
    </xf>
    <xf numFmtId="174" fontId="22" fillId="2" borderId="0" xfId="0" applyFont="1" applyFill="1" applyBorder="1" applyAlignment="1" applyProtection="1">
      <protection locked="0"/>
    </xf>
    <xf numFmtId="174" fontId="19" fillId="2" borderId="0" xfId="0" applyFont="1" applyFill="1" applyAlignment="1" applyProtection="1">
      <alignment vertical="center"/>
      <protection locked="0"/>
    </xf>
    <xf numFmtId="49" fontId="19" fillId="2" borderId="0" xfId="0" applyNumberFormat="1" applyFont="1" applyFill="1" applyAlignment="1" applyProtection="1">
      <alignment vertical="center"/>
      <protection locked="0"/>
    </xf>
    <xf numFmtId="170" fontId="18" fillId="2" borderId="0" xfId="14" applyFont="1" applyFill="1" applyAlignment="1" applyProtection="1">
      <alignment horizontal="center"/>
      <protection locked="0"/>
    </xf>
    <xf numFmtId="170" fontId="18" fillId="2" borderId="0" xfId="14" applyFont="1" applyFill="1" applyAlignment="1" applyProtection="1">
      <alignment horizontal="center" vertical="center"/>
      <protection locked="0"/>
    </xf>
    <xf numFmtId="174" fontId="18" fillId="2" borderId="0" xfId="0" applyFont="1" applyFill="1" applyBorder="1" applyAlignment="1" applyProtection="1">
      <alignment vertical="center"/>
      <protection locked="0"/>
    </xf>
    <xf numFmtId="49" fontId="18" fillId="2" borderId="0" xfId="0" applyNumberFormat="1" applyFont="1" applyFill="1" applyBorder="1" applyAlignment="1" applyProtection="1">
      <alignment vertical="center"/>
      <protection locked="0"/>
    </xf>
    <xf numFmtId="174" fontId="19" fillId="2" borderId="0" xfId="0" applyFont="1" applyFill="1" applyAlignment="1" applyProtection="1">
      <alignment horizontal="center" vertical="center" wrapText="1"/>
      <protection locked="0"/>
    </xf>
    <xf numFmtId="174" fontId="19" fillId="2" borderId="0" xfId="0" applyFont="1" applyFill="1" applyBorder="1" applyAlignment="1" applyProtection="1">
      <alignment horizontal="center" vertical="center" wrapText="1"/>
      <protection locked="0"/>
    </xf>
    <xf numFmtId="174" fontId="17" fillId="2" borderId="0" xfId="0" applyFont="1" applyFill="1" applyBorder="1" applyAlignment="1" applyProtection="1">
      <alignment horizontal="center" vertical="center" wrapText="1"/>
      <protection locked="0"/>
    </xf>
    <xf numFmtId="49" fontId="19" fillId="2" borderId="20" xfId="0" applyNumberFormat="1" applyFont="1" applyFill="1" applyBorder="1" applyAlignment="1" applyProtection="1">
      <alignment horizontal="center" vertical="center" wrapText="1"/>
      <protection locked="0"/>
    </xf>
    <xf numFmtId="174" fontId="17" fillId="2" borderId="20" xfId="0" applyFont="1" applyFill="1" applyBorder="1" applyAlignment="1" applyProtection="1">
      <alignment horizontal="center" vertical="center" wrapText="1"/>
      <protection locked="0"/>
    </xf>
    <xf numFmtId="174" fontId="19" fillId="2" borderId="20" xfId="0" applyFont="1" applyFill="1" applyBorder="1" applyAlignment="1" applyProtection="1">
      <alignment horizontal="center" vertical="center" wrapText="1"/>
      <protection locked="0"/>
    </xf>
    <xf numFmtId="170" fontId="19" fillId="2" borderId="20" xfId="14" applyFont="1" applyFill="1" applyBorder="1" applyAlignment="1" applyProtection="1">
      <alignment horizontal="center" vertical="center" wrapText="1"/>
      <protection locked="0"/>
    </xf>
    <xf numFmtId="164" fontId="18" fillId="2" borderId="0" xfId="0" applyNumberFormat="1" applyFont="1" applyFill="1" applyBorder="1" applyAlignment="1" applyProtection="1">
      <alignment horizontal="center" vertical="center"/>
      <protection locked="0"/>
    </xf>
    <xf numFmtId="164" fontId="9" fillId="2" borderId="0" xfId="0" applyNumberFormat="1" applyFont="1" applyFill="1" applyBorder="1" applyAlignment="1" applyProtection="1">
      <alignment horizontal="center" vertical="center"/>
      <protection locked="0"/>
    </xf>
    <xf numFmtId="174" fontId="19" fillId="2" borderId="0" xfId="0" applyFont="1" applyFill="1" applyProtection="1">
      <protection locked="0"/>
    </xf>
    <xf numFmtId="174" fontId="19" fillId="2" borderId="0" xfId="0" applyFont="1" applyFill="1" applyBorder="1" applyProtection="1">
      <protection locked="0"/>
    </xf>
    <xf numFmtId="49" fontId="19" fillId="2" borderId="0" xfId="0" applyNumberFormat="1" applyFont="1" applyFill="1" applyProtection="1">
      <protection locked="0"/>
    </xf>
    <xf numFmtId="49" fontId="19" fillId="2" borderId="0" xfId="0" applyNumberFormat="1" applyFont="1" applyFill="1" applyAlignment="1" applyProtection="1">
      <alignment horizontal="right" vertical="center"/>
      <protection locked="0"/>
    </xf>
    <xf numFmtId="44" fontId="19" fillId="2" borderId="0" xfId="0" applyNumberFormat="1" applyFont="1" applyFill="1" applyBorder="1" applyAlignment="1" applyProtection="1">
      <alignment horizontal="left" vertical="center"/>
      <protection hidden="1"/>
    </xf>
    <xf numFmtId="170" fontId="19" fillId="2" borderId="0" xfId="14" applyFont="1" applyFill="1" applyAlignment="1" applyProtection="1">
      <alignment horizontal="right"/>
      <protection locked="0"/>
    </xf>
    <xf numFmtId="49" fontId="18" fillId="2" borderId="0" xfId="0" applyNumberFormat="1" applyFont="1" applyFill="1" applyBorder="1" applyAlignment="1" applyProtection="1">
      <alignment horizontal="center"/>
      <protection locked="0"/>
    </xf>
    <xf numFmtId="174" fontId="18" fillId="2" borderId="0" xfId="0" applyFont="1" applyFill="1" applyBorder="1" applyAlignment="1" applyProtection="1">
      <alignment horizontal="center"/>
      <protection locked="0"/>
    </xf>
    <xf numFmtId="174" fontId="19" fillId="2" borderId="0" xfId="0" applyFont="1" applyFill="1" applyBorder="1" applyAlignment="1" applyProtection="1">
      <alignment horizontal="right"/>
      <protection locked="0"/>
    </xf>
    <xf numFmtId="174" fontId="18" fillId="2" borderId="0" xfId="0" applyFont="1" applyFill="1" applyBorder="1" applyAlignment="1" applyProtection="1">
      <alignment horizontal="right"/>
      <protection locked="0"/>
    </xf>
    <xf numFmtId="174" fontId="4" fillId="2" borderId="41" xfId="0" applyFont="1" applyFill="1" applyBorder="1" applyProtection="1">
      <protection locked="0"/>
    </xf>
    <xf numFmtId="174" fontId="4" fillId="2" borderId="59" xfId="0" applyFont="1" applyFill="1" applyBorder="1" applyProtection="1">
      <protection locked="0"/>
    </xf>
    <xf numFmtId="44" fontId="28" fillId="3" borderId="10" xfId="2" applyFont="1" applyFill="1" applyBorder="1" applyAlignment="1" applyProtection="1">
      <alignment vertical="center"/>
      <protection hidden="1"/>
    </xf>
    <xf numFmtId="44" fontId="15" fillId="3" borderId="20" xfId="2" applyFont="1" applyFill="1" applyBorder="1" applyAlignment="1" applyProtection="1">
      <alignment vertical="center"/>
      <protection hidden="1"/>
    </xf>
    <xf numFmtId="164" fontId="15" fillId="7" borderId="20" xfId="0" applyNumberFormat="1" applyFont="1" applyFill="1" applyBorder="1" applyAlignment="1" applyProtection="1">
      <alignment horizontal="center" vertical="center"/>
      <protection hidden="1"/>
    </xf>
    <xf numFmtId="49" fontId="17" fillId="2" borderId="0" xfId="0" applyNumberFormat="1" applyFont="1" applyFill="1" applyAlignment="1" applyProtection="1">
      <alignment horizontal="center" vertical="center"/>
      <protection locked="0"/>
    </xf>
    <xf numFmtId="49" fontId="9" fillId="2" borderId="0" xfId="0" applyNumberFormat="1" applyFont="1" applyFill="1" applyAlignment="1" applyProtection="1">
      <alignment horizontal="center" vertical="center"/>
      <protection locked="0"/>
    </xf>
    <xf numFmtId="49" fontId="9" fillId="2" borderId="0" xfId="0" applyNumberFormat="1" applyFont="1" applyFill="1" applyBorder="1" applyAlignment="1" applyProtection="1">
      <alignment horizontal="center" vertical="center"/>
      <protection locked="0"/>
    </xf>
    <xf numFmtId="49" fontId="9" fillId="2" borderId="20" xfId="0" applyNumberFormat="1" applyFont="1" applyFill="1" applyBorder="1" applyAlignment="1" applyProtection="1">
      <alignment horizontal="center" vertical="center"/>
      <protection locked="0"/>
    </xf>
    <xf numFmtId="49" fontId="18" fillId="2" borderId="20" xfId="0" applyNumberFormat="1" applyFont="1" applyFill="1" applyBorder="1" applyAlignment="1" applyProtection="1">
      <alignment horizontal="center" vertical="center"/>
      <protection locked="0"/>
    </xf>
    <xf numFmtId="49" fontId="17" fillId="13" borderId="20" xfId="0" applyNumberFormat="1" applyFont="1" applyFill="1" applyBorder="1" applyAlignment="1" applyProtection="1">
      <alignment horizontal="center" vertical="center" wrapText="1"/>
      <protection locked="0"/>
    </xf>
    <xf numFmtId="49" fontId="25" fillId="11" borderId="20" xfId="0" applyNumberFormat="1" applyFont="1" applyFill="1" applyBorder="1" applyAlignment="1" applyProtection="1">
      <alignment horizontal="center" vertical="center" wrapText="1"/>
      <protection locked="0"/>
    </xf>
    <xf numFmtId="49" fontId="19" fillId="2" borderId="20" xfId="14" applyNumberFormat="1" applyFont="1" applyFill="1" applyBorder="1" applyAlignment="1" applyProtection="1">
      <alignment horizontal="center" vertical="center" wrapText="1"/>
      <protection locked="0"/>
    </xf>
    <xf numFmtId="44" fontId="18" fillId="11" borderId="20" xfId="1" applyNumberFormat="1" applyFont="1" applyFill="1" applyBorder="1" applyAlignment="1" applyProtection="1">
      <alignment horizontal="left" vertical="center"/>
      <protection locked="0"/>
    </xf>
    <xf numFmtId="174" fontId="4" fillId="0" borderId="19" xfId="0" quotePrefix="1" applyNumberFormat="1" applyFont="1" applyBorder="1" applyAlignment="1">
      <alignment horizontal="center"/>
    </xf>
    <xf numFmtId="44" fontId="28" fillId="2" borderId="20" xfId="0" applyNumberFormat="1" applyFont="1" applyFill="1" applyBorder="1" applyAlignment="1" applyProtection="1">
      <alignment horizontal="center" vertical="center"/>
      <protection locked="0"/>
    </xf>
    <xf numFmtId="37" fontId="28" fillId="2" borderId="20" xfId="0" applyNumberFormat="1" applyFont="1" applyFill="1" applyBorder="1" applyAlignment="1" applyProtection="1">
      <alignment horizontal="right" vertical="center"/>
      <protection hidden="1"/>
    </xf>
    <xf numFmtId="3" fontId="5" fillId="2" borderId="20" xfId="0" applyNumberFormat="1" applyFont="1" applyFill="1" applyBorder="1" applyAlignment="1" applyProtection="1">
      <alignment horizontal="center" vertical="center"/>
      <protection locked="0"/>
    </xf>
    <xf numFmtId="44" fontId="15" fillId="2" borderId="0" xfId="1" applyNumberFormat="1" applyFont="1" applyFill="1" applyBorder="1" applyAlignment="1" applyProtection="1">
      <alignment horizontal="right" vertical="center"/>
      <protection locked="0"/>
    </xf>
    <xf numFmtId="164" fontId="15" fillId="7" borderId="20" xfId="0" applyNumberFormat="1" applyFont="1" applyFill="1" applyBorder="1" applyAlignment="1" applyProtection="1">
      <alignment horizontal="center" vertical="center"/>
      <protection locked="0"/>
    </xf>
    <xf numFmtId="167" fontId="13" fillId="2" borderId="35" xfId="0" applyNumberFormat="1" applyFont="1" applyFill="1" applyBorder="1" applyAlignment="1" applyProtection="1">
      <alignment vertical="center"/>
      <protection locked="0"/>
    </xf>
    <xf numFmtId="3" fontId="21" fillId="0" borderId="20" xfId="0" applyNumberFormat="1" applyFont="1" applyFill="1" applyBorder="1" applyAlignment="1" applyProtection="1">
      <alignment horizontal="center" vertical="center"/>
      <protection locked="0"/>
    </xf>
    <xf numFmtId="174" fontId="4" fillId="0" borderId="19" xfId="0" applyNumberFormat="1" applyFont="1" applyFill="1" applyBorder="1" applyAlignment="1">
      <alignment horizontal="center"/>
    </xf>
    <xf numFmtId="174" fontId="4" fillId="0" borderId="19" xfId="0" applyFont="1" applyFill="1" applyBorder="1" applyAlignment="1">
      <alignment horizontal="center"/>
    </xf>
    <xf numFmtId="44" fontId="4" fillId="0" borderId="19" xfId="0" applyNumberFormat="1" applyFont="1" applyFill="1" applyBorder="1" applyAlignment="1">
      <alignment horizontal="center"/>
    </xf>
    <xf numFmtId="44" fontId="4" fillId="0" borderId="19" xfId="0" applyNumberFormat="1" applyFont="1" applyFill="1" applyBorder="1" applyAlignment="1" applyProtection="1">
      <alignment horizontal="center"/>
      <protection locked="0"/>
    </xf>
    <xf numFmtId="174" fontId="4" fillId="0" borderId="19" xfId="0" applyNumberFormat="1" applyFont="1" applyFill="1" applyBorder="1" applyAlignment="1" applyProtection="1">
      <alignment horizontal="center"/>
      <protection locked="0"/>
    </xf>
    <xf numFmtId="174" fontId="4" fillId="0" borderId="19" xfId="0" applyFont="1" applyFill="1" applyBorder="1" applyAlignment="1" applyProtection="1">
      <alignment horizontal="center"/>
      <protection locked="0"/>
    </xf>
    <xf numFmtId="49" fontId="4" fillId="0" borderId="19" xfId="0" quotePrefix="1" applyNumberFormat="1" applyFont="1" applyBorder="1" applyAlignment="1">
      <alignment horizontal="center"/>
    </xf>
    <xf numFmtId="166" fontId="15" fillId="2" borderId="0" xfId="0" applyNumberFormat="1" applyFont="1" applyFill="1" applyProtection="1">
      <protection locked="0"/>
    </xf>
    <xf numFmtId="166" fontId="14" fillId="2" borderId="20" xfId="0" applyNumberFormat="1" applyFont="1" applyFill="1" applyBorder="1" applyAlignment="1" applyProtection="1">
      <alignment horizontal="center" vertical="center" wrapText="1"/>
      <protection locked="0"/>
    </xf>
    <xf numFmtId="166" fontId="14" fillId="2" borderId="20" xfId="4" applyNumberFormat="1" applyFont="1" applyFill="1" applyBorder="1" applyAlignment="1" applyProtection="1">
      <alignment horizontal="center" vertical="center"/>
      <protection locked="0"/>
    </xf>
    <xf numFmtId="166" fontId="15" fillId="2" borderId="20" xfId="0" applyNumberFormat="1" applyFont="1" applyFill="1" applyBorder="1" applyAlignment="1" applyProtection="1">
      <alignment horizontal="center" vertical="center"/>
      <protection hidden="1"/>
    </xf>
    <xf numFmtId="166" fontId="23" fillId="0" borderId="20" xfId="0" applyNumberFormat="1" applyFont="1" applyFill="1" applyBorder="1" applyAlignment="1" applyProtection="1">
      <alignment horizontal="center" vertical="center"/>
      <protection hidden="1"/>
    </xf>
    <xf numFmtId="166" fontId="15" fillId="2" borderId="37" xfId="0" applyNumberFormat="1" applyFont="1" applyFill="1" applyBorder="1" applyAlignment="1" applyProtection="1">
      <alignment horizontal="center" vertical="center"/>
      <protection hidden="1"/>
    </xf>
    <xf numFmtId="166" fontId="15" fillId="2" borderId="0" xfId="0" applyNumberFormat="1" applyFont="1" applyFill="1" applyBorder="1" applyAlignment="1" applyProtection="1">
      <alignment horizontal="center" vertical="center"/>
      <protection locked="0"/>
    </xf>
    <xf numFmtId="166" fontId="15" fillId="2" borderId="20" xfId="1" applyNumberFormat="1" applyFont="1" applyFill="1" applyBorder="1" applyAlignment="1" applyProtection="1">
      <alignment horizontal="center" vertical="center"/>
      <protection hidden="1"/>
    </xf>
    <xf numFmtId="166" fontId="15" fillId="0" borderId="20" xfId="0" applyNumberFormat="1" applyFont="1" applyFill="1" applyBorder="1" applyAlignment="1" applyProtection="1">
      <alignment horizontal="center" vertical="center"/>
      <protection hidden="1"/>
    </xf>
    <xf numFmtId="171" fontId="23" fillId="0" borderId="20" xfId="0" applyNumberFormat="1" applyFont="1" applyFill="1" applyBorder="1" applyAlignment="1" applyProtection="1">
      <alignment horizontal="center" vertical="center"/>
      <protection hidden="1"/>
    </xf>
    <xf numFmtId="166" fontId="15" fillId="0" borderId="20" xfId="1" applyNumberFormat="1" applyFont="1" applyFill="1" applyBorder="1" applyAlignment="1" applyProtection="1">
      <alignment horizontal="center" vertical="center"/>
      <protection hidden="1"/>
    </xf>
    <xf numFmtId="172" fontId="4" fillId="0" borderId="19" xfId="0" applyNumberFormat="1" applyFont="1" applyBorder="1" applyAlignment="1">
      <alignment horizontal="center"/>
    </xf>
    <xf numFmtId="174" fontId="4" fillId="0" borderId="61" xfId="0" applyNumberFormat="1" applyFont="1" applyBorder="1" applyAlignment="1"/>
    <xf numFmtId="174" fontId="4" fillId="0" borderId="0" xfId="0" applyNumberFormat="1" applyFont="1" applyBorder="1" applyAlignment="1"/>
    <xf numFmtId="44" fontId="15" fillId="2" borderId="9" xfId="1" applyNumberFormat="1" applyFont="1" applyFill="1" applyBorder="1" applyAlignment="1" applyProtection="1">
      <alignment horizontal="right" vertical="center"/>
      <protection locked="0"/>
    </xf>
    <xf numFmtId="174" fontId="14" fillId="2" borderId="37" xfId="5" applyFont="1" applyFill="1" applyBorder="1" applyAlignment="1" applyProtection="1">
      <alignment horizontal="center" vertical="center" wrapText="1"/>
      <protection locked="0"/>
    </xf>
    <xf numFmtId="166" fontId="14" fillId="2" borderId="37" xfId="0" applyNumberFormat="1" applyFont="1" applyFill="1" applyBorder="1" applyAlignment="1" applyProtection="1">
      <alignment horizontal="center" vertical="center" wrapText="1"/>
      <protection locked="0"/>
    </xf>
    <xf numFmtId="44" fontId="14" fillId="2" borderId="37" xfId="0" applyNumberFormat="1" applyFont="1" applyFill="1" applyBorder="1" applyAlignment="1" applyProtection="1">
      <alignment horizontal="center" vertical="center"/>
      <protection locked="0"/>
    </xf>
    <xf numFmtId="174" fontId="4" fillId="0" borderId="0" xfId="0" applyNumberFormat="1" applyFont="1" applyAlignment="1">
      <alignment horizontal="right"/>
    </xf>
    <xf numFmtId="167" fontId="13" fillId="2" borderId="6" xfId="0" applyNumberFormat="1" applyFont="1" applyFill="1" applyBorder="1" applyAlignment="1" applyProtection="1">
      <alignment vertical="center"/>
      <protection locked="0"/>
    </xf>
    <xf numFmtId="173" fontId="4" fillId="2" borderId="14" xfId="0" quotePrefix="1" applyNumberFormat="1" applyFont="1" applyFill="1" applyBorder="1" applyAlignment="1" applyProtection="1">
      <alignment horizontal="center"/>
      <protection locked="0"/>
    </xf>
    <xf numFmtId="172" fontId="4" fillId="2" borderId="19" xfId="0" applyNumberFormat="1" applyFont="1" applyFill="1" applyBorder="1" applyAlignment="1">
      <alignment horizontal="center"/>
    </xf>
    <xf numFmtId="49" fontId="4" fillId="2" borderId="19" xfId="0" quotePrefix="1" applyNumberFormat="1" applyFont="1" applyFill="1" applyBorder="1" applyAlignment="1">
      <alignment horizontal="center"/>
    </xf>
    <xf numFmtId="174" fontId="6" fillId="2" borderId="19" xfId="0" applyFont="1" applyFill="1" applyBorder="1" applyAlignment="1">
      <alignment horizontal="center"/>
    </xf>
    <xf numFmtId="174" fontId="4" fillId="2" borderId="19" xfId="0" applyNumberFormat="1" applyFont="1" applyFill="1" applyBorder="1" applyAlignment="1">
      <alignment horizontal="center"/>
    </xf>
    <xf numFmtId="44" fontId="6" fillId="2" borderId="19" xfId="0" applyNumberFormat="1" applyFont="1" applyFill="1" applyBorder="1" applyAlignment="1">
      <alignment horizontal="center"/>
    </xf>
    <xf numFmtId="44" fontId="4" fillId="2" borderId="19" xfId="0" applyNumberFormat="1" applyFont="1" applyFill="1" applyBorder="1" applyAlignment="1" applyProtection="1">
      <alignment horizontal="center"/>
      <protection hidden="1"/>
    </xf>
    <xf numFmtId="174" fontId="4" fillId="2" borderId="19" xfId="0" applyFont="1" applyFill="1" applyBorder="1" applyAlignment="1">
      <alignment horizontal="center"/>
    </xf>
    <xf numFmtId="44" fontId="4" fillId="2" borderId="19" xfId="0" applyNumberFormat="1" applyFont="1" applyFill="1" applyBorder="1" applyAlignment="1">
      <alignment horizontal="center"/>
    </xf>
    <xf numFmtId="44" fontId="4" fillId="0" borderId="22" xfId="0" applyNumberFormat="1" applyFont="1" applyBorder="1"/>
    <xf numFmtId="44" fontId="4" fillId="0" borderId="22" xfId="0" applyNumberFormat="1" applyFont="1" applyBorder="1" applyAlignment="1" applyProtection="1">
      <alignment horizontal="center"/>
      <protection hidden="1"/>
    </xf>
    <xf numFmtId="44" fontId="4" fillId="0" borderId="62" xfId="0" applyNumberFormat="1" applyFont="1" applyBorder="1"/>
    <xf numFmtId="44" fontId="4" fillId="0" borderId="63" xfId="0" applyNumberFormat="1" applyFont="1" applyBorder="1"/>
    <xf numFmtId="44" fontId="4" fillId="0" borderId="64" xfId="0" applyNumberFormat="1" applyFont="1" applyBorder="1"/>
    <xf numFmtId="164" fontId="15" fillId="0" borderId="20" xfId="0" applyNumberFormat="1" applyFont="1" applyFill="1" applyBorder="1" applyAlignment="1" applyProtection="1">
      <alignment horizontal="center" vertical="center"/>
      <protection hidden="1"/>
    </xf>
    <xf numFmtId="174" fontId="15" fillId="2" borderId="0" xfId="0" applyFont="1" applyFill="1" applyAlignment="1" applyProtection="1">
      <protection locked="0"/>
    </xf>
    <xf numFmtId="3" fontId="21" fillId="0" borderId="20" xfId="0" applyNumberFormat="1" applyFont="1" applyFill="1" applyBorder="1" applyAlignment="1" applyProtection="1">
      <alignment horizontal="center" vertical="center"/>
      <protection hidden="1"/>
    </xf>
    <xf numFmtId="164" fontId="9" fillId="15" borderId="0" xfId="0" applyNumberFormat="1" applyFont="1" applyFill="1" applyBorder="1" applyAlignment="1" applyProtection="1">
      <alignment horizontal="center" vertical="center"/>
      <protection locked="0"/>
    </xf>
    <xf numFmtId="174" fontId="18" fillId="15" borderId="0" xfId="0" applyFont="1" applyFill="1" applyBorder="1" applyAlignment="1" applyProtection="1">
      <alignment horizontal="center" vertical="center"/>
      <protection locked="0"/>
    </xf>
    <xf numFmtId="174" fontId="18" fillId="15" borderId="0" xfId="0" applyFont="1" applyFill="1" applyProtection="1">
      <protection locked="0"/>
    </xf>
    <xf numFmtId="164" fontId="18" fillId="15" borderId="0" xfId="0" applyNumberFormat="1" applyFont="1" applyFill="1" applyBorder="1" applyAlignment="1" applyProtection="1">
      <alignment horizontal="center" vertical="center"/>
      <protection locked="0"/>
    </xf>
    <xf numFmtId="174" fontId="9" fillId="15" borderId="0" xfId="0" applyFont="1" applyFill="1" applyBorder="1" applyAlignment="1" applyProtection="1">
      <alignment horizontal="center" vertical="center"/>
      <protection locked="0"/>
    </xf>
    <xf numFmtId="174" fontId="18" fillId="0" borderId="0" xfId="0" applyFont="1" applyFill="1" applyBorder="1" applyAlignment="1" applyProtection="1">
      <alignment horizontal="center" vertical="center"/>
      <protection locked="0"/>
    </xf>
    <xf numFmtId="174" fontId="18" fillId="0" borderId="0" xfId="0" applyFont="1" applyFill="1" applyProtection="1">
      <protection locked="0"/>
    </xf>
    <xf numFmtId="174" fontId="18" fillId="0" borderId="0" xfId="0" applyFont="1" applyFill="1" applyAlignment="1" applyProtection="1">
      <alignment vertical="center"/>
      <protection locked="0"/>
    </xf>
    <xf numFmtId="174" fontId="19" fillId="0" borderId="0" xfId="0" applyFont="1" applyFill="1" applyAlignment="1" applyProtection="1">
      <alignment horizontal="right" vertical="center"/>
      <protection locked="0"/>
    </xf>
    <xf numFmtId="174" fontId="18" fillId="0" borderId="0" xfId="0" applyFont="1" applyFill="1" applyAlignment="1" applyProtection="1">
      <alignment horizontal="center" vertical="center"/>
      <protection locked="0"/>
    </xf>
    <xf numFmtId="174" fontId="26" fillId="0" borderId="0" xfId="0" applyFont="1" applyFill="1" applyBorder="1" applyAlignment="1" applyProtection="1">
      <alignment horizontal="right" vertical="center"/>
      <protection locked="0"/>
    </xf>
    <xf numFmtId="44" fontId="18" fillId="0" borderId="11" xfId="0" applyNumberFormat="1" applyFont="1" applyFill="1" applyBorder="1" applyAlignment="1" applyProtection="1">
      <alignment vertical="center"/>
      <protection hidden="1"/>
    </xf>
    <xf numFmtId="174" fontId="18" fillId="0" borderId="14" xfId="0" applyFont="1" applyFill="1" applyBorder="1" applyProtection="1">
      <protection locked="0"/>
    </xf>
    <xf numFmtId="174" fontId="19" fillId="0" borderId="0" xfId="0" applyFont="1" applyFill="1" applyBorder="1" applyProtection="1">
      <protection locked="0"/>
    </xf>
    <xf numFmtId="49" fontId="18" fillId="0" borderId="0" xfId="0" applyNumberFormat="1" applyFont="1" applyFill="1" applyAlignment="1" applyProtection="1">
      <alignment horizontal="center"/>
      <protection locked="0"/>
    </xf>
    <xf numFmtId="174" fontId="18" fillId="0" borderId="0" xfId="0" applyFont="1" applyFill="1" applyAlignment="1" applyProtection="1">
      <alignment horizontal="center"/>
      <protection locked="0"/>
    </xf>
    <xf numFmtId="174" fontId="18" fillId="0" borderId="0" xfId="0" applyFont="1" applyFill="1" applyBorder="1" applyProtection="1">
      <protection locked="0"/>
    </xf>
    <xf numFmtId="174" fontId="19" fillId="0" borderId="0" xfId="0" applyFont="1" applyFill="1" applyAlignment="1" applyProtection="1">
      <alignment horizontal="center" vertical="center" wrapText="1"/>
      <protection locked="0"/>
    </xf>
    <xf numFmtId="174" fontId="19" fillId="0" borderId="0" xfId="0" applyFont="1" applyFill="1" applyBorder="1" applyAlignment="1" applyProtection="1">
      <alignment horizontal="center" vertical="center" wrapText="1"/>
      <protection locked="0"/>
    </xf>
    <xf numFmtId="174" fontId="7" fillId="0" borderId="42" xfId="0" applyFont="1" applyFill="1" applyBorder="1" applyAlignment="1" applyProtection="1">
      <alignment horizontal="center" vertical="center"/>
      <protection locked="0"/>
    </xf>
    <xf numFmtId="170" fontId="7" fillId="0" borderId="37" xfId="14" applyFont="1" applyFill="1" applyBorder="1" applyAlignment="1" applyProtection="1">
      <alignment horizontal="center" vertical="center"/>
      <protection locked="0"/>
    </xf>
    <xf numFmtId="170" fontId="7" fillId="0" borderId="27" xfId="14" applyFont="1" applyFill="1" applyBorder="1" applyAlignment="1" applyProtection="1">
      <alignment horizontal="center" vertical="center"/>
      <protection locked="0"/>
    </xf>
    <xf numFmtId="174" fontId="7" fillId="0" borderId="7" xfId="0" applyFont="1" applyFill="1" applyBorder="1" applyAlignment="1" applyProtection="1">
      <alignment horizontal="center" vertical="center"/>
      <protection locked="0"/>
    </xf>
    <xf numFmtId="174" fontId="9" fillId="0" borderId="0" xfId="0" applyFont="1" applyFill="1" applyBorder="1" applyAlignment="1" applyProtection="1">
      <alignment horizontal="center" vertical="center"/>
      <protection locked="0"/>
    </xf>
    <xf numFmtId="174" fontId="7" fillId="0" borderId="28" xfId="0" applyFont="1" applyFill="1" applyBorder="1" applyAlignment="1" applyProtection="1">
      <alignment horizontal="center" vertical="center"/>
      <protection locked="0"/>
    </xf>
    <xf numFmtId="174" fontId="7" fillId="0" borderId="47" xfId="0" applyFont="1" applyFill="1" applyBorder="1" applyAlignment="1" applyProtection="1">
      <alignment horizontal="center" vertical="center"/>
      <protection locked="0"/>
    </xf>
    <xf numFmtId="174" fontId="7" fillId="0" borderId="30" xfId="0" applyFont="1" applyFill="1" applyBorder="1" applyAlignment="1" applyProtection="1">
      <alignment horizontal="center" vertical="center"/>
      <protection locked="0"/>
    </xf>
    <xf numFmtId="170" fontId="7" fillId="0" borderId="31" xfId="14" applyFont="1" applyFill="1" applyBorder="1" applyAlignment="1" applyProtection="1">
      <alignment horizontal="center" vertical="center"/>
      <protection locked="0"/>
    </xf>
    <xf numFmtId="170" fontId="7" fillId="0" borderId="39" xfId="14" applyFont="1" applyFill="1" applyBorder="1" applyAlignment="1" applyProtection="1">
      <alignment horizontal="center" vertical="center"/>
      <protection locked="0"/>
    </xf>
    <xf numFmtId="49" fontId="18" fillId="0" borderId="20" xfId="0" applyNumberFormat="1" applyFont="1" applyFill="1" applyBorder="1" applyAlignment="1" applyProtection="1">
      <alignment horizontal="center" vertical="center"/>
      <protection locked="0"/>
    </xf>
    <xf numFmtId="174" fontId="7" fillId="0" borderId="47" xfId="0" applyFont="1" applyFill="1" applyBorder="1" applyAlignment="1" applyProtection="1">
      <alignment horizontal="center"/>
      <protection locked="0"/>
    </xf>
    <xf numFmtId="164" fontId="18" fillId="0" borderId="0" xfId="0" applyNumberFormat="1" applyFont="1" applyFill="1" applyBorder="1" applyAlignment="1" applyProtection="1">
      <alignment horizontal="center" vertical="center"/>
      <protection locked="0"/>
    </xf>
    <xf numFmtId="174" fontId="17" fillId="0" borderId="0" xfId="0" applyFont="1" applyFill="1" applyBorder="1" applyAlignment="1" applyProtection="1">
      <alignment horizontal="center" vertical="center"/>
      <protection locked="0"/>
    </xf>
    <xf numFmtId="164" fontId="9" fillId="0" borderId="0" xfId="0" applyNumberFormat="1" applyFont="1" applyFill="1" applyBorder="1" applyAlignment="1" applyProtection="1">
      <alignment horizontal="center" vertical="center"/>
      <protection locked="0"/>
    </xf>
    <xf numFmtId="174" fontId="25" fillId="0" borderId="0" xfId="0" applyFont="1" applyFill="1" applyProtection="1">
      <protection locked="0"/>
    </xf>
    <xf numFmtId="174" fontId="19" fillId="0" borderId="52" xfId="0" applyFont="1" applyFill="1" applyBorder="1" applyAlignment="1" applyProtection="1">
      <alignment horizontal="left" vertical="center"/>
      <protection locked="0"/>
    </xf>
    <xf numFmtId="174" fontId="18" fillId="0" borderId="53" xfId="0" applyFont="1" applyFill="1" applyBorder="1" applyAlignment="1" applyProtection="1">
      <alignment horizontal="left" vertical="center"/>
      <protection locked="0"/>
    </xf>
    <xf numFmtId="174" fontId="25" fillId="0" borderId="54" xfId="0" applyFont="1" applyFill="1" applyBorder="1" applyAlignment="1" applyProtection="1">
      <alignment horizontal="left" vertical="center"/>
      <protection locked="0"/>
    </xf>
    <xf numFmtId="174" fontId="26" fillId="0" borderId="51" xfId="0" applyFont="1" applyFill="1" applyBorder="1" applyAlignment="1" applyProtection="1">
      <alignment horizontal="left" vertical="center"/>
      <protection locked="0"/>
    </xf>
    <xf numFmtId="174" fontId="25" fillId="0" borderId="55" xfId="0" applyFont="1" applyFill="1" applyBorder="1" applyAlignment="1" applyProtection="1">
      <alignment horizontal="left" vertical="center"/>
      <protection locked="0"/>
    </xf>
    <xf numFmtId="174" fontId="26" fillId="0" borderId="56" xfId="0" applyFont="1" applyFill="1" applyBorder="1" applyAlignment="1" applyProtection="1">
      <alignment horizontal="left" vertical="center"/>
      <protection locked="0"/>
    </xf>
    <xf numFmtId="174" fontId="19" fillId="0" borderId="54" xfId="0" applyFont="1" applyFill="1" applyBorder="1" applyAlignment="1" applyProtection="1">
      <alignment horizontal="left" vertical="center"/>
      <protection locked="0"/>
    </xf>
    <xf numFmtId="174" fontId="18" fillId="0" borderId="51" xfId="0" applyFont="1" applyFill="1" applyBorder="1" applyAlignment="1" applyProtection="1">
      <alignment horizontal="left" vertical="center"/>
      <protection locked="0"/>
    </xf>
    <xf numFmtId="174" fontId="19" fillId="0" borderId="55" xfId="0" applyFont="1" applyFill="1" applyBorder="1" applyAlignment="1" applyProtection="1">
      <alignment horizontal="left" vertical="center"/>
      <protection locked="0"/>
    </xf>
    <xf numFmtId="174" fontId="18" fillId="0" borderId="56" xfId="0" applyFont="1" applyFill="1" applyBorder="1" applyAlignment="1" applyProtection="1">
      <alignment horizontal="left" vertical="center"/>
      <protection locked="0"/>
    </xf>
    <xf numFmtId="44" fontId="18" fillId="0" borderId="0" xfId="2" applyFont="1" applyFill="1" applyAlignment="1" applyProtection="1">
      <alignment horizontal="left"/>
      <protection locked="0"/>
    </xf>
    <xf numFmtId="8" fontId="18" fillId="0" borderId="0" xfId="2" applyNumberFormat="1" applyFont="1" applyFill="1" applyAlignment="1" applyProtection="1">
      <alignment horizontal="left"/>
      <protection locked="0"/>
    </xf>
    <xf numFmtId="174" fontId="19" fillId="0" borderId="0" xfId="0" applyFont="1" applyFill="1" applyBorder="1" applyAlignment="1" applyProtection="1">
      <alignment horizontal="center" vertical="center"/>
      <protection locked="0"/>
    </xf>
    <xf numFmtId="174" fontId="38" fillId="2" borderId="0" xfId="0" applyFont="1" applyFill="1" applyAlignment="1" applyProtection="1">
      <alignment horizontal="right"/>
      <protection locked="0"/>
    </xf>
    <xf numFmtId="174" fontId="50" fillId="0" borderId="0" xfId="0" applyFont="1" applyFill="1" applyAlignment="1" applyProtection="1">
      <alignment horizontal="right"/>
      <protection locked="0"/>
    </xf>
    <xf numFmtId="174" fontId="15" fillId="14" borderId="0" xfId="0" applyFont="1" applyFill="1" applyProtection="1">
      <protection locked="0"/>
    </xf>
    <xf numFmtId="44" fontId="15" fillId="0" borderId="20" xfId="0" applyNumberFormat="1" applyFont="1" applyFill="1" applyBorder="1" applyAlignment="1" applyProtection="1">
      <alignment horizontal="center" vertical="center"/>
      <protection hidden="1"/>
    </xf>
    <xf numFmtId="174" fontId="26" fillId="0" borderId="0" xfId="0" applyFont="1" applyFill="1" applyBorder="1" applyAlignment="1" applyProtection="1">
      <alignment vertical="center"/>
      <protection locked="0"/>
    </xf>
    <xf numFmtId="174" fontId="19" fillId="0" borderId="0" xfId="0" applyFont="1" applyFill="1" applyAlignment="1" applyProtection="1">
      <protection locked="0"/>
    </xf>
    <xf numFmtId="174" fontId="18" fillId="2" borderId="0" xfId="0" applyFont="1" applyFill="1" applyAlignment="1" applyProtection="1">
      <alignment vertical="center"/>
      <protection locked="0"/>
    </xf>
    <xf numFmtId="49" fontId="18" fillId="2" borderId="0" xfId="0" applyNumberFormat="1" applyFont="1" applyFill="1" applyAlignment="1" applyProtection="1">
      <alignment horizontal="center" vertical="center"/>
      <protection locked="0"/>
    </xf>
    <xf numFmtId="49" fontId="20" fillId="2" borderId="0" xfId="1" applyNumberFormat="1" applyFont="1" applyFill="1" applyBorder="1" applyAlignment="1" applyProtection="1">
      <alignment horizontal="center" vertical="center"/>
      <protection locked="0"/>
    </xf>
    <xf numFmtId="49" fontId="20" fillId="2" borderId="0" xfId="1" applyNumberFormat="1" applyFont="1" applyFill="1" applyAlignment="1" applyProtection="1">
      <alignment horizontal="center" vertical="center"/>
      <protection locked="0"/>
    </xf>
    <xf numFmtId="174" fontId="18" fillId="15" borderId="0" xfId="0" applyFont="1" applyFill="1" applyAlignment="1" applyProtection="1">
      <alignment vertical="center"/>
      <protection locked="0"/>
    </xf>
    <xf numFmtId="174" fontId="18" fillId="0" borderId="20" xfId="0" applyFont="1" applyBorder="1" applyAlignment="1" applyProtection="1">
      <alignment horizontal="center" vertical="center"/>
      <protection locked="0"/>
    </xf>
    <xf numFmtId="164" fontId="9" fillId="0" borderId="20" xfId="0" applyNumberFormat="1" applyFont="1" applyBorder="1" applyAlignment="1" applyProtection="1">
      <alignment horizontal="center" vertical="center"/>
      <protection locked="0"/>
    </xf>
    <xf numFmtId="49" fontId="18" fillId="0" borderId="20" xfId="1" applyNumberFormat="1" applyFont="1" applyFill="1" applyBorder="1" applyAlignment="1" applyProtection="1">
      <alignment horizontal="left" vertical="center"/>
      <protection locked="0"/>
    </xf>
    <xf numFmtId="49" fontId="18" fillId="0" borderId="20" xfId="0" applyNumberFormat="1" applyFont="1" applyBorder="1" applyAlignment="1" applyProtection="1">
      <alignment horizontal="center" vertical="center"/>
      <protection locked="0"/>
    </xf>
    <xf numFmtId="164" fontId="9" fillId="0" borderId="20" xfId="0" applyNumberFormat="1" applyFont="1" applyFill="1" applyBorder="1" applyAlignment="1" applyProtection="1">
      <alignment horizontal="center" vertical="center"/>
      <protection locked="0"/>
    </xf>
    <xf numFmtId="174" fontId="18" fillId="0" borderId="20" xfId="0" applyFont="1" applyFill="1" applyBorder="1" applyAlignment="1" applyProtection="1">
      <alignment horizontal="center" vertical="center"/>
      <protection locked="0"/>
    </xf>
    <xf numFmtId="174" fontId="18" fillId="2" borderId="20" xfId="0" applyFont="1" applyFill="1" applyBorder="1" applyAlignment="1" applyProtection="1">
      <alignment horizontal="center" vertical="center"/>
      <protection locked="0"/>
    </xf>
    <xf numFmtId="49" fontId="18" fillId="13" borderId="20" xfId="1" applyNumberFormat="1" applyFont="1" applyFill="1" applyBorder="1" applyAlignment="1" applyProtection="1">
      <alignment horizontal="left" vertical="center"/>
      <protection locked="0"/>
    </xf>
    <xf numFmtId="174" fontId="19" fillId="2" borderId="0" xfId="0" applyFont="1" applyFill="1" applyBorder="1" applyAlignment="1" applyProtection="1">
      <alignment vertical="center"/>
      <protection locked="0"/>
    </xf>
    <xf numFmtId="165" fontId="28" fillId="0" borderId="0" xfId="1" applyNumberFormat="1" applyFont="1" applyFill="1" applyBorder="1" applyAlignment="1" applyProtection="1">
      <alignment horizontal="center" vertical="center"/>
      <protection locked="0"/>
    </xf>
    <xf numFmtId="165" fontId="28" fillId="0" borderId="0" xfId="1" applyNumberFormat="1" applyFont="1" applyFill="1" applyAlignment="1" applyProtection="1">
      <alignment horizontal="right" vertical="center"/>
      <protection locked="0"/>
    </xf>
    <xf numFmtId="174" fontId="18" fillId="2" borderId="0" xfId="0" applyNumberFormat="1" applyFont="1" applyFill="1" applyProtection="1">
      <protection locked="0"/>
    </xf>
    <xf numFmtId="174" fontId="15" fillId="2" borderId="0" xfId="0" applyNumberFormat="1" applyFont="1" applyFill="1" applyBorder="1" applyAlignment="1" applyProtection="1">
      <alignment vertical="center" wrapText="1"/>
      <protection locked="0"/>
    </xf>
    <xf numFmtId="44" fontId="52" fillId="2" borderId="0" xfId="0" applyNumberFormat="1" applyFont="1" applyFill="1" applyAlignment="1" applyProtection="1">
      <protection locked="0"/>
    </xf>
    <xf numFmtId="44" fontId="28" fillId="2" borderId="0" xfId="2" applyFont="1" applyFill="1" applyBorder="1" applyAlignment="1" applyProtection="1">
      <alignment vertical="center"/>
      <protection hidden="1"/>
    </xf>
    <xf numFmtId="37" fontId="28" fillId="2" borderId="0" xfId="0" applyNumberFormat="1" applyFont="1" applyFill="1" applyBorder="1" applyAlignment="1" applyProtection="1">
      <alignment horizontal="right" vertical="center"/>
      <protection hidden="1"/>
    </xf>
    <xf numFmtId="175" fontId="28" fillId="2" borderId="20" xfId="0" applyNumberFormat="1" applyFont="1" applyFill="1" applyBorder="1" applyAlignment="1" applyProtection="1">
      <alignment horizontal="right" vertical="center"/>
      <protection hidden="1"/>
    </xf>
    <xf numFmtId="44" fontId="14" fillId="2" borderId="0" xfId="0" applyNumberFormat="1" applyFont="1" applyFill="1" applyProtection="1">
      <protection locked="0"/>
    </xf>
    <xf numFmtId="44" fontId="15" fillId="2" borderId="0" xfId="0" applyNumberFormat="1" applyFont="1" applyFill="1" applyProtection="1">
      <protection locked="0"/>
    </xf>
    <xf numFmtId="40" fontId="14" fillId="2" borderId="20" xfId="0" applyNumberFormat="1" applyFont="1" applyFill="1" applyBorder="1" applyAlignment="1" applyProtection="1">
      <alignment horizontal="center" vertical="center" wrapText="1"/>
      <protection locked="0"/>
    </xf>
    <xf numFmtId="44" fontId="14" fillId="2" borderId="0" xfId="0" applyNumberFormat="1" applyFont="1" applyFill="1" applyAlignment="1" applyProtection="1">
      <alignment horizontal="center" vertical="center"/>
      <protection locked="0"/>
    </xf>
    <xf numFmtId="44" fontId="15" fillId="2" borderId="0" xfId="0" applyNumberFormat="1" applyFont="1" applyFill="1" applyProtection="1">
      <protection hidden="1"/>
    </xf>
    <xf numFmtId="44" fontId="28" fillId="2" borderId="0" xfId="2" applyFont="1" applyFill="1" applyBorder="1" applyAlignment="1" applyProtection="1">
      <alignment horizontal="left" vertical="center"/>
      <protection hidden="1"/>
    </xf>
    <xf numFmtId="3" fontId="21" fillId="0" borderId="21" xfId="0" applyNumberFormat="1" applyFont="1" applyFill="1" applyBorder="1" applyAlignment="1" applyProtection="1">
      <alignment horizontal="center" vertical="center"/>
      <protection locked="0"/>
    </xf>
    <xf numFmtId="3" fontId="21" fillId="0" borderId="37" xfId="0" applyNumberFormat="1" applyFont="1" applyFill="1" applyBorder="1" applyAlignment="1" applyProtection="1">
      <alignment horizontal="center" vertical="center"/>
      <protection locked="0"/>
    </xf>
    <xf numFmtId="174" fontId="0" fillId="2" borderId="6" xfId="0" applyFill="1" applyBorder="1" applyProtection="1">
      <protection locked="0"/>
    </xf>
    <xf numFmtId="44" fontId="23" fillId="2" borderId="20" xfId="0" applyNumberFormat="1" applyFont="1" applyFill="1" applyBorder="1" applyAlignment="1" applyProtection="1">
      <alignment horizontal="right" vertical="center"/>
      <protection hidden="1"/>
    </xf>
    <xf numFmtId="44" fontId="23" fillId="2" borderId="37" xfId="0" applyNumberFormat="1" applyFont="1" applyFill="1" applyBorder="1" applyAlignment="1" applyProtection="1">
      <alignment horizontal="right" vertical="center"/>
      <protection hidden="1"/>
    </xf>
    <xf numFmtId="44" fontId="23" fillId="2" borderId="20" xfId="2" applyNumberFormat="1" applyFont="1" applyFill="1" applyBorder="1" applyAlignment="1" applyProtection="1">
      <alignment horizontal="right" vertical="center"/>
      <protection hidden="1"/>
    </xf>
    <xf numFmtId="44" fontId="23" fillId="0" borderId="20" xfId="2" applyNumberFormat="1" applyFont="1" applyFill="1" applyBorder="1" applyAlignment="1" applyProtection="1">
      <alignment horizontal="right" vertical="center"/>
      <protection hidden="1"/>
    </xf>
    <xf numFmtId="40" fontId="18" fillId="2" borderId="20" xfId="2" applyNumberFormat="1" applyFont="1" applyFill="1" applyBorder="1" applyAlignment="1" applyProtection="1">
      <alignment horizontal="right" vertical="center"/>
      <protection hidden="1"/>
    </xf>
    <xf numFmtId="40" fontId="18" fillId="0" borderId="20" xfId="2" applyNumberFormat="1" applyFont="1" applyFill="1" applyBorder="1" applyAlignment="1" applyProtection="1">
      <alignment horizontal="right" vertical="center"/>
      <protection hidden="1"/>
    </xf>
    <xf numFmtId="37" fontId="28" fillId="0" borderId="20" xfId="0" applyNumberFormat="1" applyFont="1" applyFill="1" applyBorder="1" applyAlignment="1" applyProtection="1">
      <alignment horizontal="center" vertical="center"/>
      <protection hidden="1"/>
    </xf>
    <xf numFmtId="44" fontId="28" fillId="17" borderId="20" xfId="2" applyFont="1" applyFill="1" applyBorder="1" applyAlignment="1" applyProtection="1">
      <alignment horizontal="left" vertical="center"/>
      <protection hidden="1"/>
    </xf>
    <xf numFmtId="38" fontId="28" fillId="17" borderId="20" xfId="0" applyNumberFormat="1" applyFont="1" applyFill="1" applyBorder="1" applyAlignment="1" applyProtection="1">
      <alignment horizontal="left" vertical="center"/>
      <protection hidden="1"/>
    </xf>
    <xf numFmtId="44" fontId="28" fillId="17" borderId="20" xfId="2" applyFont="1" applyFill="1" applyBorder="1" applyAlignment="1" applyProtection="1">
      <alignment vertical="center"/>
      <protection hidden="1"/>
    </xf>
    <xf numFmtId="165" fontId="28" fillId="2" borderId="19" xfId="1" applyNumberFormat="1" applyFont="1" applyFill="1" applyBorder="1" applyAlignment="1" applyProtection="1">
      <alignment horizontal="center" vertical="center"/>
      <protection locked="0"/>
    </xf>
    <xf numFmtId="165" fontId="28" fillId="2" borderId="19" xfId="1" applyNumberFormat="1" applyFont="1" applyFill="1" applyBorder="1" applyAlignment="1" applyProtection="1">
      <alignment horizontal="center" vertical="center"/>
      <protection hidden="1"/>
    </xf>
    <xf numFmtId="1" fontId="28" fillId="2" borderId="19" xfId="1" applyNumberFormat="1" applyFont="1" applyFill="1" applyBorder="1" applyAlignment="1" applyProtection="1">
      <alignment horizontal="center" vertical="center"/>
      <protection locked="0"/>
    </xf>
    <xf numFmtId="165" fontId="28" fillId="0" borderId="19" xfId="1" applyNumberFormat="1" applyFont="1" applyFill="1" applyBorder="1" applyAlignment="1" applyProtection="1">
      <alignment horizontal="center" vertical="center"/>
      <protection hidden="1"/>
    </xf>
    <xf numFmtId="165" fontId="28" fillId="0" borderId="19" xfId="1" applyNumberFormat="1" applyFont="1" applyFill="1" applyBorder="1" applyAlignment="1" applyProtection="1">
      <alignment horizontal="center" vertical="center"/>
      <protection locked="0"/>
    </xf>
    <xf numFmtId="43" fontId="28" fillId="0" borderId="19" xfId="1" applyFont="1" applyFill="1" applyBorder="1" applyAlignment="1" applyProtection="1">
      <alignment horizontal="center" vertical="center"/>
      <protection hidden="1"/>
    </xf>
    <xf numFmtId="1" fontId="28" fillId="0" borderId="19" xfId="1" applyNumberFormat="1" applyFont="1" applyFill="1" applyBorder="1" applyAlignment="1" applyProtection="1">
      <alignment horizontal="center" vertical="center"/>
      <protection hidden="1"/>
    </xf>
    <xf numFmtId="165" fontId="4" fillId="2" borderId="0" xfId="1" applyNumberFormat="1" applyFont="1" applyFill="1" applyProtection="1">
      <protection locked="0"/>
    </xf>
    <xf numFmtId="165" fontId="4" fillId="2" borderId="0" xfId="1" applyNumberFormat="1" applyFont="1" applyFill="1" applyBorder="1" applyProtection="1">
      <protection locked="0"/>
    </xf>
    <xf numFmtId="165" fontId="38" fillId="2" borderId="0" xfId="1" applyNumberFormat="1" applyFont="1" applyFill="1" applyBorder="1" applyAlignment="1" applyProtection="1">
      <alignment horizontal="right" vertical="center"/>
      <protection locked="0"/>
    </xf>
    <xf numFmtId="165" fontId="4" fillId="2" borderId="0" xfId="1" quotePrefix="1" applyNumberFormat="1" applyFont="1" applyFill="1" applyBorder="1" applyAlignment="1" applyProtection="1">
      <alignment horizontal="center"/>
      <protection locked="0"/>
    </xf>
    <xf numFmtId="174" fontId="0" fillId="2" borderId="21" xfId="0" applyFill="1" applyBorder="1" applyAlignment="1" applyProtection="1">
      <alignment horizontal="center" vertical="center"/>
      <protection locked="0"/>
    </xf>
    <xf numFmtId="174" fontId="0" fillId="2" borderId="37" xfId="0" applyFill="1" applyBorder="1" applyAlignment="1" applyProtection="1">
      <alignment horizontal="center" vertical="center"/>
      <protection locked="0"/>
    </xf>
    <xf numFmtId="174" fontId="28" fillId="2" borderId="20" xfId="0" applyFont="1" applyFill="1" applyBorder="1" applyAlignment="1">
      <alignment horizontal="center" vertical="center"/>
    </xf>
    <xf numFmtId="44" fontId="28" fillId="2" borderId="20" xfId="0" applyNumberFormat="1" applyFont="1" applyFill="1" applyBorder="1" applyAlignment="1">
      <alignment horizontal="center" vertical="center"/>
    </xf>
    <xf numFmtId="37" fontId="28" fillId="2" borderId="20" xfId="0" applyNumberFormat="1" applyFont="1" applyFill="1" applyBorder="1" applyAlignment="1">
      <alignment horizontal="right" vertical="center"/>
    </xf>
    <xf numFmtId="3" fontId="4" fillId="2" borderId="20" xfId="0" applyNumberFormat="1" applyFont="1" applyFill="1" applyBorder="1" applyAlignment="1" applyProtection="1">
      <alignment horizontal="center" vertical="center"/>
      <protection locked="0"/>
    </xf>
    <xf numFmtId="44" fontId="28" fillId="2" borderId="20" xfId="1" applyNumberFormat="1" applyFont="1" applyFill="1" applyBorder="1" applyAlignment="1" applyProtection="1">
      <alignment horizontal="left" vertical="center"/>
    </xf>
    <xf numFmtId="39" fontId="28" fillId="2" borderId="20" xfId="0" applyNumberFormat="1" applyFont="1" applyFill="1" applyBorder="1" applyAlignment="1">
      <alignment horizontal="right" vertical="center"/>
    </xf>
    <xf numFmtId="38" fontId="28" fillId="2" borderId="0" xfId="0" applyNumberFormat="1" applyFont="1" applyFill="1" applyAlignment="1">
      <alignment horizontal="center" vertical="center"/>
    </xf>
    <xf numFmtId="165" fontId="28" fillId="2" borderId="0" xfId="1" applyNumberFormat="1" applyFont="1" applyFill="1" applyAlignment="1" applyProtection="1">
      <alignment horizontal="right" vertical="center"/>
    </xf>
    <xf numFmtId="44" fontId="28" fillId="2" borderId="20" xfId="0" applyNumberFormat="1" applyFont="1" applyFill="1" applyBorder="1" applyAlignment="1">
      <alignment horizontal="left" vertical="center"/>
    </xf>
    <xf numFmtId="49" fontId="18" fillId="0" borderId="20" xfId="0" quotePrefix="1" applyNumberFormat="1" applyFont="1" applyFill="1" applyBorder="1" applyAlignment="1" applyProtection="1">
      <alignment horizontal="center" vertical="center"/>
      <protection locked="0"/>
    </xf>
    <xf numFmtId="49" fontId="18" fillId="0" borderId="0" xfId="0" applyNumberFormat="1" applyFont="1" applyFill="1" applyProtection="1">
      <protection locked="0"/>
    </xf>
    <xf numFmtId="49" fontId="19" fillId="0" borderId="0" xfId="0" applyNumberFormat="1" applyFont="1" applyFill="1" applyAlignment="1" applyProtection="1">
      <alignment vertical="center"/>
      <protection locked="0"/>
    </xf>
    <xf numFmtId="49" fontId="19" fillId="0" borderId="20" xfId="0" applyNumberFormat="1" applyFont="1" applyFill="1" applyBorder="1" applyAlignment="1" applyProtection="1">
      <alignment horizontal="center" vertical="center"/>
      <protection locked="0"/>
    </xf>
    <xf numFmtId="49" fontId="19" fillId="0" borderId="0" xfId="0" applyNumberFormat="1" applyFont="1" applyFill="1" applyProtection="1">
      <protection locked="0"/>
    </xf>
    <xf numFmtId="49" fontId="18" fillId="0" borderId="0" xfId="0" applyNumberFormat="1" applyFont="1" applyFill="1" applyBorder="1" applyProtection="1">
      <protection locked="0"/>
    </xf>
    <xf numFmtId="174" fontId="51" fillId="2" borderId="0" xfId="0" applyFont="1" applyFill="1" applyAlignment="1" applyProtection="1">
      <alignment vertical="center"/>
      <protection locked="0"/>
    </xf>
    <xf numFmtId="164" fontId="43" fillId="0" borderId="0" xfId="0" quotePrefix="1" applyNumberFormat="1" applyFont="1" applyFill="1" applyBorder="1" applyAlignment="1" applyProtection="1">
      <alignment vertical="center"/>
      <protection locked="0"/>
    </xf>
    <xf numFmtId="164" fontId="43" fillId="0" borderId="0" xfId="0" quotePrefix="1" applyNumberFormat="1" applyFont="1" applyFill="1" applyBorder="1" applyAlignment="1" applyProtection="1">
      <alignment horizontal="center" vertical="center" textRotation="255"/>
      <protection locked="0"/>
    </xf>
    <xf numFmtId="174" fontId="51" fillId="2" borderId="0" xfId="2" applyNumberFormat="1" applyFont="1" applyFill="1" applyBorder="1" applyAlignment="1" applyProtection="1">
      <alignment horizontal="center" vertical="center"/>
      <protection locked="0"/>
    </xf>
    <xf numFmtId="169" fontId="51" fillId="2" borderId="0" xfId="2" applyNumberFormat="1" applyFont="1" applyFill="1" applyBorder="1" applyAlignment="1" applyProtection="1">
      <alignment vertical="center"/>
      <protection locked="0"/>
    </xf>
    <xf numFmtId="174" fontId="43" fillId="2" borderId="0" xfId="2" applyNumberFormat="1" applyFont="1" applyFill="1" applyBorder="1" applyAlignment="1" applyProtection="1">
      <alignment vertical="center"/>
      <protection locked="0"/>
    </xf>
    <xf numFmtId="44" fontId="43" fillId="2" borderId="0" xfId="2" applyFont="1" applyFill="1" applyBorder="1" applyAlignment="1" applyProtection="1">
      <alignment vertical="center"/>
      <protection locked="0"/>
    </xf>
    <xf numFmtId="174" fontId="55" fillId="2" borderId="0" xfId="0" applyFont="1" applyFill="1" applyBorder="1" applyAlignment="1" applyProtection="1">
      <alignment vertical="center"/>
      <protection locked="0"/>
    </xf>
    <xf numFmtId="43" fontId="55" fillId="2" borderId="0" xfId="0" applyNumberFormat="1" applyFont="1" applyFill="1" applyBorder="1" applyAlignment="1" applyProtection="1">
      <alignment vertical="center"/>
      <protection locked="0"/>
    </xf>
    <xf numFmtId="174" fontId="54" fillId="2" borderId="0" xfId="0" applyFont="1" applyFill="1" applyBorder="1" applyAlignment="1" applyProtection="1">
      <alignment vertical="center"/>
      <protection locked="0"/>
    </xf>
    <xf numFmtId="44" fontId="43" fillId="2" borderId="0" xfId="2" applyFont="1" applyFill="1" applyBorder="1" applyAlignment="1" applyProtection="1">
      <protection locked="0"/>
    </xf>
    <xf numFmtId="44" fontId="43" fillId="2" borderId="0" xfId="2" applyFont="1" applyFill="1" applyBorder="1" applyAlignment="1" applyProtection="1">
      <alignment horizontal="right"/>
      <protection locked="0"/>
    </xf>
    <xf numFmtId="1" fontId="11" fillId="0" borderId="20" xfId="2" applyNumberFormat="1" applyFont="1" applyFill="1" applyBorder="1" applyAlignment="1" applyProtection="1">
      <alignment horizontal="center" vertical="center"/>
      <protection locked="0"/>
    </xf>
    <xf numFmtId="1" fontId="11" fillId="0" borderId="20" xfId="0" applyNumberFormat="1" applyFont="1" applyFill="1" applyBorder="1" applyAlignment="1" applyProtection="1">
      <alignment horizontal="center" vertical="center"/>
      <protection locked="0"/>
    </xf>
    <xf numFmtId="174" fontId="16" fillId="2" borderId="0" xfId="0" applyFont="1" applyFill="1" applyAlignment="1" applyProtection="1">
      <alignment vertical="center"/>
      <protection locked="0"/>
    </xf>
    <xf numFmtId="174" fontId="16" fillId="0" borderId="0" xfId="0" applyFont="1" applyFill="1" applyAlignment="1" applyProtection="1">
      <alignment vertical="center"/>
      <protection locked="0"/>
    </xf>
    <xf numFmtId="174" fontId="13" fillId="0" borderId="0" xfId="0" applyFont="1" applyFill="1" applyAlignment="1" applyProtection="1">
      <alignment vertical="center"/>
      <protection locked="0"/>
    </xf>
    <xf numFmtId="1" fontId="16" fillId="0" borderId="20" xfId="2" applyNumberFormat="1" applyFont="1" applyFill="1" applyBorder="1" applyAlignment="1" applyProtection="1">
      <alignment horizontal="center" vertical="center"/>
      <protection locked="0"/>
    </xf>
    <xf numFmtId="1" fontId="16" fillId="0" borderId="20" xfId="0" applyNumberFormat="1" applyFont="1" applyFill="1" applyBorder="1" applyAlignment="1" applyProtection="1">
      <alignment horizontal="center" vertical="center"/>
      <protection locked="0"/>
    </xf>
    <xf numFmtId="44" fontId="13" fillId="2" borderId="0" xfId="2" applyFont="1" applyFill="1" applyBorder="1" applyAlignment="1" applyProtection="1">
      <alignment vertical="center"/>
      <protection locked="0"/>
    </xf>
    <xf numFmtId="174" fontId="58" fillId="2" borderId="0" xfId="0" applyFont="1" applyFill="1" applyBorder="1" applyAlignment="1" applyProtection="1">
      <alignment vertical="center"/>
      <protection locked="0"/>
    </xf>
    <xf numFmtId="43" fontId="58" fillId="2" borderId="0" xfId="0" applyNumberFormat="1" applyFont="1" applyFill="1" applyBorder="1" applyAlignment="1" applyProtection="1">
      <alignment vertical="center"/>
      <protection locked="0"/>
    </xf>
    <xf numFmtId="174" fontId="57" fillId="2" borderId="0" xfId="0" applyFont="1" applyFill="1" applyBorder="1" applyAlignment="1" applyProtection="1">
      <alignment vertical="center"/>
      <protection locked="0"/>
    </xf>
    <xf numFmtId="44" fontId="13" fillId="2" borderId="6" xfId="2" applyFont="1" applyFill="1" applyBorder="1" applyAlignment="1" applyProtection="1">
      <alignment vertical="center"/>
      <protection locked="0"/>
    </xf>
    <xf numFmtId="44" fontId="57" fillId="2" borderId="0" xfId="0" applyNumberFormat="1" applyFont="1" applyFill="1" applyBorder="1" applyAlignment="1" applyProtection="1">
      <alignment vertical="center"/>
      <protection locked="0"/>
    </xf>
    <xf numFmtId="44" fontId="16" fillId="2" borderId="0" xfId="0" applyNumberFormat="1" applyFont="1" applyFill="1" applyBorder="1" applyAlignment="1" applyProtection="1">
      <alignment vertical="center"/>
      <protection locked="0"/>
    </xf>
    <xf numFmtId="174" fontId="16" fillId="2" borderId="0" xfId="0" applyFont="1" applyFill="1" applyAlignment="1" applyProtection="1">
      <alignment horizontal="center" vertical="center"/>
      <protection locked="0"/>
    </xf>
    <xf numFmtId="169" fontId="16" fillId="2" borderId="0" xfId="2" applyNumberFormat="1" applyFont="1" applyFill="1" applyAlignment="1" applyProtection="1">
      <alignment vertical="center"/>
      <protection locked="0"/>
    </xf>
    <xf numFmtId="44" fontId="13" fillId="2" borderId="0" xfId="2" applyFont="1" applyFill="1" applyAlignment="1" applyProtection="1">
      <alignment vertical="center"/>
      <protection locked="0"/>
    </xf>
    <xf numFmtId="44" fontId="13" fillId="0" borderId="0" xfId="2" applyFont="1" applyFill="1" applyAlignment="1" applyProtection="1">
      <alignment vertical="center"/>
      <protection locked="0"/>
    </xf>
    <xf numFmtId="169" fontId="16" fillId="2" borderId="0" xfId="0" applyNumberFormat="1" applyFont="1" applyFill="1" applyAlignment="1" applyProtection="1">
      <alignment vertical="center"/>
      <protection locked="0"/>
    </xf>
    <xf numFmtId="44" fontId="16" fillId="2" borderId="0" xfId="0" applyNumberFormat="1" applyFont="1" applyFill="1" applyAlignment="1" applyProtection="1">
      <alignment vertical="center"/>
      <protection locked="0"/>
    </xf>
    <xf numFmtId="3" fontId="15" fillId="2" borderId="20" xfId="0" applyNumberFormat="1" applyFont="1" applyFill="1" applyBorder="1" applyAlignment="1" applyProtection="1">
      <alignment horizontal="center" vertical="center"/>
      <protection locked="0"/>
    </xf>
    <xf numFmtId="165" fontId="14" fillId="7" borderId="20" xfId="4" applyNumberFormat="1" applyFont="1" applyFill="1" applyBorder="1" applyAlignment="1" applyProtection="1">
      <alignment horizontal="center" vertical="center"/>
      <protection locked="0"/>
    </xf>
    <xf numFmtId="174" fontId="15" fillId="2" borderId="0" xfId="0" applyFont="1" applyFill="1" applyAlignment="1" applyProtection="1">
      <alignment horizontal="center"/>
      <protection locked="0"/>
    </xf>
    <xf numFmtId="1" fontId="28" fillId="0" borderId="19" xfId="1" applyNumberFormat="1" applyFont="1" applyFill="1" applyBorder="1" applyAlignment="1" applyProtection="1">
      <alignment horizontal="center" vertical="center"/>
      <protection locked="0"/>
    </xf>
    <xf numFmtId="174" fontId="4" fillId="0" borderId="0" xfId="0" applyFont="1" applyAlignment="1" applyProtection="1">
      <alignment horizontal="center" vertical="center"/>
      <protection locked="0"/>
    </xf>
    <xf numFmtId="174" fontId="7" fillId="0" borderId="0" xfId="0" applyFont="1" applyAlignment="1" applyProtection="1">
      <alignment horizontal="center" vertical="center"/>
      <protection locked="0"/>
    </xf>
    <xf numFmtId="174" fontId="7" fillId="0" borderId="22" xfId="0" applyFont="1" applyBorder="1" applyAlignment="1" applyProtection="1">
      <alignment horizontal="center" vertical="center"/>
      <protection locked="0"/>
    </xf>
    <xf numFmtId="173" fontId="4" fillId="0" borderId="19" xfId="0" quotePrefix="1" applyNumberFormat="1" applyFont="1" applyBorder="1" applyAlignment="1" applyProtection="1">
      <alignment horizontal="center" vertical="center"/>
      <protection locked="0"/>
    </xf>
    <xf numFmtId="49" fontId="4" fillId="0" borderId="19" xfId="0" applyNumberFormat="1" applyFont="1" applyBorder="1" applyAlignment="1" applyProtection="1">
      <alignment horizontal="center" vertical="center"/>
      <protection locked="0"/>
    </xf>
    <xf numFmtId="44" fontId="4" fillId="0" borderId="73" xfId="0" applyNumberFormat="1" applyFont="1" applyBorder="1" applyAlignment="1" applyProtection="1">
      <alignment horizontal="center" vertical="center"/>
      <protection locked="0"/>
    </xf>
    <xf numFmtId="174" fontId="4" fillId="0" borderId="19" xfId="0" applyFont="1" applyBorder="1" applyAlignment="1" applyProtection="1">
      <alignment horizontal="center" vertical="center"/>
      <protection locked="0"/>
    </xf>
    <xf numFmtId="44" fontId="4" fillId="0" borderId="19" xfId="0" applyNumberFormat="1" applyFont="1" applyBorder="1" applyAlignment="1" applyProtection="1">
      <alignment horizontal="center" vertical="center"/>
      <protection locked="0"/>
    </xf>
    <xf numFmtId="177" fontId="4" fillId="0" borderId="75" xfId="0" applyNumberFormat="1" applyFont="1" applyBorder="1" applyAlignment="1" applyProtection="1">
      <alignment horizontal="center" vertical="center"/>
      <protection locked="0"/>
    </xf>
    <xf numFmtId="20" fontId="4" fillId="0" borderId="19" xfId="0" applyNumberFormat="1" applyFont="1" applyBorder="1" applyAlignment="1" applyProtection="1">
      <alignment horizontal="center" vertical="center"/>
      <protection locked="0"/>
    </xf>
    <xf numFmtId="1" fontId="4" fillId="2" borderId="19" xfId="0" applyNumberFormat="1" applyFont="1" applyFill="1" applyBorder="1" applyAlignment="1" applyProtection="1">
      <alignment horizontal="center" vertical="center"/>
      <protection locked="0"/>
    </xf>
    <xf numFmtId="177" fontId="4" fillId="0" borderId="0" xfId="0" applyNumberFormat="1" applyFont="1" applyAlignment="1" applyProtection="1">
      <alignment horizontal="center" vertical="center"/>
      <protection locked="0"/>
    </xf>
    <xf numFmtId="173" fontId="4" fillId="0" borderId="0" xfId="0" applyNumberFormat="1" applyFont="1" applyAlignment="1" applyProtection="1">
      <alignment horizontal="center" vertical="center"/>
      <protection locked="0"/>
    </xf>
    <xf numFmtId="177" fontId="50" fillId="0" borderId="0" xfId="0" applyNumberFormat="1" applyFont="1" applyAlignment="1" applyProtection="1">
      <alignment horizontal="center" vertical="center"/>
      <protection locked="0"/>
    </xf>
    <xf numFmtId="44" fontId="4" fillId="0" borderId="15" xfId="0" applyNumberFormat="1" applyFont="1" applyBorder="1" applyAlignment="1" applyProtection="1">
      <alignment horizontal="center" vertical="center"/>
      <protection locked="0"/>
    </xf>
    <xf numFmtId="44" fontId="4" fillId="0" borderId="0" xfId="0" applyNumberFormat="1" applyFont="1" applyAlignment="1" applyProtection="1">
      <alignment horizontal="center" vertical="center"/>
      <protection locked="0"/>
    </xf>
    <xf numFmtId="44" fontId="4" fillId="0" borderId="15" xfId="0" applyNumberFormat="1" applyFont="1" applyBorder="1" applyAlignment="1" applyProtection="1">
      <alignment horizontal="center" vertical="center"/>
      <protection hidden="1"/>
    </xf>
    <xf numFmtId="14" fontId="4" fillId="0" borderId="19" xfId="0" applyNumberFormat="1" applyFont="1" applyBorder="1" applyAlignment="1" applyProtection="1">
      <alignment horizontal="center" vertical="center"/>
      <protection locked="0"/>
    </xf>
    <xf numFmtId="14" fontId="4" fillId="0" borderId="0" xfId="0" applyNumberFormat="1" applyFont="1" applyAlignment="1" applyProtection="1">
      <alignment horizontal="center" vertical="center"/>
      <protection locked="0"/>
    </xf>
    <xf numFmtId="44" fontId="13" fillId="2" borderId="38" xfId="1" applyNumberFormat="1" applyFont="1" applyFill="1" applyBorder="1" applyAlignment="1" applyProtection="1">
      <alignment vertical="center" wrapText="1"/>
      <protection hidden="1"/>
    </xf>
    <xf numFmtId="44" fontId="13" fillId="2" borderId="38" xfId="1" applyNumberFormat="1" applyFont="1" applyFill="1" applyBorder="1" applyAlignment="1" applyProtection="1">
      <alignment horizontal="center" vertical="center" wrapText="1"/>
      <protection hidden="1"/>
    </xf>
    <xf numFmtId="44" fontId="58" fillId="2" borderId="38" xfId="1" applyNumberFormat="1" applyFont="1" applyFill="1" applyBorder="1" applyAlignment="1" applyProtection="1">
      <alignment vertical="center" wrapText="1"/>
      <protection hidden="1"/>
    </xf>
    <xf numFmtId="174" fontId="13" fillId="2" borderId="0" xfId="0" applyFont="1" applyFill="1" applyAlignment="1" applyProtection="1">
      <alignment vertical="center" wrapText="1"/>
      <protection locked="0"/>
    </xf>
    <xf numFmtId="44" fontId="16" fillId="2" borderId="0" xfId="2" applyFont="1" applyFill="1" applyProtection="1">
      <protection locked="0"/>
    </xf>
    <xf numFmtId="178" fontId="28" fillId="0" borderId="19" xfId="1" applyNumberFormat="1" applyFont="1" applyFill="1" applyBorder="1" applyAlignment="1" applyProtection="1">
      <alignment horizontal="center" vertical="center"/>
      <protection hidden="1"/>
    </xf>
    <xf numFmtId="44" fontId="23" fillId="0" borderId="20" xfId="2" applyNumberFormat="1" applyFont="1" applyBorder="1" applyAlignment="1" applyProtection="1">
      <alignment horizontal="right" vertical="center"/>
      <protection hidden="1"/>
    </xf>
    <xf numFmtId="14" fontId="4" fillId="0" borderId="19" xfId="0" applyNumberFormat="1" applyFont="1" applyFill="1" applyBorder="1" applyAlignment="1" applyProtection="1">
      <alignment horizontal="center" vertical="center"/>
      <protection locked="0"/>
    </xf>
    <xf numFmtId="173" fontId="4" fillId="0" borderId="19" xfId="0" quotePrefix="1" applyNumberFormat="1" applyFont="1" applyFill="1" applyBorder="1" applyAlignment="1" applyProtection="1">
      <alignment horizontal="center" vertical="center"/>
      <protection locked="0"/>
    </xf>
    <xf numFmtId="1" fontId="4" fillId="0" borderId="19" xfId="0" applyNumberFormat="1" applyFont="1" applyFill="1" applyBorder="1" applyAlignment="1" applyProtection="1">
      <alignment horizontal="center" vertical="center"/>
      <protection locked="0"/>
    </xf>
    <xf numFmtId="174" fontId="4" fillId="0" borderId="19" xfId="0" applyFont="1" applyFill="1" applyBorder="1" applyAlignment="1" applyProtection="1">
      <alignment horizontal="center" vertical="center"/>
      <protection locked="0"/>
    </xf>
    <xf numFmtId="49" fontId="4" fillId="0" borderId="19" xfId="0" applyNumberFormat="1" applyFont="1" applyFill="1" applyBorder="1" applyAlignment="1" applyProtection="1">
      <alignment horizontal="center" vertical="center"/>
      <protection locked="0"/>
    </xf>
    <xf numFmtId="44" fontId="4" fillId="0" borderId="73" xfId="0" applyNumberFormat="1" applyFont="1" applyFill="1" applyBorder="1" applyAlignment="1" applyProtection="1">
      <alignment horizontal="center" vertical="center"/>
      <protection locked="0"/>
    </xf>
    <xf numFmtId="177" fontId="4" fillId="0" borderId="75" xfId="0" applyNumberFormat="1" applyFont="1" applyFill="1" applyBorder="1" applyAlignment="1" applyProtection="1">
      <alignment horizontal="center" vertical="center"/>
      <protection locked="0"/>
    </xf>
    <xf numFmtId="20" fontId="4" fillId="0" borderId="19" xfId="0" applyNumberFormat="1" applyFont="1" applyFill="1" applyBorder="1" applyAlignment="1" applyProtection="1">
      <alignment horizontal="center" vertical="center"/>
      <protection locked="0"/>
    </xf>
    <xf numFmtId="44" fontId="4" fillId="0" borderId="19" xfId="0" applyNumberFormat="1" applyFont="1" applyFill="1" applyBorder="1" applyAlignment="1" applyProtection="1">
      <alignment horizontal="center" vertical="center"/>
      <protection locked="0"/>
    </xf>
    <xf numFmtId="174" fontId="4" fillId="0" borderId="0" xfId="0" applyFont="1" applyFill="1" applyAlignment="1" applyProtection="1">
      <alignment horizontal="center" vertical="center"/>
      <protection locked="0"/>
    </xf>
    <xf numFmtId="44" fontId="5" fillId="2" borderId="20" xfId="2" applyFont="1" applyFill="1" applyBorder="1" applyAlignment="1" applyProtection="1">
      <alignment vertical="center"/>
      <protection locked="0"/>
    </xf>
    <xf numFmtId="174" fontId="28" fillId="2" borderId="0" xfId="0" applyFont="1" applyFill="1" applyAlignment="1" applyProtection="1">
      <alignment vertical="center"/>
      <protection locked="0"/>
    </xf>
    <xf numFmtId="38" fontId="15" fillId="2" borderId="20" xfId="0" applyNumberFormat="1" applyFont="1" applyFill="1" applyBorder="1" applyAlignment="1" applyProtection="1">
      <alignment horizontal="center" vertical="center"/>
      <protection hidden="1"/>
    </xf>
    <xf numFmtId="174" fontId="21" fillId="2" borderId="0" xfId="0" applyFont="1" applyFill="1" applyProtection="1">
      <protection locked="0"/>
    </xf>
    <xf numFmtId="3" fontId="5" fillId="2" borderId="20" xfId="0" applyNumberFormat="1" applyFont="1" applyFill="1" applyBorder="1" applyProtection="1">
      <protection locked="0"/>
    </xf>
    <xf numFmtId="174" fontId="4" fillId="2" borderId="6" xfId="0" applyFont="1" applyFill="1" applyBorder="1" applyProtection="1">
      <protection locked="0"/>
    </xf>
    <xf numFmtId="165" fontId="4" fillId="2" borderId="40" xfId="1" applyNumberFormat="1" applyFont="1" applyFill="1" applyBorder="1" applyProtection="1">
      <protection locked="0"/>
    </xf>
    <xf numFmtId="165" fontId="4" fillId="2" borderId="13" xfId="1" applyNumberFormat="1" applyFont="1" applyFill="1" applyBorder="1" applyProtection="1">
      <protection locked="0"/>
    </xf>
    <xf numFmtId="0" fontId="28" fillId="17" borderId="20" xfId="0" applyNumberFormat="1" applyFont="1" applyFill="1" applyBorder="1" applyAlignment="1" applyProtection="1">
      <alignment horizontal="center" vertical="center"/>
      <protection hidden="1"/>
    </xf>
    <xf numFmtId="14" fontId="4" fillId="17" borderId="19" xfId="0" applyNumberFormat="1" applyFont="1" applyFill="1" applyBorder="1" applyAlignment="1" applyProtection="1">
      <alignment horizontal="center" vertical="center"/>
      <protection locked="0"/>
    </xf>
    <xf numFmtId="173" fontId="4" fillId="17" borderId="19" xfId="0" quotePrefix="1" applyNumberFormat="1" applyFont="1" applyFill="1" applyBorder="1" applyAlignment="1" applyProtection="1">
      <alignment horizontal="center" vertical="center"/>
      <protection locked="0"/>
    </xf>
    <xf numFmtId="1" fontId="4" fillId="17" borderId="19" xfId="0" applyNumberFormat="1" applyFont="1" applyFill="1" applyBorder="1" applyAlignment="1" applyProtection="1">
      <alignment horizontal="center" vertical="center"/>
      <protection locked="0"/>
    </xf>
    <xf numFmtId="174" fontId="4" fillId="17" borderId="19" xfId="0" applyFont="1" applyFill="1" applyBorder="1" applyAlignment="1" applyProtection="1">
      <alignment horizontal="center" vertical="center"/>
      <protection locked="0"/>
    </xf>
    <xf numFmtId="49" fontId="4" fillId="17" borderId="19" xfId="0" applyNumberFormat="1" applyFont="1" applyFill="1" applyBorder="1" applyAlignment="1" applyProtection="1">
      <alignment horizontal="center" vertical="center"/>
      <protection locked="0"/>
    </xf>
    <xf numFmtId="44" fontId="4" fillId="17" borderId="73" xfId="0" applyNumberFormat="1" applyFont="1" applyFill="1" applyBorder="1" applyAlignment="1" applyProtection="1">
      <alignment horizontal="center" vertical="center"/>
      <protection locked="0"/>
    </xf>
    <xf numFmtId="177" fontId="4" fillId="17" borderId="75" xfId="0" applyNumberFormat="1" applyFont="1" applyFill="1" applyBorder="1" applyAlignment="1" applyProtection="1">
      <alignment horizontal="center" vertical="center"/>
      <protection locked="0"/>
    </xf>
    <xf numFmtId="20" fontId="4" fillId="17" borderId="19" xfId="0" applyNumberFormat="1" applyFont="1" applyFill="1" applyBorder="1" applyAlignment="1" applyProtection="1">
      <alignment horizontal="center" vertical="center"/>
      <protection locked="0"/>
    </xf>
    <xf numFmtId="44" fontId="4" fillId="17" borderId="19" xfId="0" applyNumberFormat="1" applyFont="1" applyFill="1" applyBorder="1" applyAlignment="1" applyProtection="1">
      <alignment horizontal="center" vertical="center"/>
      <protection locked="0"/>
    </xf>
    <xf numFmtId="166" fontId="21" fillId="2" borderId="20" xfId="1" applyNumberFormat="1" applyFont="1" applyFill="1" applyBorder="1" applyAlignment="1" applyProtection="1">
      <alignment horizontal="center" vertical="center"/>
      <protection hidden="1"/>
    </xf>
    <xf numFmtId="174" fontId="5" fillId="2" borderId="0" xfId="0" applyFont="1" applyFill="1" applyProtection="1">
      <protection locked="0"/>
    </xf>
    <xf numFmtId="174" fontId="4" fillId="22" borderId="19" xfId="0" applyFont="1" applyFill="1" applyBorder="1" applyAlignment="1">
      <alignment horizontal="center"/>
    </xf>
    <xf numFmtId="174" fontId="4" fillId="23" borderId="19" xfId="0" applyFont="1" applyFill="1" applyBorder="1" applyAlignment="1">
      <alignment horizontal="center"/>
    </xf>
    <xf numFmtId="174" fontId="4" fillId="13" borderId="19" xfId="0" applyFont="1" applyFill="1" applyBorder="1" applyAlignment="1">
      <alignment horizontal="center"/>
    </xf>
    <xf numFmtId="44" fontId="5" fillId="14" borderId="20" xfId="2" applyFont="1" applyFill="1" applyBorder="1" applyAlignment="1" applyProtection="1">
      <alignment vertical="center"/>
      <protection locked="0"/>
    </xf>
    <xf numFmtId="44" fontId="28" fillId="14" borderId="20" xfId="2" applyFont="1" applyFill="1" applyBorder="1" applyAlignment="1" applyProtection="1">
      <alignment vertical="center"/>
      <protection locked="0"/>
    </xf>
    <xf numFmtId="174" fontId="6" fillId="2" borderId="2" xfId="0" applyFont="1" applyFill="1" applyBorder="1" applyAlignment="1" applyProtection="1">
      <alignment horizontal="center" vertical="center"/>
      <protection locked="0"/>
    </xf>
    <xf numFmtId="44" fontId="28" fillId="2" borderId="37" xfId="2" applyFont="1" applyFill="1" applyBorder="1" applyAlignment="1" applyProtection="1">
      <alignment vertical="center"/>
      <protection hidden="1"/>
    </xf>
    <xf numFmtId="44" fontId="28" fillId="0" borderId="10" xfId="2" applyFont="1" applyFill="1" applyBorder="1" applyAlignment="1" applyProtection="1">
      <alignment horizontal="left" vertical="center"/>
      <protection locked="0"/>
    </xf>
    <xf numFmtId="174" fontId="14" fillId="10" borderId="20" xfId="5" applyFont="1" applyFill="1" applyBorder="1" applyAlignment="1" applyProtection="1">
      <alignment horizontal="center" vertical="center" wrapText="1"/>
      <protection locked="0"/>
    </xf>
    <xf numFmtId="174" fontId="28" fillId="2" borderId="0" xfId="0" applyFont="1" applyFill="1" applyAlignment="1" applyProtection="1">
      <alignment horizontal="left"/>
      <protection locked="0"/>
    </xf>
    <xf numFmtId="44" fontId="4" fillId="0" borderId="19" xfId="0" applyNumberFormat="1" applyFont="1" applyFill="1" applyBorder="1" applyAlignment="1" applyProtection="1">
      <alignment horizontal="center" vertical="center"/>
    </xf>
    <xf numFmtId="44" fontId="4" fillId="0" borderId="19" xfId="0" applyNumberFormat="1" applyFont="1" applyBorder="1" applyAlignment="1" applyProtection="1">
      <alignment horizontal="center" vertical="center"/>
    </xf>
    <xf numFmtId="44" fontId="4" fillId="17" borderId="19" xfId="0" applyNumberFormat="1" applyFont="1" applyFill="1" applyBorder="1" applyAlignment="1" applyProtection="1">
      <alignment horizontal="center" vertical="center"/>
    </xf>
    <xf numFmtId="165" fontId="28" fillId="0" borderId="19" xfId="1" applyNumberFormat="1" applyFont="1" applyFill="1" applyBorder="1" applyAlignment="1" applyProtection="1">
      <alignment horizontal="center" vertical="center"/>
    </xf>
    <xf numFmtId="165" fontId="29" fillId="0" borderId="19" xfId="1" applyNumberFormat="1" applyFont="1" applyFill="1" applyBorder="1" applyAlignment="1" applyProtection="1">
      <alignment horizontal="right" vertical="center"/>
    </xf>
    <xf numFmtId="165" fontId="28" fillId="2" borderId="19" xfId="1" applyNumberFormat="1" applyFont="1" applyFill="1" applyBorder="1" applyAlignment="1" applyProtection="1">
      <alignment horizontal="center" vertical="center"/>
    </xf>
    <xf numFmtId="165" fontId="7" fillId="2" borderId="19" xfId="1" applyNumberFormat="1" applyFont="1" applyFill="1" applyBorder="1" applyAlignment="1" applyProtection="1">
      <alignment vertical="center"/>
    </xf>
    <xf numFmtId="165" fontId="4" fillId="2" borderId="0" xfId="1" applyNumberFormat="1" applyFont="1" applyFill="1" applyProtection="1"/>
    <xf numFmtId="38" fontId="33" fillId="2" borderId="20" xfId="1" applyNumberFormat="1" applyFont="1" applyFill="1" applyBorder="1" applyAlignment="1" applyProtection="1">
      <alignment horizontal="center" vertical="center"/>
      <protection hidden="1"/>
    </xf>
    <xf numFmtId="174" fontId="33" fillId="2" borderId="0" xfId="0" applyFont="1" applyFill="1" applyAlignment="1" applyProtection="1">
      <alignment horizontal="right" vertical="center"/>
    </xf>
    <xf numFmtId="174" fontId="33" fillId="2" borderId="0" xfId="0" applyFont="1" applyFill="1" applyBorder="1" applyAlignment="1" applyProtection="1">
      <alignment horizontal="right" vertical="center"/>
    </xf>
    <xf numFmtId="38" fontId="13" fillId="2" borderId="0" xfId="0" applyNumberFormat="1" applyFont="1" applyFill="1" applyBorder="1" applyAlignment="1" applyProtection="1">
      <alignment horizontal="right"/>
      <protection locked="0"/>
    </xf>
    <xf numFmtId="38" fontId="13" fillId="2" borderId="14" xfId="0" applyNumberFormat="1" applyFont="1" applyFill="1" applyBorder="1" applyAlignment="1" applyProtection="1">
      <alignment horizontal="left"/>
      <protection locked="0"/>
    </xf>
    <xf numFmtId="1" fontId="66" fillId="0" borderId="20" xfId="2" applyNumberFormat="1" applyFont="1" applyFill="1" applyBorder="1" applyAlignment="1" applyProtection="1">
      <alignment horizontal="center" vertical="center"/>
      <protection locked="0"/>
    </xf>
    <xf numFmtId="1" fontId="66" fillId="6" borderId="20" xfId="2" applyNumberFormat="1" applyFont="1" applyFill="1" applyBorder="1" applyAlignment="1" applyProtection="1">
      <alignment horizontal="center" vertical="center"/>
      <protection locked="0"/>
    </xf>
    <xf numFmtId="165" fontId="66" fillId="0" borderId="20" xfId="0" applyNumberFormat="1" applyFont="1" applyFill="1" applyBorder="1" applyAlignment="1" applyProtection="1">
      <alignment horizontal="center" vertical="center"/>
      <protection locked="0"/>
    </xf>
    <xf numFmtId="165" fontId="66" fillId="0" borderId="20" xfId="0" applyNumberFormat="1" applyFont="1" applyBorder="1" applyAlignment="1" applyProtection="1">
      <alignment horizontal="center" vertical="center"/>
      <protection locked="0"/>
    </xf>
    <xf numFmtId="1" fontId="66" fillId="0" borderId="20" xfId="0" applyNumberFormat="1" applyFont="1" applyFill="1" applyBorder="1" applyAlignment="1" applyProtection="1">
      <alignment horizontal="center" vertical="center"/>
      <protection locked="0"/>
    </xf>
    <xf numFmtId="44" fontId="66" fillId="2" borderId="20" xfId="0" applyNumberFormat="1" applyFont="1" applyFill="1" applyBorder="1" applyAlignment="1" applyProtection="1">
      <alignment horizontal="left" vertical="center"/>
      <protection locked="0"/>
    </xf>
    <xf numFmtId="164" fontId="66" fillId="0" borderId="20" xfId="0" quotePrefix="1" applyNumberFormat="1" applyFont="1" applyFill="1" applyBorder="1" applyAlignment="1" applyProtection="1">
      <alignment horizontal="center" vertical="center"/>
      <protection locked="0"/>
    </xf>
    <xf numFmtId="164" fontId="65" fillId="0" borderId="20" xfId="0" applyNumberFormat="1" applyFont="1" applyFill="1" applyBorder="1" applyAlignment="1" applyProtection="1">
      <alignment horizontal="center" vertical="center"/>
      <protection locked="0"/>
    </xf>
    <xf numFmtId="164" fontId="65" fillId="10" borderId="29" xfId="0" applyNumberFormat="1" applyFont="1" applyFill="1" applyBorder="1" applyAlignment="1" applyProtection="1">
      <alignment horizontal="center" vertical="center"/>
      <protection locked="0"/>
    </xf>
    <xf numFmtId="164" fontId="65" fillId="0" borderId="37" xfId="0" applyNumberFormat="1" applyFont="1" applyFill="1" applyBorder="1" applyAlignment="1" applyProtection="1">
      <alignment horizontal="center" vertical="center"/>
      <protection locked="0"/>
    </xf>
    <xf numFmtId="164" fontId="65" fillId="2" borderId="20" xfId="0" applyNumberFormat="1" applyFont="1" applyFill="1" applyBorder="1" applyAlignment="1" applyProtection="1">
      <alignment horizontal="center" vertical="center"/>
      <protection locked="0"/>
    </xf>
    <xf numFmtId="165" fontId="66" fillId="0" borderId="35" xfId="0" applyNumberFormat="1" applyFont="1" applyFill="1" applyBorder="1" applyAlignment="1" applyProtection="1">
      <alignment vertical="center"/>
      <protection locked="0"/>
    </xf>
    <xf numFmtId="165" fontId="66" fillId="0" borderId="0" xfId="0" applyNumberFormat="1" applyFont="1" applyFill="1" applyBorder="1" applyAlignment="1" applyProtection="1">
      <alignment horizontal="center" vertical="center"/>
      <protection locked="0"/>
    </xf>
    <xf numFmtId="165" fontId="66" fillId="0" borderId="60" xfId="0" applyNumberFormat="1" applyFont="1" applyFill="1" applyBorder="1" applyAlignment="1" applyProtection="1">
      <alignment horizontal="center" vertical="center"/>
      <protection locked="0"/>
    </xf>
    <xf numFmtId="44" fontId="21" fillId="0" borderId="20" xfId="2" applyNumberFormat="1" applyFont="1" applyFill="1" applyBorder="1" applyAlignment="1" applyProtection="1">
      <alignment horizontal="left" vertical="center"/>
      <protection hidden="1"/>
    </xf>
    <xf numFmtId="44" fontId="21" fillId="0" borderId="12" xfId="2" applyNumberFormat="1" applyFont="1" applyFill="1" applyBorder="1" applyAlignment="1" applyProtection="1">
      <alignment horizontal="left" vertical="center"/>
      <protection hidden="1"/>
    </xf>
    <xf numFmtId="44" fontId="21" fillId="0" borderId="29" xfId="2" applyNumberFormat="1" applyFont="1" applyFill="1" applyBorder="1" applyAlignment="1" applyProtection="1">
      <alignment horizontal="left" vertical="center"/>
      <protection hidden="1"/>
    </xf>
    <xf numFmtId="44" fontId="21" fillId="0" borderId="26" xfId="2" applyNumberFormat="1" applyFont="1" applyFill="1" applyBorder="1" applyAlignment="1" applyProtection="1">
      <alignment horizontal="left" vertical="center"/>
      <protection hidden="1"/>
    </xf>
    <xf numFmtId="44" fontId="50" fillId="0" borderId="48" xfId="2" applyNumberFormat="1" applyFont="1" applyFill="1" applyBorder="1" applyAlignment="1" applyProtection="1">
      <alignment horizontal="left" vertical="center"/>
      <protection hidden="1"/>
    </xf>
    <xf numFmtId="44" fontId="50" fillId="0" borderId="38" xfId="2" applyNumberFormat="1" applyFont="1" applyFill="1" applyBorder="1" applyAlignment="1" applyProtection="1">
      <alignment horizontal="left" vertical="center"/>
      <protection hidden="1"/>
    </xf>
    <xf numFmtId="44" fontId="50" fillId="0" borderId="46" xfId="2" applyNumberFormat="1" applyFont="1" applyFill="1" applyBorder="1" applyAlignment="1" applyProtection="1">
      <alignment horizontal="left" vertical="center"/>
      <protection hidden="1"/>
    </xf>
    <xf numFmtId="44" fontId="10" fillId="0" borderId="48" xfId="2" applyNumberFormat="1" applyFont="1" applyFill="1" applyBorder="1" applyAlignment="1" applyProtection="1">
      <alignment horizontal="left" vertical="center"/>
      <protection hidden="1"/>
    </xf>
    <xf numFmtId="44" fontId="10" fillId="0" borderId="38" xfId="2" applyNumberFormat="1" applyFont="1" applyFill="1" applyBorder="1" applyAlignment="1" applyProtection="1">
      <alignment horizontal="left" vertical="center"/>
      <protection hidden="1"/>
    </xf>
    <xf numFmtId="174" fontId="6" fillId="2" borderId="20" xfId="0" applyFont="1" applyFill="1" applyBorder="1" applyAlignment="1" applyProtection="1">
      <alignment horizontal="center" vertical="center" wrapText="1"/>
      <protection locked="0"/>
    </xf>
    <xf numFmtId="174" fontId="70" fillId="2" borderId="20" xfId="0" applyFont="1" applyFill="1" applyBorder="1" applyAlignment="1" applyProtection="1">
      <alignment horizontal="center" vertical="center" wrapText="1"/>
      <protection locked="0"/>
    </xf>
    <xf numFmtId="174" fontId="6" fillId="0" borderId="20" xfId="0" applyFont="1" applyFill="1" applyBorder="1" applyAlignment="1">
      <alignment horizontal="center" vertical="center" wrapText="1"/>
    </xf>
    <xf numFmtId="174" fontId="70" fillId="2" borderId="20" xfId="0" applyFont="1" applyFill="1" applyBorder="1" applyAlignment="1">
      <alignment horizontal="center" vertical="center" wrapText="1"/>
    </xf>
    <xf numFmtId="174" fontId="49" fillId="2" borderId="14" xfId="0" applyFont="1" applyFill="1" applyBorder="1" applyProtection="1"/>
    <xf numFmtId="44" fontId="19" fillId="0" borderId="78" xfId="2" applyNumberFormat="1" applyFont="1" applyFill="1" applyBorder="1" applyAlignment="1" applyProtection="1">
      <alignment horizontal="left" vertical="center"/>
      <protection hidden="1"/>
    </xf>
    <xf numFmtId="174" fontId="19" fillId="0" borderId="79" xfId="0" applyFont="1" applyFill="1" applyBorder="1" applyAlignment="1" applyProtection="1">
      <alignment horizontal="left" vertical="center"/>
      <protection locked="0"/>
    </xf>
    <xf numFmtId="174" fontId="18" fillId="0" borderId="80" xfId="0" applyFont="1" applyFill="1" applyBorder="1" applyAlignment="1" applyProtection="1">
      <alignment horizontal="left" vertical="center"/>
      <protection locked="0"/>
    </xf>
    <xf numFmtId="44" fontId="15" fillId="0" borderId="81" xfId="2" applyNumberFormat="1" applyFont="1" applyFill="1" applyBorder="1" applyAlignment="1" applyProtection="1">
      <alignment horizontal="left" vertical="center"/>
      <protection hidden="1"/>
    </xf>
    <xf numFmtId="44" fontId="15" fillId="0" borderId="82" xfId="2" applyNumberFormat="1" applyFont="1" applyFill="1" applyBorder="1" applyAlignment="1" applyProtection="1">
      <alignment horizontal="left" vertical="center"/>
      <protection hidden="1"/>
    </xf>
    <xf numFmtId="44" fontId="15" fillId="0" borderId="83" xfId="2" applyNumberFormat="1" applyFont="1" applyFill="1" applyBorder="1" applyAlignment="1" applyProtection="1">
      <alignment horizontal="left" vertical="center"/>
      <protection hidden="1"/>
    </xf>
    <xf numFmtId="44" fontId="21" fillId="0" borderId="81" xfId="2" applyNumberFormat="1" applyFont="1" applyFill="1" applyBorder="1" applyAlignment="1" applyProtection="1">
      <alignment horizontal="left" vertical="center"/>
      <protection hidden="1"/>
    </xf>
    <xf numFmtId="44" fontId="21" fillId="0" borderId="82" xfId="2" applyNumberFormat="1" applyFont="1" applyFill="1" applyBorder="1" applyAlignment="1" applyProtection="1">
      <alignment horizontal="left" vertical="center"/>
      <protection hidden="1"/>
    </xf>
    <xf numFmtId="44" fontId="15" fillId="0" borderId="84" xfId="2" applyNumberFormat="1" applyFont="1" applyFill="1" applyBorder="1" applyAlignment="1" applyProtection="1">
      <alignment horizontal="left" vertical="center"/>
      <protection hidden="1"/>
    </xf>
    <xf numFmtId="44" fontId="38" fillId="0" borderId="11" xfId="2" applyFont="1" applyFill="1" applyBorder="1" applyAlignment="1" applyProtection="1">
      <alignment vertical="center"/>
      <protection hidden="1"/>
    </xf>
    <xf numFmtId="164" fontId="65" fillId="0" borderId="20" xfId="0" quotePrefix="1" applyNumberFormat="1" applyFont="1" applyFill="1" applyBorder="1" applyAlignment="1" applyProtection="1">
      <alignment horizontal="center" vertical="center"/>
      <protection locked="0"/>
    </xf>
    <xf numFmtId="1" fontId="71" fillId="0" borderId="20" xfId="2" applyNumberFormat="1" applyFont="1" applyFill="1" applyBorder="1" applyAlignment="1" applyProtection="1">
      <alignment horizontal="center" vertical="center"/>
      <protection locked="0"/>
    </xf>
    <xf numFmtId="1" fontId="65" fillId="0" borderId="20" xfId="2" applyNumberFormat="1" applyFont="1" applyFill="1" applyBorder="1" applyAlignment="1" applyProtection="1">
      <alignment horizontal="center" vertical="center"/>
      <protection locked="0"/>
    </xf>
    <xf numFmtId="1" fontId="65" fillId="6" borderId="20" xfId="2" applyNumberFormat="1" applyFont="1" applyFill="1" applyBorder="1" applyAlignment="1" applyProtection="1">
      <alignment horizontal="center" vertical="center"/>
      <protection locked="0"/>
    </xf>
    <xf numFmtId="1" fontId="71" fillId="0" borderId="20" xfId="0" applyNumberFormat="1" applyFont="1" applyFill="1" applyBorder="1" applyAlignment="1" applyProtection="1">
      <alignment horizontal="center" vertical="center"/>
      <protection locked="0"/>
    </xf>
    <xf numFmtId="174" fontId="56" fillId="0" borderId="0" xfId="0" applyFont="1" applyFill="1" applyAlignment="1" applyProtection="1">
      <alignment vertical="center"/>
      <protection locked="0"/>
    </xf>
    <xf numFmtId="165" fontId="65" fillId="0" borderId="20" xfId="0" applyNumberFormat="1" applyFont="1" applyFill="1" applyBorder="1" applyAlignment="1" applyProtection="1">
      <alignment horizontal="center" vertical="center"/>
      <protection locked="0"/>
    </xf>
    <xf numFmtId="1" fontId="65" fillId="0" borderId="20" xfId="0" applyNumberFormat="1" applyFont="1" applyBorder="1" applyAlignment="1" applyProtection="1">
      <alignment horizontal="center" vertical="center"/>
      <protection locked="0"/>
    </xf>
    <xf numFmtId="165" fontId="65" fillId="0" borderId="20" xfId="0" applyNumberFormat="1" applyFont="1" applyBorder="1" applyAlignment="1" applyProtection="1">
      <alignment horizontal="center" vertical="center"/>
      <protection locked="0"/>
    </xf>
    <xf numFmtId="49" fontId="18" fillId="2" borderId="21" xfId="0" applyNumberFormat="1" applyFont="1" applyFill="1" applyBorder="1" applyAlignment="1" applyProtection="1">
      <alignment horizontal="center" vertical="center"/>
      <protection locked="0"/>
    </xf>
    <xf numFmtId="0" fontId="1" fillId="0" borderId="0" xfId="21" applyProtection="1">
      <alignment vertical="center"/>
      <protection locked="0"/>
    </xf>
    <xf numFmtId="41" fontId="1" fillId="0" borderId="0" xfId="21" applyNumberFormat="1" applyProtection="1">
      <alignment vertical="center"/>
      <protection locked="0"/>
    </xf>
    <xf numFmtId="0" fontId="76" fillId="0" borderId="0" xfId="21" applyFont="1" applyProtection="1">
      <alignment vertical="center"/>
      <protection locked="0"/>
    </xf>
    <xf numFmtId="38" fontId="79" fillId="0" borderId="0" xfId="1" applyNumberFormat="1" applyFont="1" applyBorder="1" applyAlignment="1" applyProtection="1">
      <alignment horizontal="center" vertical="center"/>
      <protection hidden="1"/>
    </xf>
    <xf numFmtId="0" fontId="79" fillId="0" borderId="0" xfId="21" applyFont="1" applyBorder="1" applyAlignment="1" applyProtection="1">
      <alignment horizontal="center" vertical="center" wrapText="1"/>
      <protection locked="0"/>
    </xf>
    <xf numFmtId="0" fontId="78" fillId="0" borderId="0" xfId="21" applyFont="1" applyBorder="1" applyAlignment="1" applyProtection="1">
      <alignment horizontal="center" vertical="center"/>
      <protection locked="0"/>
    </xf>
    <xf numFmtId="38" fontId="79" fillId="0" borderId="17" xfId="1" applyNumberFormat="1" applyFont="1" applyBorder="1" applyAlignment="1" applyProtection="1">
      <alignment horizontal="center" vertical="center"/>
      <protection hidden="1"/>
    </xf>
    <xf numFmtId="38" fontId="76" fillId="0" borderId="17" xfId="21" applyNumberFormat="1" applyFont="1" applyBorder="1" applyAlignment="1" applyProtection="1">
      <alignment horizontal="center" vertical="center"/>
      <protection hidden="1"/>
    </xf>
    <xf numFmtId="38" fontId="1" fillId="0" borderId="17" xfId="21" applyNumberFormat="1" applyBorder="1" applyAlignment="1" applyProtection="1">
      <alignment horizontal="center" vertical="center"/>
      <protection hidden="1"/>
    </xf>
    <xf numFmtId="0" fontId="1" fillId="0" borderId="0" xfId="21" applyBorder="1" applyAlignment="1" applyProtection="1">
      <alignment vertical="center"/>
      <protection locked="0"/>
    </xf>
    <xf numFmtId="0" fontId="1" fillId="0" borderId="0" xfId="21" applyAlignment="1" applyProtection="1">
      <alignment vertical="center"/>
      <protection locked="0"/>
    </xf>
    <xf numFmtId="0" fontId="79" fillId="0" borderId="0" xfId="21" applyFont="1" applyBorder="1" applyAlignment="1" applyProtection="1">
      <alignment horizontal="center" vertical="center"/>
      <protection locked="0"/>
    </xf>
    <xf numFmtId="0" fontId="79" fillId="0" borderId="0" xfId="21" applyFont="1" applyAlignment="1" applyProtection="1">
      <alignment horizontal="left" vertical="center"/>
      <protection locked="0"/>
    </xf>
    <xf numFmtId="41" fontId="79" fillId="0" borderId="14" xfId="21" applyNumberFormat="1" applyFont="1" applyBorder="1" applyProtection="1">
      <alignment vertical="center"/>
      <protection locked="0"/>
    </xf>
    <xf numFmtId="0" fontId="79" fillId="0" borderId="0" xfId="21" applyFont="1" applyProtection="1">
      <alignment vertical="center"/>
      <protection locked="0"/>
    </xf>
    <xf numFmtId="0" fontId="79" fillId="0" borderId="14" xfId="21" applyFont="1" applyBorder="1" applyProtection="1">
      <alignment vertical="center"/>
      <protection locked="0"/>
    </xf>
    <xf numFmtId="0" fontId="79" fillId="0" borderId="0" xfId="21" applyFont="1" applyBorder="1" applyProtection="1">
      <alignment vertical="center"/>
      <protection locked="0"/>
    </xf>
    <xf numFmtId="0" fontId="83" fillId="25" borderId="23" xfId="21" applyFont="1" applyFill="1" applyBorder="1" applyAlignment="1" applyProtection="1">
      <alignment horizontal="center" vertical="center"/>
      <protection locked="0"/>
    </xf>
    <xf numFmtId="0" fontId="83" fillId="25" borderId="11" xfId="21" applyFont="1" applyFill="1" applyBorder="1" applyAlignment="1" applyProtection="1">
      <alignment horizontal="center" vertical="center"/>
      <protection locked="0"/>
    </xf>
    <xf numFmtId="41" fontId="83" fillId="25" borderId="11" xfId="21" applyNumberFormat="1" applyFont="1" applyFill="1" applyBorder="1" applyAlignment="1" applyProtection="1">
      <alignment horizontal="center" vertical="center"/>
      <protection locked="0"/>
    </xf>
    <xf numFmtId="0" fontId="84" fillId="25" borderId="11" xfId="21" applyFont="1" applyFill="1" applyBorder="1" applyAlignment="1" applyProtection="1">
      <alignment horizontal="center" vertical="center"/>
      <protection locked="0"/>
    </xf>
    <xf numFmtId="40" fontId="78" fillId="0" borderId="19" xfId="1" applyNumberFormat="1" applyFont="1" applyBorder="1" applyAlignment="1" applyProtection="1">
      <alignment horizontal="center" vertical="center"/>
      <protection hidden="1"/>
    </xf>
    <xf numFmtId="40" fontId="78" fillId="9" borderId="19" xfId="1" applyNumberFormat="1" applyFont="1" applyFill="1" applyBorder="1" applyAlignment="1" applyProtection="1">
      <alignment horizontal="center" vertical="center"/>
      <protection hidden="1"/>
    </xf>
    <xf numFmtId="40" fontId="78" fillId="0" borderId="86" xfId="1" applyNumberFormat="1" applyFont="1" applyBorder="1" applyAlignment="1" applyProtection="1">
      <alignment horizontal="center" vertical="center"/>
      <protection hidden="1"/>
    </xf>
    <xf numFmtId="40" fontId="78" fillId="0" borderId="19" xfId="1" applyNumberFormat="1" applyFont="1" applyBorder="1" applyAlignment="1" applyProtection="1">
      <alignment vertical="center"/>
      <protection hidden="1"/>
    </xf>
    <xf numFmtId="40" fontId="78" fillId="9" borderId="19" xfId="1" applyNumberFormat="1" applyFont="1" applyFill="1" applyBorder="1" applyAlignment="1" applyProtection="1">
      <alignment vertical="center"/>
      <protection hidden="1"/>
    </xf>
    <xf numFmtId="40" fontId="78" fillId="0" borderId="19" xfId="1" applyNumberFormat="1" applyFont="1" applyFill="1" applyBorder="1" applyAlignment="1" applyProtection="1">
      <alignment vertical="center"/>
      <protection hidden="1"/>
    </xf>
    <xf numFmtId="40" fontId="72" fillId="0" borderId="99" xfId="21" applyNumberFormat="1" applyFont="1" applyBorder="1" applyAlignment="1" applyProtection="1">
      <alignment horizontal="center" vertical="center"/>
      <protection hidden="1"/>
    </xf>
    <xf numFmtId="40" fontId="72" fillId="9" borderId="99" xfId="21" applyNumberFormat="1" applyFont="1" applyFill="1" applyBorder="1" applyAlignment="1" applyProtection="1">
      <alignment horizontal="center" vertical="center"/>
      <protection hidden="1"/>
    </xf>
    <xf numFmtId="40" fontId="72" fillId="0" borderId="85" xfId="21" applyNumberFormat="1" applyFont="1" applyBorder="1" applyAlignment="1" applyProtection="1">
      <alignment horizontal="center" vertical="center"/>
      <protection hidden="1"/>
    </xf>
    <xf numFmtId="40" fontId="78" fillId="0" borderId="11" xfId="1" applyNumberFormat="1" applyFont="1" applyBorder="1" applyAlignment="1" applyProtection="1">
      <alignment horizontal="center" vertical="center"/>
      <protection hidden="1"/>
    </xf>
    <xf numFmtId="0" fontId="73" fillId="0" borderId="0" xfId="21" applyFont="1" applyFill="1" applyBorder="1" applyAlignment="1" applyProtection="1">
      <alignment vertical="center"/>
      <protection locked="0"/>
    </xf>
    <xf numFmtId="0" fontId="74" fillId="0" borderId="0" xfId="21" applyFont="1" applyFill="1" applyBorder="1" applyAlignment="1" applyProtection="1">
      <alignment horizontal="center" vertical="center"/>
      <protection locked="0"/>
    </xf>
    <xf numFmtId="174" fontId="8" fillId="2" borderId="0" xfId="0" applyFont="1" applyFill="1" applyBorder="1" applyAlignment="1" applyProtection="1">
      <alignment horizontal="center"/>
      <protection locked="0"/>
    </xf>
    <xf numFmtId="170" fontId="19" fillId="2" borderId="0" xfId="14" applyFont="1" applyFill="1" applyBorder="1" applyAlignment="1" applyProtection="1">
      <alignment horizontal="center" vertical="center" wrapText="1"/>
      <protection locked="0"/>
    </xf>
    <xf numFmtId="174" fontId="29" fillId="2" borderId="20" xfId="0" applyFont="1" applyFill="1" applyBorder="1" applyAlignment="1" applyProtection="1">
      <alignment horizontal="center" vertical="center"/>
      <protection locked="0"/>
    </xf>
    <xf numFmtId="38" fontId="28" fillId="2" borderId="20" xfId="0" applyNumberFormat="1" applyFont="1" applyFill="1" applyBorder="1" applyAlignment="1" applyProtection="1">
      <alignment horizontal="center" vertical="center"/>
    </xf>
    <xf numFmtId="0" fontId="20" fillId="2" borderId="0" xfId="1" applyNumberFormat="1" applyFont="1" applyFill="1" applyBorder="1" applyAlignment="1" applyProtection="1">
      <alignment horizontal="center" vertical="center"/>
      <protection locked="0"/>
    </xf>
    <xf numFmtId="0" fontId="19" fillId="2" borderId="20" xfId="0" applyNumberFormat="1" applyFont="1" applyFill="1" applyBorder="1" applyAlignment="1" applyProtection="1">
      <alignment horizontal="center" vertical="center" wrapText="1"/>
      <protection locked="0"/>
    </xf>
    <xf numFmtId="3" fontId="5" fillId="2" borderId="20" xfId="0" applyNumberFormat="1" applyFont="1" applyFill="1" applyBorder="1" applyAlignment="1" applyProtection="1">
      <alignment horizontal="center" vertical="center"/>
    </xf>
    <xf numFmtId="180" fontId="18" fillId="0" borderId="20" xfId="0" applyNumberFormat="1" applyFont="1" applyBorder="1" applyAlignment="1" applyProtection="1">
      <alignment horizontal="center" vertical="center"/>
      <protection locked="0"/>
    </xf>
    <xf numFmtId="180" fontId="18" fillId="0" borderId="20" xfId="0" applyNumberFormat="1" applyFont="1" applyFill="1" applyBorder="1" applyAlignment="1" applyProtection="1">
      <alignment horizontal="center" vertical="center"/>
      <protection locked="0"/>
    </xf>
    <xf numFmtId="38" fontId="28" fillId="17" borderId="20" xfId="0" applyNumberFormat="1" applyFont="1" applyFill="1" applyBorder="1" applyAlignment="1" applyProtection="1">
      <alignment horizontal="center" vertical="center"/>
      <protection hidden="1"/>
    </xf>
    <xf numFmtId="38" fontId="28" fillId="0" borderId="20" xfId="0" applyNumberFormat="1" applyFont="1" applyFill="1" applyBorder="1" applyAlignment="1" applyProtection="1">
      <alignment horizontal="center" vertical="center"/>
      <protection hidden="1"/>
    </xf>
    <xf numFmtId="174" fontId="19" fillId="0" borderId="100" xfId="0" applyFont="1" applyFill="1" applyBorder="1" applyAlignment="1" applyProtection="1">
      <alignment horizontal="left" vertical="center"/>
      <protection locked="0"/>
    </xf>
    <xf numFmtId="174" fontId="18" fillId="0" borderId="101" xfId="0" applyFont="1" applyFill="1" applyBorder="1" applyAlignment="1" applyProtection="1">
      <alignment horizontal="left" vertical="center"/>
      <protection locked="0"/>
    </xf>
    <xf numFmtId="44" fontId="6" fillId="3" borderId="20" xfId="2" applyNumberFormat="1" applyFont="1" applyFill="1" applyBorder="1" applyAlignment="1" applyProtection="1">
      <alignment vertical="center"/>
      <protection hidden="1"/>
    </xf>
    <xf numFmtId="44" fontId="28" fillId="13" borderId="10" xfId="2" applyFont="1" applyFill="1" applyBorder="1" applyAlignment="1" applyProtection="1">
      <alignment horizontal="left" vertical="center"/>
    </xf>
    <xf numFmtId="44" fontId="28" fillId="13" borderId="20" xfId="2" applyFont="1" applyFill="1" applyBorder="1" applyAlignment="1" applyProtection="1">
      <alignment vertical="center"/>
      <protection hidden="1"/>
    </xf>
    <xf numFmtId="39" fontId="19" fillId="2" borderId="43" xfId="0" applyNumberFormat="1" applyFont="1" applyFill="1" applyBorder="1" applyAlignment="1" applyProtection="1">
      <alignment horizontal="right" vertical="center"/>
      <protection hidden="1"/>
    </xf>
    <xf numFmtId="174" fontId="6" fillId="11" borderId="9" xfId="0" applyFont="1" applyFill="1" applyBorder="1" applyAlignment="1" applyProtection="1">
      <alignment horizontal="left" vertical="center"/>
      <protection locked="0"/>
    </xf>
    <xf numFmtId="44" fontId="28" fillId="2" borderId="21" xfId="2" applyFont="1" applyFill="1" applyBorder="1" applyAlignment="1" applyProtection="1">
      <alignment horizontal="center" vertical="center"/>
      <protection locked="0"/>
    </xf>
    <xf numFmtId="44" fontId="28" fillId="0" borderId="20" xfId="2" applyFont="1" applyFill="1" applyBorder="1" applyAlignment="1" applyProtection="1">
      <alignment horizontal="left" vertical="center"/>
      <protection locked="0"/>
    </xf>
    <xf numFmtId="0" fontId="5" fillId="2" borderId="0" xfId="0" applyNumberFormat="1" applyFont="1" applyFill="1" applyAlignment="1" applyProtection="1">
      <protection locked="0"/>
    </xf>
    <xf numFmtId="174" fontId="6" fillId="11" borderId="8" xfId="0" applyFont="1" applyFill="1" applyBorder="1" applyAlignment="1" applyProtection="1">
      <alignment horizontal="left" vertical="center"/>
      <protection locked="0"/>
    </xf>
    <xf numFmtId="44" fontId="6" fillId="11" borderId="20" xfId="2" applyFont="1" applyFill="1" applyBorder="1" applyAlignment="1" applyProtection="1">
      <alignment horizontal="left" vertical="center"/>
      <protection hidden="1"/>
    </xf>
    <xf numFmtId="44" fontId="6" fillId="11" borderId="20" xfId="2" applyNumberFormat="1" applyFont="1" applyFill="1" applyBorder="1" applyAlignment="1" applyProtection="1">
      <alignment vertical="center"/>
      <protection hidden="1"/>
    </xf>
    <xf numFmtId="40" fontId="78" fillId="9" borderId="95" xfId="1" applyNumberFormat="1" applyFont="1" applyFill="1" applyBorder="1" applyAlignment="1" applyProtection="1">
      <alignment horizontal="center" vertical="center"/>
      <protection hidden="1"/>
    </xf>
    <xf numFmtId="40" fontId="78" fillId="9" borderId="102" xfId="1" applyNumberFormat="1" applyFont="1" applyFill="1" applyBorder="1" applyAlignment="1" applyProtection="1">
      <alignment horizontal="center" vertical="center"/>
      <protection hidden="1"/>
    </xf>
    <xf numFmtId="40" fontId="78" fillId="0" borderId="102" xfId="1" applyNumberFormat="1" applyFont="1" applyFill="1" applyBorder="1" applyAlignment="1" applyProtection="1">
      <alignment horizontal="center" vertical="center"/>
      <protection hidden="1"/>
    </xf>
    <xf numFmtId="40" fontId="78" fillId="9" borderId="22" xfId="1" applyNumberFormat="1" applyFont="1" applyFill="1" applyBorder="1" applyAlignment="1" applyProtection="1">
      <alignment vertical="center"/>
      <protection hidden="1"/>
    </xf>
    <xf numFmtId="0" fontId="78" fillId="0" borderId="85" xfId="21" applyFont="1" applyBorder="1" applyAlignment="1" applyProtection="1">
      <alignment horizontal="center" vertical="center"/>
      <protection locked="0"/>
    </xf>
    <xf numFmtId="0" fontId="78" fillId="0" borderId="99" xfId="21" applyFont="1" applyBorder="1" applyAlignment="1" applyProtection="1">
      <alignment horizontal="center" vertical="center"/>
      <protection locked="0"/>
    </xf>
    <xf numFmtId="0" fontId="78" fillId="0" borderId="87" xfId="21" applyFont="1" applyBorder="1" applyAlignment="1" applyProtection="1">
      <alignment horizontal="center" vertical="center"/>
      <protection locked="0"/>
    </xf>
    <xf numFmtId="0" fontId="79" fillId="0" borderId="19" xfId="21" applyFont="1" applyBorder="1" applyAlignment="1" applyProtection="1">
      <alignment horizontal="center" vertical="center"/>
      <protection locked="0"/>
    </xf>
    <xf numFmtId="0" fontId="79" fillId="9" borderId="19" xfId="21" applyFont="1" applyFill="1" applyBorder="1" applyAlignment="1" applyProtection="1">
      <alignment horizontal="center" vertical="center"/>
      <protection locked="0"/>
    </xf>
    <xf numFmtId="0" fontId="79" fillId="9" borderId="22" xfId="21" applyFont="1" applyFill="1" applyBorder="1" applyAlignment="1" applyProtection="1">
      <alignment horizontal="center" vertical="center"/>
      <protection locked="0"/>
    </xf>
    <xf numFmtId="0" fontId="79" fillId="9" borderId="88" xfId="21" applyFont="1" applyFill="1" applyBorder="1" applyAlignment="1" applyProtection="1">
      <alignment horizontal="center" vertical="center"/>
      <protection locked="0"/>
    </xf>
    <xf numFmtId="174" fontId="43" fillId="2" borderId="0" xfId="2" applyNumberFormat="1" applyFont="1" applyFill="1" applyBorder="1" applyAlignment="1" applyProtection="1">
      <protection locked="0"/>
    </xf>
    <xf numFmtId="174" fontId="43" fillId="2" borderId="0" xfId="2" applyNumberFormat="1" applyFont="1" applyFill="1" applyBorder="1" applyAlignment="1" applyProtection="1">
      <alignment horizontal="right"/>
      <protection locked="0"/>
    </xf>
    <xf numFmtId="44" fontId="24" fillId="0" borderId="31" xfId="2" applyFont="1" applyFill="1" applyBorder="1" applyAlignment="1" applyProtection="1">
      <alignment vertical="center"/>
      <protection locked="0"/>
    </xf>
    <xf numFmtId="3" fontId="16" fillId="0" borderId="7" xfId="0" applyNumberFormat="1" applyFont="1" applyFill="1" applyBorder="1" applyAlignment="1" applyProtection="1">
      <alignment horizontal="center" vertical="center"/>
      <protection locked="0"/>
    </xf>
    <xf numFmtId="3" fontId="16" fillId="0" borderId="20" xfId="0" applyNumberFormat="1" applyFont="1" applyFill="1" applyBorder="1" applyAlignment="1" applyProtection="1">
      <alignment horizontal="center" vertical="center"/>
      <protection locked="0"/>
    </xf>
    <xf numFmtId="176" fontId="16" fillId="0" borderId="20" xfId="0" applyNumberFormat="1" applyFont="1" applyFill="1" applyBorder="1" applyAlignment="1" applyProtection="1">
      <alignment horizontal="center" vertical="center"/>
      <protection locked="0"/>
    </xf>
    <xf numFmtId="3" fontId="16" fillId="6" borderId="20" xfId="0" applyNumberFormat="1" applyFont="1" applyFill="1" applyBorder="1" applyAlignment="1" applyProtection="1">
      <alignment horizontal="center" vertical="center"/>
      <protection locked="0"/>
    </xf>
    <xf numFmtId="1" fontId="71" fillId="0" borderId="7" xfId="2" applyNumberFormat="1" applyFont="1" applyFill="1" applyBorder="1" applyAlignment="1" applyProtection="1">
      <alignment horizontal="center" vertical="center"/>
      <protection locked="0"/>
    </xf>
    <xf numFmtId="1" fontId="11" fillId="0" borderId="7" xfId="2" applyNumberFormat="1" applyFont="1" applyFill="1" applyBorder="1" applyAlignment="1" applyProtection="1">
      <alignment horizontal="center" vertical="center"/>
      <protection locked="0"/>
    </xf>
    <xf numFmtId="174" fontId="16" fillId="0" borderId="12" xfId="0" applyFont="1" applyFill="1" applyBorder="1" applyAlignment="1" applyProtection="1">
      <alignment vertical="center"/>
      <protection locked="0"/>
    </xf>
    <xf numFmtId="1" fontId="16" fillId="0" borderId="7" xfId="2" applyNumberFormat="1" applyFont="1" applyFill="1" applyBorder="1" applyAlignment="1" applyProtection="1">
      <alignment horizontal="center" vertical="center"/>
      <protection locked="0"/>
    </xf>
    <xf numFmtId="165" fontId="16" fillId="0" borderId="7" xfId="0" applyNumberFormat="1" applyFont="1" applyFill="1" applyBorder="1" applyAlignment="1" applyProtection="1">
      <alignment vertical="center"/>
      <protection locked="0"/>
    </xf>
    <xf numFmtId="165" fontId="16" fillId="0" borderId="20" xfId="0" applyNumberFormat="1" applyFont="1" applyFill="1" applyBorder="1" applyAlignment="1" applyProtection="1">
      <alignment vertical="center"/>
      <protection locked="0"/>
    </xf>
    <xf numFmtId="165" fontId="66" fillId="0" borderId="20" xfId="0" applyNumberFormat="1" applyFont="1" applyFill="1" applyBorder="1" applyAlignment="1" applyProtection="1">
      <alignment vertical="center"/>
      <protection locked="0"/>
    </xf>
    <xf numFmtId="44" fontId="66" fillId="0" borderId="20" xfId="0" applyNumberFormat="1" applyFont="1" applyFill="1" applyBorder="1" applyAlignment="1" applyProtection="1">
      <alignment vertical="center"/>
      <protection locked="0"/>
    </xf>
    <xf numFmtId="41" fontId="11" fillId="5" borderId="28" xfId="2" applyNumberFormat="1" applyFont="1" applyFill="1" applyBorder="1" applyAlignment="1" applyProtection="1">
      <alignment horizontal="center" vertical="center"/>
      <protection locked="0"/>
    </xf>
    <xf numFmtId="41" fontId="11" fillId="5" borderId="29" xfId="2" applyNumberFormat="1" applyFont="1" applyFill="1" applyBorder="1" applyAlignment="1" applyProtection="1">
      <alignment horizontal="center" vertical="center"/>
      <protection locked="0"/>
    </xf>
    <xf numFmtId="174" fontId="19" fillId="0" borderId="0" xfId="0" applyFont="1" applyFill="1" applyAlignment="1" applyProtection="1">
      <alignment horizontal="right"/>
      <protection locked="0"/>
    </xf>
    <xf numFmtId="44" fontId="24" fillId="0" borderId="31" xfId="2" applyFont="1" applyFill="1" applyBorder="1" applyAlignment="1" applyProtection="1">
      <alignment horizontal="center" vertical="center"/>
      <protection locked="0"/>
    </xf>
    <xf numFmtId="174" fontId="43" fillId="2" borderId="0" xfId="0" applyFont="1" applyFill="1" applyBorder="1" applyAlignment="1" applyProtection="1">
      <alignment horizontal="center" vertical="center"/>
      <protection locked="0"/>
    </xf>
    <xf numFmtId="174" fontId="16" fillId="2" borderId="0" xfId="0" applyNumberFormat="1" applyFont="1" applyFill="1" applyBorder="1" applyAlignment="1" applyProtection="1">
      <alignment horizontal="center" wrapText="1"/>
      <protection locked="0"/>
    </xf>
    <xf numFmtId="40" fontId="18" fillId="2" borderId="0" xfId="2" applyNumberFormat="1" applyFont="1" applyFill="1" applyBorder="1" applyAlignment="1" applyProtection="1">
      <alignment horizontal="right" vertical="center"/>
      <protection locked="0"/>
    </xf>
    <xf numFmtId="40" fontId="18" fillId="0" borderId="0" xfId="2" applyNumberFormat="1" applyFont="1" applyFill="1" applyBorder="1" applyAlignment="1" applyProtection="1">
      <alignment horizontal="right" vertical="center"/>
      <protection locked="0"/>
    </xf>
    <xf numFmtId="44" fontId="21" fillId="0" borderId="0" xfId="2" applyNumberFormat="1" applyFont="1" applyFill="1" applyBorder="1" applyAlignment="1" applyProtection="1">
      <alignment horizontal="center" vertical="center"/>
      <protection locked="0"/>
    </xf>
    <xf numFmtId="44" fontId="19" fillId="0" borderId="0" xfId="2" applyFont="1" applyFill="1" applyBorder="1" applyAlignment="1" applyProtection="1">
      <alignment vertical="center"/>
      <protection locked="0"/>
    </xf>
    <xf numFmtId="44" fontId="18" fillId="0" borderId="0" xfId="0" applyNumberFormat="1" applyFont="1" applyFill="1" applyBorder="1" applyAlignment="1" applyProtection="1">
      <alignment vertical="center"/>
      <protection locked="0"/>
    </xf>
    <xf numFmtId="44" fontId="19" fillId="2" borderId="0" xfId="0" applyNumberFormat="1" applyFont="1" applyFill="1" applyBorder="1" applyAlignment="1" applyProtection="1">
      <alignment horizontal="left" vertical="center"/>
      <protection locked="0"/>
    </xf>
    <xf numFmtId="174" fontId="26" fillId="0" borderId="0" xfId="0" applyFont="1" applyFill="1" applyBorder="1" applyAlignment="1" applyProtection="1">
      <alignment horizontal="right" vertical="center"/>
      <protection hidden="1"/>
    </xf>
    <xf numFmtId="174" fontId="50" fillId="0" borderId="14" xfId="0" applyFont="1" applyFill="1" applyBorder="1" applyProtection="1">
      <protection hidden="1"/>
    </xf>
    <xf numFmtId="164" fontId="65" fillId="0" borderId="20" xfId="0" applyNumberFormat="1" applyFont="1" applyFill="1" applyBorder="1" applyAlignment="1" applyProtection="1">
      <alignment horizontal="center" vertical="center"/>
      <protection hidden="1"/>
    </xf>
    <xf numFmtId="44" fontId="65" fillId="2" borderId="8" xfId="0" applyNumberFormat="1" applyFont="1" applyFill="1" applyBorder="1" applyAlignment="1" applyProtection="1">
      <alignment horizontal="left" vertical="center"/>
      <protection hidden="1"/>
    </xf>
    <xf numFmtId="44" fontId="66" fillId="2" borderId="8" xfId="0" applyNumberFormat="1" applyFont="1" applyFill="1" applyBorder="1" applyAlignment="1" applyProtection="1">
      <alignment horizontal="left" vertical="center"/>
      <protection hidden="1"/>
    </xf>
    <xf numFmtId="164" fontId="65" fillId="10" borderId="21" xfId="0" applyNumberFormat="1" applyFont="1" applyFill="1" applyBorder="1" applyAlignment="1" applyProtection="1">
      <alignment horizontal="center" vertical="center"/>
      <protection hidden="1"/>
    </xf>
    <xf numFmtId="164" fontId="65" fillId="0" borderId="37" xfId="0" applyNumberFormat="1" applyFont="1" applyFill="1" applyBorder="1" applyAlignment="1" applyProtection="1">
      <alignment horizontal="center" vertical="center"/>
      <protection hidden="1"/>
    </xf>
    <xf numFmtId="44" fontId="66" fillId="0" borderId="59" xfId="2" applyNumberFormat="1" applyFont="1" applyFill="1" applyBorder="1" applyAlignment="1" applyProtection="1">
      <alignment horizontal="left" vertical="center"/>
      <protection hidden="1"/>
    </xf>
    <xf numFmtId="44" fontId="66" fillId="0" borderId="8" xfId="2" applyNumberFormat="1" applyFont="1" applyFill="1" applyBorder="1" applyAlignment="1" applyProtection="1">
      <alignment horizontal="left" vertical="center"/>
      <protection hidden="1"/>
    </xf>
    <xf numFmtId="164" fontId="65" fillId="2" borderId="20" xfId="0" applyNumberFormat="1" applyFont="1" applyFill="1" applyBorder="1" applyAlignment="1" applyProtection="1">
      <alignment horizontal="center" vertical="center"/>
      <protection hidden="1"/>
    </xf>
    <xf numFmtId="44" fontId="66" fillId="2" borderId="8" xfId="2" applyNumberFormat="1" applyFont="1" applyFill="1" applyBorder="1" applyAlignment="1" applyProtection="1">
      <alignment horizontal="left" vertical="center"/>
      <protection hidden="1"/>
    </xf>
    <xf numFmtId="165" fontId="66" fillId="0" borderId="21" xfId="0" applyNumberFormat="1" applyFont="1" applyFill="1" applyBorder="1" applyAlignment="1" applyProtection="1">
      <alignment horizontal="center" vertical="center"/>
      <protection hidden="1"/>
    </xf>
    <xf numFmtId="44" fontId="66" fillId="0" borderId="58" xfId="0" applyNumberFormat="1" applyFont="1" applyFill="1" applyBorder="1" applyAlignment="1" applyProtection="1">
      <alignment horizontal="left" vertical="center"/>
      <protection hidden="1"/>
    </xf>
    <xf numFmtId="164" fontId="42" fillId="0" borderId="17" xfId="0" quotePrefix="1" applyNumberFormat="1" applyFont="1" applyFill="1" applyBorder="1" applyAlignment="1" applyProtection="1">
      <alignment horizontal="center" vertical="center"/>
      <protection hidden="1"/>
    </xf>
    <xf numFmtId="44" fontId="42" fillId="2" borderId="23" xfId="2" applyNumberFormat="1" applyFont="1" applyFill="1" applyBorder="1" applyAlignment="1" applyProtection="1">
      <alignment horizontal="left" vertical="center"/>
      <protection hidden="1"/>
    </xf>
    <xf numFmtId="41" fontId="66" fillId="5" borderId="29" xfId="2" applyNumberFormat="1" applyFont="1" applyFill="1" applyBorder="1" applyAlignment="1" applyProtection="1">
      <alignment horizontal="center" vertical="center"/>
      <protection hidden="1"/>
    </xf>
    <xf numFmtId="41" fontId="11" fillId="5" borderId="29" xfId="2" applyNumberFormat="1" applyFont="1" applyFill="1" applyBorder="1" applyAlignment="1" applyProtection="1">
      <alignment horizontal="center" vertical="center"/>
      <protection hidden="1"/>
    </xf>
    <xf numFmtId="44" fontId="66" fillId="10" borderId="29" xfId="0" applyNumberFormat="1" applyFont="1" applyFill="1" applyBorder="1" applyAlignment="1" applyProtection="1">
      <alignment vertical="center"/>
      <protection hidden="1"/>
    </xf>
    <xf numFmtId="44" fontId="65" fillId="2" borderId="20" xfId="0" applyNumberFormat="1" applyFont="1" applyFill="1" applyBorder="1" applyAlignment="1" applyProtection="1">
      <alignment horizontal="left" vertical="center"/>
      <protection hidden="1"/>
    </xf>
    <xf numFmtId="174" fontId="0" fillId="0" borderId="0" xfId="0" applyProtection="1">
      <protection locked="0"/>
    </xf>
    <xf numFmtId="174" fontId="0" fillId="0" borderId="0" xfId="0" applyAlignment="1" applyProtection="1">
      <protection locked="0"/>
    </xf>
    <xf numFmtId="181" fontId="0" fillId="0" borderId="0" xfId="0" applyNumberFormat="1" applyAlignment="1" applyProtection="1">
      <protection locked="0"/>
    </xf>
    <xf numFmtId="40" fontId="0" fillId="0" borderId="19" xfId="0" applyNumberFormat="1" applyBorder="1" applyProtection="1">
      <protection hidden="1"/>
    </xf>
    <xf numFmtId="174" fontId="0" fillId="26" borderId="0" xfId="0" applyFill="1" applyProtection="1">
      <protection locked="0"/>
    </xf>
    <xf numFmtId="174" fontId="0" fillId="27" borderId="0" xfId="0" applyFill="1" applyProtection="1">
      <protection locked="0"/>
    </xf>
    <xf numFmtId="174" fontId="0" fillId="28" borderId="0" xfId="0" applyFill="1" applyProtection="1">
      <protection locked="0"/>
    </xf>
    <xf numFmtId="174" fontId="0" fillId="18" borderId="0" xfId="0" applyFill="1" applyProtection="1">
      <protection locked="0"/>
    </xf>
    <xf numFmtId="40" fontId="0" fillId="0" borderId="19" xfId="0" applyNumberFormat="1" applyBorder="1" applyProtection="1">
      <protection locked="0"/>
    </xf>
    <xf numFmtId="39" fontId="0" fillId="0" borderId="0" xfId="0" applyNumberFormat="1" applyProtection="1">
      <protection locked="0"/>
    </xf>
    <xf numFmtId="40" fontId="0" fillId="0" borderId="70" xfId="0" applyNumberFormat="1" applyFill="1" applyBorder="1" applyProtection="1">
      <protection locked="0"/>
    </xf>
    <xf numFmtId="40" fontId="0" fillId="14" borderId="19" xfId="0" applyNumberFormat="1" applyFill="1" applyBorder="1" applyProtection="1">
      <protection locked="0"/>
    </xf>
    <xf numFmtId="181" fontId="0" fillId="0" borderId="19" xfId="0" applyNumberFormat="1" applyBorder="1" applyProtection="1">
      <protection locked="0"/>
    </xf>
    <xf numFmtId="174" fontId="0" fillId="0" borderId="19" xfId="0" applyBorder="1" applyProtection="1">
      <protection locked="0"/>
    </xf>
    <xf numFmtId="181" fontId="0" fillId="0" borderId="19" xfId="0" applyNumberFormat="1" applyFill="1" applyBorder="1" applyProtection="1">
      <protection locked="0"/>
    </xf>
    <xf numFmtId="181" fontId="0" fillId="14" borderId="19" xfId="0" applyNumberFormat="1" applyFill="1" applyBorder="1" applyProtection="1">
      <protection locked="0"/>
    </xf>
    <xf numFmtId="39" fontId="0" fillId="0" borderId="19" xfId="0" applyNumberFormat="1" applyBorder="1" applyProtection="1">
      <protection locked="0"/>
    </xf>
    <xf numFmtId="174" fontId="0" fillId="14" borderId="19" xfId="0" applyFill="1" applyBorder="1" applyProtection="1">
      <protection locked="0"/>
    </xf>
    <xf numFmtId="39" fontId="0" fillId="0" borderId="19" xfId="0" applyNumberFormat="1" applyFill="1" applyBorder="1" applyProtection="1">
      <protection locked="0"/>
    </xf>
    <xf numFmtId="40" fontId="0" fillId="0" borderId="19" xfId="0" applyNumberFormat="1" applyFill="1" applyBorder="1" applyProtection="1">
      <protection locked="0"/>
    </xf>
    <xf numFmtId="174" fontId="0" fillId="4" borderId="0" xfId="0" applyFill="1"/>
    <xf numFmtId="164" fontId="15" fillId="0" borderId="20" xfId="0" applyNumberFormat="1" applyFont="1" applyFill="1" applyBorder="1" applyAlignment="1" applyProtection="1">
      <alignment horizontal="center" vertical="center"/>
      <protection locked="0"/>
    </xf>
    <xf numFmtId="37" fontId="28" fillId="4" borderId="20" xfId="0" applyNumberFormat="1" applyFont="1" applyFill="1" applyBorder="1" applyAlignment="1" applyProtection="1">
      <alignment horizontal="right" vertical="center"/>
      <protection hidden="1"/>
    </xf>
    <xf numFmtId="38" fontId="28" fillId="4" borderId="20" xfId="0" applyNumberFormat="1" applyFont="1" applyFill="1" applyBorder="1" applyAlignment="1" applyProtection="1">
      <alignment horizontal="center" vertical="center"/>
      <protection hidden="1"/>
    </xf>
    <xf numFmtId="3" fontId="5" fillId="4" borderId="20" xfId="0" applyNumberFormat="1" applyFont="1" applyFill="1" applyBorder="1" applyAlignment="1" applyProtection="1">
      <alignment horizontal="center" vertical="center"/>
    </xf>
    <xf numFmtId="44" fontId="28" fillId="4" borderId="20" xfId="1" applyNumberFormat="1" applyFont="1" applyFill="1" applyBorder="1" applyAlignment="1" applyProtection="1">
      <alignment horizontal="left" vertical="center"/>
      <protection hidden="1"/>
    </xf>
    <xf numFmtId="7" fontId="6" fillId="11" borderId="20" xfId="2" applyNumberFormat="1" applyFont="1" applyFill="1" applyBorder="1" applyAlignment="1" applyProtection="1">
      <alignment vertical="center"/>
      <protection locked="0"/>
    </xf>
    <xf numFmtId="7" fontId="6" fillId="11" borderId="10" xfId="2" applyNumberFormat="1" applyFont="1" applyFill="1" applyBorder="1" applyAlignment="1" applyProtection="1">
      <alignment vertical="center"/>
      <protection locked="0"/>
    </xf>
    <xf numFmtId="7" fontId="6" fillId="11" borderId="20" xfId="2" applyNumberFormat="1" applyFont="1" applyFill="1" applyBorder="1" applyAlignment="1" applyProtection="1">
      <alignment horizontal="right" vertical="center"/>
      <protection locked="0"/>
    </xf>
    <xf numFmtId="44" fontId="6" fillId="0" borderId="20" xfId="2" applyFont="1" applyFill="1" applyBorder="1" applyAlignment="1" applyProtection="1">
      <alignment horizontal="right" vertical="center"/>
      <protection locked="0"/>
    </xf>
    <xf numFmtId="7" fontId="6" fillId="2" borderId="20" xfId="2" applyNumberFormat="1" applyFont="1" applyFill="1" applyBorder="1" applyAlignment="1" applyProtection="1">
      <alignment horizontal="right" vertical="center"/>
      <protection locked="0"/>
    </xf>
    <xf numFmtId="7" fontId="5" fillId="2" borderId="0" xfId="0" applyNumberFormat="1" applyFont="1" applyFill="1" applyAlignment="1" applyProtection="1">
      <protection locked="0"/>
    </xf>
    <xf numFmtId="44" fontId="6" fillId="0" borderId="20" xfId="2" applyNumberFormat="1" applyFont="1" applyFill="1" applyBorder="1" applyAlignment="1" applyProtection="1">
      <alignment vertical="center"/>
      <protection locked="0"/>
    </xf>
    <xf numFmtId="0" fontId="9" fillId="2" borderId="20" xfId="0" applyNumberFormat="1" applyFont="1" applyFill="1" applyBorder="1" applyAlignment="1" applyProtection="1">
      <alignment horizontal="center" vertical="center"/>
      <protection locked="0"/>
    </xf>
    <xf numFmtId="174" fontId="6" fillId="11" borderId="36" xfId="0" applyFont="1" applyFill="1" applyBorder="1" applyAlignment="1" applyProtection="1">
      <alignment horizontal="left" vertical="center"/>
      <protection locked="0"/>
    </xf>
    <xf numFmtId="174" fontId="6" fillId="11" borderId="36" xfId="0" applyFont="1" applyFill="1" applyBorder="1" applyAlignment="1" applyProtection="1">
      <alignment vertical="center"/>
      <protection locked="0"/>
    </xf>
    <xf numFmtId="44" fontId="14" fillId="2" borderId="20" xfId="2" applyFont="1" applyFill="1" applyBorder="1" applyAlignment="1" applyProtection="1">
      <alignment horizontal="center" vertical="center" wrapText="1"/>
      <protection locked="0"/>
    </xf>
    <xf numFmtId="37" fontId="15" fillId="2" borderId="20" xfId="0" applyNumberFormat="1" applyFont="1" applyFill="1" applyBorder="1" applyAlignment="1" applyProtection="1">
      <alignment horizontal="center" vertical="center"/>
      <protection locked="0"/>
    </xf>
    <xf numFmtId="166" fontId="15" fillId="2" borderId="20" xfId="0" applyNumberFormat="1" applyFont="1" applyFill="1" applyBorder="1" applyAlignment="1" applyProtection="1">
      <alignment horizontal="center" vertical="center"/>
      <protection locked="0"/>
    </xf>
    <xf numFmtId="44" fontId="15" fillId="2" borderId="20" xfId="0" applyNumberFormat="1" applyFont="1" applyFill="1" applyBorder="1" applyAlignment="1" applyProtection="1">
      <alignment horizontal="left" vertical="center"/>
      <protection locked="0"/>
    </xf>
    <xf numFmtId="164" fontId="15" fillId="7" borderId="37" xfId="0" applyNumberFormat="1" applyFont="1" applyFill="1" applyBorder="1" applyAlignment="1" applyProtection="1">
      <alignment horizontal="center" vertical="center"/>
      <protection locked="0"/>
    </xf>
    <xf numFmtId="166" fontId="15" fillId="2" borderId="37" xfId="0" applyNumberFormat="1" applyFont="1" applyFill="1" applyBorder="1" applyAlignment="1" applyProtection="1">
      <alignment horizontal="center" vertical="center"/>
      <protection locked="0"/>
    </xf>
    <xf numFmtId="44" fontId="15" fillId="2" borderId="37" xfId="0" applyNumberFormat="1" applyFont="1" applyFill="1" applyBorder="1" applyAlignment="1" applyProtection="1">
      <alignment horizontal="left" vertical="center"/>
      <protection locked="0"/>
    </xf>
    <xf numFmtId="37" fontId="15" fillId="2" borderId="9" xfId="0" applyNumberFormat="1" applyFont="1" applyFill="1" applyBorder="1" applyAlignment="1" applyProtection="1">
      <alignment horizontal="center" vertical="center"/>
      <protection locked="0"/>
    </xf>
    <xf numFmtId="37" fontId="15" fillId="2" borderId="8" xfId="0" applyNumberFormat="1" applyFont="1" applyFill="1" applyBorder="1" applyAlignment="1" applyProtection="1">
      <alignment horizontal="center" vertical="center"/>
      <protection locked="0"/>
    </xf>
    <xf numFmtId="164" fontId="15" fillId="2" borderId="20" xfId="0" applyNumberFormat="1" applyFont="1" applyFill="1" applyBorder="1" applyAlignment="1" applyProtection="1">
      <alignment horizontal="center" vertical="center"/>
      <protection locked="0"/>
    </xf>
    <xf numFmtId="175" fontId="15" fillId="2" borderId="20" xfId="0" applyNumberFormat="1" applyFont="1" applyFill="1" applyBorder="1" applyAlignment="1" applyProtection="1">
      <alignment horizontal="center" vertical="center"/>
      <protection locked="0"/>
    </xf>
    <xf numFmtId="164" fontId="15" fillId="2" borderId="9" xfId="0" applyNumberFormat="1" applyFont="1" applyFill="1" applyBorder="1" applyAlignment="1" applyProtection="1">
      <alignment horizontal="center" vertical="center"/>
      <protection locked="0"/>
    </xf>
    <xf numFmtId="166" fontId="15" fillId="2" borderId="9" xfId="1" applyNumberFormat="1" applyFont="1" applyFill="1" applyBorder="1" applyAlignment="1" applyProtection="1">
      <alignment horizontal="center" vertical="center"/>
      <protection locked="0"/>
    </xf>
    <xf numFmtId="44" fontId="15" fillId="2" borderId="10" xfId="2" applyNumberFormat="1" applyFont="1" applyFill="1" applyBorder="1" applyAlignment="1" applyProtection="1">
      <alignment horizontal="left" vertical="center"/>
      <protection locked="0"/>
    </xf>
    <xf numFmtId="37" fontId="15" fillId="0" borderId="8" xfId="0" applyNumberFormat="1" applyFont="1" applyFill="1" applyBorder="1" applyAlignment="1" applyProtection="1">
      <alignment horizontal="center" vertical="center"/>
      <protection locked="0"/>
    </xf>
    <xf numFmtId="164" fontId="15" fillId="0" borderId="0" xfId="0" applyNumberFormat="1" applyFont="1" applyFill="1" applyBorder="1" applyAlignment="1" applyProtection="1">
      <alignment horizontal="center" vertical="center"/>
      <protection locked="0"/>
    </xf>
    <xf numFmtId="166" fontId="15" fillId="2" borderId="0" xfId="1" applyNumberFormat="1" applyFont="1" applyFill="1" applyBorder="1" applyAlignment="1" applyProtection="1">
      <alignment horizontal="center" vertical="center"/>
      <protection locked="0"/>
    </xf>
    <xf numFmtId="44" fontId="15" fillId="2" borderId="0" xfId="2" applyNumberFormat="1" applyFont="1" applyFill="1" applyBorder="1" applyAlignment="1" applyProtection="1">
      <alignment horizontal="left" vertical="center"/>
      <protection locked="0"/>
    </xf>
    <xf numFmtId="37" fontId="15" fillId="0" borderId="35" xfId="0" applyNumberFormat="1" applyFont="1" applyFill="1" applyBorder="1" applyAlignment="1" applyProtection="1">
      <alignment horizontal="center" vertical="center"/>
      <protection locked="0"/>
    </xf>
    <xf numFmtId="40" fontId="15" fillId="2" borderId="0" xfId="2" applyNumberFormat="1" applyFont="1" applyFill="1" applyBorder="1" applyAlignment="1" applyProtection="1">
      <alignment horizontal="right" vertical="center"/>
      <protection locked="0"/>
    </xf>
    <xf numFmtId="49" fontId="9" fillId="2" borderId="20" xfId="0" applyNumberFormat="1" applyFont="1" applyFill="1" applyBorder="1" applyAlignment="1" applyProtection="1">
      <alignment horizontal="center" vertical="center"/>
      <protection hidden="1"/>
    </xf>
    <xf numFmtId="174" fontId="6" fillId="11" borderId="8" xfId="0" applyFont="1" applyFill="1" applyBorder="1" applyAlignment="1" applyProtection="1">
      <alignment vertical="center"/>
      <protection hidden="1"/>
    </xf>
    <xf numFmtId="49" fontId="5" fillId="2" borderId="20" xfId="0" applyNumberFormat="1" applyFont="1" applyFill="1" applyBorder="1" applyAlignment="1" applyProtection="1">
      <alignment horizontal="center" vertical="center"/>
      <protection hidden="1"/>
    </xf>
    <xf numFmtId="174" fontId="41" fillId="2" borderId="0" xfId="0" applyFont="1" applyFill="1" applyAlignment="1" applyProtection="1">
      <alignment horizontal="right" vertical="center"/>
      <protection hidden="1"/>
    </xf>
    <xf numFmtId="44" fontId="15" fillId="2" borderId="20" xfId="1" applyNumberFormat="1" applyFont="1" applyFill="1" applyBorder="1" applyAlignment="1" applyProtection="1">
      <alignment horizontal="right" vertical="center"/>
      <protection hidden="1"/>
    </xf>
    <xf numFmtId="174" fontId="6" fillId="2" borderId="8" xfId="0" applyFont="1" applyFill="1" applyBorder="1" applyAlignment="1" applyProtection="1">
      <alignment horizontal="left" vertical="center"/>
      <protection locked="0"/>
    </xf>
    <xf numFmtId="174" fontId="6" fillId="2" borderId="10" xfId="0" applyFont="1" applyFill="1" applyBorder="1" applyAlignment="1" applyProtection="1">
      <alignment horizontal="left" vertical="center"/>
      <protection locked="0"/>
    </xf>
    <xf numFmtId="0" fontId="82" fillId="0" borderId="0" xfId="21" applyFont="1" applyAlignment="1" applyProtection="1">
      <alignment horizontal="left" vertical="center"/>
      <protection locked="0"/>
    </xf>
    <xf numFmtId="0" fontId="82" fillId="0" borderId="0" xfId="21" applyFont="1" applyBorder="1" applyAlignment="1" applyProtection="1">
      <alignment horizontal="left" vertical="center"/>
      <protection locked="0"/>
    </xf>
    <xf numFmtId="40" fontId="81" fillId="0" borderId="0" xfId="21" applyNumberFormat="1" applyFont="1" applyBorder="1" applyAlignment="1" applyProtection="1">
      <alignment horizontal="center" vertical="center"/>
      <protection hidden="1"/>
    </xf>
    <xf numFmtId="177" fontId="88" fillId="4" borderId="0" xfId="0" applyNumberFormat="1" applyFont="1" applyFill="1" applyAlignment="1">
      <alignment horizontal="center"/>
    </xf>
    <xf numFmtId="38" fontId="5" fillId="2" borderId="0" xfId="0" applyNumberFormat="1" applyFont="1" applyFill="1" applyBorder="1" applyAlignment="1" applyProtection="1">
      <alignment horizontal="center" vertical="center"/>
      <protection locked="0"/>
    </xf>
    <xf numFmtId="38" fontId="5" fillId="2" borderId="0" xfId="0" applyNumberFormat="1" applyFont="1" applyFill="1" applyAlignment="1" applyProtection="1">
      <alignment horizontal="center" vertical="center"/>
      <protection locked="0"/>
    </xf>
    <xf numFmtId="38" fontId="5" fillId="14" borderId="20" xfId="0" applyNumberFormat="1" applyFont="1" applyFill="1" applyBorder="1" applyAlignment="1" applyProtection="1">
      <alignment horizontal="left" vertical="center"/>
      <protection locked="0"/>
    </xf>
    <xf numFmtId="174" fontId="28" fillId="14" borderId="20" xfId="0" applyFont="1" applyFill="1" applyBorder="1" applyAlignment="1" applyProtection="1">
      <alignment horizontal="left" vertical="center"/>
      <protection locked="0"/>
    </xf>
    <xf numFmtId="38" fontId="5" fillId="16" borderId="21" xfId="0" applyNumberFormat="1" applyFont="1" applyFill="1" applyBorder="1" applyAlignment="1" applyProtection="1">
      <alignment horizontal="left" vertical="center"/>
      <protection locked="0"/>
    </xf>
    <xf numFmtId="174" fontId="28" fillId="16" borderId="20" xfId="0" applyFont="1" applyFill="1" applyBorder="1" applyAlignment="1" applyProtection="1">
      <alignment horizontal="left" vertical="center"/>
      <protection locked="0"/>
    </xf>
    <xf numFmtId="174" fontId="43" fillId="2" borderId="1" xfId="0" applyFont="1" applyFill="1" applyBorder="1" applyAlignment="1" applyProtection="1">
      <alignment horizontal="center" wrapText="1"/>
      <protection locked="0"/>
    </xf>
    <xf numFmtId="174" fontId="43" fillId="2" borderId="2" xfId="0" applyFont="1" applyFill="1" applyBorder="1" applyAlignment="1" applyProtection="1">
      <alignment horizontal="center" wrapText="1"/>
      <protection locked="0"/>
    </xf>
    <xf numFmtId="174" fontId="43" fillId="2" borderId="3" xfId="0" applyFont="1" applyFill="1" applyBorder="1" applyAlignment="1" applyProtection="1">
      <alignment horizontal="center" wrapText="1"/>
      <protection locked="0"/>
    </xf>
    <xf numFmtId="174" fontId="15" fillId="2" borderId="16" xfId="0" applyNumberFormat="1" applyFont="1" applyFill="1" applyBorder="1" applyAlignment="1" applyProtection="1">
      <alignment horizontal="center"/>
      <protection hidden="1"/>
    </xf>
    <xf numFmtId="174" fontId="15" fillId="2" borderId="17" xfId="0" applyNumberFormat="1" applyFont="1" applyFill="1" applyBorder="1" applyAlignment="1" applyProtection="1">
      <alignment horizontal="center"/>
      <protection hidden="1"/>
    </xf>
    <xf numFmtId="174" fontId="15" fillId="2" borderId="18" xfId="0" applyNumberFormat="1" applyFont="1" applyFill="1" applyBorder="1" applyAlignment="1" applyProtection="1">
      <alignment horizontal="center"/>
      <protection hidden="1"/>
    </xf>
    <xf numFmtId="174" fontId="40" fillId="2" borderId="20" xfId="0" applyFont="1" applyFill="1" applyBorder="1" applyAlignment="1" applyProtection="1">
      <alignment horizontal="center" vertical="center"/>
      <protection locked="0"/>
    </xf>
    <xf numFmtId="174" fontId="39" fillId="2" borderId="20" xfId="0" applyFont="1" applyFill="1" applyBorder="1" applyAlignment="1" applyProtection="1">
      <alignment horizontal="center" vertical="center"/>
      <protection locked="0"/>
    </xf>
    <xf numFmtId="174" fontId="6" fillId="2" borderId="20" xfId="0" applyFont="1" applyFill="1" applyBorder="1" applyAlignment="1" applyProtection="1">
      <alignment horizontal="left" vertical="center"/>
      <protection locked="0"/>
    </xf>
    <xf numFmtId="174" fontId="6" fillId="2" borderId="20" xfId="0" applyFont="1" applyFill="1" applyBorder="1" applyAlignment="1" applyProtection="1">
      <alignment horizontal="left" vertical="center"/>
      <protection hidden="1"/>
    </xf>
    <xf numFmtId="174" fontId="6" fillId="2" borderId="8" xfId="0" applyFont="1" applyFill="1" applyBorder="1" applyAlignment="1" applyProtection="1">
      <alignment horizontal="left" vertical="center"/>
      <protection hidden="1"/>
    </xf>
    <xf numFmtId="174" fontId="6" fillId="2" borderId="10" xfId="0" applyFont="1" applyFill="1" applyBorder="1" applyAlignment="1" applyProtection="1">
      <alignment horizontal="left" vertical="center"/>
      <protection hidden="1"/>
    </xf>
    <xf numFmtId="174" fontId="6" fillId="2" borderId="20" xfId="5" applyFont="1" applyFill="1" applyBorder="1" applyAlignment="1" applyProtection="1">
      <alignment horizontal="left" vertical="center"/>
      <protection locked="0"/>
    </xf>
    <xf numFmtId="174" fontId="6" fillId="11" borderId="8" xfId="0" applyFont="1" applyFill="1" applyBorder="1" applyAlignment="1" applyProtection="1">
      <alignment horizontal="left" vertical="center"/>
      <protection hidden="1"/>
    </xf>
    <xf numFmtId="174" fontId="6" fillId="11" borderId="10" xfId="0" applyFont="1" applyFill="1" applyBorder="1" applyAlignment="1" applyProtection="1">
      <alignment horizontal="left" vertical="center"/>
      <protection hidden="1"/>
    </xf>
    <xf numFmtId="174" fontId="6" fillId="0" borderId="20" xfId="0" applyFont="1" applyFill="1" applyBorder="1" applyAlignment="1" applyProtection="1">
      <alignment horizontal="left" vertical="center"/>
      <protection hidden="1"/>
    </xf>
    <xf numFmtId="174" fontId="6" fillId="2" borderId="8" xfId="0" applyFont="1" applyFill="1" applyBorder="1" applyAlignment="1" applyProtection="1">
      <alignment horizontal="left" vertical="center"/>
      <protection locked="0"/>
    </xf>
    <xf numFmtId="174" fontId="6" fillId="2" borderId="10" xfId="0" applyFont="1" applyFill="1" applyBorder="1" applyAlignment="1" applyProtection="1">
      <alignment horizontal="left" vertical="center"/>
      <protection locked="0"/>
    </xf>
    <xf numFmtId="174" fontId="6" fillId="0" borderId="20" xfId="0" applyFont="1" applyFill="1" applyBorder="1" applyAlignment="1" applyProtection="1">
      <alignment horizontal="left" vertical="center"/>
      <protection locked="0"/>
    </xf>
    <xf numFmtId="174" fontId="6" fillId="2" borderId="37" xfId="0" applyFont="1" applyFill="1" applyBorder="1" applyAlignment="1" applyProtection="1">
      <alignment horizontal="left" vertical="center"/>
      <protection hidden="1"/>
    </xf>
    <xf numFmtId="38" fontId="28" fillId="2" borderId="8" xfId="0" applyNumberFormat="1" applyFont="1" applyFill="1" applyBorder="1" applyAlignment="1" applyProtection="1">
      <alignment horizontal="left" vertical="center"/>
      <protection locked="0"/>
    </xf>
    <xf numFmtId="38" fontId="28" fillId="2" borderId="10" xfId="0" applyNumberFormat="1" applyFont="1" applyFill="1" applyBorder="1" applyAlignment="1" applyProtection="1">
      <alignment horizontal="left" vertical="center"/>
      <protection locked="0"/>
    </xf>
    <xf numFmtId="38" fontId="5" fillId="2" borderId="8" xfId="0" applyNumberFormat="1" applyFont="1" applyFill="1" applyBorder="1" applyAlignment="1" applyProtection="1">
      <alignment horizontal="left" vertical="center"/>
      <protection locked="0"/>
    </xf>
    <xf numFmtId="38" fontId="5" fillId="2" borderId="10" xfId="0" applyNumberFormat="1" applyFont="1" applyFill="1" applyBorder="1" applyAlignment="1" applyProtection="1">
      <alignment horizontal="left" vertical="center"/>
      <protection locked="0"/>
    </xf>
    <xf numFmtId="38" fontId="44" fillId="2" borderId="0" xfId="0" applyNumberFormat="1" applyFont="1" applyFill="1" applyAlignment="1" applyProtection="1">
      <alignment horizontal="left" vertical="center"/>
      <protection locked="0"/>
    </xf>
    <xf numFmtId="174" fontId="44" fillId="2" borderId="0" xfId="0" applyFont="1" applyFill="1" applyAlignment="1" applyProtection="1">
      <alignment horizontal="left" vertical="center"/>
      <protection locked="0"/>
    </xf>
    <xf numFmtId="38" fontId="39" fillId="2" borderId="20" xfId="0" applyNumberFormat="1" applyFont="1" applyFill="1" applyBorder="1" applyAlignment="1" applyProtection="1">
      <alignment horizontal="center" vertical="center"/>
      <protection locked="0"/>
    </xf>
    <xf numFmtId="38" fontId="28" fillId="2" borderId="20" xfId="0" applyNumberFormat="1" applyFont="1" applyFill="1" applyBorder="1" applyAlignment="1" applyProtection="1">
      <alignment horizontal="left" vertical="center"/>
      <protection locked="0"/>
    </xf>
    <xf numFmtId="38" fontId="6" fillId="2" borderId="8" xfId="0" applyNumberFormat="1" applyFont="1" applyFill="1" applyBorder="1" applyAlignment="1" applyProtection="1">
      <alignment horizontal="left" vertical="center"/>
      <protection hidden="1"/>
    </xf>
    <xf numFmtId="38" fontId="6" fillId="2" borderId="10" xfId="0" applyNumberFormat="1" applyFont="1" applyFill="1" applyBorder="1" applyAlignment="1" applyProtection="1">
      <alignment horizontal="left" vertical="center"/>
      <protection hidden="1"/>
    </xf>
    <xf numFmtId="38" fontId="30" fillId="2" borderId="41" xfId="0" applyNumberFormat="1" applyFont="1" applyFill="1" applyBorder="1" applyAlignment="1" applyProtection="1">
      <alignment horizontal="left" vertical="center"/>
      <protection locked="0"/>
    </xf>
    <xf numFmtId="38" fontId="30" fillId="2" borderId="0" xfId="0" applyNumberFormat="1" applyFont="1" applyFill="1" applyBorder="1" applyAlignment="1" applyProtection="1">
      <alignment horizontal="left" vertical="center"/>
      <protection locked="0"/>
    </xf>
    <xf numFmtId="38" fontId="30" fillId="2" borderId="40" xfId="0" applyNumberFormat="1" applyFont="1" applyFill="1" applyBorder="1" applyAlignment="1" applyProtection="1">
      <alignment horizontal="left" vertical="center"/>
      <protection locked="0"/>
    </xf>
    <xf numFmtId="38" fontId="31" fillId="2" borderId="8" xfId="0" applyNumberFormat="1" applyFont="1" applyFill="1" applyBorder="1" applyAlignment="1" applyProtection="1">
      <alignment horizontal="left" vertical="center"/>
      <protection locked="0"/>
    </xf>
    <xf numFmtId="38" fontId="31" fillId="2" borderId="9" xfId="0" applyNumberFormat="1" applyFont="1" applyFill="1" applyBorder="1" applyAlignment="1" applyProtection="1">
      <alignment horizontal="left" vertical="center"/>
      <protection locked="0"/>
    </xf>
    <xf numFmtId="38" fontId="31" fillId="2" borderId="10" xfId="0" applyNumberFormat="1" applyFont="1" applyFill="1" applyBorder="1" applyAlignment="1" applyProtection="1">
      <alignment horizontal="left" vertical="center"/>
      <protection locked="0"/>
    </xf>
    <xf numFmtId="38" fontId="28" fillId="2" borderId="20" xfId="0" applyNumberFormat="1" applyFont="1" applyFill="1" applyBorder="1" applyAlignment="1" applyProtection="1">
      <alignment horizontal="left" vertical="center"/>
      <protection hidden="1"/>
    </xf>
    <xf numFmtId="38" fontId="28" fillId="2" borderId="20" xfId="0" applyNumberFormat="1" applyFont="1" applyFill="1" applyBorder="1" applyAlignment="1" applyProtection="1">
      <alignment horizontal="center" vertical="center"/>
      <protection hidden="1"/>
    </xf>
    <xf numFmtId="38" fontId="28" fillId="17" borderId="8" xfId="0" applyNumberFormat="1" applyFont="1" applyFill="1" applyBorder="1" applyAlignment="1" applyProtection="1">
      <alignment horizontal="left" vertical="center"/>
      <protection hidden="1"/>
    </xf>
    <xf numFmtId="38" fontId="28" fillId="17" borderId="10" xfId="0" applyNumberFormat="1" applyFont="1" applyFill="1" applyBorder="1" applyAlignment="1" applyProtection="1">
      <alignment horizontal="left" vertical="center"/>
      <protection hidden="1"/>
    </xf>
    <xf numFmtId="38" fontId="28" fillId="2" borderId="0" xfId="0" applyNumberFormat="1" applyFont="1" applyFill="1" applyBorder="1" applyAlignment="1" applyProtection="1">
      <alignment horizontal="right" vertical="center"/>
      <protection locked="0"/>
    </xf>
    <xf numFmtId="169" fontId="29" fillId="2" borderId="20" xfId="0" applyNumberFormat="1" applyFont="1" applyFill="1" applyBorder="1" applyAlignment="1" applyProtection="1">
      <alignment horizontal="center" vertical="center"/>
      <protection locked="0"/>
    </xf>
    <xf numFmtId="174" fontId="24" fillId="2" borderId="1" xfId="0" applyFont="1" applyFill="1" applyBorder="1" applyAlignment="1" applyProtection="1">
      <alignment horizontal="center"/>
      <protection locked="0"/>
    </xf>
    <xf numFmtId="174" fontId="24" fillId="2" borderId="2" xfId="0" applyFont="1" applyFill="1" applyBorder="1" applyAlignment="1" applyProtection="1">
      <alignment horizontal="center"/>
      <protection locked="0"/>
    </xf>
    <xf numFmtId="174" fontId="24" fillId="2" borderId="3" xfId="0" applyFont="1" applyFill="1" applyBorder="1" applyAlignment="1" applyProtection="1">
      <alignment horizontal="center"/>
      <protection locked="0"/>
    </xf>
    <xf numFmtId="174" fontId="11" fillId="2" borderId="16" xfId="0" applyNumberFormat="1" applyFont="1" applyFill="1" applyBorder="1" applyAlignment="1" applyProtection="1">
      <alignment horizontal="center"/>
      <protection hidden="1"/>
    </xf>
    <xf numFmtId="174" fontId="11" fillId="2" borderId="17" xfId="0" applyNumberFormat="1" applyFont="1" applyFill="1" applyBorder="1" applyAlignment="1" applyProtection="1">
      <alignment horizontal="center"/>
      <protection hidden="1"/>
    </xf>
    <xf numFmtId="174" fontId="11" fillId="2" borderId="18" xfId="0" applyNumberFormat="1" applyFont="1" applyFill="1" applyBorder="1" applyAlignment="1" applyProtection="1">
      <alignment horizontal="center"/>
      <protection hidden="1"/>
    </xf>
    <xf numFmtId="174" fontId="29" fillId="3" borderId="20" xfId="0" applyFont="1" applyFill="1" applyBorder="1" applyAlignment="1" applyProtection="1">
      <alignment horizontal="center" vertical="center"/>
      <protection locked="0"/>
    </xf>
    <xf numFmtId="38" fontId="28" fillId="2" borderId="8" xfId="0" applyNumberFormat="1" applyFont="1" applyFill="1" applyBorder="1" applyAlignment="1" applyProtection="1">
      <alignment horizontal="left" vertical="center"/>
      <protection hidden="1"/>
    </xf>
    <xf numFmtId="38" fontId="28" fillId="2" borderId="10" xfId="0" applyNumberFormat="1" applyFont="1" applyFill="1" applyBorder="1" applyAlignment="1" applyProtection="1">
      <alignment horizontal="left" vertical="center"/>
      <protection hidden="1"/>
    </xf>
    <xf numFmtId="174" fontId="0" fillId="2" borderId="0" xfId="0" applyFill="1" applyAlignment="1" applyProtection="1">
      <alignment horizontal="left"/>
      <protection locked="0"/>
    </xf>
    <xf numFmtId="174" fontId="7" fillId="2" borderId="58" xfId="0" applyFont="1" applyFill="1" applyBorder="1" applyAlignment="1" applyProtection="1">
      <alignment horizontal="center" vertical="center" wrapText="1"/>
      <protection locked="0"/>
    </xf>
    <xf numFmtId="174" fontId="7" fillId="2" borderId="35" xfId="0" applyFont="1" applyFill="1" applyBorder="1" applyAlignment="1" applyProtection="1">
      <alignment horizontal="center" vertical="center" wrapText="1"/>
      <protection locked="0"/>
    </xf>
    <xf numFmtId="174" fontId="7" fillId="2" borderId="36" xfId="0" applyFont="1" applyFill="1" applyBorder="1" applyAlignment="1" applyProtection="1">
      <alignment horizontal="center" vertical="center" wrapText="1"/>
      <protection locked="0"/>
    </xf>
    <xf numFmtId="174" fontId="7" fillId="2" borderId="59" xfId="0" applyFont="1" applyFill="1" applyBorder="1" applyAlignment="1" applyProtection="1">
      <alignment horizontal="center" vertical="center" wrapText="1"/>
      <protection locked="0"/>
    </xf>
    <xf numFmtId="174" fontId="7" fillId="2" borderId="6" xfId="0" applyFont="1" applyFill="1" applyBorder="1" applyAlignment="1" applyProtection="1">
      <alignment horizontal="center" vertical="center" wrapText="1"/>
      <protection locked="0"/>
    </xf>
    <xf numFmtId="174" fontId="7" fillId="2" borderId="13" xfId="0" applyFont="1" applyFill="1" applyBorder="1" applyAlignment="1" applyProtection="1">
      <alignment horizontal="center" vertical="center" wrapText="1"/>
      <protection locked="0"/>
    </xf>
    <xf numFmtId="174" fontId="0" fillId="2" borderId="21" xfId="0" applyFill="1" applyBorder="1" applyAlignment="1" applyProtection="1">
      <alignment horizontal="center" vertical="center"/>
      <protection locked="0"/>
    </xf>
    <xf numFmtId="174" fontId="0" fillId="2" borderId="37" xfId="0" applyFill="1" applyBorder="1" applyAlignment="1" applyProtection="1">
      <alignment horizontal="center" vertical="center"/>
      <protection locked="0"/>
    </xf>
    <xf numFmtId="38" fontId="31" fillId="2" borderId="8" xfId="0" quotePrefix="1" applyNumberFormat="1" applyFont="1" applyFill="1" applyBorder="1" applyAlignment="1" applyProtection="1">
      <alignment horizontal="left" vertical="center"/>
      <protection locked="0"/>
    </xf>
    <xf numFmtId="38" fontId="31" fillId="2" borderId="9" xfId="0" quotePrefix="1" applyNumberFormat="1" applyFont="1" applyFill="1" applyBorder="1" applyAlignment="1" applyProtection="1">
      <alignment horizontal="left" vertical="center"/>
      <protection locked="0"/>
    </xf>
    <xf numFmtId="38" fontId="31" fillId="2" borderId="10" xfId="0" quotePrefix="1" applyNumberFormat="1" applyFont="1" applyFill="1" applyBorder="1" applyAlignment="1" applyProtection="1">
      <alignment horizontal="left" vertical="center"/>
      <protection locked="0"/>
    </xf>
    <xf numFmtId="174" fontId="29" fillId="14" borderId="8" xfId="0" applyFont="1" applyFill="1" applyBorder="1" applyAlignment="1" applyProtection="1">
      <alignment horizontal="center" vertical="center"/>
      <protection locked="0"/>
    </xf>
    <xf numFmtId="174" fontId="29" fillId="14" borderId="9" xfId="0" applyFont="1" applyFill="1" applyBorder="1" applyAlignment="1" applyProtection="1">
      <alignment horizontal="center" vertical="center"/>
      <protection locked="0"/>
    </xf>
    <xf numFmtId="174" fontId="29" fillId="14" borderId="10" xfId="0" applyFont="1" applyFill="1" applyBorder="1" applyAlignment="1" applyProtection="1">
      <alignment horizontal="center" vertical="center"/>
      <protection locked="0"/>
    </xf>
    <xf numFmtId="38" fontId="28" fillId="2" borderId="8" xfId="0" applyNumberFormat="1" applyFont="1" applyFill="1" applyBorder="1" applyAlignment="1" applyProtection="1">
      <alignment horizontal="center" vertical="center"/>
      <protection hidden="1"/>
    </xf>
    <xf numFmtId="38" fontId="28" fillId="2" borderId="10" xfId="0" applyNumberFormat="1" applyFont="1" applyFill="1" applyBorder="1" applyAlignment="1" applyProtection="1">
      <alignment horizontal="center" vertical="center"/>
      <protection hidden="1"/>
    </xf>
    <xf numFmtId="38" fontId="28" fillId="13" borderId="20" xfId="0" applyNumberFormat="1" applyFont="1" applyFill="1" applyBorder="1" applyAlignment="1" applyProtection="1">
      <alignment horizontal="left" vertical="center"/>
      <protection hidden="1"/>
    </xf>
    <xf numFmtId="174" fontId="35" fillId="2" borderId="1" xfId="0" applyFont="1" applyFill="1" applyBorder="1" applyAlignment="1" applyProtection="1">
      <alignment horizontal="center"/>
      <protection locked="0"/>
    </xf>
    <xf numFmtId="174" fontId="35" fillId="2" borderId="2" xfId="0" applyFont="1" applyFill="1" applyBorder="1" applyAlignment="1" applyProtection="1">
      <alignment horizontal="center"/>
      <protection locked="0"/>
    </xf>
    <xf numFmtId="174" fontId="35" fillId="2" borderId="3" xfId="0" applyFont="1" applyFill="1" applyBorder="1" applyAlignment="1" applyProtection="1">
      <alignment horizontal="center"/>
      <protection locked="0"/>
    </xf>
    <xf numFmtId="174" fontId="10" fillId="2" borderId="76" xfId="0" applyFont="1" applyFill="1" applyBorder="1" applyAlignment="1" applyProtection="1">
      <alignment horizontal="center" vertical="center"/>
      <protection locked="0"/>
    </xf>
    <xf numFmtId="174" fontId="10" fillId="2" borderId="65" xfId="0" applyFont="1" applyFill="1" applyBorder="1" applyAlignment="1" applyProtection="1">
      <alignment horizontal="center" vertical="center"/>
      <protection locked="0"/>
    </xf>
    <xf numFmtId="174" fontId="10" fillId="2" borderId="75" xfId="0" applyFont="1" applyFill="1" applyBorder="1" applyAlignment="1" applyProtection="1">
      <alignment horizontal="center" vertical="center"/>
      <protection locked="0"/>
    </xf>
    <xf numFmtId="174" fontId="29" fillId="3" borderId="8" xfId="0" applyFont="1" applyFill="1" applyBorder="1" applyAlignment="1" applyProtection="1">
      <alignment horizontal="center" vertical="center"/>
      <protection locked="0"/>
    </xf>
    <xf numFmtId="174" fontId="29" fillId="3" borderId="9" xfId="0" applyFont="1" applyFill="1" applyBorder="1" applyAlignment="1" applyProtection="1">
      <alignment horizontal="center" vertical="center"/>
      <protection locked="0"/>
    </xf>
    <xf numFmtId="174" fontId="29" fillId="14" borderId="20" xfId="0" applyFont="1" applyFill="1" applyBorder="1" applyAlignment="1" applyProtection="1">
      <alignment horizontal="center" vertical="center"/>
      <protection locked="0"/>
    </xf>
    <xf numFmtId="38" fontId="30" fillId="2" borderId="8" xfId="0" applyNumberFormat="1" applyFont="1" applyFill="1" applyBorder="1" applyAlignment="1" applyProtection="1">
      <alignment horizontal="left" vertical="center"/>
      <protection locked="0"/>
    </xf>
    <xf numFmtId="38" fontId="30" fillId="2" borderId="9" xfId="0" applyNumberFormat="1" applyFont="1" applyFill="1" applyBorder="1" applyAlignment="1" applyProtection="1">
      <alignment horizontal="left" vertical="center"/>
      <protection locked="0"/>
    </xf>
    <xf numFmtId="38" fontId="30" fillId="2" borderId="10" xfId="0" applyNumberFormat="1" applyFont="1" applyFill="1" applyBorder="1" applyAlignment="1" applyProtection="1">
      <alignment horizontal="left" vertical="center"/>
      <protection locked="0"/>
    </xf>
    <xf numFmtId="174" fontId="29" fillId="14" borderId="20" xfId="0" applyFont="1" applyFill="1" applyBorder="1" applyAlignment="1">
      <alignment horizontal="center" vertical="center"/>
    </xf>
    <xf numFmtId="174" fontId="29" fillId="2" borderId="0" xfId="0" applyFont="1" applyFill="1" applyAlignment="1" applyProtection="1">
      <alignment horizontal="center" vertical="center"/>
      <protection locked="0"/>
    </xf>
    <xf numFmtId="38" fontId="29" fillId="2" borderId="21" xfId="0" applyNumberFormat="1" applyFont="1" applyFill="1" applyBorder="1" applyAlignment="1" applyProtection="1">
      <alignment horizontal="center" vertical="center"/>
      <protection locked="0"/>
    </xf>
    <xf numFmtId="38" fontId="29" fillId="2" borderId="44" xfId="0" applyNumberFormat="1" applyFont="1" applyFill="1" applyBorder="1" applyAlignment="1" applyProtection="1">
      <alignment horizontal="center" vertical="center"/>
      <protection locked="0"/>
    </xf>
    <xf numFmtId="38" fontId="29" fillId="2" borderId="37" xfId="0" applyNumberFormat="1" applyFont="1" applyFill="1" applyBorder="1" applyAlignment="1" applyProtection="1">
      <alignment horizontal="center" vertical="center"/>
      <protection locked="0"/>
    </xf>
    <xf numFmtId="44" fontId="28" fillId="3" borderId="21" xfId="2" applyFont="1" applyFill="1" applyBorder="1" applyAlignment="1" applyProtection="1">
      <alignment horizontal="center" vertical="center"/>
      <protection hidden="1"/>
    </xf>
    <xf numFmtId="44" fontId="28" fillId="3" borderId="44" xfId="2" applyFont="1" applyFill="1" applyBorder="1" applyAlignment="1" applyProtection="1">
      <alignment horizontal="center" vertical="center"/>
      <protection hidden="1"/>
    </xf>
    <xf numFmtId="44" fontId="28" fillId="3" borderId="37" xfId="2" applyFont="1" applyFill="1" applyBorder="1" applyAlignment="1" applyProtection="1">
      <alignment horizontal="center" vertical="center"/>
      <protection hidden="1"/>
    </xf>
    <xf numFmtId="38" fontId="28" fillId="13" borderId="8" xfId="0" applyNumberFormat="1" applyFont="1" applyFill="1" applyBorder="1" applyAlignment="1" applyProtection="1">
      <alignment horizontal="left" vertical="center"/>
      <protection hidden="1"/>
    </xf>
    <xf numFmtId="38" fontId="28" fillId="13" borderId="10" xfId="0" applyNumberFormat="1" applyFont="1" applyFill="1" applyBorder="1" applyAlignment="1" applyProtection="1">
      <alignment horizontal="left" vertical="center"/>
      <protection hidden="1"/>
    </xf>
    <xf numFmtId="44" fontId="28" fillId="3" borderId="58" xfId="0" applyNumberFormat="1" applyFont="1" applyFill="1" applyBorder="1" applyAlignment="1" applyProtection="1">
      <alignment horizontal="center" vertical="center"/>
      <protection hidden="1"/>
    </xf>
    <xf numFmtId="44" fontId="28" fillId="3" borderId="36" xfId="0" applyNumberFormat="1" applyFont="1" applyFill="1" applyBorder="1" applyAlignment="1" applyProtection="1">
      <alignment horizontal="center" vertical="center"/>
      <protection hidden="1"/>
    </xf>
    <xf numFmtId="44" fontId="28" fillId="3" borderId="59" xfId="0" applyNumberFormat="1" applyFont="1" applyFill="1" applyBorder="1" applyAlignment="1" applyProtection="1">
      <alignment horizontal="center" vertical="center"/>
      <protection hidden="1"/>
    </xf>
    <xf numFmtId="44" fontId="28" fillId="3" borderId="13" xfId="0" applyNumberFormat="1" applyFont="1" applyFill="1" applyBorder="1" applyAlignment="1" applyProtection="1">
      <alignment horizontal="center" vertical="center"/>
      <protection hidden="1"/>
    </xf>
    <xf numFmtId="174" fontId="39" fillId="2" borderId="58" xfId="0" applyFont="1" applyFill="1" applyBorder="1" applyAlignment="1" applyProtection="1">
      <alignment horizontal="center" vertical="center" wrapText="1"/>
      <protection locked="0"/>
    </xf>
    <xf numFmtId="174" fontId="39" fillId="2" borderId="35" xfId="0" applyFont="1" applyFill="1" applyBorder="1" applyAlignment="1" applyProtection="1">
      <alignment horizontal="center" vertical="center" wrapText="1"/>
      <protection locked="0"/>
    </xf>
    <xf numFmtId="174" fontId="39" fillId="2" borderId="36" xfId="0" applyFont="1" applyFill="1" applyBorder="1" applyAlignment="1" applyProtection="1">
      <alignment horizontal="center" vertical="center" wrapText="1"/>
      <protection locked="0"/>
    </xf>
    <xf numFmtId="174" fontId="39" fillId="2" borderId="59" xfId="0" applyFont="1" applyFill="1" applyBorder="1" applyAlignment="1" applyProtection="1">
      <alignment horizontal="center" vertical="center" wrapText="1"/>
      <protection locked="0"/>
    </xf>
    <xf numFmtId="174" fontId="39" fillId="2" borderId="6" xfId="0" applyFont="1" applyFill="1" applyBorder="1" applyAlignment="1" applyProtection="1">
      <alignment horizontal="center" vertical="center" wrapText="1"/>
      <protection locked="0"/>
    </xf>
    <xf numFmtId="174" fontId="39" fillId="2" borderId="13" xfId="0" applyFont="1" applyFill="1" applyBorder="1" applyAlignment="1" applyProtection="1">
      <alignment horizontal="center" vertical="center" wrapText="1"/>
      <protection locked="0"/>
    </xf>
    <xf numFmtId="49" fontId="18" fillId="0" borderId="8" xfId="0" applyNumberFormat="1" applyFont="1" applyFill="1" applyBorder="1" applyAlignment="1" applyProtection="1">
      <alignment horizontal="left" vertical="center"/>
      <protection locked="0"/>
    </xf>
    <xf numFmtId="49" fontId="18" fillId="0" borderId="10" xfId="0" applyNumberFormat="1" applyFont="1" applyFill="1" applyBorder="1" applyAlignment="1" applyProtection="1">
      <alignment horizontal="left" vertical="center"/>
      <protection locked="0"/>
    </xf>
    <xf numFmtId="44" fontId="21" fillId="0" borderId="1" xfId="2" applyNumberFormat="1" applyFont="1" applyFill="1" applyBorder="1" applyAlignment="1" applyProtection="1">
      <alignment horizontal="center" vertical="center"/>
      <protection hidden="1"/>
    </xf>
    <xf numFmtId="44" fontId="21" fillId="0" borderId="3" xfId="2" applyNumberFormat="1" applyFont="1" applyFill="1" applyBorder="1" applyAlignment="1" applyProtection="1">
      <alignment horizontal="center" vertical="center"/>
      <protection hidden="1"/>
    </xf>
    <xf numFmtId="44" fontId="21" fillId="0" borderId="4" xfId="2" applyNumberFormat="1" applyFont="1" applyFill="1" applyBorder="1" applyAlignment="1" applyProtection="1">
      <alignment horizontal="center" vertical="center"/>
      <protection hidden="1"/>
    </xf>
    <xf numFmtId="44" fontId="21" fillId="0" borderId="5" xfId="2" applyNumberFormat="1" applyFont="1" applyFill="1" applyBorder="1" applyAlignment="1" applyProtection="1">
      <alignment horizontal="center" vertical="center"/>
      <protection hidden="1"/>
    </xf>
    <xf numFmtId="44" fontId="21" fillId="0" borderId="16" xfId="2" applyNumberFormat="1" applyFont="1" applyFill="1" applyBorder="1" applyAlignment="1" applyProtection="1">
      <alignment horizontal="center" vertical="center"/>
      <protection hidden="1"/>
    </xf>
    <xf numFmtId="44" fontId="21" fillId="0" borderId="18" xfId="2" applyNumberFormat="1" applyFont="1" applyFill="1" applyBorder="1" applyAlignment="1" applyProtection="1">
      <alignment horizontal="center" vertical="center"/>
      <protection hidden="1"/>
    </xf>
    <xf numFmtId="174" fontId="19" fillId="0" borderId="0" xfId="0" applyFont="1" applyFill="1" applyAlignment="1" applyProtection="1">
      <alignment horizontal="right"/>
      <protection locked="0"/>
    </xf>
    <xf numFmtId="174" fontId="8" fillId="2" borderId="1" xfId="0" applyFont="1" applyFill="1" applyBorder="1" applyAlignment="1" applyProtection="1">
      <alignment horizontal="center"/>
      <protection locked="0"/>
    </xf>
    <xf numFmtId="174" fontId="8" fillId="2" borderId="2" xfId="0" applyFont="1" applyFill="1" applyBorder="1" applyAlignment="1" applyProtection="1">
      <alignment horizontal="center"/>
      <protection locked="0"/>
    </xf>
    <xf numFmtId="174" fontId="8" fillId="2" borderId="3" xfId="0" applyFont="1" applyFill="1" applyBorder="1" applyAlignment="1" applyProtection="1">
      <alignment horizontal="center"/>
      <protection locked="0"/>
    </xf>
    <xf numFmtId="174" fontId="16" fillId="2" borderId="16" xfId="0" applyNumberFormat="1" applyFont="1" applyFill="1" applyBorder="1" applyAlignment="1" applyProtection="1">
      <alignment horizontal="center" vertical="top" wrapText="1"/>
      <protection hidden="1"/>
    </xf>
    <xf numFmtId="174" fontId="16" fillId="2" borderId="17" xfId="0" applyNumberFormat="1" applyFont="1" applyFill="1" applyBorder="1" applyAlignment="1" applyProtection="1">
      <alignment horizontal="center" vertical="top" wrapText="1"/>
      <protection hidden="1"/>
    </xf>
    <xf numFmtId="174" fontId="16" fillId="2" borderId="18" xfId="0" applyNumberFormat="1" applyFont="1" applyFill="1" applyBorder="1" applyAlignment="1" applyProtection="1">
      <alignment horizontal="center" vertical="top" wrapText="1"/>
      <protection hidden="1"/>
    </xf>
    <xf numFmtId="174" fontId="38" fillId="0" borderId="23" xfId="0" applyFont="1" applyFill="1" applyBorder="1" applyAlignment="1" applyProtection="1">
      <alignment horizontal="center" vertical="center" wrapText="1"/>
      <protection locked="0"/>
    </xf>
    <xf numFmtId="174" fontId="38" fillId="0" borderId="25" xfId="0" applyFont="1" applyFill="1" applyBorder="1" applyAlignment="1" applyProtection="1">
      <alignment horizontal="center" vertical="center" wrapText="1"/>
      <protection locked="0"/>
    </xf>
    <xf numFmtId="174" fontId="38" fillId="0" borderId="24" xfId="0" applyFont="1" applyFill="1" applyBorder="1" applyAlignment="1" applyProtection="1">
      <alignment horizontal="center" vertical="center" wrapText="1"/>
      <protection locked="0"/>
    </xf>
    <xf numFmtId="44" fontId="21" fillId="0" borderId="5" xfId="2" applyNumberFormat="1" applyFont="1" applyFill="1" applyBorder="1" applyAlignment="1" applyProtection="1">
      <alignment horizontal="left" vertical="center"/>
      <protection hidden="1"/>
    </xf>
    <xf numFmtId="44" fontId="21" fillId="0" borderId="18" xfId="2" applyNumberFormat="1" applyFont="1" applyFill="1" applyBorder="1" applyAlignment="1" applyProtection="1">
      <alignment horizontal="left" vertical="center"/>
      <protection hidden="1"/>
    </xf>
    <xf numFmtId="174" fontId="38" fillId="0" borderId="1" xfId="0" applyFont="1" applyFill="1" applyBorder="1" applyAlignment="1" applyProtection="1">
      <alignment horizontal="center" vertical="center" wrapText="1"/>
      <protection locked="0"/>
    </xf>
    <xf numFmtId="174" fontId="38" fillId="0" borderId="2" xfId="0" applyFont="1" applyFill="1" applyBorder="1" applyAlignment="1" applyProtection="1">
      <alignment horizontal="center" vertical="center" wrapText="1"/>
      <protection locked="0"/>
    </xf>
    <xf numFmtId="174" fontId="38" fillId="0" borderId="3" xfId="0" applyFont="1" applyFill="1" applyBorder="1" applyAlignment="1" applyProtection="1">
      <alignment horizontal="center" vertical="center" wrapText="1"/>
      <protection locked="0"/>
    </xf>
    <xf numFmtId="174" fontId="38" fillId="0" borderId="16" xfId="0" applyFont="1" applyFill="1" applyBorder="1" applyAlignment="1" applyProtection="1">
      <alignment horizontal="center" vertical="center" wrapText="1"/>
      <protection locked="0"/>
    </xf>
    <xf numFmtId="174" fontId="38" fillId="0" borderId="17" xfId="0" applyFont="1" applyFill="1" applyBorder="1" applyAlignment="1" applyProtection="1">
      <alignment horizontal="center" vertical="center" wrapText="1"/>
      <protection locked="0"/>
    </xf>
    <xf numFmtId="174" fontId="38" fillId="0" borderId="18" xfId="0" applyFont="1" applyFill="1" applyBorder="1" applyAlignment="1" applyProtection="1">
      <alignment horizontal="center" vertical="center" wrapText="1"/>
      <protection locked="0"/>
    </xf>
    <xf numFmtId="44" fontId="23" fillId="0" borderId="34" xfId="2" applyNumberFormat="1" applyFont="1" applyFill="1" applyBorder="1" applyAlignment="1" applyProtection="1">
      <alignment horizontal="left" vertical="center"/>
      <protection hidden="1"/>
    </xf>
    <xf numFmtId="44" fontId="23" fillId="0" borderId="15" xfId="2" applyNumberFormat="1" applyFont="1" applyFill="1" applyBorder="1" applyAlignment="1" applyProtection="1">
      <alignment horizontal="left" vertical="center"/>
      <protection hidden="1"/>
    </xf>
    <xf numFmtId="174" fontId="16" fillId="2" borderId="16" xfId="0" applyNumberFormat="1" applyFont="1" applyFill="1" applyBorder="1" applyAlignment="1" applyProtection="1">
      <alignment horizontal="center" wrapText="1"/>
      <protection hidden="1"/>
    </xf>
    <xf numFmtId="174" fontId="16" fillId="2" borderId="17" xfId="0" applyNumberFormat="1" applyFont="1" applyFill="1" applyBorder="1" applyAlignment="1" applyProtection="1">
      <alignment horizontal="center" wrapText="1"/>
      <protection hidden="1"/>
    </xf>
    <xf numFmtId="174" fontId="16" fillId="2" borderId="18" xfId="0" applyNumberFormat="1" applyFont="1" applyFill="1" applyBorder="1" applyAlignment="1" applyProtection="1">
      <alignment horizontal="center" wrapText="1"/>
      <protection hidden="1"/>
    </xf>
    <xf numFmtId="44" fontId="15" fillId="0" borderId="1" xfId="2" applyNumberFormat="1" applyFont="1" applyFill="1" applyBorder="1" applyAlignment="1" applyProtection="1">
      <alignment horizontal="center" vertical="center"/>
      <protection hidden="1"/>
    </xf>
    <xf numFmtId="44" fontId="15" fillId="0" borderId="3" xfId="2" applyNumberFormat="1" applyFont="1" applyFill="1" applyBorder="1" applyAlignment="1" applyProtection="1">
      <alignment horizontal="center" vertical="center"/>
      <protection hidden="1"/>
    </xf>
    <xf numFmtId="44" fontId="15" fillId="0" borderId="4" xfId="2" applyNumberFormat="1" applyFont="1" applyFill="1" applyBorder="1" applyAlignment="1" applyProtection="1">
      <alignment horizontal="center" vertical="center"/>
      <protection hidden="1"/>
    </xf>
    <xf numFmtId="44" fontId="15" fillId="0" borderId="5" xfId="2" applyNumberFormat="1" applyFont="1" applyFill="1" applyBorder="1" applyAlignment="1" applyProtection="1">
      <alignment horizontal="center" vertical="center"/>
      <protection hidden="1"/>
    </xf>
    <xf numFmtId="44" fontId="15" fillId="0" borderId="16" xfId="2" applyNumberFormat="1" applyFont="1" applyFill="1" applyBorder="1" applyAlignment="1" applyProtection="1">
      <alignment horizontal="center" vertical="center"/>
      <protection hidden="1"/>
    </xf>
    <xf numFmtId="44" fontId="15" fillId="0" borderId="18" xfId="2" applyNumberFormat="1" applyFont="1" applyFill="1" applyBorder="1" applyAlignment="1" applyProtection="1">
      <alignment horizontal="center" vertical="center"/>
      <protection hidden="1"/>
    </xf>
    <xf numFmtId="44" fontId="12" fillId="10" borderId="39" xfId="0" applyNumberFormat="1" applyFont="1" applyFill="1" applyBorder="1" applyAlignment="1" applyProtection="1">
      <alignment horizontal="center" vertical="center" wrapText="1"/>
      <protection locked="0"/>
    </xf>
    <xf numFmtId="44" fontId="12" fillId="10" borderId="12" xfId="0" applyNumberFormat="1" applyFont="1" applyFill="1" applyBorder="1" applyAlignment="1" applyProtection="1">
      <alignment horizontal="center" vertical="center" wrapText="1"/>
      <protection locked="0"/>
    </xf>
    <xf numFmtId="44" fontId="42" fillId="5" borderId="1" xfId="0" applyNumberFormat="1" applyFont="1" applyFill="1" applyBorder="1" applyAlignment="1" applyProtection="1">
      <alignment horizontal="center" vertical="center"/>
      <protection hidden="1"/>
    </xf>
    <xf numFmtId="44" fontId="42" fillId="5" borderId="3" xfId="0" applyNumberFormat="1" applyFont="1" applyFill="1" applyBorder="1" applyAlignment="1" applyProtection="1">
      <alignment horizontal="center" vertical="center"/>
      <protection hidden="1"/>
    </xf>
    <xf numFmtId="44" fontId="67" fillId="2" borderId="16" xfId="0" applyNumberFormat="1" applyFont="1" applyFill="1" applyBorder="1" applyAlignment="1" applyProtection="1">
      <alignment horizontal="center" vertical="center"/>
      <protection hidden="1"/>
    </xf>
    <xf numFmtId="44" fontId="67" fillId="2" borderId="18" xfId="0" applyNumberFormat="1" applyFont="1" applyFill="1" applyBorder="1" applyAlignment="1" applyProtection="1">
      <alignment horizontal="center" vertical="center"/>
      <protection hidden="1"/>
    </xf>
    <xf numFmtId="174" fontId="69" fillId="9" borderId="4" xfId="0" applyFont="1" applyFill="1" applyBorder="1" applyAlignment="1" applyProtection="1">
      <alignment horizontal="center"/>
      <protection locked="0"/>
    </xf>
    <xf numFmtId="174" fontId="69" fillId="9" borderId="0" xfId="0" applyFont="1" applyFill="1" applyBorder="1" applyAlignment="1" applyProtection="1">
      <alignment horizontal="center"/>
      <protection locked="0"/>
    </xf>
    <xf numFmtId="174" fontId="68" fillId="9" borderId="4" xfId="0" applyNumberFormat="1" applyFont="1" applyFill="1" applyBorder="1" applyAlignment="1" applyProtection="1">
      <alignment horizontal="center"/>
      <protection hidden="1"/>
    </xf>
    <xf numFmtId="174" fontId="68" fillId="9" borderId="0" xfId="0" applyNumberFormat="1" applyFont="1" applyFill="1" applyBorder="1" applyAlignment="1" applyProtection="1">
      <alignment horizontal="center"/>
      <protection hidden="1"/>
    </xf>
    <xf numFmtId="174" fontId="13" fillId="0" borderId="0" xfId="0" applyNumberFormat="1" applyFont="1" applyFill="1" applyAlignment="1" applyProtection="1">
      <alignment horizontal="center" vertical="center"/>
      <protection locked="0"/>
    </xf>
    <xf numFmtId="44" fontId="12" fillId="10" borderId="31" xfId="0" applyNumberFormat="1" applyFont="1" applyFill="1" applyBorder="1" applyAlignment="1" applyProtection="1">
      <alignment horizontal="center" vertical="center" wrapText="1"/>
      <protection locked="0"/>
    </xf>
    <xf numFmtId="44" fontId="12" fillId="10" borderId="20" xfId="0" applyNumberFormat="1" applyFont="1" applyFill="1" applyBorder="1" applyAlignment="1" applyProtection="1">
      <alignment horizontal="center" vertical="center" wrapText="1"/>
      <protection locked="0"/>
    </xf>
    <xf numFmtId="44" fontId="24" fillId="0" borderId="30" xfId="2" applyFont="1" applyFill="1" applyBorder="1" applyAlignment="1" applyProtection="1">
      <alignment horizontal="center" vertical="center"/>
      <protection locked="0"/>
    </xf>
    <xf numFmtId="44" fontId="24" fillId="0" borderId="31" xfId="2" applyFont="1" applyFill="1" applyBorder="1" applyAlignment="1" applyProtection="1">
      <alignment horizontal="center" vertical="center"/>
      <protection locked="0"/>
    </xf>
    <xf numFmtId="169" fontId="12" fillId="0" borderId="32" xfId="2" applyNumberFormat="1" applyFont="1" applyFill="1" applyBorder="1" applyAlignment="1" applyProtection="1">
      <alignment horizontal="center" vertical="center" wrapText="1"/>
      <protection locked="0"/>
    </xf>
    <xf numFmtId="169" fontId="12" fillId="0" borderId="36" xfId="2" applyNumberFormat="1" applyFont="1" applyFill="1" applyBorder="1" applyAlignment="1" applyProtection="1">
      <alignment horizontal="center" vertical="center" wrapText="1"/>
      <protection locked="0"/>
    </xf>
    <xf numFmtId="174" fontId="16" fillId="2" borderId="0" xfId="0" applyFont="1" applyFill="1" applyAlignment="1" applyProtection="1">
      <alignment horizontal="left" vertical="center"/>
      <protection locked="0"/>
    </xf>
    <xf numFmtId="174" fontId="24" fillId="2" borderId="0" xfId="0" applyFont="1" applyFill="1" applyBorder="1" applyAlignment="1" applyProtection="1">
      <alignment horizontal="right" vertical="center"/>
      <protection locked="0"/>
    </xf>
    <xf numFmtId="164" fontId="42" fillId="0" borderId="20" xfId="0" applyNumberFormat="1" applyFont="1" applyFill="1" applyBorder="1" applyAlignment="1" applyProtection="1">
      <alignment horizontal="center" vertical="center" textRotation="90"/>
      <protection locked="0"/>
    </xf>
    <xf numFmtId="164" fontId="42" fillId="0" borderId="8" xfId="0" applyNumberFormat="1" applyFont="1" applyFill="1" applyBorder="1" applyAlignment="1" applyProtection="1">
      <alignment horizontal="center" vertical="center" textRotation="90"/>
      <protection locked="0"/>
    </xf>
    <xf numFmtId="174" fontId="13" fillId="0" borderId="31" xfId="0" applyFont="1" applyFill="1" applyBorder="1" applyAlignment="1" applyProtection="1">
      <alignment horizontal="center" vertical="center"/>
      <protection locked="0"/>
    </xf>
    <xf numFmtId="174" fontId="24" fillId="0" borderId="31" xfId="0" applyFont="1" applyFill="1" applyBorder="1" applyAlignment="1" applyProtection="1">
      <alignment horizontal="center" vertical="center"/>
      <protection locked="0"/>
    </xf>
    <xf numFmtId="44" fontId="42" fillId="2" borderId="23" xfId="2" applyNumberFormat="1" applyFont="1" applyFill="1" applyBorder="1" applyAlignment="1" applyProtection="1">
      <alignment horizontal="center" vertical="center"/>
      <protection hidden="1"/>
    </xf>
    <xf numFmtId="44" fontId="42" fillId="2" borderId="25" xfId="2" applyNumberFormat="1" applyFont="1" applyFill="1" applyBorder="1" applyAlignment="1" applyProtection="1">
      <alignment horizontal="center" vertical="center"/>
      <protection hidden="1"/>
    </xf>
    <xf numFmtId="44" fontId="42" fillId="2" borderId="24" xfId="2" applyNumberFormat="1" applyFont="1" applyFill="1" applyBorder="1" applyAlignment="1" applyProtection="1">
      <alignment horizontal="center" vertical="center"/>
      <protection hidden="1"/>
    </xf>
    <xf numFmtId="44" fontId="42" fillId="2" borderId="16" xfId="2" applyNumberFormat="1" applyFont="1" applyFill="1" applyBorder="1" applyAlignment="1" applyProtection="1">
      <alignment horizontal="center" vertical="center"/>
      <protection hidden="1"/>
    </xf>
    <xf numFmtId="44" fontId="42" fillId="2" borderId="17" xfId="2" applyNumberFormat="1" applyFont="1" applyFill="1" applyBorder="1" applyAlignment="1" applyProtection="1">
      <alignment horizontal="center" vertical="center"/>
      <protection hidden="1"/>
    </xf>
    <xf numFmtId="44" fontId="42" fillId="2" borderId="18" xfId="2" applyNumberFormat="1" applyFont="1" applyFill="1" applyBorder="1" applyAlignment="1" applyProtection="1">
      <alignment horizontal="center" vertical="center"/>
      <protection hidden="1"/>
    </xf>
    <xf numFmtId="164" fontId="42" fillId="0" borderId="47" xfId="0" applyNumberFormat="1" applyFont="1" applyFill="1" applyBorder="1" applyAlignment="1" applyProtection="1">
      <alignment horizontal="center" vertical="center"/>
      <protection locked="0"/>
    </xf>
    <xf numFmtId="164" fontId="42" fillId="0" borderId="48" xfId="0" quotePrefix="1" applyNumberFormat="1" applyFont="1" applyFill="1" applyBorder="1" applyAlignment="1" applyProtection="1">
      <alignment horizontal="center" vertical="center"/>
      <protection locked="0"/>
    </xf>
    <xf numFmtId="164" fontId="42" fillId="0" borderId="77" xfId="0" quotePrefix="1" applyNumberFormat="1" applyFont="1" applyFill="1" applyBorder="1" applyAlignment="1" applyProtection="1">
      <alignment horizontal="center" vertical="center"/>
      <protection locked="0"/>
    </xf>
    <xf numFmtId="174" fontId="43" fillId="2" borderId="0" xfId="0" applyFont="1" applyFill="1" applyBorder="1" applyAlignment="1" applyProtection="1">
      <alignment horizontal="center" vertical="center"/>
      <protection locked="0"/>
    </xf>
    <xf numFmtId="164" fontId="42" fillId="0" borderId="40" xfId="0" applyNumberFormat="1" applyFont="1" applyFill="1" applyBorder="1" applyAlignment="1" applyProtection="1">
      <alignment horizontal="center" vertical="center" textRotation="90"/>
      <protection locked="0"/>
    </xf>
    <xf numFmtId="174" fontId="12" fillId="0" borderId="45" xfId="0" applyFont="1" applyFill="1" applyBorder="1" applyAlignment="1" applyProtection="1">
      <alignment horizontal="center" vertical="center"/>
      <protection locked="0"/>
    </xf>
    <xf numFmtId="174" fontId="12" fillId="0" borderId="57" xfId="0" applyFont="1" applyFill="1" applyBorder="1" applyAlignment="1" applyProtection="1">
      <alignment horizontal="center" vertical="center"/>
      <protection locked="0"/>
    </xf>
    <xf numFmtId="174" fontId="12" fillId="0" borderId="49" xfId="0" applyFont="1" applyFill="1" applyBorder="1" applyAlignment="1" applyProtection="1">
      <alignment horizontal="center" vertical="center"/>
      <protection locked="0"/>
    </xf>
    <xf numFmtId="174" fontId="12" fillId="0" borderId="44" xfId="0" applyFont="1" applyFill="1" applyBorder="1" applyAlignment="1" applyProtection="1">
      <alignment horizontal="center" vertical="center"/>
      <protection locked="0"/>
    </xf>
    <xf numFmtId="169" fontId="12" fillId="0" borderId="33" xfId="2" applyNumberFormat="1" applyFont="1" applyFill="1" applyBorder="1" applyAlignment="1" applyProtection="1">
      <alignment horizontal="center" vertical="center" wrapText="1"/>
      <protection locked="0"/>
    </xf>
    <xf numFmtId="169" fontId="12" fillId="0" borderId="35" xfId="2" applyNumberFormat="1" applyFont="1" applyFill="1" applyBorder="1" applyAlignment="1" applyProtection="1">
      <alignment horizontal="center" vertical="center" wrapText="1"/>
      <protection locked="0"/>
    </xf>
    <xf numFmtId="44" fontId="24" fillId="6" borderId="31" xfId="2" applyFont="1" applyFill="1" applyBorder="1" applyAlignment="1" applyProtection="1">
      <alignment horizontal="center" vertical="center"/>
      <protection locked="0"/>
    </xf>
    <xf numFmtId="40" fontId="78" fillId="9" borderId="93" xfId="1" applyNumberFormat="1" applyFont="1" applyFill="1" applyBorder="1" applyAlignment="1" applyProtection="1">
      <alignment horizontal="center" vertical="center"/>
      <protection hidden="1"/>
    </xf>
    <xf numFmtId="40" fontId="78" fillId="9" borderId="102" xfId="1" applyNumberFormat="1" applyFont="1" applyFill="1" applyBorder="1" applyAlignment="1" applyProtection="1">
      <alignment horizontal="center" vertical="center"/>
      <protection hidden="1"/>
    </xf>
    <xf numFmtId="40" fontId="78" fillId="9" borderId="95" xfId="1" applyNumberFormat="1" applyFont="1" applyFill="1" applyBorder="1" applyAlignment="1" applyProtection="1">
      <alignment horizontal="center" vertical="center"/>
      <protection hidden="1"/>
    </xf>
    <xf numFmtId="40" fontId="78" fillId="0" borderId="93" xfId="1" applyNumberFormat="1" applyFont="1" applyFill="1" applyBorder="1" applyAlignment="1" applyProtection="1">
      <alignment horizontal="center" vertical="center"/>
      <protection hidden="1"/>
    </xf>
    <xf numFmtId="40" fontId="78" fillId="0" borderId="102" xfId="1" applyNumberFormat="1" applyFont="1" applyFill="1" applyBorder="1" applyAlignment="1" applyProtection="1">
      <alignment horizontal="center" vertical="center"/>
      <protection hidden="1"/>
    </xf>
    <xf numFmtId="40" fontId="78" fillId="0" borderId="95" xfId="1" applyNumberFormat="1" applyFont="1" applyFill="1" applyBorder="1" applyAlignment="1" applyProtection="1">
      <alignment horizontal="center" vertical="center"/>
      <protection hidden="1"/>
    </xf>
    <xf numFmtId="40" fontId="78" fillId="0" borderId="93" xfId="1" applyNumberFormat="1" applyFont="1" applyBorder="1" applyAlignment="1" applyProtection="1">
      <alignment horizontal="center" vertical="center"/>
      <protection hidden="1"/>
    </xf>
    <xf numFmtId="40" fontId="78" fillId="0" borderId="102" xfId="1" applyNumberFormat="1" applyFont="1" applyBorder="1" applyAlignment="1" applyProtection="1">
      <alignment horizontal="center" vertical="center"/>
      <protection hidden="1"/>
    </xf>
    <xf numFmtId="40" fontId="78" fillId="0" borderId="95" xfId="1" applyNumberFormat="1" applyFont="1" applyBorder="1" applyAlignment="1" applyProtection="1">
      <alignment horizontal="center" vertical="center"/>
      <protection hidden="1"/>
    </xf>
    <xf numFmtId="0" fontId="82" fillId="0" borderId="0" xfId="21" applyFont="1" applyAlignment="1" applyProtection="1">
      <alignment horizontal="left" vertical="center"/>
      <protection locked="0"/>
    </xf>
    <xf numFmtId="0" fontId="82" fillId="0" borderId="5" xfId="21" applyFont="1" applyBorder="1" applyAlignment="1" applyProtection="1">
      <alignment horizontal="left" vertical="center"/>
      <protection locked="0"/>
    </xf>
    <xf numFmtId="0" fontId="79" fillId="0" borderId="78" xfId="21" applyFont="1" applyBorder="1" applyAlignment="1" applyProtection="1">
      <alignment horizontal="center" vertical="center" wrapText="1"/>
      <protection locked="0"/>
    </xf>
    <xf numFmtId="0" fontId="79" fillId="0" borderId="34" xfId="21" applyFont="1" applyBorder="1" applyAlignment="1" applyProtection="1">
      <alignment horizontal="center" vertical="center" wrapText="1"/>
      <protection locked="0"/>
    </xf>
    <xf numFmtId="0" fontId="79" fillId="0" borderId="15" xfId="21" applyFont="1" applyBorder="1" applyAlignment="1" applyProtection="1">
      <alignment horizontal="center" vertical="center" wrapText="1"/>
      <protection locked="0"/>
    </xf>
    <xf numFmtId="0" fontId="75" fillId="9" borderId="61" xfId="21" applyFont="1" applyFill="1" applyBorder="1" applyAlignment="1" applyProtection="1">
      <alignment horizontal="center" vertical="center"/>
      <protection locked="0"/>
    </xf>
    <xf numFmtId="0" fontId="75" fillId="9" borderId="0" xfId="21" applyFont="1" applyFill="1" applyBorder="1" applyAlignment="1" applyProtection="1">
      <alignment horizontal="center" vertical="center"/>
      <protection locked="0"/>
    </xf>
    <xf numFmtId="0" fontId="75" fillId="9" borderId="17" xfId="21" applyFont="1" applyFill="1" applyBorder="1" applyAlignment="1" applyProtection="1">
      <alignment horizontal="center" vertical="center"/>
      <protection locked="0"/>
    </xf>
    <xf numFmtId="0" fontId="77" fillId="0" borderId="92" xfId="21" applyFont="1" applyBorder="1" applyAlignment="1" applyProtection="1">
      <alignment horizontal="center" vertical="center"/>
      <protection locked="0"/>
    </xf>
    <xf numFmtId="0" fontId="77" fillId="0" borderId="96" xfId="21" applyFont="1" applyBorder="1" applyAlignment="1" applyProtection="1">
      <alignment horizontal="center" vertical="center"/>
      <protection locked="0"/>
    </xf>
    <xf numFmtId="0" fontId="77" fillId="0" borderId="94" xfId="21" applyFont="1" applyBorder="1" applyAlignment="1" applyProtection="1">
      <alignment horizontal="center" vertical="center"/>
      <protection locked="0"/>
    </xf>
    <xf numFmtId="0" fontId="77" fillId="9" borderId="92" xfId="21" applyFont="1" applyFill="1" applyBorder="1" applyAlignment="1" applyProtection="1">
      <alignment horizontal="center" vertical="center"/>
      <protection locked="0"/>
    </xf>
    <xf numFmtId="0" fontId="77" fillId="9" borderId="96" xfId="21" applyFont="1" applyFill="1" applyBorder="1" applyAlignment="1" applyProtection="1">
      <alignment horizontal="center" vertical="center"/>
      <protection locked="0"/>
    </xf>
    <xf numFmtId="0" fontId="77" fillId="9" borderId="94" xfId="21" applyFont="1" applyFill="1" applyBorder="1" applyAlignment="1" applyProtection="1">
      <alignment horizontal="center" vertical="center"/>
      <protection locked="0"/>
    </xf>
    <xf numFmtId="0" fontId="77" fillId="0" borderId="92" xfId="21" applyFont="1" applyFill="1" applyBorder="1" applyAlignment="1" applyProtection="1">
      <alignment horizontal="center" vertical="center"/>
      <protection locked="0"/>
    </xf>
    <xf numFmtId="0" fontId="77" fillId="0" borderId="96" xfId="21" applyFont="1" applyFill="1" applyBorder="1" applyAlignment="1" applyProtection="1">
      <alignment horizontal="center" vertical="center"/>
      <protection locked="0"/>
    </xf>
    <xf numFmtId="0" fontId="77" fillId="0" borderId="94" xfId="21" applyFont="1" applyFill="1" applyBorder="1" applyAlignment="1" applyProtection="1">
      <alignment horizontal="center" vertical="center"/>
      <protection locked="0"/>
    </xf>
    <xf numFmtId="41" fontId="79" fillId="0" borderId="0" xfId="21" applyNumberFormat="1" applyFont="1" applyAlignment="1" applyProtection="1">
      <alignment horizontal="right" vertical="center"/>
      <protection locked="0"/>
    </xf>
    <xf numFmtId="40" fontId="81" fillId="0" borderId="23" xfId="21" applyNumberFormat="1" applyFont="1" applyBorder="1" applyAlignment="1" applyProtection="1">
      <alignment horizontal="center" vertical="center"/>
      <protection hidden="1"/>
    </xf>
    <xf numFmtId="40" fontId="81" fillId="0" borderId="24" xfId="21" applyNumberFormat="1" applyFont="1" applyBorder="1" applyAlignment="1" applyProtection="1">
      <alignment horizontal="center" vertical="center"/>
      <protection hidden="1"/>
    </xf>
    <xf numFmtId="40" fontId="81" fillId="0" borderId="25" xfId="21" applyNumberFormat="1" applyFont="1" applyBorder="1" applyAlignment="1" applyProtection="1">
      <alignment horizontal="center" vertical="center"/>
      <protection hidden="1"/>
    </xf>
    <xf numFmtId="40" fontId="81" fillId="0" borderId="1" xfId="21" applyNumberFormat="1" applyFont="1" applyBorder="1" applyAlignment="1" applyProtection="1">
      <alignment horizontal="center" vertical="center"/>
      <protection hidden="1"/>
    </xf>
    <xf numFmtId="40" fontId="81" fillId="0" borderId="3" xfId="21" applyNumberFormat="1" applyFont="1" applyBorder="1" applyAlignment="1" applyProtection="1">
      <alignment horizontal="center" vertical="center"/>
      <protection hidden="1"/>
    </xf>
    <xf numFmtId="40" fontId="81" fillId="0" borderId="4" xfId="21" applyNumberFormat="1" applyFont="1" applyBorder="1" applyAlignment="1" applyProtection="1">
      <alignment horizontal="center" vertical="center"/>
      <protection hidden="1"/>
    </xf>
    <xf numFmtId="40" fontId="81" fillId="0" borderId="5" xfId="21" applyNumberFormat="1" applyFont="1" applyBorder="1" applyAlignment="1" applyProtection="1">
      <alignment horizontal="center" vertical="center"/>
      <protection hidden="1"/>
    </xf>
    <xf numFmtId="40" fontId="81" fillId="0" borderId="16" xfId="21" applyNumberFormat="1" applyFont="1" applyBorder="1" applyAlignment="1" applyProtection="1">
      <alignment horizontal="center" vertical="center"/>
      <protection hidden="1"/>
    </xf>
    <xf numFmtId="40" fontId="81" fillId="0" borderId="18" xfId="21" applyNumberFormat="1" applyFont="1" applyBorder="1" applyAlignment="1" applyProtection="1">
      <alignment horizontal="center" vertical="center"/>
      <protection hidden="1"/>
    </xf>
    <xf numFmtId="0" fontId="81" fillId="24" borderId="25" xfId="21" applyFont="1" applyFill="1" applyBorder="1" applyAlignment="1" applyProtection="1">
      <alignment horizontal="center" vertical="center"/>
      <protection locked="0"/>
    </xf>
    <xf numFmtId="0" fontId="81" fillId="24" borderId="24" xfId="21" applyFont="1" applyFill="1" applyBorder="1" applyAlignment="1" applyProtection="1">
      <alignment horizontal="center" vertical="center"/>
      <protection locked="0"/>
    </xf>
    <xf numFmtId="0" fontId="79" fillId="9" borderId="2" xfId="21" applyFont="1" applyFill="1" applyBorder="1" applyAlignment="1" applyProtection="1">
      <alignment horizontal="center" vertical="center" wrapText="1"/>
      <protection locked="0"/>
    </xf>
    <xf numFmtId="0" fontId="78" fillId="24" borderId="0" xfId="21" applyFont="1" applyFill="1" applyBorder="1" applyAlignment="1" applyProtection="1">
      <alignment horizontal="center" vertical="center" wrapText="1"/>
      <protection locked="0"/>
    </xf>
    <xf numFmtId="0" fontId="78" fillId="24" borderId="5" xfId="21" applyFont="1" applyFill="1" applyBorder="1" applyAlignment="1" applyProtection="1">
      <alignment horizontal="center" vertical="center" wrapText="1"/>
      <protection locked="0"/>
    </xf>
    <xf numFmtId="38" fontId="79" fillId="24" borderId="4" xfId="1" applyNumberFormat="1" applyFont="1" applyFill="1" applyBorder="1" applyAlignment="1" applyProtection="1">
      <alignment horizontal="center" vertical="center"/>
      <protection hidden="1"/>
    </xf>
    <xf numFmtId="38" fontId="79" fillId="24" borderId="5" xfId="1" applyNumberFormat="1" applyFont="1" applyFill="1" applyBorder="1" applyAlignment="1" applyProtection="1">
      <alignment horizontal="center" vertical="center"/>
      <protection hidden="1"/>
    </xf>
    <xf numFmtId="0" fontId="81" fillId="24" borderId="23" xfId="21" applyFont="1" applyFill="1" applyBorder="1" applyAlignment="1" applyProtection="1">
      <alignment horizontal="center" vertical="center"/>
      <protection locked="0"/>
    </xf>
    <xf numFmtId="0" fontId="77" fillId="9" borderId="97" xfId="21" applyFont="1" applyFill="1" applyBorder="1" applyAlignment="1" applyProtection="1">
      <alignment horizontal="center" vertical="center"/>
      <protection locked="0"/>
    </xf>
    <xf numFmtId="40" fontId="78" fillId="9" borderId="98" xfId="1" applyNumberFormat="1" applyFont="1" applyFill="1" applyBorder="1" applyAlignment="1" applyProtection="1">
      <alignment horizontal="center" vertical="center"/>
      <protection hidden="1"/>
    </xf>
    <xf numFmtId="40" fontId="78" fillId="0" borderId="103" xfId="1" applyNumberFormat="1" applyFont="1" applyBorder="1" applyAlignment="1" applyProtection="1">
      <alignment horizontal="center" vertical="center"/>
      <protection hidden="1"/>
    </xf>
    <xf numFmtId="40" fontId="78" fillId="0" borderId="98" xfId="1" applyNumberFormat="1" applyFont="1" applyBorder="1" applyAlignment="1" applyProtection="1">
      <alignment horizontal="center" vertical="center"/>
      <protection hidden="1"/>
    </xf>
    <xf numFmtId="0" fontId="73" fillId="0" borderId="0" xfId="21" applyFont="1" applyFill="1" applyBorder="1" applyAlignment="1" applyProtection="1">
      <alignment horizontal="right" vertical="center"/>
      <protection locked="0"/>
    </xf>
    <xf numFmtId="0" fontId="73" fillId="0" borderId="17" xfId="21" applyFont="1" applyFill="1" applyBorder="1" applyAlignment="1" applyProtection="1">
      <alignment horizontal="right" vertical="center"/>
      <protection locked="0"/>
    </xf>
    <xf numFmtId="179" fontId="74" fillId="0" borderId="17" xfId="21" applyNumberFormat="1" applyFont="1" applyFill="1" applyBorder="1" applyAlignment="1" applyProtection="1">
      <alignment horizontal="center" vertical="center"/>
      <protection hidden="1"/>
    </xf>
    <xf numFmtId="0" fontId="85" fillId="24" borderId="89" xfId="21" applyFont="1" applyFill="1" applyBorder="1" applyAlignment="1" applyProtection="1">
      <alignment horizontal="center" vertical="center"/>
      <protection locked="0"/>
    </xf>
    <xf numFmtId="0" fontId="85" fillId="24" borderId="90" xfId="21" applyFont="1" applyFill="1" applyBorder="1" applyAlignment="1" applyProtection="1">
      <alignment horizontal="center" vertical="center"/>
      <protection locked="0"/>
    </xf>
    <xf numFmtId="0" fontId="85" fillId="24" borderId="91" xfId="21" applyFont="1" applyFill="1" applyBorder="1" applyAlignment="1" applyProtection="1">
      <alignment horizontal="center" vertical="center"/>
      <protection locked="0"/>
    </xf>
    <xf numFmtId="164" fontId="15" fillId="7" borderId="8" xfId="0" applyNumberFormat="1" applyFont="1" applyFill="1" applyBorder="1" applyAlignment="1" applyProtection="1">
      <alignment horizontal="left" vertical="center"/>
      <protection locked="0"/>
    </xf>
    <xf numFmtId="164" fontId="15" fillId="7" borderId="10" xfId="0" applyNumberFormat="1" applyFont="1" applyFill="1" applyBorder="1" applyAlignment="1" applyProtection="1">
      <alignment horizontal="left" vertical="center"/>
      <protection locked="0"/>
    </xf>
    <xf numFmtId="174" fontId="13" fillId="2" borderId="23" xfId="0" applyFont="1" applyFill="1" applyBorder="1" applyAlignment="1" applyProtection="1">
      <alignment horizontal="center" vertical="center" wrapText="1"/>
      <protection locked="0"/>
    </xf>
    <xf numFmtId="174" fontId="13" fillId="2" borderId="50" xfId="0" applyFont="1" applyFill="1" applyBorder="1" applyAlignment="1" applyProtection="1">
      <alignment horizontal="center" vertical="center" wrapText="1"/>
      <protection locked="0"/>
    </xf>
    <xf numFmtId="174" fontId="46" fillId="12" borderId="20" xfId="0" applyFont="1" applyFill="1" applyBorder="1" applyAlignment="1" applyProtection="1">
      <alignment horizontal="center" vertical="center"/>
      <protection locked="0"/>
    </xf>
    <xf numFmtId="164" fontId="24" fillId="2" borderId="59" xfId="0" applyNumberFormat="1" applyFont="1" applyFill="1" applyBorder="1" applyAlignment="1" applyProtection="1">
      <alignment horizontal="center" vertical="center"/>
      <protection locked="0"/>
    </xf>
    <xf numFmtId="164" fontId="24" fillId="2" borderId="6" xfId="0" applyNumberFormat="1" applyFont="1" applyFill="1" applyBorder="1" applyAlignment="1" applyProtection="1">
      <alignment horizontal="center" vertical="center"/>
      <protection locked="0"/>
    </xf>
    <xf numFmtId="164" fontId="24" fillId="2" borderId="13" xfId="0" applyNumberFormat="1" applyFont="1" applyFill="1" applyBorder="1" applyAlignment="1" applyProtection="1">
      <alignment horizontal="center" vertical="center"/>
      <protection locked="0"/>
    </xf>
    <xf numFmtId="174" fontId="46" fillId="12" borderId="8" xfId="0" applyFont="1" applyFill="1" applyBorder="1" applyAlignment="1" applyProtection="1">
      <alignment horizontal="center" vertical="center"/>
      <protection locked="0"/>
    </xf>
    <xf numFmtId="174" fontId="46" fillId="12" borderId="9" xfId="0" applyFont="1" applyFill="1" applyBorder="1" applyAlignment="1" applyProtection="1">
      <alignment horizontal="center" vertical="center"/>
      <protection locked="0"/>
    </xf>
    <xf numFmtId="174" fontId="46" fillId="12" borderId="10" xfId="0" applyFont="1" applyFill="1" applyBorder="1" applyAlignment="1" applyProtection="1">
      <alignment horizontal="center" vertical="center"/>
      <protection locked="0"/>
    </xf>
    <xf numFmtId="164" fontId="24" fillId="2" borderId="8" xfId="0" applyNumberFormat="1" applyFont="1" applyFill="1" applyBorder="1" applyAlignment="1" applyProtection="1">
      <alignment horizontal="center" vertical="center"/>
      <protection locked="0"/>
    </xf>
    <xf numFmtId="164" fontId="24" fillId="2" borderId="9" xfId="0" applyNumberFormat="1" applyFont="1" applyFill="1" applyBorder="1" applyAlignment="1" applyProtection="1">
      <alignment horizontal="center" vertical="center"/>
      <protection locked="0"/>
    </xf>
    <xf numFmtId="164" fontId="24" fillId="2" borderId="10" xfId="0" applyNumberFormat="1" applyFont="1" applyFill="1" applyBorder="1" applyAlignment="1" applyProtection="1">
      <alignment horizontal="center" vertical="center"/>
      <protection locked="0"/>
    </xf>
    <xf numFmtId="164" fontId="24" fillId="2" borderId="20" xfId="0" applyNumberFormat="1" applyFont="1" applyFill="1" applyBorder="1" applyAlignment="1" applyProtection="1">
      <alignment horizontal="center" vertical="center"/>
      <protection locked="0"/>
    </xf>
    <xf numFmtId="174" fontId="51" fillId="2" borderId="16" xfId="0" applyNumberFormat="1" applyFont="1" applyFill="1" applyBorder="1" applyAlignment="1" applyProtection="1">
      <alignment horizontal="center"/>
      <protection hidden="1"/>
    </xf>
    <xf numFmtId="174" fontId="51" fillId="2" borderId="17" xfId="0" applyNumberFormat="1" applyFont="1" applyFill="1" applyBorder="1" applyAlignment="1" applyProtection="1">
      <alignment horizontal="center"/>
      <protection hidden="1"/>
    </xf>
    <xf numFmtId="174" fontId="51" fillId="2" borderId="18" xfId="0" applyNumberFormat="1" applyFont="1" applyFill="1" applyBorder="1" applyAlignment="1" applyProtection="1">
      <alignment horizontal="center"/>
      <protection hidden="1"/>
    </xf>
    <xf numFmtId="174" fontId="4" fillId="0" borderId="0" xfId="0" applyFont="1" applyAlignment="1">
      <alignment horizontal="left"/>
    </xf>
    <xf numFmtId="174" fontId="8" fillId="8" borderId="23" xfId="0" applyNumberFormat="1" applyFont="1" applyFill="1" applyBorder="1" applyAlignment="1">
      <alignment horizontal="center" vertical="center"/>
    </xf>
    <xf numFmtId="174" fontId="8" fillId="8" borderId="25" xfId="0" applyNumberFormat="1" applyFont="1" applyFill="1" applyBorder="1" applyAlignment="1">
      <alignment horizontal="center" vertical="center"/>
    </xf>
    <xf numFmtId="174" fontId="8" fillId="8" borderId="24" xfId="0" applyNumberFormat="1" applyFont="1" applyFill="1" applyBorder="1" applyAlignment="1">
      <alignment horizontal="center" vertical="center"/>
    </xf>
    <xf numFmtId="174" fontId="7" fillId="0" borderId="19" xfId="0" applyNumberFormat="1" applyFont="1" applyBorder="1" applyAlignment="1">
      <alignment horizontal="center" vertical="center"/>
    </xf>
    <xf numFmtId="174" fontId="7" fillId="0" borderId="22" xfId="0" applyNumberFormat="1" applyFont="1" applyBorder="1" applyAlignment="1">
      <alignment horizontal="center" vertical="center"/>
    </xf>
    <xf numFmtId="174" fontId="7" fillId="0" borderId="19" xfId="0" applyFont="1" applyBorder="1" applyAlignment="1">
      <alignment horizontal="center" vertical="center"/>
    </xf>
    <xf numFmtId="174" fontId="7" fillId="0" borderId="22" xfId="0" applyFont="1" applyBorder="1" applyAlignment="1">
      <alignment horizontal="center" vertical="center"/>
    </xf>
    <xf numFmtId="44" fontId="7" fillId="4" borderId="19" xfId="0" applyNumberFormat="1" applyFont="1" applyFill="1" applyBorder="1" applyAlignment="1">
      <alignment horizontal="center" vertical="center" wrapText="1"/>
    </xf>
    <xf numFmtId="44" fontId="7" fillId="4" borderId="22" xfId="0" applyNumberFormat="1" applyFont="1" applyFill="1" applyBorder="1" applyAlignment="1">
      <alignment horizontal="center" vertical="center" wrapText="1"/>
    </xf>
    <xf numFmtId="44" fontId="7" fillId="9" borderId="19" xfId="0" applyNumberFormat="1" applyFont="1" applyFill="1" applyBorder="1" applyAlignment="1">
      <alignment horizontal="center" vertical="center" wrapText="1"/>
    </xf>
    <xf numFmtId="44" fontId="7" fillId="9" borderId="22" xfId="0" applyNumberFormat="1" applyFont="1" applyFill="1" applyBorder="1" applyAlignment="1">
      <alignment horizontal="center" vertical="center" wrapText="1"/>
    </xf>
    <xf numFmtId="44" fontId="7" fillId="0" borderId="19" xfId="0" applyNumberFormat="1" applyFont="1" applyBorder="1" applyAlignment="1">
      <alignment horizontal="center" vertical="center"/>
    </xf>
    <xf numFmtId="44" fontId="7" fillId="0" borderId="22" xfId="0" applyNumberFormat="1" applyFont="1" applyBorder="1" applyAlignment="1">
      <alignment horizontal="center" vertical="center"/>
    </xf>
    <xf numFmtId="177" fontId="8" fillId="19" borderId="23" xfId="0" applyNumberFormat="1" applyFont="1" applyFill="1" applyBorder="1" applyAlignment="1" applyProtection="1">
      <alignment horizontal="center" vertical="center"/>
      <protection locked="0"/>
    </xf>
    <xf numFmtId="177" fontId="8" fillId="19" borderId="25" xfId="0" applyNumberFormat="1" applyFont="1" applyFill="1" applyBorder="1" applyAlignment="1" applyProtection="1">
      <alignment horizontal="center" vertical="center"/>
      <protection locked="0"/>
    </xf>
    <xf numFmtId="177" fontId="8" fillId="19" borderId="24" xfId="0" applyNumberFormat="1" applyFont="1" applyFill="1" applyBorder="1" applyAlignment="1" applyProtection="1">
      <alignment horizontal="center" vertical="center"/>
      <protection locked="0"/>
    </xf>
    <xf numFmtId="177" fontId="56" fillId="0" borderId="66" xfId="0" applyNumberFormat="1" applyFont="1" applyBorder="1" applyAlignment="1" applyProtection="1">
      <alignment horizontal="center" vertical="center"/>
      <protection locked="0"/>
    </xf>
    <xf numFmtId="177" fontId="56" fillId="0" borderId="67" xfId="0" applyNumberFormat="1" applyFont="1" applyBorder="1" applyAlignment="1" applyProtection="1">
      <alignment horizontal="center" vertical="center"/>
      <protection locked="0"/>
    </xf>
    <xf numFmtId="44" fontId="57" fillId="0" borderId="68" xfId="0" applyNumberFormat="1" applyFont="1" applyBorder="1" applyAlignment="1" applyProtection="1">
      <alignment horizontal="center" vertical="center"/>
      <protection locked="0"/>
    </xf>
    <xf numFmtId="44" fontId="57" fillId="0" borderId="66" xfId="0" applyNumberFormat="1" applyFont="1" applyBorder="1" applyAlignment="1" applyProtection="1">
      <alignment horizontal="center" vertical="center"/>
      <protection locked="0"/>
    </xf>
    <xf numFmtId="14" fontId="7" fillId="0" borderId="69" xfId="0" applyNumberFormat="1" applyFont="1" applyBorder="1" applyAlignment="1" applyProtection="1">
      <alignment horizontal="center" vertical="center"/>
      <protection locked="0"/>
    </xf>
    <xf numFmtId="14" fontId="7" fillId="0" borderId="22" xfId="0" applyNumberFormat="1" applyFont="1" applyBorder="1" applyAlignment="1" applyProtection="1">
      <alignment horizontal="center" vertical="center"/>
      <protection locked="0"/>
    </xf>
    <xf numFmtId="173" fontId="7" fillId="0" borderId="69" xfId="0" applyNumberFormat="1" applyFont="1" applyBorder="1" applyAlignment="1" applyProtection="1">
      <alignment horizontal="center" vertical="center"/>
      <protection locked="0"/>
    </xf>
    <xf numFmtId="173" fontId="7" fillId="0" borderId="22" xfId="0" applyNumberFormat="1" applyFont="1" applyBorder="1" applyAlignment="1" applyProtection="1">
      <alignment horizontal="center" vertical="center"/>
      <protection locked="0"/>
    </xf>
    <xf numFmtId="177" fontId="7" fillId="0" borderId="69" xfId="0" applyNumberFormat="1" applyFont="1" applyBorder="1" applyAlignment="1" applyProtection="1">
      <alignment horizontal="center" vertical="center"/>
      <protection locked="0"/>
    </xf>
    <xf numFmtId="177" fontId="7" fillId="0" borderId="22" xfId="0" applyNumberFormat="1" applyFont="1" applyBorder="1" applyAlignment="1" applyProtection="1">
      <alignment horizontal="center" vertical="center"/>
      <protection locked="0"/>
    </xf>
    <xf numFmtId="177" fontId="7" fillId="0" borderId="70" xfId="0" applyNumberFormat="1" applyFont="1" applyBorder="1" applyAlignment="1" applyProtection="1">
      <alignment horizontal="center" vertical="center"/>
      <protection locked="0"/>
    </xf>
    <xf numFmtId="174" fontId="7" fillId="0" borderId="69" xfId="0" applyFont="1" applyBorder="1" applyAlignment="1" applyProtection="1">
      <alignment horizontal="center" vertical="center"/>
      <protection locked="0"/>
    </xf>
    <xf numFmtId="174" fontId="7" fillId="0" borderId="22" xfId="0" applyFont="1" applyBorder="1" applyAlignment="1" applyProtection="1">
      <alignment horizontal="center" vertical="center"/>
      <protection locked="0"/>
    </xf>
    <xf numFmtId="44" fontId="7" fillId="14" borderId="71" xfId="0" applyNumberFormat="1" applyFont="1" applyFill="1" applyBorder="1" applyAlignment="1" applyProtection="1">
      <alignment horizontal="center" vertical="center" wrapText="1"/>
      <protection locked="0"/>
    </xf>
    <xf numFmtId="44" fontId="7" fillId="14" borderId="73" xfId="0" applyNumberFormat="1" applyFont="1" applyFill="1" applyBorder="1" applyAlignment="1" applyProtection="1">
      <alignment horizontal="center" vertical="center" wrapText="1"/>
      <protection locked="0"/>
    </xf>
    <xf numFmtId="177" fontId="7" fillId="0" borderId="72" xfId="0" applyNumberFormat="1" applyFont="1" applyBorder="1" applyAlignment="1" applyProtection="1">
      <alignment horizontal="center" vertical="center" wrapText="1"/>
      <protection locked="0"/>
    </xf>
    <xf numFmtId="177" fontId="7" fillId="0" borderId="74" xfId="0" applyNumberFormat="1" applyFont="1" applyBorder="1" applyAlignment="1" applyProtection="1">
      <alignment horizontal="center" vertical="center" wrapText="1"/>
      <protection locked="0"/>
    </xf>
    <xf numFmtId="44" fontId="7" fillId="0" borderId="70" xfId="0" applyNumberFormat="1" applyFont="1" applyBorder="1" applyAlignment="1" applyProtection="1">
      <alignment horizontal="center" vertical="center" wrapText="1"/>
      <protection locked="0"/>
    </xf>
    <xf numFmtId="44" fontId="7" fillId="0" borderId="69" xfId="0" applyNumberFormat="1" applyFont="1" applyBorder="1" applyAlignment="1" applyProtection="1">
      <alignment horizontal="center" vertical="center" wrapText="1"/>
      <protection locked="0"/>
    </xf>
    <xf numFmtId="44" fontId="7" fillId="9" borderId="69" xfId="0" applyNumberFormat="1" applyFont="1" applyFill="1" applyBorder="1" applyAlignment="1" applyProtection="1">
      <alignment horizontal="center" vertical="center" wrapText="1"/>
      <protection locked="0"/>
    </xf>
    <xf numFmtId="44" fontId="7" fillId="9" borderId="22" xfId="0" applyNumberFormat="1" applyFont="1" applyFill="1" applyBorder="1" applyAlignment="1" applyProtection="1">
      <alignment horizontal="center" vertical="center" wrapText="1"/>
      <protection locked="0"/>
    </xf>
    <xf numFmtId="44" fontId="7" fillId="0" borderId="69" xfId="0" applyNumberFormat="1" applyFont="1" applyBorder="1" applyAlignment="1" applyProtection="1">
      <alignment horizontal="center" vertical="center"/>
      <protection locked="0"/>
    </xf>
    <xf numFmtId="44" fontId="7" fillId="0" borderId="22" xfId="0" applyNumberFormat="1" applyFont="1" applyBorder="1" applyAlignment="1" applyProtection="1">
      <alignment horizontal="center" vertical="center"/>
      <protection locked="0"/>
    </xf>
    <xf numFmtId="174" fontId="7" fillId="18" borderId="69" xfId="0" applyFont="1" applyFill="1" applyBorder="1" applyAlignment="1" applyProtection="1">
      <alignment horizontal="center" vertical="center"/>
      <protection locked="0"/>
    </xf>
    <xf numFmtId="174" fontId="7" fillId="2" borderId="58" xfId="0" applyFont="1" applyFill="1" applyBorder="1" applyAlignment="1" applyProtection="1">
      <alignment horizontal="center" vertical="center"/>
      <protection locked="0"/>
    </xf>
    <xf numFmtId="174" fontId="7" fillId="2" borderId="35" xfId="0" applyFont="1" applyFill="1" applyBorder="1" applyAlignment="1" applyProtection="1">
      <alignment horizontal="center" vertical="center"/>
      <protection locked="0"/>
    </xf>
    <xf numFmtId="174" fontId="7" fillId="2" borderId="36" xfId="0" applyFont="1" applyFill="1" applyBorder="1" applyAlignment="1" applyProtection="1">
      <alignment horizontal="center" vertical="center"/>
      <protection locked="0"/>
    </xf>
    <xf numFmtId="174" fontId="22" fillId="2" borderId="1" xfId="0" applyFont="1" applyFill="1" applyBorder="1" applyAlignment="1" applyProtection="1">
      <alignment horizontal="center" vertical="center"/>
      <protection locked="0"/>
    </xf>
    <xf numFmtId="174" fontId="22" fillId="2" borderId="2" xfId="0" applyFont="1" applyFill="1" applyBorder="1" applyAlignment="1" applyProtection="1">
      <alignment horizontal="center" vertical="center"/>
      <protection locked="0"/>
    </xf>
    <xf numFmtId="174" fontId="22" fillId="2" borderId="3" xfId="0" applyFont="1" applyFill="1" applyBorder="1" applyAlignment="1" applyProtection="1">
      <alignment horizontal="center" vertical="center"/>
      <protection locked="0"/>
    </xf>
    <xf numFmtId="174" fontId="22" fillId="2" borderId="16" xfId="0" applyFont="1" applyFill="1" applyBorder="1" applyAlignment="1" applyProtection="1">
      <alignment horizontal="center" vertical="center"/>
      <protection locked="0"/>
    </xf>
    <xf numFmtId="174" fontId="22" fillId="2" borderId="17" xfId="0" applyFont="1" applyFill="1" applyBorder="1" applyAlignment="1" applyProtection="1">
      <alignment horizontal="center" vertical="center"/>
      <protection locked="0"/>
    </xf>
    <xf numFmtId="174" fontId="22" fillId="2" borderId="18" xfId="0" applyFont="1" applyFill="1" applyBorder="1" applyAlignment="1" applyProtection="1">
      <alignment horizontal="center" vertical="center"/>
      <protection locked="0"/>
    </xf>
    <xf numFmtId="174" fontId="5" fillId="2" borderId="14" xfId="0" applyNumberFormat="1" applyFont="1" applyFill="1" applyBorder="1" applyAlignment="1" applyProtection="1">
      <alignment horizontal="center"/>
      <protection hidden="1"/>
    </xf>
    <xf numFmtId="165" fontId="36" fillId="14" borderId="19" xfId="1" applyNumberFormat="1" applyFont="1" applyFill="1" applyBorder="1" applyAlignment="1" applyProtection="1">
      <alignment horizontal="center" vertical="center"/>
      <protection locked="0"/>
    </xf>
    <xf numFmtId="165" fontId="36" fillId="7" borderId="19" xfId="1" applyNumberFormat="1" applyFont="1" applyFill="1" applyBorder="1" applyAlignment="1" applyProtection="1">
      <alignment horizontal="center" vertical="center"/>
      <protection locked="0"/>
    </xf>
    <xf numFmtId="165" fontId="36" fillId="7" borderId="19" xfId="1" applyNumberFormat="1" applyFont="1" applyFill="1" applyBorder="1" applyAlignment="1" applyProtection="1">
      <alignment horizontal="center" vertical="center"/>
      <protection hidden="1"/>
    </xf>
    <xf numFmtId="165" fontId="36" fillId="21" borderId="19" xfId="1" applyNumberFormat="1" applyFont="1" applyFill="1" applyBorder="1" applyAlignment="1" applyProtection="1">
      <alignment horizontal="center" vertical="center"/>
      <protection hidden="1"/>
    </xf>
    <xf numFmtId="165" fontId="36" fillId="20" borderId="19" xfId="1" applyNumberFormat="1" applyFont="1" applyFill="1" applyBorder="1" applyAlignment="1" applyProtection="1">
      <alignment horizontal="center" vertical="center"/>
      <protection locked="0"/>
    </xf>
    <xf numFmtId="174" fontId="86" fillId="0" borderId="0" xfId="0" applyFont="1" applyAlignment="1" applyProtection="1">
      <alignment horizontal="center" vertical="center"/>
      <protection locked="0"/>
    </xf>
  </cellXfs>
  <cellStyles count="22">
    <cellStyle name="Comma" xfId="1" builtinId="3"/>
    <cellStyle name="Comma 10" xfId="4"/>
    <cellStyle name="Comma 2" xfId="8"/>
    <cellStyle name="Comma 3" xfId="9"/>
    <cellStyle name="Comma 4" xfId="14"/>
    <cellStyle name="Currency" xfId="2" builtinId="4"/>
    <cellStyle name="Currency 2" xfId="6"/>
    <cellStyle name="Currency 2 2" xfId="15"/>
    <cellStyle name="Currency 3" xfId="10"/>
    <cellStyle name="Currency 4" xfId="17"/>
    <cellStyle name="Date" xfId="11"/>
    <cellStyle name="Euro" xfId="18"/>
    <cellStyle name="Fixed" xfId="12"/>
    <cellStyle name="Normal" xfId="0" builtinId="0"/>
    <cellStyle name="Normal 2" xfId="3"/>
    <cellStyle name="Normal 3" xfId="19"/>
    <cellStyle name="Normal 4" xfId="20"/>
    <cellStyle name="Normal 5" xfId="21"/>
    <cellStyle name="Normal_Copy of MBCS USD &amp; NOTE 28-08-09 NEW" xfId="5"/>
    <cellStyle name="Percent 2" xfId="7"/>
    <cellStyle name="Percent 2 2" xfId="16"/>
    <cellStyle name="Text" xfId="13"/>
  </cellStyles>
  <dxfs count="44"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</dxfs>
  <tableStyles count="0" defaultTableStyle="TableStyleMedium9" defaultPivotStyle="PivotStyleLight16"/>
  <colors>
    <mruColors>
      <color rgb="FF99FF66"/>
      <color rgb="FFFF66FF"/>
      <color rgb="FFFFFF66"/>
      <color rgb="FF40A87E"/>
      <color rgb="FF0000FF"/>
      <color rgb="FFC2B7A6"/>
      <color rgb="FFB75767"/>
      <color rgb="FF52DEFA"/>
      <color rgb="FFDCC432"/>
      <color rgb="FFFD73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externalLink" Target="externalLinks/externalLink6.xml"/><Relationship Id="rId26" Type="http://schemas.openxmlformats.org/officeDocument/2006/relationships/externalLink" Target="externalLinks/externalLink14.xml"/><Relationship Id="rId39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9.xml"/><Relationship Id="rId34" Type="http://schemas.openxmlformats.org/officeDocument/2006/relationships/externalLink" Target="externalLinks/externalLink2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5.xml"/><Relationship Id="rId25" Type="http://schemas.openxmlformats.org/officeDocument/2006/relationships/externalLink" Target="externalLinks/externalLink13.xml"/><Relationship Id="rId33" Type="http://schemas.openxmlformats.org/officeDocument/2006/relationships/externalLink" Target="externalLinks/externalLink21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4.xml"/><Relationship Id="rId20" Type="http://schemas.openxmlformats.org/officeDocument/2006/relationships/externalLink" Target="externalLinks/externalLink8.xml"/><Relationship Id="rId29" Type="http://schemas.openxmlformats.org/officeDocument/2006/relationships/externalLink" Target="externalLinks/externalLink1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2.xml"/><Relationship Id="rId32" Type="http://schemas.openxmlformats.org/officeDocument/2006/relationships/externalLink" Target="externalLinks/externalLink20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3.xml"/><Relationship Id="rId23" Type="http://schemas.openxmlformats.org/officeDocument/2006/relationships/externalLink" Target="externalLinks/externalLink11.xml"/><Relationship Id="rId28" Type="http://schemas.openxmlformats.org/officeDocument/2006/relationships/externalLink" Target="externalLinks/externalLink16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7.xml"/><Relationship Id="rId31" Type="http://schemas.openxmlformats.org/officeDocument/2006/relationships/externalLink" Target="externalLinks/externalLink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Relationship Id="rId22" Type="http://schemas.openxmlformats.org/officeDocument/2006/relationships/externalLink" Target="externalLinks/externalLink10.xml"/><Relationship Id="rId27" Type="http://schemas.openxmlformats.org/officeDocument/2006/relationships/externalLink" Target="externalLinks/externalLink15.xml"/><Relationship Id="rId30" Type="http://schemas.openxmlformats.org/officeDocument/2006/relationships/externalLink" Target="externalLinks/externalLink18.xml"/><Relationship Id="rId35" Type="http://schemas.openxmlformats.org/officeDocument/2006/relationships/externalLink" Target="externalLinks/externalLink2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Chip Bank'!A1"/><Relationship Id="rId3" Type="http://schemas.openxmlformats.org/officeDocument/2006/relationships/hyperlink" Target="#'TABLE RESULT '!A1"/><Relationship Id="rId7" Type="http://schemas.openxmlformats.org/officeDocument/2006/relationships/hyperlink" Target="#'OPENING NEW DAY'!A1"/><Relationship Id="rId2" Type="http://schemas.openxmlformats.org/officeDocument/2006/relationships/hyperlink" Target="#Unredeemed!A1"/><Relationship Id="rId1" Type="http://schemas.openxmlformats.org/officeDocument/2006/relationships/hyperlink" Target="#'VIP-DB'!A1"/><Relationship Id="rId6" Type="http://schemas.openxmlformats.org/officeDocument/2006/relationships/hyperlink" Target="#'Main Bank'!A1"/><Relationship Id="rId5" Type="http://schemas.openxmlformats.org/officeDocument/2006/relationships/hyperlink" Target="#'F&amp;C Report'!A1"/><Relationship Id="rId4" Type="http://schemas.openxmlformats.org/officeDocument/2006/relationships/hyperlink" Target="#'Table Breadown'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MENU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MENU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MENU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MENU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MENU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MENU!A1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MENU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MENU!A1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19050</xdr:colOff>
          <xdr:row>0</xdr:row>
          <xdr:rowOff>0</xdr:rowOff>
        </xdr:from>
        <xdr:to>
          <xdr:col>31</xdr:col>
          <xdr:colOff>600075</xdr:colOff>
          <xdr:row>2</xdr:row>
          <xdr:rowOff>19050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0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Opening New Day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428625</xdr:colOff>
      <xdr:row>0</xdr:row>
      <xdr:rowOff>66675</xdr:rowOff>
    </xdr:from>
    <xdr:to>
      <xdr:col>25</xdr:col>
      <xdr:colOff>180975</xdr:colOff>
      <xdr:row>6</xdr:row>
      <xdr:rowOff>57150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305425" y="66675"/>
          <a:ext cx="7677150" cy="11334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4000"/>
            <a:t>VIP-MBCS</a:t>
          </a:r>
        </a:p>
      </xdr:txBody>
    </xdr:sp>
    <xdr:clientData/>
  </xdr:twoCellAnchor>
  <xdr:twoCellAnchor>
    <xdr:from>
      <xdr:col>8</xdr:col>
      <xdr:colOff>229285</xdr:colOff>
      <xdr:row>24</xdr:row>
      <xdr:rowOff>133350</xdr:rowOff>
    </xdr:from>
    <xdr:to>
      <xdr:col>17</xdr:col>
      <xdr:colOff>552450</xdr:colOff>
      <xdr:row>30</xdr:row>
      <xdr:rowOff>123825</xdr:rowOff>
    </xdr:to>
    <xdr:sp macro="" textlink="">
      <xdr:nvSpPr>
        <xdr:cNvPr id="7" name="Rounded Rectangle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2667685" y="4705350"/>
          <a:ext cx="5809565" cy="11334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4000"/>
            <a:t>UNREDEEMED</a:t>
          </a:r>
        </a:p>
      </xdr:txBody>
    </xdr:sp>
    <xdr:clientData/>
  </xdr:twoCellAnchor>
  <xdr:twoCellAnchor>
    <xdr:from>
      <xdr:col>20</xdr:col>
      <xdr:colOff>9492</xdr:colOff>
      <xdr:row>24</xdr:row>
      <xdr:rowOff>133350</xdr:rowOff>
    </xdr:from>
    <xdr:to>
      <xdr:col>28</xdr:col>
      <xdr:colOff>533400</xdr:colOff>
      <xdr:row>30</xdr:row>
      <xdr:rowOff>123825</xdr:rowOff>
    </xdr:to>
    <xdr:sp macro="" textlink="">
      <xdr:nvSpPr>
        <xdr:cNvPr id="8" name="Rounded Rectangle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9763092" y="4705350"/>
          <a:ext cx="5400708" cy="11334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4000"/>
            <a:t>TABLE RESULT</a:t>
          </a:r>
        </a:p>
      </xdr:txBody>
    </xdr:sp>
    <xdr:clientData/>
  </xdr:twoCellAnchor>
  <xdr:twoCellAnchor>
    <xdr:from>
      <xdr:col>20</xdr:col>
      <xdr:colOff>19017</xdr:colOff>
      <xdr:row>16</xdr:row>
      <xdr:rowOff>133350</xdr:rowOff>
    </xdr:from>
    <xdr:to>
      <xdr:col>28</xdr:col>
      <xdr:colOff>542924</xdr:colOff>
      <xdr:row>22</xdr:row>
      <xdr:rowOff>123825</xdr:rowOff>
    </xdr:to>
    <xdr:sp macro="" textlink="">
      <xdr:nvSpPr>
        <xdr:cNvPr id="9" name="Rounded Rectangle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9772617" y="3181350"/>
          <a:ext cx="5400707" cy="11334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4000"/>
            <a:t>TABLE BREAKDOWN</a:t>
          </a:r>
        </a:p>
      </xdr:txBody>
    </xdr:sp>
    <xdr:clientData/>
  </xdr:twoCellAnchor>
  <xdr:twoCellAnchor>
    <xdr:from>
      <xdr:col>8</xdr:col>
      <xdr:colOff>190500</xdr:colOff>
      <xdr:row>16</xdr:row>
      <xdr:rowOff>133350</xdr:rowOff>
    </xdr:from>
    <xdr:to>
      <xdr:col>17</xdr:col>
      <xdr:colOff>561975</xdr:colOff>
      <xdr:row>22</xdr:row>
      <xdr:rowOff>123825</xdr:rowOff>
    </xdr:to>
    <xdr:sp macro="" textlink="">
      <xdr:nvSpPr>
        <xdr:cNvPr id="10" name="Rounded Rectangle 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2628900" y="3181350"/>
          <a:ext cx="5857875" cy="11334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4000"/>
            <a:t>FILL&amp;CREDIT REPORT</a:t>
          </a:r>
        </a:p>
      </xdr:txBody>
    </xdr:sp>
    <xdr:clientData/>
  </xdr:twoCellAnchor>
  <xdr:twoCellAnchor>
    <xdr:from>
      <xdr:col>8</xdr:col>
      <xdr:colOff>200777</xdr:colOff>
      <xdr:row>8</xdr:row>
      <xdr:rowOff>123825</xdr:rowOff>
    </xdr:from>
    <xdr:to>
      <xdr:col>17</xdr:col>
      <xdr:colOff>561975</xdr:colOff>
      <xdr:row>14</xdr:row>
      <xdr:rowOff>114300</xdr:rowOff>
    </xdr:to>
    <xdr:sp macro="" textlink="">
      <xdr:nvSpPr>
        <xdr:cNvPr id="12" name="Rounded Rectangle 1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2639177" y="1647825"/>
          <a:ext cx="5847598" cy="11334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4000"/>
            <a:t>MANK BANK (CASH)</a:t>
          </a:r>
        </a:p>
      </xdr:txBody>
    </xdr:sp>
    <xdr:clientData/>
  </xdr:twoCellAnchor>
  <xdr:twoCellAnchor>
    <xdr:from>
      <xdr:col>14</xdr:col>
      <xdr:colOff>105527</xdr:colOff>
      <xdr:row>31</xdr:row>
      <xdr:rowOff>180975</xdr:rowOff>
    </xdr:from>
    <xdr:to>
      <xdr:col>23</xdr:col>
      <xdr:colOff>466725</xdr:colOff>
      <xdr:row>37</xdr:row>
      <xdr:rowOff>171450</xdr:rowOff>
    </xdr:to>
    <xdr:sp macro="" textlink="">
      <xdr:nvSpPr>
        <xdr:cNvPr id="13" name="Rounded Rectangle 1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6201527" y="6086475"/>
          <a:ext cx="5847598" cy="11334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CASH</a:t>
          </a:r>
          <a:r>
            <a:rPr lang="en-US" sz="3200" baseline="0"/>
            <a:t>&amp;CHIP CLOSE AND OPEN</a:t>
          </a:r>
          <a:endParaRPr lang="en-US" sz="3200"/>
        </a:p>
      </xdr:txBody>
    </xdr:sp>
    <xdr:clientData/>
  </xdr:twoCellAnchor>
  <xdr:twoCellAnchor>
    <xdr:from>
      <xdr:col>20</xdr:col>
      <xdr:colOff>28575</xdr:colOff>
      <xdr:row>8</xdr:row>
      <xdr:rowOff>133350</xdr:rowOff>
    </xdr:from>
    <xdr:to>
      <xdr:col>28</xdr:col>
      <xdr:colOff>571499</xdr:colOff>
      <xdr:row>14</xdr:row>
      <xdr:rowOff>123825</xdr:rowOff>
    </xdr:to>
    <xdr:sp macro="" textlink="">
      <xdr:nvSpPr>
        <xdr:cNvPr id="14" name="Rounded Rectangle 1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9782175" y="1657350"/>
          <a:ext cx="5419724" cy="11334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4000"/>
            <a:t>CHIP BANK (CHIP)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22413</xdr:colOff>
      <xdr:row>1</xdr:row>
      <xdr:rowOff>26894</xdr:rowOff>
    </xdr:from>
    <xdr:to>
      <xdr:col>2</xdr:col>
      <xdr:colOff>674034</xdr:colOff>
      <xdr:row>2</xdr:row>
      <xdr:rowOff>353223</xdr:rowOff>
    </xdr:to>
    <xdr:pic>
      <xdr:nvPicPr>
        <xdr:cNvPr id="3" name="Pictur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75766" y="273423"/>
          <a:ext cx="898150" cy="70732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504825</xdr:colOff>
          <xdr:row>1</xdr:row>
          <xdr:rowOff>66675</xdr:rowOff>
        </xdr:from>
        <xdr:to>
          <xdr:col>11</xdr:col>
          <xdr:colOff>9525</xdr:colOff>
          <xdr:row>2</xdr:row>
          <xdr:rowOff>200025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1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2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33618</xdr:colOff>
      <xdr:row>1</xdr:row>
      <xdr:rowOff>22412</xdr:rowOff>
    </xdr:from>
    <xdr:to>
      <xdr:col>1</xdr:col>
      <xdr:colOff>997324</xdr:colOff>
      <xdr:row>2</xdr:row>
      <xdr:rowOff>414619</xdr:rowOff>
    </xdr:to>
    <xdr:pic>
      <xdr:nvPicPr>
        <xdr:cNvPr id="3" name="Pictur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86971" y="224118"/>
          <a:ext cx="963706" cy="82923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21934</xdr:colOff>
      <xdr:row>1</xdr:row>
      <xdr:rowOff>21341</xdr:rowOff>
    </xdr:from>
    <xdr:to>
      <xdr:col>1</xdr:col>
      <xdr:colOff>974911</xdr:colOff>
      <xdr:row>2</xdr:row>
      <xdr:rowOff>392206</xdr:rowOff>
    </xdr:to>
    <xdr:pic>
      <xdr:nvPicPr>
        <xdr:cNvPr id="6" name="Picture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75287" y="267870"/>
          <a:ext cx="952977" cy="78548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49306</xdr:colOff>
      <xdr:row>1</xdr:row>
      <xdr:rowOff>19050</xdr:rowOff>
    </xdr:from>
    <xdr:to>
      <xdr:col>8</xdr:col>
      <xdr:colOff>524593</xdr:colOff>
      <xdr:row>2</xdr:row>
      <xdr:rowOff>354672</xdr:rowOff>
    </xdr:to>
    <xdr:pic>
      <xdr:nvPicPr>
        <xdr:cNvPr id="3" name="Pictur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7394" y="209550"/>
          <a:ext cx="744228" cy="71662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36656</xdr:colOff>
      <xdr:row>0</xdr:row>
      <xdr:rowOff>23813</xdr:rowOff>
    </xdr:from>
    <xdr:to>
      <xdr:col>2</xdr:col>
      <xdr:colOff>23811</xdr:colOff>
      <xdr:row>1</xdr:row>
      <xdr:rowOff>649287</xdr:rowOff>
    </xdr:to>
    <xdr:pic>
      <xdr:nvPicPr>
        <xdr:cNvPr id="3" name="Pictur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656" y="23813"/>
          <a:ext cx="1606405" cy="1363662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0</xdr:row>
      <xdr:rowOff>38100</xdr:rowOff>
    </xdr:from>
    <xdr:to>
      <xdr:col>2</xdr:col>
      <xdr:colOff>9525</xdr:colOff>
      <xdr:row>1</xdr:row>
      <xdr:rowOff>276225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9075" y="38100"/>
          <a:ext cx="866775" cy="61912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87827</xdr:colOff>
      <xdr:row>1</xdr:row>
      <xdr:rowOff>54431</xdr:rowOff>
    </xdr:from>
    <xdr:to>
      <xdr:col>1</xdr:col>
      <xdr:colOff>155863</xdr:colOff>
      <xdr:row>2</xdr:row>
      <xdr:rowOff>450274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7827" y="435431"/>
          <a:ext cx="1124445" cy="89807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800100</xdr:colOff>
      <xdr:row>1</xdr:row>
      <xdr:rowOff>47626</xdr:rowOff>
    </xdr:from>
    <xdr:to>
      <xdr:col>1</xdr:col>
      <xdr:colOff>304800</xdr:colOff>
      <xdr:row>1</xdr:row>
      <xdr:rowOff>626350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00100" y="295276"/>
          <a:ext cx="600075" cy="57872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400051</xdr:colOff>
      <xdr:row>0</xdr:row>
      <xdr:rowOff>19050</xdr:rowOff>
    </xdr:from>
    <xdr:to>
      <xdr:col>2</xdr:col>
      <xdr:colOff>612775</xdr:colOff>
      <xdr:row>1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4026" y="19050"/>
          <a:ext cx="660399" cy="752475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647700</xdr:colOff>
      <xdr:row>1</xdr:row>
      <xdr:rowOff>47625</xdr:rowOff>
    </xdr:from>
    <xdr:to>
      <xdr:col>2</xdr:col>
      <xdr:colOff>467846</xdr:colOff>
      <xdr:row>2</xdr:row>
      <xdr:rowOff>373954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7300" y="238125"/>
          <a:ext cx="733425" cy="707329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457962</xdr:colOff>
      <xdr:row>3</xdr:row>
      <xdr:rowOff>9525</xdr:rowOff>
    </xdr:to>
    <xdr:pic>
      <xdr:nvPicPr>
        <xdr:cNvPr id="3" name="Pictur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5275" y="0"/>
          <a:ext cx="1620012" cy="58102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asino\cage\Documents%20and%20Settings\tolits.TOLITS_BUDDY\My%20Documents\latest%20bck%20up%20190508\MB%20REPORT%20APRIL%202008%20BCK%20UP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MBCS%20NEW\VND\OCTOBER\MBCS.VND&amp;note%2031-10-09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ASUS\Documents\WeChat%20Files\sousopheak\FileStorage\File\2019-06\Users\SHANLYN\Desktop\Laguna%20Cage%20Reports%20-%20Existing\Documents%20and%20Settings\tolits.TOLITS_BUDDY\Desktop\NOV-07%20CCF.VER.1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Documents%20and%20Settings\tolits.TOLITS_BUDDY\Desktop\NOV-07%20CCF.VER.1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Documents%20and%20Settings\English\Desktop\MAIN%20BANK(NOV-07)\MB%20BALANCE\MB%20NOV-30.1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asino\cage\Documents%20and%20Settings\English\Desktop\MAIN%20BANK(NOV-07)\MB%20BALANCE\MB%20NOV-30.1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iamonds\cage\GENIE\VND\V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Cashier\WINDOW%208%20CLOSING\W8%20CLOSING-FEB-2009\MAIN%20BANK%20REPORT-FEB-2009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289B91F\CAGE%20USD%20REPORT-2011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CAGE%20FILE\CAGE%20%20SILVER%20STAR%20CASINO(%20OK)\MONTHLY%20REPORT%20USD%20SILVER%20STAR\CAGE%20USD%20REPORT-2011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lito\june%205%202008\MB%20REPORT%20APRIL%202008%20BCK%20UP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Documents%20and%20Settings\tolits.TOLITS_BUDDY\My%20Documents\latest%20bck%20up%20190508\BALANCE%20SHT%20BCK%20UP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MBCS%20NEW\USD\OCTOBER\MBCS%20USD%20&amp;%20NOTE%2001-10-09%20NEW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REPORT%20OF%20TREASURY\MB-OCT-2008\BACK%20UP%20CHIPS%20BANK%202008\JULY-08\31-JULY-%202008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iamonds\cage\GENIE\VND\APRIL%2009\22-04-2009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ASUS\Documents\WeChat%20Files\sousopheak\FileStorage\File\2019-06\Users\SHANLYN\Desktop\Laguna%20Cage%20Reports%20-%20Existing\GENIE\VND\V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GENIE\VND\V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357F7B73\MBCS%20-26.03.19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HOTEL%20AND%20BUY%20IN%20RECORD%20OF%20OCT%202011.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Cage/Cashiers/FW%20VIP%20USD%20Balance%20Sheet/6.%20JUNE%202021/VIP%20Counter%20Balancing%2001%20June%202021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/Cage/Supervisors/Laguna%20-%20OB%202020/3.%20MARCH%20-2020/Operations%20Bank%20Report%20%2030-MAR-2020.xlsx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gnserv01\Departments\Cage\Cashiers\Laguna%20-%20MH%20Front%20Window\3.%20%20MARCH%202020\Mass%20Hall%20Balance%20Sheet%2030-MAR-2020.xlsx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/Cage/Cashiers/Laguna%20-%20VIP%20Front%20Window/2020/1.%20Dec/VIP%20NIUNIU%20JACKPOT%20TORO%2028%20Dec%202020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T DETAIL"/>
      <sheetName val="DAILY TRANSACTION"/>
      <sheetName val="MONTHLY BALANCE"/>
      <sheetName val="DAILY REPORT"/>
      <sheetName val="CASH FLOW"/>
      <sheetName val="TABLE CASH DROP"/>
      <sheetName val="PAUL CHO"/>
      <sheetName val="DEPOSIT"/>
      <sheetName val="MINI BACARAT"/>
      <sheetName val="TEXAS DAILY RESUL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>
        <row r="30">
          <cell r="E30">
            <v>5000</v>
          </cell>
        </row>
        <row r="31">
          <cell r="E31">
            <v>1000</v>
          </cell>
        </row>
        <row r="32">
          <cell r="E32">
            <v>500</v>
          </cell>
          <cell r="H32">
            <v>17</v>
          </cell>
        </row>
        <row r="33">
          <cell r="E33">
            <v>100</v>
          </cell>
        </row>
        <row r="34">
          <cell r="E34">
            <v>50</v>
          </cell>
        </row>
        <row r="35">
          <cell r="E35">
            <v>25</v>
          </cell>
        </row>
        <row r="36">
          <cell r="E36">
            <v>10</v>
          </cell>
        </row>
        <row r="37">
          <cell r="E37">
            <v>5</v>
          </cell>
        </row>
      </sheetData>
      <sheetData sheetId="8" refreshError="1"/>
      <sheetData sheetId="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CASINO ORIGINAL FLOAT "/>
      <sheetName val="OPENING BALANCE"/>
      <sheetName val="Chips Bank Settlement"/>
      <sheetName val="CAGE TRANS.CHIP"/>
      <sheetName val="CAGE CONSOLIDATION"/>
      <sheetName val="FILL"/>
      <sheetName val="CREDIT"/>
      <sheetName val="INS.FILL &amp; CREDIT"/>
      <sheetName val="SUMMARY FILL &amp; CREDIT"/>
      <sheetName val="MGR"/>
      <sheetName val="TABLE RESULT"/>
      <sheetName val="MONTHLY RESULT"/>
      <sheetName val="UNREDEEMED"/>
      <sheetName val="Flash Report "/>
      <sheetName val="DAILY BALANCE SHEET"/>
      <sheetName val="MB FLOAT"/>
      <sheetName val="FOREX"/>
      <sheetName val="INSTRUMENT HELD"/>
      <sheetName val="CBS BALANCE"/>
      <sheetName val="COUNTER CLOSING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JUNKET REPORT"/>
      <sheetName val="MONTHLY CCF"/>
      <sheetName val="TURNOVER"/>
      <sheetName val="CCF"/>
      <sheetName val="MANUAL UPDATE"/>
      <sheetName val="TURNOVER( BCC)"/>
      <sheetName val="TURNOVER( RLT)"/>
      <sheetName val="DAILY INS RESULT"/>
      <sheetName val="ACTUAL INSURANCE SHARE "/>
      <sheetName val="TABLE LEASE HONG"/>
      <sheetName val="199"/>
      <sheetName val="ANH3"/>
      <sheetName val="BADA"/>
      <sheetName val="BANG"/>
      <sheetName val="CAO HUNG"/>
      <sheetName val="CUONG DUNG"/>
      <sheetName val="DALIN"/>
      <sheetName val="FAT"/>
      <sheetName val="HAI"/>
      <sheetName val="HAPPY DAY"/>
      <sheetName val="HEN HEN"/>
      <sheetName val="HOA HK"/>
      <sheetName val="HOAI MINH"/>
      <sheetName val="HON"/>
      <sheetName val="JOHNSON"/>
      <sheetName val="KAO"/>
      <sheetName val="KHAN VI"/>
      <sheetName val="KIM"/>
      <sheetName val="KIM ANH"/>
      <sheetName val="LUC 838"/>
      <sheetName val="MALY"/>
      <sheetName val="MENG"/>
      <sheetName val="MENG HOUR"/>
      <sheetName val="MINH TRUNG"/>
      <sheetName val="MY HIEN"/>
      <sheetName val="NGOC MAI"/>
      <sheetName val="PHUC"/>
      <sheetName val="PHUONG HA"/>
      <sheetName val="RSN"/>
      <sheetName val="SAM"/>
      <sheetName val="SANH"/>
      <sheetName val="SHEA"/>
      <sheetName val="HAI KHOI"/>
      <sheetName val="SOK HA"/>
      <sheetName val="SOK THAI"/>
      <sheetName val="TAN LOC"/>
      <sheetName val="THA"/>
      <sheetName val="THAI PHUOC"/>
      <sheetName val="THAN THUY"/>
      <sheetName val="THUAN"/>
      <sheetName val="THUAN DIEN"/>
      <sheetName val="THUONG"/>
      <sheetName val="TRAN TAI"/>
      <sheetName val="TRA VAN HONG"/>
      <sheetName val="UT VANG"/>
      <sheetName val="WIN 99"/>
      <sheetName val="BAO PHUONG"/>
      <sheetName val="CHANTHA"/>
      <sheetName val="PHAT TAI"/>
      <sheetName val="HANH DH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JUNKET REPORT"/>
      <sheetName val="MONTHLY CCF"/>
      <sheetName val="TURNOVER"/>
      <sheetName val="CCF"/>
      <sheetName val="MANUAL UPDATE"/>
      <sheetName val="TURNOVER( BCC)"/>
      <sheetName val="TURNOVER( RLT)"/>
      <sheetName val="DAILY INS RESULT"/>
      <sheetName val="ACTUAL INSURANCE SHARE "/>
      <sheetName val="TABLE LEASE HONG"/>
      <sheetName val="199"/>
      <sheetName val="ANH3"/>
      <sheetName val="BADA"/>
      <sheetName val="BANG"/>
      <sheetName val="CAO HUNG"/>
      <sheetName val="CUONG DUNG"/>
      <sheetName val="DALIN"/>
      <sheetName val="FAT"/>
      <sheetName val="HAI"/>
      <sheetName val="HAPPY DAY"/>
      <sheetName val="HEN HEN"/>
      <sheetName val="HOA HK"/>
      <sheetName val="HOAI MINH"/>
      <sheetName val="HON"/>
      <sheetName val="JOHNSON"/>
      <sheetName val="KAO"/>
      <sheetName val="KHAN VI"/>
      <sheetName val="KIM"/>
      <sheetName val="KIM ANH"/>
      <sheetName val="LUC 838"/>
      <sheetName val="MALY"/>
      <sheetName val="MENG"/>
      <sheetName val="MENG HOUR"/>
      <sheetName val="MINH TRUNG"/>
      <sheetName val="MY HIEN"/>
      <sheetName val="NGOC MAI"/>
      <sheetName val="PHUC"/>
      <sheetName val="PHUONG HA"/>
      <sheetName val="RSN"/>
      <sheetName val="SAM"/>
      <sheetName val="SANH"/>
      <sheetName val="SHEA"/>
      <sheetName val="HAI KHOI"/>
      <sheetName val="SOK HA"/>
      <sheetName val="SOK THAI"/>
      <sheetName val="TAN LOC"/>
      <sheetName val="THA"/>
      <sheetName val="THAI PHUOC"/>
      <sheetName val="THAN THUY"/>
      <sheetName val="THUAN"/>
      <sheetName val="THUAN DIEN"/>
      <sheetName val="THUONG"/>
      <sheetName val="TRAN TAI"/>
      <sheetName val="TRA VAN HONG"/>
      <sheetName val="UT VANG"/>
      <sheetName val="WIN 99"/>
      <sheetName val="BAO PHUONG"/>
      <sheetName val="CHANTHA"/>
      <sheetName val="PHAT TAI"/>
      <sheetName val="HANH DH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LT &amp; BALANCE"/>
      <sheetName val="Daily Transaction"/>
      <sheetName val="WHOLE DAY"/>
      <sheetName val="MORNING"/>
      <sheetName val="SWING"/>
      <sheetName val="GRAVE"/>
      <sheetName val="DCF"/>
      <sheetName val=" MAIN VAULT "/>
      <sheetName val="FOREX"/>
      <sheetName val="DAILY FOREX"/>
      <sheetName val="DEPOSIT"/>
      <sheetName val="TABLE CASH DROP"/>
      <sheetName val="HYUNH TOUNG GROUP REPORT"/>
      <sheetName val="STTLMNT M S"/>
      <sheetName val="CCF REDEEMED"/>
    </sheetNames>
    <sheetDataSet>
      <sheetData sheetId="0"/>
      <sheetData sheetId="1"/>
      <sheetData sheetId="2"/>
      <sheetData sheetId="3"/>
      <sheetData sheetId="4"/>
      <sheetData sheetId="5">
        <row r="72">
          <cell r="G72">
            <v>2751013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LT &amp; BALANCE"/>
      <sheetName val="Daily Transaction"/>
      <sheetName val="WHOLE DAY"/>
      <sheetName val="MORNING"/>
      <sheetName val="SWING"/>
      <sheetName val="GRAVE"/>
      <sheetName val="DCF"/>
      <sheetName val=" MAIN VAULT "/>
      <sheetName val="FOREX"/>
      <sheetName val="DAILY FOREX"/>
      <sheetName val="DEPOSIT"/>
      <sheetName val="TABLE CASH DROP"/>
      <sheetName val="HYUNH TOUNG GROUP REPORT"/>
      <sheetName val="STTLMNT M S"/>
      <sheetName val="CCF REDEEMED"/>
    </sheetNames>
    <sheetDataSet>
      <sheetData sheetId="0"/>
      <sheetData sheetId="1"/>
      <sheetData sheetId="2"/>
      <sheetData sheetId="3"/>
      <sheetData sheetId="4"/>
      <sheetData sheetId="5">
        <row r="72">
          <cell r="G72">
            <v>2751013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SINO ORIGINAL FLOAT "/>
      <sheetName val="OPENING BALANCE"/>
      <sheetName val="Chips Bank Settlement"/>
      <sheetName val="CAGE TRANSACTION"/>
      <sheetName val="CAGE CONSOLIDATION"/>
      <sheetName val="FILL"/>
      <sheetName val="CREDIT"/>
      <sheetName val="INS FILL &amp; CREDIT"/>
      <sheetName val="SUMMARY FILL &amp; CREDIT"/>
      <sheetName val="MGR"/>
      <sheetName val="TABLE RESULT"/>
      <sheetName val="INSURANCE RESULT"/>
      <sheetName val="UNREDEEMED"/>
      <sheetName val="FLASH REPORT"/>
      <sheetName val="CBCS"/>
      <sheetName val="MBCS"/>
      <sheetName val="MB CASH"/>
      <sheetName val="FOREX"/>
      <sheetName val="COUNTER CLOSING"/>
    </sheetNames>
    <sheetDataSet>
      <sheetData sheetId="0"/>
      <sheetData sheetId="1"/>
      <sheetData sheetId="2" refreshError="1">
        <row r="23">
          <cell r="E23">
            <v>35223732.5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T DETAIL"/>
      <sheetName val="RECORD MASTER CARD "/>
      <sheetName val="MAIN MENU"/>
      <sheetName val="MONTHLY BALANCE"/>
      <sheetName val="ONLINE GAME"/>
      <sheetName val="OTHER"/>
      <sheetName val="TRANSACTION"/>
      <sheetName val="MASTER CARD"/>
      <sheetName val="REPORT"/>
      <sheetName val="GAMING"/>
      <sheetName val="CASH FLOW"/>
      <sheetName val="ROULLET INPUT"/>
      <sheetName val="ROULLET REPORT"/>
      <sheetName val="HENRY FANG"/>
      <sheetName val="DEPOSIT"/>
      <sheetName val="CLOSE SHEET MB (M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4">
          <cell r="B4">
            <v>1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BS-09"/>
      <sheetName val="DBS-10"/>
      <sheetName val="DBS-11"/>
      <sheetName val="DBS-12"/>
      <sheetName val="SALE REPORT"/>
      <sheetName val="MONTHLY MBCS-October-11"/>
      <sheetName val="ACCOUNTABILITY"/>
      <sheetName val="INVENTORY"/>
      <sheetName val="CR"/>
      <sheetName val="CDV"/>
      <sheetName val="OR"/>
      <sheetName val="DS"/>
      <sheetName val="FLASH REPORT"/>
      <sheetName val="YEARLY MBCS-11"/>
      <sheetName val="YEAR ENDED REPORT"/>
      <sheetName val="TABLE RESULT YEAR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>
        <row r="54">
          <cell r="BB54">
            <v>125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/>
      <sheetData sheetId="13" refreshError="1"/>
      <sheetData sheetId="14" refreshError="1"/>
      <sheetData sheetId="15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BS-09"/>
      <sheetName val="DBS-10"/>
      <sheetName val="DBS-11"/>
      <sheetName val="DBS-12"/>
      <sheetName val="SALE REPORT"/>
      <sheetName val="MONTHLY MBCS-October-11"/>
      <sheetName val="ACCOUNTABILITY"/>
      <sheetName val="INVENTORY"/>
      <sheetName val="CR"/>
      <sheetName val="CDV"/>
      <sheetName val="OR"/>
      <sheetName val="DS"/>
      <sheetName val="FLASH REPORT"/>
      <sheetName val="YEARLY MBCS-11"/>
      <sheetName val="YEAR ENDED REPORT"/>
      <sheetName val="TABLE RESULT YEAR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>
        <row r="54">
          <cell r="BB54">
            <v>125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/>
      <sheetData sheetId="13" refreshError="1"/>
      <sheetData sheetId="14" refreshError="1"/>
      <sheetData sheetId="15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T DETAIL"/>
      <sheetName val="DAILY TRANSACTION"/>
      <sheetName val="MONTHLY BALANCE"/>
      <sheetName val="DAILY REPORT"/>
      <sheetName val="CASH FLOW"/>
      <sheetName val="TABLE CASH DROP"/>
      <sheetName val="PAUL CHO"/>
      <sheetName val="DEPOSIT"/>
      <sheetName val="MINI BACARAT"/>
      <sheetName val="TEXAS DAILY RESULT"/>
    </sheetNames>
    <sheetDataSet>
      <sheetData sheetId="0" refreshError="1"/>
      <sheetData sheetId="1" refreshError="1"/>
      <sheetData sheetId="2" refreshError="1"/>
      <sheetData sheetId="3" refreshError="1">
        <row r="4">
          <cell r="B4">
            <v>2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HOLE BALANCE"/>
      <sheetName val="SHIFT BALANCE"/>
      <sheetName val="DCF"/>
      <sheetName val=" MAIN VAULT "/>
      <sheetName val="FOREX"/>
      <sheetName val="DAILY FOREX"/>
      <sheetName val="ROULLETTE RESUL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CASINO ORIGINAL FLOAT "/>
      <sheetName val="OPENING BALANCE"/>
      <sheetName val="Chips Bank Settlement"/>
      <sheetName val="CAGE TRANS. CHIP&amp;CASH "/>
      <sheetName val="CAGE CONSOLIDATION"/>
      <sheetName val="FILL"/>
      <sheetName val="CREDIT"/>
      <sheetName val="INS FILL &amp; CREDIT"/>
      <sheetName val="SUMMARY FILL &amp; CREDIT"/>
      <sheetName val="MGR"/>
      <sheetName val="TABLE RESULT"/>
      <sheetName val="ROLLING"/>
      <sheetName val="INSURANCE RESULT"/>
      <sheetName val="UNREDEEMED"/>
      <sheetName val="Flash Report "/>
      <sheetName val="DAILY BALANCE SHEET"/>
      <sheetName val="MB FLOAT"/>
      <sheetName val="INSTRUMENT HELD"/>
      <sheetName val="FOREX"/>
      <sheetName val="FOREX SUMMARY"/>
      <sheetName val="CBS DAY"/>
      <sheetName val="CBS NIGHT"/>
      <sheetName val="FOREX CBS DAY"/>
      <sheetName val="FOREX CBS NIGHT"/>
      <sheetName val="counter summary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GE TRANSACTION"/>
      <sheetName val="Chip bank Settlement"/>
      <sheetName val="TABLE MGR"/>
      <sheetName val="TABLE RESULT"/>
      <sheetName val="COUNTER CLOSER"/>
      <sheetName val="FILL"/>
      <sheetName val="CREDIT"/>
      <sheetName val="CAGE TO CAGE"/>
      <sheetName val="TABLE MGR "/>
      <sheetName val="TABLE REVENUE"/>
      <sheetName val="CASH DRO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/>
      <sheetData sheetId="9"/>
      <sheetData sheetId="10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SINO ORIGINAL FLOAT "/>
      <sheetName val="OPENING BALANCE"/>
      <sheetName val="Chips Bank Settlement"/>
      <sheetName val="CAGE TRANSACTION"/>
      <sheetName val="CAGE CONSOLIDATION"/>
      <sheetName val="FILL"/>
      <sheetName val="CREDIT"/>
      <sheetName val="INS FILL &amp; CREDIT"/>
      <sheetName val="SUMMARY FILL &amp; CREDIT"/>
      <sheetName val="MGR"/>
      <sheetName val="TABLE RESULT"/>
      <sheetName val="INSURANCE RESULT"/>
      <sheetName val="UNREDEEMED"/>
      <sheetName val="FLASH REPORT"/>
      <sheetName val="CBCS"/>
      <sheetName val="MBCS"/>
      <sheetName val="MB CASH"/>
      <sheetName val="FOREX"/>
      <sheetName val="COUNTER CLOSING"/>
    </sheetNames>
    <sheetDataSet>
      <sheetData sheetId="0"/>
      <sheetData sheetId="1"/>
      <sheetData sheetId="2" refreshError="1">
        <row r="23">
          <cell r="E23">
            <v>36943031.5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SINO ORIGINAL FLOAT "/>
      <sheetName val="OPENING BALANCE"/>
      <sheetName val="Chips Bank Settlement"/>
      <sheetName val="CAGE TRANSACTION"/>
      <sheetName val="CAGE CONSOLIDATION"/>
      <sheetName val="FILL"/>
      <sheetName val="CREDIT"/>
      <sheetName val="INS FILL &amp; CREDIT"/>
      <sheetName val="SUMMARY FILL &amp; CREDIT"/>
      <sheetName val="MGR"/>
      <sheetName val="TABLE RESULT"/>
      <sheetName val="INSURANCE RESULT"/>
      <sheetName val="UNREDEEMED"/>
      <sheetName val="FLASH REPORT"/>
      <sheetName val="CBCS"/>
      <sheetName val="MBCS"/>
      <sheetName val="MB CASH"/>
      <sheetName val="FOREX"/>
      <sheetName val="COUNTER CLOSING"/>
    </sheetNames>
    <sheetDataSet>
      <sheetData sheetId="0"/>
      <sheetData sheetId="1"/>
      <sheetData sheetId="2">
        <row r="23">
          <cell r="E23">
            <v>35223732.5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SINO ORIGINAL FLOAT "/>
      <sheetName val="OPENING BALANCE"/>
      <sheetName val="Chips Bank Settlement"/>
      <sheetName val="CAGE TRANSACTION"/>
      <sheetName val="CAGE CONSOLIDATION"/>
      <sheetName val="FILL"/>
      <sheetName val="CREDIT"/>
      <sheetName val="INS FILL &amp; CREDIT"/>
      <sheetName val="SUMMARY FILL &amp; CREDIT"/>
      <sheetName val="MGR"/>
      <sheetName val="TABLE RESULT"/>
      <sheetName val="INSURANCE RESULT"/>
      <sheetName val="UNREDEEMED"/>
      <sheetName val="FLASH REPORT"/>
      <sheetName val="CBCS"/>
      <sheetName val="MBCS"/>
      <sheetName val="MB CASH"/>
      <sheetName val="FOREX"/>
      <sheetName val="COUNTER CLOSING"/>
    </sheetNames>
    <sheetDataSet>
      <sheetData sheetId="0"/>
      <sheetData sheetId="1"/>
      <sheetData sheetId="2">
        <row r="23">
          <cell r="E23">
            <v>35223732.5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BCS-MORNING"/>
      <sheetName val="MBCS-NIGHT"/>
      <sheetName val="MBCS-AFTERNOON"/>
      <sheetName val="USD Cash Inventory"/>
      <sheetName val="Forex"/>
      <sheetName val="Front Window"/>
      <sheetName val="Commission"/>
      <sheetName val="Marker"/>
      <sheetName val="CDV"/>
      <sheetName val="OR"/>
      <sheetName val="Variance"/>
      <sheetName val="DepositWithdraw"/>
      <sheetName val="Debit &amp; Credit Note"/>
      <sheetName val="SUMMARY"/>
    </sheetNames>
    <sheetDataSet>
      <sheetData sheetId="0">
        <row r="4">
          <cell r="H4">
            <v>43550</v>
          </cell>
        </row>
      </sheetData>
      <sheetData sheetId="1"/>
      <sheetData sheetId="2"/>
      <sheetData sheetId="3"/>
      <sheetData sheetId="4"/>
      <sheetData sheetId="5"/>
      <sheetData sheetId="6">
        <row r="1">
          <cell r="AA1">
            <v>43550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TEL OCT 2011"/>
      <sheetName val="CASH OCT'11"/>
      <sheetName val="HOTEL AND BUY IN RECORD OF OCT "/>
    </sheetNames>
    <definedNames>
      <definedName name="DATE" refersTo="#REF!"/>
    </definedNames>
    <sheetDataSet>
      <sheetData sheetId="0" refreshError="1"/>
      <sheetData sheetId="1" refreshError="1"/>
      <sheetData sheetId="2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W2 "/>
      <sheetName val="VIP (FW1)"/>
      <sheetName val="FW5"/>
      <sheetName val="FW6"/>
      <sheetName val="FW7"/>
      <sheetName val="FW8"/>
      <sheetName val="Chart1"/>
      <sheetName val="BuyinCashout FW2"/>
      <sheetName val="BuyinCashout FW3 "/>
      <sheetName val="BuyinCashout FW5"/>
      <sheetName val="BuyinCashout FW6"/>
      <sheetName val="BuyinCashout FW7"/>
      <sheetName val="BuyIn &amp; Cashout"/>
      <sheetName val="VIP (FW02)"/>
      <sheetName val="Transaction Commission"/>
      <sheetName val="TORO (FW3)"/>
      <sheetName val="JACKPOT TORO FW3"/>
      <sheetName val="Balance Shift"/>
      <sheetName val="DEPOSIT"/>
      <sheetName val="Daily cash in&amp;out "/>
      <sheetName val="NNO1 LIST"/>
      <sheetName val="Balance.Shift"/>
      <sheetName val="FORM BUYIN CASH OUT"/>
      <sheetName val="FROM COLLECTION"/>
      <sheetName val="MARKER"/>
      <sheetName val="Sheet2 (3)"/>
      <sheetName val="BuyInCashOut"/>
    </sheetNames>
    <sheetDataSet>
      <sheetData sheetId="0"/>
      <sheetData sheetId="1">
        <row r="24">
          <cell r="G24">
            <v>0</v>
          </cell>
        </row>
        <row r="25">
          <cell r="G25">
            <v>0</v>
          </cell>
        </row>
        <row r="26">
          <cell r="G26">
            <v>0</v>
          </cell>
        </row>
        <row r="27">
          <cell r="G27">
            <v>0</v>
          </cell>
        </row>
        <row r="28">
          <cell r="G28">
            <v>0</v>
          </cell>
        </row>
        <row r="29">
          <cell r="G29">
            <v>0</v>
          </cell>
        </row>
        <row r="30">
          <cell r="G30">
            <v>0</v>
          </cell>
        </row>
        <row r="31">
          <cell r="G31">
            <v>0</v>
          </cell>
        </row>
        <row r="32">
          <cell r="G32">
            <v>0</v>
          </cell>
        </row>
        <row r="33">
          <cell r="G33">
            <v>0</v>
          </cell>
        </row>
        <row r="34">
          <cell r="G34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>
        <row r="8">
          <cell r="L8">
            <v>0</v>
          </cell>
        </row>
      </sheetData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B Cash"/>
      <sheetName val="OB Chip"/>
      <sheetName val="F&amp;C Report"/>
      <sheetName val="Marker Report"/>
      <sheetName val="DEPOSIT"/>
      <sheetName val="MARKER USD"/>
      <sheetName val="MARKER RMB"/>
      <sheetName val="Chart1"/>
      <sheetName val="Sheet1"/>
    </sheetNames>
    <sheetDataSet>
      <sheetData sheetId="0"/>
      <sheetData sheetId="1">
        <row r="9">
          <cell r="K9">
            <v>0</v>
          </cell>
          <cell r="O9">
            <v>0</v>
          </cell>
        </row>
        <row r="10">
          <cell r="K10">
            <v>0</v>
          </cell>
          <cell r="O10">
            <v>0</v>
          </cell>
        </row>
        <row r="11">
          <cell r="K11">
            <v>0</v>
          </cell>
          <cell r="O11">
            <v>0</v>
          </cell>
        </row>
        <row r="12">
          <cell r="K12">
            <v>0</v>
          </cell>
          <cell r="O12">
            <v>0</v>
          </cell>
        </row>
        <row r="13">
          <cell r="K13">
            <v>0</v>
          </cell>
          <cell r="O13">
            <v>0</v>
          </cell>
        </row>
        <row r="14">
          <cell r="K14">
            <v>0</v>
          </cell>
          <cell r="O14">
            <v>0</v>
          </cell>
        </row>
        <row r="15">
          <cell r="K15">
            <v>0</v>
          </cell>
          <cell r="O15">
            <v>0</v>
          </cell>
        </row>
        <row r="16">
          <cell r="K16">
            <v>0</v>
          </cell>
          <cell r="O16">
            <v>0</v>
          </cell>
        </row>
        <row r="17">
          <cell r="K17">
            <v>0</v>
          </cell>
          <cell r="O17">
            <v>0</v>
          </cell>
        </row>
        <row r="18">
          <cell r="K18">
            <v>0</v>
          </cell>
          <cell r="O18">
            <v>0</v>
          </cell>
        </row>
        <row r="24">
          <cell r="K24">
            <v>0</v>
          </cell>
          <cell r="O24">
            <v>0</v>
          </cell>
        </row>
        <row r="25">
          <cell r="K25">
            <v>0</v>
          </cell>
          <cell r="O25">
            <v>0</v>
          </cell>
        </row>
        <row r="26">
          <cell r="K26">
            <v>0</v>
          </cell>
          <cell r="O26">
            <v>0</v>
          </cell>
        </row>
        <row r="27">
          <cell r="K27">
            <v>0</v>
          </cell>
          <cell r="O27">
            <v>0</v>
          </cell>
        </row>
        <row r="28">
          <cell r="K28">
            <v>0</v>
          </cell>
          <cell r="O28">
            <v>0</v>
          </cell>
        </row>
        <row r="29">
          <cell r="K29">
            <v>0</v>
          </cell>
          <cell r="O29">
            <v>0</v>
          </cell>
        </row>
        <row r="30">
          <cell r="K30">
            <v>0</v>
          </cell>
          <cell r="O30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W2 "/>
      <sheetName val="FW3"/>
      <sheetName val="FW5"/>
      <sheetName val="FW6"/>
      <sheetName val="FW7"/>
      <sheetName val="FW8"/>
      <sheetName val="Chart6"/>
      <sheetName val="BuyinCashout FW2"/>
      <sheetName val="BuyinCashout FW3 "/>
      <sheetName val="BuyinCashout FW5"/>
      <sheetName val="BuyinCashout FW6"/>
      <sheetName val="BuyinCashout FW7"/>
      <sheetName val="JACKPOT TORO FW8"/>
      <sheetName val="TOTAL BUY IN"/>
      <sheetName val="Balance Shift"/>
      <sheetName val="DEPOSIT"/>
      <sheetName val="Daily cash in&amp;out "/>
      <sheetName val="NNO1 LIST"/>
      <sheetName val="Balance.Shift"/>
      <sheetName val="FORM BUYIN CASH OUT"/>
      <sheetName val="FROM COLLECTION"/>
      <sheetName val="Sheet1"/>
      <sheetName val="MARKER"/>
      <sheetName val="Sheet2 (3)"/>
      <sheetName val="BuyInCashOut"/>
      <sheetName val="FW-VIP"/>
      <sheetName val="DepWith Summary Log"/>
      <sheetName val="Rolling Template"/>
      <sheetName val="DepWith A"/>
      <sheetName val="DepWith B"/>
      <sheetName val="TEM.DEP"/>
      <sheetName val="Marker A"/>
      <sheetName val="Marker B"/>
      <sheetName val="Monthly Rolling"/>
    </sheetNames>
    <sheetDataSet>
      <sheetData sheetId="0"/>
      <sheetData sheetId="1"/>
      <sheetData sheetId="2"/>
      <sheetData sheetId="3"/>
      <sheetData sheetId="4"/>
      <sheetData sheetId="5"/>
      <sheetData sheetId="6" refreshError="1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10">
          <cell r="H10">
            <v>0</v>
          </cell>
        </row>
      </sheetData>
      <sheetData sheetId="19"/>
      <sheetData sheetId="20"/>
      <sheetData sheetId="21"/>
      <sheetData sheetId="22"/>
      <sheetData sheetId="23"/>
      <sheetData sheetId="24"/>
      <sheetData sheetId="25">
        <row r="49">
          <cell r="H49">
            <v>4000</v>
          </cell>
        </row>
      </sheetData>
      <sheetData sheetId="26"/>
      <sheetData sheetId="27"/>
      <sheetData sheetId="28"/>
      <sheetData sheetId="29"/>
      <sheetData sheetId="30"/>
      <sheetData sheetId="31"/>
      <sheetData sheetId="32"/>
      <sheetData sheetId="33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W2 "/>
      <sheetName val="TORO"/>
      <sheetName val="FW5"/>
      <sheetName val="FW6"/>
      <sheetName val="FW7"/>
      <sheetName val="FW8"/>
      <sheetName val="Chart1"/>
      <sheetName val="BuyinCashout FW2"/>
      <sheetName val="BuyinCashout FW3 "/>
      <sheetName val="BuyinCashout FW5"/>
      <sheetName val="BuyinCashout FW6"/>
      <sheetName val="BuyinCashout FW7"/>
      <sheetName val="JACKPOT TORO FW3"/>
      <sheetName val="Monthly TORO"/>
      <sheetName val="Monthly Fish Game（02）"/>
      <sheetName val="Balance Shift"/>
      <sheetName val="DEPOSIT"/>
      <sheetName val="Daily cash in&amp;out "/>
      <sheetName val="NNO1 LIST"/>
      <sheetName val="Balance.Shift"/>
      <sheetName val="FORM BUYIN CASH OUT"/>
      <sheetName val="FROM COLLECTION"/>
      <sheetName val="MARKER"/>
      <sheetName val="Sheet2 (3)"/>
      <sheetName val="BuyInCashOut"/>
    </sheetNames>
    <sheetDataSet>
      <sheetData sheetId="0"/>
      <sheetData sheetId="1">
        <row r="41">
          <cell r="C41">
            <v>0</v>
          </cell>
        </row>
        <row r="42">
          <cell r="C42">
            <v>0</v>
          </cell>
        </row>
        <row r="43">
          <cell r="C43">
            <v>0</v>
          </cell>
        </row>
        <row r="44">
          <cell r="C44">
            <v>0</v>
          </cell>
        </row>
        <row r="45">
          <cell r="C45">
            <v>0</v>
          </cell>
        </row>
        <row r="46">
          <cell r="C46">
            <v>0</v>
          </cell>
        </row>
        <row r="47">
          <cell r="C47">
            <v>0</v>
          </cell>
        </row>
        <row r="48">
          <cell r="C48">
            <v>0</v>
          </cell>
        </row>
        <row r="49">
          <cell r="C49">
            <v>0</v>
          </cell>
        </row>
        <row r="50">
          <cell r="C50">
            <v>0</v>
          </cell>
        </row>
      </sheetData>
      <sheetData sheetId="2"/>
      <sheetData sheetId="3"/>
      <sheetData sheetId="4"/>
      <sheetData sheetId="5"/>
      <sheetData sheetId="6" refreshError="1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A1:AC2"/>
  <sheetViews>
    <sheetView showGridLines="0" topLeftCell="E1" zoomScaleNormal="100" workbookViewId="0"/>
  </sheetViews>
  <sheetFormatPr defaultRowHeight="15"/>
  <cols>
    <col min="1" max="4" width="0" style="705" hidden="1" customWidth="1"/>
    <col min="5" max="16384" width="9.140625" style="705"/>
  </cols>
  <sheetData>
    <row r="1" spans="27:29">
      <c r="AA1" s="751">
        <v>44427</v>
      </c>
      <c r="AB1" s="751"/>
      <c r="AC1" s="751"/>
    </row>
    <row r="2" spans="27:29">
      <c r="AA2" s="751"/>
      <c r="AB2" s="751"/>
      <c r="AC2" s="751"/>
    </row>
  </sheetData>
  <mergeCells count="1">
    <mergeCell ref="AA1:AC2"/>
  </mergeCell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Module1.Clear">
                <anchor moveWithCells="1" sizeWithCells="1">
                  <from>
                    <xdr:col>29</xdr:col>
                    <xdr:colOff>19050</xdr:colOff>
                    <xdr:row>0</xdr:row>
                    <xdr:rowOff>0</xdr:rowOff>
                  </from>
                  <to>
                    <xdr:col>31</xdr:col>
                    <xdr:colOff>600075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0000"/>
    <pageSetUpPr fitToPage="1"/>
  </sheetPr>
  <dimension ref="A1:BH130"/>
  <sheetViews>
    <sheetView zoomScale="85" zoomScaleNormal="85" zoomScaleSheetLayoutView="100" workbookViewId="0">
      <selection activeCell="M11" sqref="M11"/>
    </sheetView>
  </sheetViews>
  <sheetFormatPr defaultColWidth="15.7109375" defaultRowHeight="20.100000000000001" customHeight="1"/>
  <cols>
    <col min="1" max="1" width="15.7109375" style="44"/>
    <col min="2" max="2" width="3.7109375" style="139" customWidth="1"/>
    <col min="3" max="3" width="29.140625" style="44" customWidth="1"/>
    <col min="4" max="4" width="36.28515625" style="44" customWidth="1"/>
    <col min="5" max="5" width="21" style="138" customWidth="1"/>
    <col min="6" max="6" width="1.7109375" style="44" customWidth="1"/>
    <col min="7" max="7" width="3.7109375" style="139" customWidth="1"/>
    <col min="8" max="8" width="20.7109375" style="44" customWidth="1"/>
    <col min="9" max="9" width="27.85546875" style="44" customWidth="1"/>
    <col min="10" max="10" width="23.140625" style="138" customWidth="1"/>
    <col min="11" max="11" width="24.42578125" style="44" bestFit="1" customWidth="1"/>
    <col min="12" max="14" width="16.140625" style="44" customWidth="1"/>
    <col min="15" max="16384" width="15.7109375" style="44"/>
  </cols>
  <sheetData>
    <row r="1" spans="1:60" ht="20.100000000000001" customHeight="1" thickBot="1">
      <c r="B1" s="109"/>
      <c r="C1" s="110"/>
      <c r="D1" s="110"/>
      <c r="E1" s="111"/>
      <c r="F1" s="110"/>
      <c r="G1" s="109"/>
      <c r="H1" s="110"/>
      <c r="I1" s="110"/>
      <c r="J1" s="111"/>
    </row>
    <row r="2" spans="1:60" ht="30" customHeight="1">
      <c r="B2" s="758" t="s">
        <v>383</v>
      </c>
      <c r="C2" s="759"/>
      <c r="D2" s="759"/>
      <c r="E2" s="759"/>
      <c r="F2" s="759"/>
      <c r="G2" s="759"/>
      <c r="H2" s="759"/>
      <c r="I2" s="759"/>
      <c r="J2" s="760"/>
    </row>
    <row r="3" spans="1:60" ht="30" customHeight="1" thickBot="1">
      <c r="A3" s="112"/>
      <c r="B3" s="761">
        <f>MENU!AA1</f>
        <v>44427</v>
      </c>
      <c r="C3" s="762"/>
      <c r="D3" s="762"/>
      <c r="E3" s="762"/>
      <c r="F3" s="762"/>
      <c r="G3" s="762"/>
      <c r="H3" s="762"/>
      <c r="I3" s="762"/>
      <c r="J3" s="763"/>
      <c r="L3" s="624"/>
    </row>
    <row r="4" spans="1:60" ht="20.100000000000001" customHeight="1">
      <c r="B4" s="187"/>
      <c r="C4" s="22"/>
      <c r="D4" s="22"/>
      <c r="E4" s="114"/>
      <c r="F4" s="22"/>
      <c r="G4" s="187"/>
      <c r="H4" s="22"/>
      <c r="I4" s="22"/>
      <c r="J4" s="114"/>
      <c r="K4" s="115"/>
      <c r="L4" s="624"/>
    </row>
    <row r="5" spans="1:60" s="116" customFormat="1" ht="20.100000000000001" customHeight="1">
      <c r="B5" s="764" t="s">
        <v>274</v>
      </c>
      <c r="C5" s="764"/>
      <c r="D5" s="764"/>
      <c r="E5" s="764"/>
      <c r="F5" s="117"/>
      <c r="G5" s="764" t="s">
        <v>267</v>
      </c>
      <c r="H5" s="764"/>
      <c r="I5" s="764"/>
      <c r="J5" s="764"/>
      <c r="K5" s="120"/>
      <c r="L5" s="624"/>
    </row>
    <row r="6" spans="1:60" s="116" customFormat="1" ht="20.100000000000001" customHeight="1">
      <c r="B6" s="224"/>
      <c r="C6" s="119"/>
      <c r="D6" s="119"/>
      <c r="E6" s="119"/>
      <c r="F6" s="117"/>
      <c r="G6" s="224"/>
      <c r="H6" s="119"/>
      <c r="I6" s="119"/>
      <c r="J6" s="119"/>
      <c r="K6" s="120"/>
      <c r="L6" s="118"/>
    </row>
    <row r="7" spans="1:60" s="60" customFormat="1" ht="22.5" customHeight="1">
      <c r="B7" s="765" t="s">
        <v>365</v>
      </c>
      <c r="C7" s="765"/>
      <c r="D7" s="765"/>
      <c r="E7" s="765"/>
      <c r="F7" s="121"/>
      <c r="G7" s="765" t="s">
        <v>275</v>
      </c>
      <c r="H7" s="765"/>
      <c r="I7" s="765"/>
      <c r="J7" s="765"/>
      <c r="M7" s="116"/>
    </row>
    <row r="8" spans="1:60" s="122" customFormat="1" ht="26.25" customHeight="1">
      <c r="B8" s="227">
        <v>1</v>
      </c>
      <c r="C8" s="766" t="s">
        <v>280</v>
      </c>
      <c r="D8" s="766"/>
      <c r="E8" s="143">
        <f>'OPENING NEW DAY'!B5</f>
        <v>364758.67499999999</v>
      </c>
      <c r="F8" s="123"/>
      <c r="G8" s="741">
        <f t="shared" ref="G8:G19" si="0">B8</f>
        <v>1</v>
      </c>
      <c r="H8" s="767" t="str">
        <f>IF((C8)=0,"",(C8))</f>
        <v>Main Bank（大账房）</v>
      </c>
      <c r="I8" s="767"/>
      <c r="J8" s="143">
        <f>'Main Bank'!H29</f>
        <v>376758.67499999999</v>
      </c>
      <c r="K8" s="124"/>
      <c r="L8" s="124"/>
      <c r="BH8" s="122">
        <v>42</v>
      </c>
    </row>
    <row r="9" spans="1:60" s="122" customFormat="1" ht="26.25" customHeight="1">
      <c r="B9" s="227">
        <v>2</v>
      </c>
      <c r="C9" s="766" t="s">
        <v>281</v>
      </c>
      <c r="D9" s="766"/>
      <c r="E9" s="143">
        <f>'OPENING NEW DAY'!B6</f>
        <v>0</v>
      </c>
      <c r="F9" s="123"/>
      <c r="G9" s="741">
        <f t="shared" si="0"/>
        <v>2</v>
      </c>
      <c r="H9" s="767" t="str">
        <f t="shared" ref="H9:H19" si="1">IF((C9)=0,"",(C9))</f>
        <v>Operations Bank</v>
      </c>
      <c r="I9" s="767"/>
      <c r="J9" s="143">
        <f>E9</f>
        <v>0</v>
      </c>
      <c r="K9" s="124"/>
      <c r="L9" s="124"/>
    </row>
    <row r="10" spans="1:60" s="122" customFormat="1" ht="26.25" customHeight="1">
      <c r="B10" s="227">
        <v>3</v>
      </c>
      <c r="C10" s="766" t="s">
        <v>282</v>
      </c>
      <c r="D10" s="766"/>
      <c r="E10" s="143">
        <f>'OPENING NEW DAY'!B7</f>
        <v>106100</v>
      </c>
      <c r="F10" s="123"/>
      <c r="G10" s="741">
        <f t="shared" si="0"/>
        <v>3</v>
      </c>
      <c r="H10" s="767" t="str">
        <f t="shared" si="1"/>
        <v>Gaming Table（台面现金）</v>
      </c>
      <c r="I10" s="767"/>
      <c r="J10" s="143">
        <f>'Table Breadown'!BH32</f>
        <v>118700</v>
      </c>
      <c r="K10" s="124"/>
    </row>
    <row r="11" spans="1:60" s="122" customFormat="1" ht="26.25" customHeight="1">
      <c r="B11" s="227">
        <v>4</v>
      </c>
      <c r="C11" s="770" t="s">
        <v>283</v>
      </c>
      <c r="D11" s="770"/>
      <c r="E11" s="143">
        <f>'OPENING NEW DAY'!B8</f>
        <v>0</v>
      </c>
      <c r="F11" s="123"/>
      <c r="G11" s="741">
        <f t="shared" si="0"/>
        <v>4</v>
      </c>
      <c r="H11" s="767" t="str">
        <f t="shared" si="1"/>
        <v>Counterfeit Notes</v>
      </c>
      <c r="I11" s="767"/>
      <c r="J11" s="142"/>
      <c r="K11" s="124"/>
    </row>
    <row r="12" spans="1:60" s="122" customFormat="1" ht="26.25" customHeight="1">
      <c r="B12" s="227">
        <v>5</v>
      </c>
      <c r="C12" s="768" t="str">
        <f>H12</f>
        <v>Jackpot Toro</v>
      </c>
      <c r="D12" s="769"/>
      <c r="E12" s="143">
        <f>'OPENING NEW DAY'!B9</f>
        <v>0</v>
      </c>
      <c r="F12" s="123"/>
      <c r="G12" s="741">
        <f t="shared" si="0"/>
        <v>5</v>
      </c>
      <c r="H12" s="766" t="s">
        <v>215</v>
      </c>
      <c r="I12" s="766"/>
      <c r="J12" s="143">
        <f>'[20]TORO (FW3)'!$L$8</f>
        <v>0</v>
      </c>
      <c r="K12" s="124"/>
      <c r="L12" s="124"/>
    </row>
    <row r="13" spans="1:60" s="122" customFormat="1" ht="26.25" customHeight="1">
      <c r="B13" s="227">
        <v>6</v>
      </c>
      <c r="C13" s="625" t="s">
        <v>305</v>
      </c>
      <c r="D13" s="621"/>
      <c r="E13" s="626">
        <f>'OPENING NEW DAY'!B10</f>
        <v>34167.5</v>
      </c>
      <c r="F13" s="123"/>
      <c r="G13" s="741">
        <f t="shared" si="0"/>
        <v>6</v>
      </c>
      <c r="H13" s="771" t="str">
        <f t="shared" ref="H13" si="2">IF((C13)=0,"",(C13))</f>
        <v>VIP-FW01 (Buy In&amp;Cash Out)（柜统）</v>
      </c>
      <c r="I13" s="772"/>
      <c r="J13" s="713">
        <v>41087.5</v>
      </c>
      <c r="K13" s="124"/>
      <c r="L13" s="124"/>
    </row>
    <row r="14" spans="1:60" s="122" customFormat="1" ht="22.5" hidden="1" customHeight="1">
      <c r="B14" s="227">
        <v>7</v>
      </c>
      <c r="C14" s="766"/>
      <c r="D14" s="766"/>
      <c r="E14" s="143">
        <f>'OPENING NEW DAY'!B11</f>
        <v>0</v>
      </c>
      <c r="F14" s="123"/>
      <c r="G14" s="741">
        <f t="shared" si="0"/>
        <v>7</v>
      </c>
      <c r="H14" s="767" t="str">
        <f t="shared" si="1"/>
        <v/>
      </c>
      <c r="I14" s="767"/>
      <c r="J14" s="714"/>
      <c r="K14" s="124"/>
      <c r="L14" s="124"/>
    </row>
    <row r="15" spans="1:60" s="122" customFormat="1" ht="20.100000000000001" hidden="1" customHeight="1">
      <c r="B15" s="227">
        <v>8</v>
      </c>
      <c r="C15" s="766"/>
      <c r="D15" s="766"/>
      <c r="E15" s="143">
        <f>'OPENING NEW DAY'!B12</f>
        <v>0</v>
      </c>
      <c r="F15" s="123"/>
      <c r="G15" s="741">
        <f t="shared" si="0"/>
        <v>8</v>
      </c>
      <c r="H15" s="767" t="str">
        <f t="shared" si="1"/>
        <v/>
      </c>
      <c r="I15" s="767"/>
      <c r="J15" s="714"/>
      <c r="K15" s="124"/>
      <c r="L15" s="124"/>
    </row>
    <row r="16" spans="1:60" s="122" customFormat="1" ht="26.25" customHeight="1">
      <c r="B16" s="227">
        <v>9</v>
      </c>
      <c r="C16" s="625" t="s">
        <v>304</v>
      </c>
      <c r="D16" s="621"/>
      <c r="E16" s="626">
        <f>'OPENING NEW DAY'!B13</f>
        <v>212602.5</v>
      </c>
      <c r="F16" s="123"/>
      <c r="G16" s="741">
        <f t="shared" si="0"/>
        <v>9</v>
      </c>
      <c r="H16" s="771" t="str">
        <f t="shared" si="1"/>
        <v>VIP-FW02 (Payment)</v>
      </c>
      <c r="I16" s="772"/>
      <c r="J16" s="713">
        <v>77118.5</v>
      </c>
      <c r="K16" s="124"/>
      <c r="L16" s="124"/>
    </row>
    <row r="17" spans="2:12" s="122" customFormat="1" ht="26.25" customHeight="1">
      <c r="B17" s="227">
        <v>10</v>
      </c>
      <c r="C17" s="770"/>
      <c r="D17" s="770"/>
      <c r="E17" s="143">
        <f>'OPENING NEW DAY'!B14</f>
        <v>0</v>
      </c>
      <c r="F17" s="123"/>
      <c r="G17" s="741">
        <f t="shared" si="0"/>
        <v>10</v>
      </c>
      <c r="H17" s="773" t="str">
        <f t="shared" si="1"/>
        <v/>
      </c>
      <c r="I17" s="773"/>
      <c r="J17" s="142"/>
      <c r="K17" s="124"/>
      <c r="L17" s="124"/>
    </row>
    <row r="18" spans="2:12" s="122" customFormat="1" ht="20.100000000000001" hidden="1" customHeight="1">
      <c r="B18" s="227">
        <v>11</v>
      </c>
      <c r="C18" s="766"/>
      <c r="D18" s="766"/>
      <c r="E18" s="143">
        <f>'OPENING NEW DAY'!B15</f>
        <v>0</v>
      </c>
      <c r="F18" s="123"/>
      <c r="G18" s="741">
        <f t="shared" si="0"/>
        <v>11</v>
      </c>
      <c r="H18" s="767" t="str">
        <f t="shared" si="1"/>
        <v/>
      </c>
      <c r="I18" s="767"/>
      <c r="J18" s="142"/>
      <c r="K18" s="124"/>
      <c r="L18" s="124"/>
    </row>
    <row r="19" spans="2:12" s="122" customFormat="1" ht="26.25" customHeight="1">
      <c r="B19" s="227">
        <v>12</v>
      </c>
      <c r="C19" s="770"/>
      <c r="D19" s="770"/>
      <c r="E19" s="143">
        <f>'OPENING NEW DAY'!B16</f>
        <v>0</v>
      </c>
      <c r="F19" s="123"/>
      <c r="G19" s="741">
        <f t="shared" si="0"/>
        <v>12</v>
      </c>
      <c r="H19" s="767" t="str">
        <f t="shared" si="1"/>
        <v/>
      </c>
      <c r="I19" s="767"/>
      <c r="J19" s="142"/>
      <c r="K19" s="124"/>
      <c r="L19" s="124"/>
    </row>
    <row r="20" spans="2:12" s="60" customFormat="1" ht="20.100000000000001" customHeight="1">
      <c r="B20" s="226"/>
      <c r="C20" s="123"/>
      <c r="D20" s="125" t="s">
        <v>98</v>
      </c>
      <c r="E20" s="143">
        <f>SUM(E8:E19)</f>
        <v>717628.67500000005</v>
      </c>
      <c r="F20" s="123"/>
      <c r="G20" s="225"/>
      <c r="H20" s="123"/>
      <c r="I20" s="125" t="s">
        <v>98</v>
      </c>
      <c r="J20" s="143">
        <f>SUM(J8:J19)</f>
        <v>613664.67500000005</v>
      </c>
    </row>
    <row r="21" spans="2:12" s="122" customFormat="1" ht="20.100000000000001" customHeight="1">
      <c r="B21" s="226"/>
      <c r="C21" s="123"/>
      <c r="D21" s="123"/>
      <c r="E21" s="141"/>
      <c r="F21" s="123"/>
      <c r="G21" s="226"/>
      <c r="H21" s="123"/>
      <c r="I21" s="123"/>
      <c r="J21" s="178"/>
      <c r="K21" s="126"/>
      <c r="L21" s="124"/>
    </row>
    <row r="22" spans="2:12" s="122" customFormat="1" ht="22.5" customHeight="1">
      <c r="B22" s="765" t="s">
        <v>276</v>
      </c>
      <c r="C22" s="765"/>
      <c r="D22" s="765"/>
      <c r="E22" s="765"/>
      <c r="F22" s="121"/>
      <c r="G22" s="765" t="s">
        <v>277</v>
      </c>
      <c r="H22" s="765"/>
      <c r="I22" s="765"/>
      <c r="J22" s="765"/>
      <c r="K22" s="126"/>
      <c r="L22" s="124"/>
    </row>
    <row r="23" spans="2:12" s="122" customFormat="1" ht="26.25" customHeight="1">
      <c r="B23" s="227">
        <v>1</v>
      </c>
      <c r="C23" s="774" t="s">
        <v>284</v>
      </c>
      <c r="D23" s="775"/>
      <c r="E23" s="145">
        <f>'OPENING NEW DAY'!B17</f>
        <v>193007453</v>
      </c>
      <c r="F23" s="123"/>
      <c r="G23" s="741">
        <f>B23</f>
        <v>1</v>
      </c>
      <c r="H23" s="767" t="str">
        <f>IF((C23)=0,"",(C23))</f>
        <v>Chip Bank（大账房筹码）</v>
      </c>
      <c r="I23" s="767"/>
      <c r="J23" s="145">
        <f>'Chip Bank'!I35</f>
        <v>193015453</v>
      </c>
      <c r="K23" s="124"/>
      <c r="L23" s="124"/>
    </row>
    <row r="24" spans="2:12" s="122" customFormat="1" ht="26.25" customHeight="1">
      <c r="B24" s="227">
        <v>2</v>
      </c>
      <c r="C24" s="774" t="s">
        <v>281</v>
      </c>
      <c r="D24" s="775"/>
      <c r="E24" s="145">
        <f>'OPENING NEW DAY'!B18</f>
        <v>0</v>
      </c>
      <c r="F24" s="123"/>
      <c r="G24" s="741">
        <f>B24</f>
        <v>2</v>
      </c>
      <c r="H24" s="767" t="str">
        <f t="shared" ref="H24:H36" si="3">IF((C24)=0,"",(C24))</f>
        <v>Operations Bank</v>
      </c>
      <c r="I24" s="767"/>
      <c r="J24" s="717">
        <v>0</v>
      </c>
      <c r="K24" s="127"/>
      <c r="L24" s="124"/>
    </row>
    <row r="25" spans="2:12" s="122" customFormat="1" ht="26.25" customHeight="1">
      <c r="B25" s="227">
        <v>3</v>
      </c>
      <c r="C25" s="746" t="s">
        <v>268</v>
      </c>
      <c r="D25" s="747"/>
      <c r="E25" s="145">
        <f>'OPENING NEW DAY'!B19</f>
        <v>0</v>
      </c>
      <c r="F25" s="123"/>
      <c r="G25" s="718">
        <v>3</v>
      </c>
      <c r="H25" s="746" t="s">
        <v>268</v>
      </c>
      <c r="I25" s="747"/>
      <c r="J25" s="146"/>
      <c r="K25" s="127"/>
      <c r="L25" s="124"/>
    </row>
    <row r="26" spans="2:12" s="122" customFormat="1" ht="26.25" customHeight="1">
      <c r="B26" s="227">
        <v>4</v>
      </c>
      <c r="C26" s="746" t="s">
        <v>285</v>
      </c>
      <c r="D26" s="747"/>
      <c r="E26" s="145">
        <f>'OPENING NEW DAY'!B20</f>
        <v>12426864.5</v>
      </c>
      <c r="F26" s="140"/>
      <c r="G26" s="741">
        <f t="shared" ref="G26:G35" si="4">B26</f>
        <v>4</v>
      </c>
      <c r="H26" s="773" t="str">
        <f>IF((C26)=0,"",(C26))</f>
        <v>Gaming Table（台面筹码）</v>
      </c>
      <c r="I26" s="773"/>
      <c r="J26" s="184">
        <f>'Table Breadown'!BH33</f>
        <v>12462637</v>
      </c>
      <c r="K26" s="127"/>
      <c r="L26" s="124"/>
    </row>
    <row r="27" spans="2:12" s="122" customFormat="1" ht="26.25" customHeight="1">
      <c r="B27" s="227">
        <v>5</v>
      </c>
      <c r="C27" s="774" t="s">
        <v>22</v>
      </c>
      <c r="D27" s="775"/>
      <c r="E27" s="145">
        <f>'OPENING NEW DAY'!B21</f>
        <v>0</v>
      </c>
      <c r="F27" s="123"/>
      <c r="G27" s="741">
        <f t="shared" si="4"/>
        <v>5</v>
      </c>
      <c r="H27" s="774" t="s">
        <v>22</v>
      </c>
      <c r="I27" s="775"/>
      <c r="J27" s="146"/>
      <c r="K27" s="127"/>
      <c r="L27" s="124"/>
    </row>
    <row r="28" spans="2:12" s="122" customFormat="1" ht="26.25" customHeight="1">
      <c r="B28" s="227">
        <v>6</v>
      </c>
      <c r="C28" s="768" t="str">
        <f>H28</f>
        <v>Jackpot Toro</v>
      </c>
      <c r="D28" s="769"/>
      <c r="E28" s="145">
        <f>'OPENING NEW DAY'!B22</f>
        <v>5006</v>
      </c>
      <c r="F28" s="123"/>
      <c r="G28" s="741">
        <f t="shared" si="4"/>
        <v>6</v>
      </c>
      <c r="H28" s="776" t="s">
        <v>215</v>
      </c>
      <c r="I28" s="776"/>
      <c r="J28" s="715">
        <v>5006</v>
      </c>
      <c r="K28" s="127"/>
      <c r="L28" s="124"/>
    </row>
    <row r="29" spans="2:12" s="122" customFormat="1" ht="26.25" customHeight="1">
      <c r="B29" s="227">
        <v>7</v>
      </c>
      <c r="C29" s="625" t="s">
        <v>303</v>
      </c>
      <c r="D29" s="621"/>
      <c r="E29" s="627">
        <f>'OPENING NEW DAY'!B23</f>
        <v>465832.5</v>
      </c>
      <c r="F29" s="123"/>
      <c r="G29" s="741">
        <f t="shared" si="4"/>
        <v>7</v>
      </c>
      <c r="H29" s="742" t="str">
        <f t="shared" si="3"/>
        <v>VIP-FW01 (Buy In&amp;Cash Out)（柜统）</v>
      </c>
      <c r="I29" s="719"/>
      <c r="J29" s="711">
        <v>458912.5</v>
      </c>
      <c r="K29" s="127"/>
      <c r="L29" s="124"/>
    </row>
    <row r="30" spans="2:12" s="122" customFormat="1" ht="26.25" customHeight="1">
      <c r="B30" s="227">
        <v>8</v>
      </c>
      <c r="C30" s="625" t="s">
        <v>304</v>
      </c>
      <c r="D30" s="621"/>
      <c r="E30" s="627">
        <f>'OPENING NEW DAY'!B24</f>
        <v>264522</v>
      </c>
      <c r="F30" s="123"/>
      <c r="G30" s="741">
        <f t="shared" si="4"/>
        <v>8</v>
      </c>
      <c r="H30" s="742" t="str">
        <f t="shared" si="3"/>
        <v>VIP-FW02 (Payment)</v>
      </c>
      <c r="I30" s="720"/>
      <c r="J30" s="712">
        <v>224397</v>
      </c>
      <c r="K30" s="127"/>
      <c r="L30" s="124"/>
    </row>
    <row r="31" spans="2:12" s="122" customFormat="1" ht="20.100000000000001" hidden="1" customHeight="1">
      <c r="B31" s="227">
        <v>9</v>
      </c>
      <c r="C31" s="774"/>
      <c r="D31" s="775"/>
      <c r="E31" s="145">
        <f>'OPENING NEW DAY'!B25</f>
        <v>0</v>
      </c>
      <c r="F31" s="123"/>
      <c r="G31" s="741">
        <f>B31</f>
        <v>9</v>
      </c>
      <c r="H31" s="767" t="str">
        <f t="shared" si="3"/>
        <v/>
      </c>
      <c r="I31" s="777"/>
      <c r="J31" s="146"/>
      <c r="K31" s="127"/>
      <c r="L31" s="124"/>
    </row>
    <row r="32" spans="2:12" s="122" customFormat="1" ht="20.100000000000001" hidden="1" customHeight="1">
      <c r="B32" s="227">
        <v>10</v>
      </c>
      <c r="C32" s="766"/>
      <c r="D32" s="766"/>
      <c r="E32" s="145">
        <f>'OPENING NEW DAY'!B26</f>
        <v>0</v>
      </c>
      <c r="F32" s="123"/>
      <c r="G32" s="741">
        <f t="shared" si="4"/>
        <v>10</v>
      </c>
      <c r="H32" s="767" t="str">
        <f t="shared" si="3"/>
        <v/>
      </c>
      <c r="I32" s="767"/>
      <c r="J32" s="146"/>
    </row>
    <row r="33" spans="2:12" s="122" customFormat="1" ht="26.25" customHeight="1">
      <c r="B33" s="227">
        <v>11</v>
      </c>
      <c r="C33" s="766"/>
      <c r="D33" s="766"/>
      <c r="E33" s="145">
        <f>'OPENING NEW DAY'!B27</f>
        <v>0</v>
      </c>
      <c r="F33" s="123"/>
      <c r="G33" s="741">
        <f t="shared" si="4"/>
        <v>11</v>
      </c>
      <c r="H33" s="773" t="str">
        <f t="shared" si="3"/>
        <v/>
      </c>
      <c r="I33" s="773"/>
      <c r="J33" s="142"/>
    </row>
    <row r="34" spans="2:12" s="122" customFormat="1" ht="26.25" customHeight="1">
      <c r="B34" s="227">
        <v>12</v>
      </c>
      <c r="C34" s="766"/>
      <c r="D34" s="766"/>
      <c r="E34" s="145">
        <f>'OPENING NEW DAY'!B28</f>
        <v>0</v>
      </c>
      <c r="F34" s="123"/>
      <c r="G34" s="741">
        <f t="shared" si="4"/>
        <v>12</v>
      </c>
      <c r="H34" s="767" t="str">
        <f t="shared" si="3"/>
        <v/>
      </c>
      <c r="I34" s="767"/>
      <c r="J34" s="144"/>
    </row>
    <row r="35" spans="2:12" s="122" customFormat="1" ht="20.100000000000001" hidden="1" customHeight="1">
      <c r="B35" s="227">
        <v>13</v>
      </c>
      <c r="C35" s="766"/>
      <c r="D35" s="766"/>
      <c r="E35" s="144"/>
      <c r="F35" s="123"/>
      <c r="G35" s="741">
        <f t="shared" si="4"/>
        <v>13</v>
      </c>
      <c r="H35" s="767" t="str">
        <f t="shared" si="3"/>
        <v/>
      </c>
      <c r="I35" s="767"/>
      <c r="J35" s="144"/>
    </row>
    <row r="36" spans="2:12" s="122" customFormat="1" ht="20.100000000000001" hidden="1" customHeight="1">
      <c r="B36" s="227" t="s">
        <v>120</v>
      </c>
      <c r="C36" s="766"/>
      <c r="D36" s="766"/>
      <c r="E36" s="144"/>
      <c r="F36" s="123"/>
      <c r="G36" s="227"/>
      <c r="H36" s="767" t="str">
        <f t="shared" si="3"/>
        <v/>
      </c>
      <c r="I36" s="767"/>
      <c r="J36" s="144"/>
    </row>
    <row r="37" spans="2:12" s="122" customFormat="1" ht="26.25" customHeight="1">
      <c r="B37" s="225"/>
      <c r="C37" s="128"/>
      <c r="D37" s="125" t="s">
        <v>97</v>
      </c>
      <c r="E37" s="145">
        <f>SUM(E23:E36)</f>
        <v>206169678</v>
      </c>
      <c r="F37" s="123"/>
      <c r="G37" s="225"/>
      <c r="H37" s="123"/>
      <c r="I37" s="125" t="s">
        <v>97</v>
      </c>
      <c r="J37" s="145">
        <f>SUM(J23:J36)</f>
        <v>206166405.5</v>
      </c>
    </row>
    <row r="38" spans="2:12" s="122" customFormat="1" ht="20.100000000000001" customHeight="1">
      <c r="B38" s="225"/>
      <c r="C38" s="121"/>
      <c r="D38" s="121"/>
      <c r="E38" s="141"/>
      <c r="F38" s="123"/>
      <c r="G38" s="225"/>
      <c r="H38" s="123"/>
      <c r="I38" s="123"/>
      <c r="J38" s="141"/>
    </row>
    <row r="39" spans="2:12" s="122" customFormat="1" ht="26.25" customHeight="1">
      <c r="B39" s="225"/>
      <c r="C39" s="121"/>
      <c r="D39" s="64" t="s">
        <v>21</v>
      </c>
      <c r="E39" s="145">
        <f>E20+E37</f>
        <v>206887306.67500001</v>
      </c>
      <c r="F39" s="123"/>
      <c r="G39" s="225"/>
      <c r="H39" s="123"/>
      <c r="I39" s="64" t="s">
        <v>21</v>
      </c>
      <c r="J39" s="145">
        <f>+J20+J37</f>
        <v>206780070.17500001</v>
      </c>
    </row>
    <row r="40" spans="2:12" s="122" customFormat="1" ht="20.100000000000001" customHeight="1">
      <c r="B40" s="225"/>
      <c r="C40" s="121"/>
      <c r="D40" s="64"/>
      <c r="E40" s="129"/>
      <c r="F40" s="123"/>
      <c r="G40" s="225"/>
      <c r="H40" s="123"/>
      <c r="I40" s="64"/>
      <c r="J40" s="129"/>
    </row>
    <row r="41" spans="2:12" s="122" customFormat="1" ht="20.100000000000001" customHeight="1">
      <c r="B41" s="782" t="s">
        <v>1</v>
      </c>
      <c r="C41" s="783"/>
      <c r="D41" s="783"/>
      <c r="E41" s="783"/>
      <c r="F41" s="123"/>
      <c r="G41" s="783" t="s">
        <v>1</v>
      </c>
      <c r="H41" s="783"/>
      <c r="I41" s="783"/>
      <c r="J41" s="783"/>
    </row>
    <row r="42" spans="2:12" s="122" customFormat="1" ht="22.5" customHeight="1">
      <c r="B42" s="784" t="s">
        <v>278</v>
      </c>
      <c r="C42" s="784"/>
      <c r="D42" s="784"/>
      <c r="E42" s="784"/>
      <c r="F42" s="123"/>
      <c r="G42" s="765" t="s">
        <v>279</v>
      </c>
      <c r="H42" s="765"/>
      <c r="I42" s="765"/>
      <c r="J42" s="765"/>
    </row>
    <row r="43" spans="2:12" s="122" customFormat="1" ht="26.25" customHeight="1">
      <c r="B43" s="228">
        <v>1</v>
      </c>
      <c r="C43" s="754" t="s">
        <v>372</v>
      </c>
      <c r="D43" s="754"/>
      <c r="E43" s="503"/>
      <c r="F43" s="481"/>
      <c r="G43" s="743">
        <f t="shared" ref="G43:G48" si="5">B43</f>
        <v>1</v>
      </c>
      <c r="H43" s="755" t="s">
        <v>220</v>
      </c>
      <c r="I43" s="755"/>
      <c r="J43" s="504"/>
    </row>
    <row r="44" spans="2:12" s="122" customFormat="1" ht="26.25" customHeight="1">
      <c r="B44" s="228">
        <v>2</v>
      </c>
      <c r="C44" s="756" t="s">
        <v>373</v>
      </c>
      <c r="D44" s="756"/>
      <c r="E44" s="503">
        <v>48372.5</v>
      </c>
      <c r="F44" s="481"/>
      <c r="G44" s="743">
        <f t="shared" si="5"/>
        <v>2</v>
      </c>
      <c r="H44" s="757" t="s">
        <v>375</v>
      </c>
      <c r="I44" s="757"/>
      <c r="J44" s="504"/>
      <c r="K44" s="752"/>
      <c r="L44" s="753"/>
    </row>
    <row r="45" spans="2:12" s="122" customFormat="1" ht="26.25" customHeight="1">
      <c r="B45" s="228">
        <v>3</v>
      </c>
      <c r="C45" s="778" t="s">
        <v>377</v>
      </c>
      <c r="D45" s="779"/>
      <c r="E45" s="507"/>
      <c r="F45" s="481"/>
      <c r="G45" s="743">
        <f t="shared" si="5"/>
        <v>3</v>
      </c>
      <c r="H45" s="778" t="s">
        <v>381</v>
      </c>
      <c r="I45" s="779"/>
      <c r="J45" s="507"/>
    </row>
    <row r="46" spans="2:12" s="122" customFormat="1" ht="26.25" customHeight="1">
      <c r="B46" s="228">
        <v>4</v>
      </c>
      <c r="C46" s="780" t="s">
        <v>374</v>
      </c>
      <c r="D46" s="781"/>
      <c r="E46" s="480"/>
      <c r="F46" s="481"/>
      <c r="G46" s="743">
        <f t="shared" si="5"/>
        <v>4</v>
      </c>
      <c r="H46" s="778" t="s">
        <v>378</v>
      </c>
      <c r="I46" s="779"/>
      <c r="J46" s="622">
        <v>60000</v>
      </c>
    </row>
    <row r="47" spans="2:12" s="122" customFormat="1" ht="26.25" customHeight="1">
      <c r="B47" s="570">
        <v>5</v>
      </c>
      <c r="C47" s="778" t="s">
        <v>382</v>
      </c>
      <c r="D47" s="779"/>
      <c r="E47" s="480">
        <v>20000</v>
      </c>
      <c r="F47" s="481"/>
      <c r="G47" s="743">
        <f t="shared" si="5"/>
        <v>5</v>
      </c>
      <c r="H47" s="778" t="s">
        <v>379</v>
      </c>
      <c r="I47" s="779"/>
      <c r="J47" s="50"/>
    </row>
    <row r="48" spans="2:12" s="122" customFormat="1" ht="26.25" customHeight="1">
      <c r="B48" s="228">
        <v>6</v>
      </c>
      <c r="C48" s="778" t="s">
        <v>376</v>
      </c>
      <c r="D48" s="779"/>
      <c r="E48" s="507"/>
      <c r="F48" s="481"/>
      <c r="G48" s="743">
        <f t="shared" si="5"/>
        <v>6</v>
      </c>
      <c r="H48" s="778" t="s">
        <v>389</v>
      </c>
      <c r="I48" s="779"/>
      <c r="J48" s="623"/>
      <c r="K48" s="127"/>
    </row>
    <row r="49" spans="1:12" s="122" customFormat="1" ht="26.25" customHeight="1">
      <c r="B49" s="570" t="s">
        <v>191</v>
      </c>
      <c r="C49" s="778" t="s">
        <v>376</v>
      </c>
      <c r="D49" s="779"/>
      <c r="E49" s="622"/>
      <c r="F49" s="481"/>
      <c r="G49" s="743" t="str">
        <f t="shared" ref="G49:G53" si="6">B49</f>
        <v>7</v>
      </c>
      <c r="H49" s="778" t="s">
        <v>387</v>
      </c>
      <c r="I49" s="779"/>
      <c r="J49" s="623">
        <v>115500</v>
      </c>
      <c r="K49" s="127"/>
    </row>
    <row r="50" spans="1:12" s="122" customFormat="1" ht="26.25" customHeight="1">
      <c r="B50" s="228" t="s">
        <v>192</v>
      </c>
      <c r="C50" s="778" t="s">
        <v>388</v>
      </c>
      <c r="D50" s="779"/>
      <c r="E50" s="50"/>
      <c r="F50" s="50">
        <v>30679</v>
      </c>
      <c r="G50" s="743" t="str">
        <f t="shared" si="6"/>
        <v>8</v>
      </c>
      <c r="H50" s="778" t="s">
        <v>386</v>
      </c>
      <c r="I50" s="779"/>
      <c r="J50" s="83"/>
      <c r="K50" s="127"/>
    </row>
    <row r="51" spans="1:12" s="122" customFormat="1" ht="26.25" customHeight="1">
      <c r="B51" s="228" t="s">
        <v>195</v>
      </c>
      <c r="C51" s="778" t="s">
        <v>384</v>
      </c>
      <c r="D51" s="779"/>
      <c r="E51" s="50"/>
      <c r="F51" s="481"/>
      <c r="G51" s="743" t="str">
        <f t="shared" si="6"/>
        <v>9</v>
      </c>
      <c r="H51" s="778" t="s">
        <v>385</v>
      </c>
      <c r="I51" s="779"/>
      <c r="J51" s="83">
        <v>125</v>
      </c>
    </row>
    <row r="52" spans="1:12" s="122" customFormat="1" ht="26.25" customHeight="1">
      <c r="B52" s="228" t="s">
        <v>193</v>
      </c>
      <c r="C52" s="785" t="s">
        <v>395</v>
      </c>
      <c r="D52" s="785"/>
      <c r="E52" s="50">
        <v>20000</v>
      </c>
      <c r="F52" s="481"/>
      <c r="G52" s="743" t="str">
        <f t="shared" si="6"/>
        <v>10</v>
      </c>
      <c r="H52" s="778" t="s">
        <v>398</v>
      </c>
      <c r="I52" s="779"/>
      <c r="J52" s="623">
        <v>20000</v>
      </c>
    </row>
    <row r="53" spans="1:12" s="122" customFormat="1" ht="26.25" customHeight="1">
      <c r="B53" s="228" t="s">
        <v>194</v>
      </c>
      <c r="C53" s="785" t="s">
        <v>396</v>
      </c>
      <c r="D53" s="785"/>
      <c r="E53" s="507">
        <v>50</v>
      </c>
      <c r="F53" s="481"/>
      <c r="G53" s="743" t="str">
        <f t="shared" si="6"/>
        <v>11</v>
      </c>
      <c r="H53" s="778" t="s">
        <v>397</v>
      </c>
      <c r="I53" s="779"/>
      <c r="J53" s="50">
        <v>34</v>
      </c>
    </row>
    <row r="54" spans="1:12" s="122" customFormat="1" ht="20.100000000000001" customHeight="1">
      <c r="B54" s="225"/>
      <c r="C54" s="128"/>
      <c r="D54" s="147" t="s">
        <v>96</v>
      </c>
      <c r="E54" s="47">
        <f>SUM(E43:E53)</f>
        <v>88422.5</v>
      </c>
      <c r="F54" s="123"/>
      <c r="G54" s="225"/>
      <c r="H54" s="123"/>
      <c r="I54" s="147" t="s">
        <v>253</v>
      </c>
      <c r="J54" s="47">
        <f>SUM(J43:J53)</f>
        <v>195659</v>
      </c>
    </row>
    <row r="55" spans="1:12" s="122" customFormat="1" ht="20.100000000000001" customHeight="1">
      <c r="B55" s="225"/>
      <c r="C55" s="121"/>
      <c r="D55" s="121"/>
      <c r="E55" s="141"/>
      <c r="F55" s="123"/>
      <c r="G55" s="225"/>
      <c r="H55" s="123"/>
      <c r="I55" s="123"/>
      <c r="J55" s="141"/>
      <c r="K55" s="122" t="s">
        <v>0</v>
      </c>
    </row>
    <row r="56" spans="1:12" s="122" customFormat="1" ht="20.100000000000001" customHeight="1">
      <c r="B56" s="225"/>
      <c r="C56" s="130"/>
      <c r="D56" s="131" t="s">
        <v>254</v>
      </c>
      <c r="E56" s="617">
        <f>E39+E54</f>
        <v>206975729.17500001</v>
      </c>
      <c r="F56" s="123"/>
      <c r="G56" s="225"/>
      <c r="H56" s="123"/>
      <c r="I56" s="131" t="s">
        <v>252</v>
      </c>
      <c r="J56" s="617">
        <f>J54+J39</f>
        <v>206975729.17500001</v>
      </c>
    </row>
    <row r="57" spans="1:12" s="122" customFormat="1" ht="20.100000000000001" customHeight="1">
      <c r="B57" s="225"/>
      <c r="C57" s="121"/>
      <c r="D57" s="121"/>
      <c r="E57" s="141"/>
      <c r="F57" s="123"/>
      <c r="G57" s="225"/>
      <c r="H57" s="123"/>
      <c r="I57" s="123"/>
      <c r="J57" s="141"/>
      <c r="K57" s="38"/>
      <c r="L57" s="38"/>
    </row>
    <row r="58" spans="1:12" s="122" customFormat="1" ht="20.100000000000001" customHeight="1">
      <c r="B58" s="225"/>
      <c r="C58" s="132"/>
      <c r="D58" s="132"/>
      <c r="E58" s="133"/>
      <c r="F58" s="123"/>
      <c r="G58" s="225"/>
      <c r="H58" s="123"/>
      <c r="I58" s="744" t="str">
        <f>IF(J58=0," BALANCE ","VARIANCE - PLEASE CHECK")</f>
        <v xml:space="preserve"> BALANCE </v>
      </c>
      <c r="J58" s="148">
        <f>J56-E56</f>
        <v>0</v>
      </c>
      <c r="K58" s="38" t="s">
        <v>162</v>
      </c>
    </row>
    <row r="59" spans="1:12" s="122" customFormat="1" ht="20.100000000000001" customHeight="1" thickBot="1">
      <c r="A59" s="60"/>
      <c r="B59" s="225"/>
      <c r="C59" s="134"/>
      <c r="D59" s="134"/>
      <c r="E59" s="133"/>
      <c r="F59" s="123"/>
      <c r="G59" s="225"/>
      <c r="H59" s="123"/>
      <c r="I59" s="125"/>
      <c r="J59" s="135"/>
      <c r="K59" s="38"/>
    </row>
    <row r="60" spans="1:12" ht="20.100000000000001" customHeight="1">
      <c r="B60" s="505"/>
      <c r="C60" s="505" t="s">
        <v>269</v>
      </c>
      <c r="D60" s="505"/>
      <c r="E60" s="133" t="s">
        <v>0</v>
      </c>
      <c r="F60" s="123"/>
      <c r="G60" s="225"/>
      <c r="H60" s="123"/>
      <c r="I60" s="123"/>
      <c r="J60" s="136"/>
    </row>
    <row r="61" spans="1:12" ht="20.100000000000001" customHeight="1">
      <c r="B61" s="137"/>
      <c r="F61" s="123"/>
    </row>
    <row r="62" spans="1:12" ht="20.100000000000001" customHeight="1">
      <c r="B62" s="137"/>
      <c r="E62" s="357"/>
      <c r="F62" s="110"/>
    </row>
    <row r="63" spans="1:12" ht="20.100000000000001" customHeight="1">
      <c r="F63" s="110"/>
    </row>
    <row r="64" spans="1:12" ht="20.100000000000001" customHeight="1">
      <c r="F64" s="110"/>
    </row>
    <row r="65" spans="6:6" ht="20.100000000000001" customHeight="1">
      <c r="F65" s="110"/>
    </row>
    <row r="66" spans="6:6" ht="20.100000000000001" customHeight="1">
      <c r="F66" s="110"/>
    </row>
    <row r="67" spans="6:6" ht="20.100000000000001" customHeight="1">
      <c r="F67" s="110"/>
    </row>
    <row r="68" spans="6:6" ht="20.100000000000001" customHeight="1">
      <c r="F68" s="110"/>
    </row>
    <row r="69" spans="6:6" ht="20.100000000000001" customHeight="1">
      <c r="F69" s="110"/>
    </row>
    <row r="70" spans="6:6" ht="20.100000000000001" customHeight="1">
      <c r="F70" s="110"/>
    </row>
    <row r="71" spans="6:6" ht="20.100000000000001" customHeight="1">
      <c r="F71" s="110"/>
    </row>
    <row r="72" spans="6:6" ht="20.100000000000001" customHeight="1">
      <c r="F72" s="110"/>
    </row>
    <row r="73" spans="6:6" ht="20.100000000000001" customHeight="1">
      <c r="F73" s="110"/>
    </row>
    <row r="74" spans="6:6" ht="20.100000000000001" customHeight="1">
      <c r="F74" s="110"/>
    </row>
    <row r="75" spans="6:6" ht="20.100000000000001" customHeight="1">
      <c r="F75" s="110"/>
    </row>
    <row r="76" spans="6:6" ht="20.100000000000001" customHeight="1">
      <c r="F76" s="110"/>
    </row>
    <row r="77" spans="6:6" ht="20.100000000000001" customHeight="1">
      <c r="F77" s="110"/>
    </row>
    <row r="78" spans="6:6" ht="20.100000000000001" customHeight="1">
      <c r="F78" s="110"/>
    </row>
    <row r="79" spans="6:6" ht="20.100000000000001" customHeight="1">
      <c r="F79" s="110"/>
    </row>
    <row r="80" spans="6:6" ht="20.100000000000001" customHeight="1">
      <c r="F80" s="110"/>
    </row>
    <row r="81" spans="6:6" ht="20.100000000000001" customHeight="1">
      <c r="F81" s="110"/>
    </row>
    <row r="128" spans="10:10" ht="20.100000000000001" customHeight="1">
      <c r="J128" s="716">
        <v>11258</v>
      </c>
    </row>
    <row r="130" spans="10:10" ht="20.100000000000001" customHeight="1">
      <c r="J130" s="716">
        <v>598290</v>
      </c>
    </row>
  </sheetData>
  <sheetProtection algorithmName="SHA-512" hashValue="APlSmH48DR4rsLhUZlGDKWQz769qOCNNxO+eBznWlnc4WYyGLl4EGN/QhG2CZL/KWNOqRL958c3Ei6uHp355+w==" saltValue="mkLWfmY5i79kc9CQ8Hn/ZA==" spinCount="100000" sheet="1" selectLockedCells="1"/>
  <mergeCells count="78">
    <mergeCell ref="H52:I52"/>
    <mergeCell ref="H49:I49"/>
    <mergeCell ref="C53:D53"/>
    <mergeCell ref="C52:D52"/>
    <mergeCell ref="H53:I53"/>
    <mergeCell ref="H51:I51"/>
    <mergeCell ref="C51:D51"/>
    <mergeCell ref="C50:D50"/>
    <mergeCell ref="C49:D49"/>
    <mergeCell ref="H50:I50"/>
    <mergeCell ref="H36:I36"/>
    <mergeCell ref="B41:E41"/>
    <mergeCell ref="G41:J41"/>
    <mergeCell ref="B42:E42"/>
    <mergeCell ref="G42:J42"/>
    <mergeCell ref="C36:D36"/>
    <mergeCell ref="C33:D33"/>
    <mergeCell ref="H33:I33"/>
    <mergeCell ref="C34:D34"/>
    <mergeCell ref="H34:I34"/>
    <mergeCell ref="C35:D35"/>
    <mergeCell ref="H35:I35"/>
    <mergeCell ref="H48:I48"/>
    <mergeCell ref="C46:D46"/>
    <mergeCell ref="H46:I46"/>
    <mergeCell ref="H47:I47"/>
    <mergeCell ref="C45:D45"/>
    <mergeCell ref="H45:I45"/>
    <mergeCell ref="C47:D47"/>
    <mergeCell ref="C48:D48"/>
    <mergeCell ref="C27:D27"/>
    <mergeCell ref="H27:I27"/>
    <mergeCell ref="C28:D28"/>
    <mergeCell ref="H28:I28"/>
    <mergeCell ref="C32:D32"/>
    <mergeCell ref="H32:I32"/>
    <mergeCell ref="C31:D31"/>
    <mergeCell ref="H31:I31"/>
    <mergeCell ref="C23:D23"/>
    <mergeCell ref="H23:I23"/>
    <mergeCell ref="C24:D24"/>
    <mergeCell ref="H24:I24"/>
    <mergeCell ref="H26:I26"/>
    <mergeCell ref="C18:D18"/>
    <mergeCell ref="H18:I18"/>
    <mergeCell ref="C19:D19"/>
    <mergeCell ref="H19:I19"/>
    <mergeCell ref="B22:E22"/>
    <mergeCell ref="G22:J22"/>
    <mergeCell ref="C15:D15"/>
    <mergeCell ref="H15:I15"/>
    <mergeCell ref="H16:I16"/>
    <mergeCell ref="C17:D17"/>
    <mergeCell ref="H17:I17"/>
    <mergeCell ref="C12:D12"/>
    <mergeCell ref="H11:I11"/>
    <mergeCell ref="H12:I12"/>
    <mergeCell ref="C11:D11"/>
    <mergeCell ref="C14:D14"/>
    <mergeCell ref="H14:I14"/>
    <mergeCell ref="H13:I13"/>
    <mergeCell ref="C8:D8"/>
    <mergeCell ref="H8:I8"/>
    <mergeCell ref="C9:D9"/>
    <mergeCell ref="H9:I9"/>
    <mergeCell ref="C10:D10"/>
    <mergeCell ref="H10:I10"/>
    <mergeCell ref="B2:J2"/>
    <mergeCell ref="B3:J3"/>
    <mergeCell ref="B5:E5"/>
    <mergeCell ref="G5:J5"/>
    <mergeCell ref="B7:E7"/>
    <mergeCell ref="G7:J7"/>
    <mergeCell ref="K44:L44"/>
    <mergeCell ref="C43:D43"/>
    <mergeCell ref="H43:I43"/>
    <mergeCell ref="C44:D44"/>
    <mergeCell ref="H44:I44"/>
  </mergeCells>
  <phoneticPr fontId="53" type="noConversion"/>
  <printOptions horizontalCentered="1"/>
  <pageMargins left="0" right="0" top="0" bottom="0" header="0" footer="0"/>
  <pageSetup paperSize="9" scale="61" orientation="portrait" horizontalDpi="360" verticalDpi="360" r:id="rId1"/>
  <ignoredErrors>
    <ignoredError sqref="J11:J12 J14:J15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ReadDataFromCloseFile">
                <anchor moveWithCells="1" sizeWithCells="1">
                  <from>
                    <xdr:col>10</xdr:col>
                    <xdr:colOff>504825</xdr:colOff>
                    <xdr:row>1</xdr:row>
                    <xdr:rowOff>66675</xdr:rowOff>
                  </from>
                  <to>
                    <xdr:col>11</xdr:col>
                    <xdr:colOff>9525</xdr:colOff>
                    <xdr:row>2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92D050"/>
    <pageSetUpPr fitToPage="1"/>
  </sheetPr>
  <dimension ref="B1:BH90"/>
  <sheetViews>
    <sheetView zoomScale="85" zoomScaleNormal="85" workbookViewId="0">
      <selection activeCell="P8" sqref="P8"/>
    </sheetView>
  </sheetViews>
  <sheetFormatPr defaultRowHeight="15"/>
  <cols>
    <col min="1" max="1" width="15.7109375" style="22" customWidth="1"/>
    <col min="2" max="2" width="20.7109375" style="54" customWidth="1"/>
    <col min="3" max="3" width="33.5703125" style="54" bestFit="1" customWidth="1"/>
    <col min="4" max="4" width="25.7109375" style="69" customWidth="1"/>
    <col min="5" max="5" width="1.7109375" style="69" customWidth="1"/>
    <col min="6" max="7" width="20.7109375" style="54" customWidth="1"/>
    <col min="8" max="8" width="25.7109375" style="78" customWidth="1"/>
    <col min="9" max="9" width="9.140625" style="22"/>
    <col min="10" max="10" width="22.85546875" style="22" bestFit="1" customWidth="1"/>
    <col min="11" max="16384" width="9.140625" style="22"/>
  </cols>
  <sheetData>
    <row r="1" spans="2:60" ht="15.75" thickBot="1"/>
    <row r="2" spans="2:60" ht="35.1" customHeight="1">
      <c r="B2" s="800" t="s">
        <v>286</v>
      </c>
      <c r="C2" s="801"/>
      <c r="D2" s="801"/>
      <c r="E2" s="801"/>
      <c r="F2" s="801"/>
      <c r="G2" s="801"/>
      <c r="H2" s="802"/>
    </row>
    <row r="3" spans="2:60" ht="35.1" customHeight="1" thickBot="1">
      <c r="B3" s="803">
        <f>SUM('VIP-DB'!B3:J3)</f>
        <v>44427</v>
      </c>
      <c r="C3" s="804"/>
      <c r="D3" s="804"/>
      <c r="E3" s="804"/>
      <c r="F3" s="804"/>
      <c r="G3" s="804"/>
      <c r="H3" s="805"/>
    </row>
    <row r="4" spans="2:60">
      <c r="B4" s="79"/>
      <c r="C4" s="79"/>
      <c r="D4" s="79"/>
      <c r="E4" s="80"/>
      <c r="F4" s="79"/>
      <c r="G4" s="79"/>
      <c r="H4" s="81"/>
    </row>
    <row r="5" spans="2:60" s="43" customFormat="1" ht="33.75" customHeight="1">
      <c r="B5" s="806" t="s">
        <v>81</v>
      </c>
      <c r="C5" s="806"/>
      <c r="D5" s="222">
        <f>'OPENING NEW DAY'!C22</f>
        <v>364758.67499999999</v>
      </c>
      <c r="E5" s="82"/>
      <c r="F5" s="606" t="s">
        <v>344</v>
      </c>
      <c r="G5" s="606" t="s">
        <v>342</v>
      </c>
      <c r="H5" s="606"/>
    </row>
    <row r="6" spans="2:60" s="43" customFormat="1" ht="33.75" customHeight="1">
      <c r="B6" s="788"/>
      <c r="C6" s="789"/>
      <c r="D6" s="790"/>
      <c r="E6" s="82"/>
      <c r="F6" s="42" t="s">
        <v>9</v>
      </c>
      <c r="G6" s="42" t="s">
        <v>11</v>
      </c>
      <c r="H6" s="103" t="s">
        <v>5</v>
      </c>
    </row>
    <row r="7" spans="2:60" s="43" customFormat="1" ht="33.75" customHeight="1">
      <c r="B7" s="796" t="s">
        <v>262</v>
      </c>
      <c r="C7" s="797"/>
      <c r="D7" s="377">
        <f>'F&amp;C Report'!AQ36</f>
        <v>0</v>
      </c>
      <c r="E7" s="82"/>
      <c r="F7" s="376">
        <v>100</v>
      </c>
      <c r="G7" s="607">
        <f>+SUMIFS('F&amp;C Report'!$AC$8:$AC$100,'F&amp;C Report'!$N$8:$N$100,"CREDIT",'F&amp;C Report'!$O$8:$O$100,"CASH",'F&amp;C Report'!$P$8:$P$100,"USD$")-SUMIFS('F&amp;C Report'!$AC$8:$AC$100,'F&amp;C Report'!$N$8:$N$100,"FILL",'F&amp;C Report'!$O$8:$O$100,"CASH",'F&amp;C Report'!$P$8:$P$100,"USD$")+'OPENING NEW DAY'!C5</f>
        <v>3582</v>
      </c>
      <c r="H7" s="104">
        <f>F7*G7</f>
        <v>358200</v>
      </c>
    </row>
    <row r="8" spans="2:60" s="43" customFormat="1" ht="33.75" customHeight="1">
      <c r="B8" s="796" t="s">
        <v>146</v>
      </c>
      <c r="C8" s="797"/>
      <c r="D8" s="377">
        <f>'F&amp;C Report'!AQ35</f>
        <v>0</v>
      </c>
      <c r="E8" s="82"/>
      <c r="F8" s="37">
        <v>50</v>
      </c>
      <c r="G8" s="607">
        <f>+SUMIFS('F&amp;C Report'!$AD$8:$AD$100,'F&amp;C Report'!$N$8:$N$100,"CREDIT",'F&amp;C Report'!$O$8:$O$100,"CASH",'F&amp;C Report'!$P$8:$P$100,"USD$")-SUMIFS('F&amp;C Report'!$AD$8:$AD$100,'F&amp;C Report'!$N$8:$N$100,"FILL",'F&amp;C Report'!$O$8:$O$100,"CASH",'F&amp;C Report'!$P$8:$P$100,"USD$")+'OPENING NEW DAY'!C6</f>
        <v>11</v>
      </c>
      <c r="H8" s="104">
        <f t="shared" ref="H8:H13" si="0">F8*G8</f>
        <v>550</v>
      </c>
      <c r="BH8" s="43">
        <v>42</v>
      </c>
    </row>
    <row r="9" spans="2:60" s="43" customFormat="1" ht="33.75" customHeight="1">
      <c r="B9" s="796" t="s">
        <v>24</v>
      </c>
      <c r="C9" s="797"/>
      <c r="D9" s="377">
        <f>'F&amp;C Report'!AQ34</f>
        <v>0</v>
      </c>
      <c r="E9" s="82"/>
      <c r="F9" s="37">
        <v>20</v>
      </c>
      <c r="G9" s="607">
        <f>+SUMIFS('F&amp;C Report'!$AF$8:$AF$100,'F&amp;C Report'!$N$8:$N$100,"CREDIT",'F&amp;C Report'!$O$8:$O$100,"CASH",'F&amp;C Report'!$P$8:$P$100,"USD$")-SUMIFS('F&amp;C Report'!$AF$8:$AF$100,'F&amp;C Report'!$N$8:$N$100,"FILL",'F&amp;C Report'!$O$8:$O$100,"CASH",'F&amp;C Report'!$P$8:$P$100,"USD$")+'OPENING NEW DAY'!C7</f>
        <v>316</v>
      </c>
      <c r="H9" s="104">
        <f t="shared" si="0"/>
        <v>6320</v>
      </c>
    </row>
    <row r="10" spans="2:60" s="43" customFormat="1" ht="33.75" customHeight="1">
      <c r="B10" s="796" t="s">
        <v>147</v>
      </c>
      <c r="C10" s="797"/>
      <c r="D10" s="377">
        <f>'F&amp;C Report'!AQ33</f>
        <v>0</v>
      </c>
      <c r="E10" s="82"/>
      <c r="F10" s="37">
        <v>10</v>
      </c>
      <c r="G10" s="607">
        <f>+SUMIFS('F&amp;C Report'!$AG$8:$AG$100,'F&amp;C Report'!$N$8:$N$100,"CREDIT",'F&amp;C Report'!$O$8:$O$100,"CASH",'F&amp;C Report'!$P$8:$P$100,"USD$")-SUMIFS('F&amp;C Report'!$AG$8:$AG$100,'F&amp;C Report'!$N$8:$N$100,"FILL",'F&amp;C Report'!$O$8:$O$100,"CASH",'F&amp;C Report'!$P$8:$P$100,"USD$")+'OPENING NEW DAY'!C8</f>
        <v>307</v>
      </c>
      <c r="H10" s="104">
        <f t="shared" si="0"/>
        <v>3070</v>
      </c>
    </row>
    <row r="11" spans="2:60" s="43" customFormat="1" ht="33.75" customHeight="1">
      <c r="B11" s="796" t="s">
        <v>300</v>
      </c>
      <c r="C11" s="797"/>
      <c r="D11" s="377">
        <f>'F&amp;C Report'!AQ37</f>
        <v>20000</v>
      </c>
      <c r="E11" s="82"/>
      <c r="F11" s="37">
        <v>5</v>
      </c>
      <c r="G11" s="607">
        <f>+SUMIFS('F&amp;C Report'!$AH$8:$AH$100,'F&amp;C Report'!$N$8:$N$100,"CREDIT",'F&amp;C Report'!$O$8:$O$100,"CASH",'F&amp;C Report'!$P$8:$P$100,"USD$")-SUMIFS('F&amp;C Report'!$AH$8:$AH$100,'F&amp;C Report'!$N$8:$N$100,"FILL",'F&amp;C Report'!$O$8:$O$100,"CASH",'F&amp;C Report'!$P$8:$P$100,"USD$")+'OPENING NEW DAY'!C9</f>
        <v>23</v>
      </c>
      <c r="H11" s="104">
        <f t="shared" si="0"/>
        <v>115</v>
      </c>
    </row>
    <row r="12" spans="2:60" s="43" customFormat="1" ht="33.75" customHeight="1">
      <c r="B12" s="794"/>
      <c r="C12" s="794"/>
      <c r="D12" s="83"/>
      <c r="E12" s="82"/>
      <c r="F12" s="37">
        <v>2</v>
      </c>
      <c r="G12" s="40">
        <v>0</v>
      </c>
      <c r="H12" s="104">
        <f t="shared" si="0"/>
        <v>0</v>
      </c>
    </row>
    <row r="13" spans="2:60" s="43" customFormat="1" ht="33.75" customHeight="1">
      <c r="B13" s="794"/>
      <c r="C13" s="794"/>
      <c r="D13" s="83"/>
      <c r="E13" s="82"/>
      <c r="F13" s="37">
        <v>1</v>
      </c>
      <c r="G13" s="607">
        <f>+SUMIFS('F&amp;C Report'!$AI$8:$AI$100,'F&amp;C Report'!$N$8:$N$100,"CREDIT",'F&amp;C Report'!$O$8:$O$100,"CASH",'F&amp;C Report'!$P$8:$P$100,"USD$")-SUMIFS('F&amp;C Report'!$AI$8:$AI$100,'F&amp;C Report'!$N$8:$N$100,"FILL",'F&amp;C Report'!$O$8:$O$100,"CASH",'F&amp;C Report'!$P$8:$P$100,"USD$")+'OPENING NEW DAY'!C11</f>
        <v>7</v>
      </c>
      <c r="H13" s="104">
        <f t="shared" si="0"/>
        <v>7</v>
      </c>
    </row>
    <row r="14" spans="2:60" s="43" customFormat="1" ht="33.75" customHeight="1">
      <c r="B14" s="807"/>
      <c r="C14" s="808"/>
      <c r="D14" s="83"/>
      <c r="E14" s="82"/>
      <c r="F14" s="798" t="s">
        <v>87</v>
      </c>
      <c r="G14" s="798"/>
      <c r="H14" s="104">
        <f>SUM(H7:H13)</f>
        <v>368262</v>
      </c>
      <c r="M14" s="499"/>
    </row>
    <row r="15" spans="2:60" s="43" customFormat="1" ht="33.75" customHeight="1">
      <c r="B15" s="786"/>
      <c r="C15" s="787"/>
      <c r="D15" s="47"/>
      <c r="E15" s="82"/>
      <c r="F15" s="798"/>
      <c r="G15" s="798"/>
      <c r="H15" s="84"/>
    </row>
    <row r="16" spans="2:60" s="43" customFormat="1" ht="33.75" customHeight="1">
      <c r="B16" s="795"/>
      <c r="C16" s="795"/>
      <c r="D16" s="105"/>
      <c r="E16" s="82"/>
      <c r="F16" s="799" t="s">
        <v>86</v>
      </c>
      <c r="G16" s="799"/>
      <c r="H16" s="799"/>
    </row>
    <row r="17" spans="2:10" s="43" customFormat="1" ht="33.75" customHeight="1">
      <c r="B17" s="85"/>
      <c r="C17" s="85" t="s">
        <v>82</v>
      </c>
      <c r="D17" s="49">
        <f>SUM(D7:D16)</f>
        <v>20000</v>
      </c>
      <c r="E17" s="86"/>
      <c r="F17" s="42" t="s">
        <v>9</v>
      </c>
      <c r="G17" s="42" t="s">
        <v>11</v>
      </c>
      <c r="H17" s="103" t="s">
        <v>5</v>
      </c>
    </row>
    <row r="18" spans="2:10" s="43" customFormat="1" ht="33.75" customHeight="1">
      <c r="B18" s="87"/>
      <c r="C18" s="87"/>
      <c r="D18" s="88"/>
      <c r="E18" s="86"/>
      <c r="F18" s="37">
        <v>100000</v>
      </c>
      <c r="G18" s="607">
        <f>+SUMIFS('F&amp;C Report'!$U$8:$U$100,'F&amp;C Report'!$N$8:$N$100,"CREDIT",'F&amp;C Report'!$O$8:$O$100,"CASH",'F&amp;C Report'!$P$8:$P$100,"KHR")-SUMIFS('F&amp;C Report'!$U$8:$U$100,'F&amp;C Report'!$N$8:$N$100,"FILL",'F&amp;C Report'!$O$8:$O$100,"CASH",'F&amp;C Report'!$P$8:$P$100,"KHR")+'OPENING NEW DAY'!C12</f>
        <v>11</v>
      </c>
      <c r="H18" s="104">
        <f>F18*G18</f>
        <v>1100000</v>
      </c>
    </row>
    <row r="19" spans="2:10" s="43" customFormat="1" ht="33.75" customHeight="1">
      <c r="B19" s="791" t="s">
        <v>26</v>
      </c>
      <c r="C19" s="792"/>
      <c r="D19" s="793"/>
      <c r="E19" s="86"/>
      <c r="F19" s="37">
        <v>50000</v>
      </c>
      <c r="G19" s="607">
        <f>+SUMIFS('F&amp;C Report'!$V$8:$V$100,'F&amp;C Report'!$N$8:$N$100,"CREDIT",'F&amp;C Report'!$O$8:$O$100,"CASH",'F&amp;C Report'!$P$8:$P$100,"KHR")-SUMIFS('F&amp;C Report'!$V$8:$V$100,'F&amp;C Report'!$N$8:$N$100,"FILL",'F&amp;C Report'!$O$8:$O$100,"CASH",'F&amp;C Report'!$P$8:$P$100,"KHR")+'OPENING NEW DAY'!C13</f>
        <v>85</v>
      </c>
      <c r="H19" s="104">
        <f t="shared" ref="H19:H26" si="1">F19*G19</f>
        <v>4250000</v>
      </c>
    </row>
    <row r="20" spans="2:10" s="43" customFormat="1" ht="33.75" customHeight="1">
      <c r="B20" s="796" t="s">
        <v>157</v>
      </c>
      <c r="C20" s="797"/>
      <c r="D20" s="377">
        <f>'F&amp;C Report'!AQ25</f>
        <v>0</v>
      </c>
      <c r="E20" s="86"/>
      <c r="F20" s="37">
        <v>20000</v>
      </c>
      <c r="G20" s="607">
        <f>+SUMIFS('F&amp;C Report'!$W$8:$W$100,'F&amp;C Report'!$N$8:$N$100,"CREDIT",'F&amp;C Report'!$O$8:$O$100,"CASH",'F&amp;C Report'!$P$8:$P$100,"KHR")-SUMIFS('F&amp;C Report'!$W$8:$W$100,'F&amp;C Report'!$N$8:$N$100,"FILL",'F&amp;C Report'!$O$8:$O$100,"CASH",'F&amp;C Report'!$P$8:$P$100,"KHR")+'OPENING NEW DAY'!C14</f>
        <v>884</v>
      </c>
      <c r="H20" s="104">
        <f t="shared" si="1"/>
        <v>17680000</v>
      </c>
    </row>
    <row r="21" spans="2:10" s="43" customFormat="1" ht="33.75" customHeight="1">
      <c r="B21" s="796" t="s">
        <v>158</v>
      </c>
      <c r="C21" s="797"/>
      <c r="D21" s="377">
        <f>'F&amp;C Report'!AQ24</f>
        <v>0</v>
      </c>
      <c r="E21" s="86"/>
      <c r="F21" s="37">
        <v>10000</v>
      </c>
      <c r="G21" s="607">
        <f>+SUMIFS('F&amp;C Report'!$X$8:$X$100,'F&amp;C Report'!$N$8:$N$100,"CREDIT",'F&amp;C Report'!$O$8:$O$100,"CASH",'F&amp;C Report'!$P$8:$P$100,"KHR")-SUMIFS('F&amp;C Report'!$X$8:$X$100,'F&amp;C Report'!$N$8:$N$100,"FILL",'F&amp;C Report'!$O$8:$O$100,"CASH",'F&amp;C Report'!$P$8:$P$100,"KHR")+'OPENING NEW DAY'!C15</f>
        <v>603</v>
      </c>
      <c r="H21" s="104">
        <f t="shared" si="1"/>
        <v>6030000</v>
      </c>
    </row>
    <row r="22" spans="2:10" s="43" customFormat="1" ht="33.75" customHeight="1">
      <c r="B22" s="796" t="s">
        <v>23</v>
      </c>
      <c r="C22" s="797"/>
      <c r="D22" s="377">
        <f>'F&amp;C Report'!AQ23</f>
        <v>0</v>
      </c>
      <c r="E22" s="86"/>
      <c r="F22" s="37">
        <v>5000</v>
      </c>
      <c r="G22" s="607">
        <f>+SUMIFS('F&amp;C Report'!$Y$8:$Y$100,'F&amp;C Report'!$N$8:$N$100,"CREDIT",'F&amp;C Report'!$O$8:$O$100,"CASH",'F&amp;C Report'!$P$8:$P$100,"KHR")-SUMIFS('F&amp;C Report'!$Y$8:$Y$100,'F&amp;C Report'!$N$8:$N$100,"FILL",'F&amp;C Report'!$O$8:$O$100,"CASH",'F&amp;C Report'!$P$8:$P$100,"KHR")+'OPENING NEW DAY'!C16</f>
        <v>2</v>
      </c>
      <c r="H22" s="104">
        <f t="shared" si="1"/>
        <v>10000</v>
      </c>
    </row>
    <row r="23" spans="2:10" s="43" customFormat="1" ht="33.75" customHeight="1">
      <c r="B23" s="378" t="s">
        <v>159</v>
      </c>
      <c r="C23" s="378"/>
      <c r="D23" s="377">
        <f>'F&amp;C Report'!AQ24</f>
        <v>0</v>
      </c>
      <c r="E23" s="86"/>
      <c r="F23" s="37">
        <v>2000</v>
      </c>
      <c r="G23" s="607">
        <f>+SUMIFS('F&amp;C Report'!$Z$8:$Z$100,'F&amp;C Report'!$N$8:$N$100,"CREDIT",'F&amp;C Report'!$O$8:$O$100,"CASH",'F&amp;C Report'!$P$8:$P$100,"KHR")+SUMIFS('F&amp;C Report'!$Z$8:$Z$100,'F&amp;C Report'!$N$8:$N$100,"FILL",'F&amp;C Report'!$O$8:$O$100,"CASH",'F&amp;C Report'!$P$8:$P$100,"KHR")+'OPENING NEW DAY'!C17</f>
        <v>0</v>
      </c>
      <c r="H23" s="104">
        <f t="shared" si="1"/>
        <v>0</v>
      </c>
    </row>
    <row r="24" spans="2:10" s="43" customFormat="1" ht="33.75" customHeight="1">
      <c r="B24" s="796" t="s">
        <v>301</v>
      </c>
      <c r="C24" s="797"/>
      <c r="D24" s="377">
        <f>'F&amp;C Report'!AQ26</f>
        <v>-8000</v>
      </c>
      <c r="E24" s="86"/>
      <c r="F24" s="37">
        <v>1000</v>
      </c>
      <c r="G24" s="607">
        <f>+SUMIFS('F&amp;C Report'!$AA$8:$AA$100,'F&amp;C Report'!$N$8:$N$100,"CREDIT",'F&amp;C Report'!$O$8:$O$100,"CASH",'F&amp;C Report'!$P$8:$P$100,"KHR")-SUMIFS('F&amp;C Report'!$AA$8:$AA$100,'F&amp;C Report'!$N$8:$N$100,"FILL",'F&amp;C Report'!$O$8:$O$100,"CASH",'F&amp;C Report'!$P$8:$P$100,"KHR")+'OPENING NEW DAY'!C18</f>
        <v>4916</v>
      </c>
      <c r="H24" s="104">
        <f t="shared" si="1"/>
        <v>4916000</v>
      </c>
      <c r="J24" s="186"/>
    </row>
    <row r="25" spans="2:10" s="43" customFormat="1" ht="33.75" customHeight="1">
      <c r="B25" s="794"/>
      <c r="C25" s="794"/>
      <c r="D25" s="181"/>
      <c r="E25" s="86"/>
      <c r="F25" s="37">
        <v>500</v>
      </c>
      <c r="G25" s="607">
        <f>+SUMIFS('F&amp;C Report'!$AB$8:$AB$100,'F&amp;C Report'!$N$8:$N$100,"CREDIT",'F&amp;C Report'!$O$8:$O$100,"CASH",'F&amp;C Report'!$P$8:$P$100,"KHR")-SUMIFS('F&amp;C Report'!$AB$8:$AB$100,'F&amp;C Report'!$N$8:$N$100,"FILL",'F&amp;C Report'!$O$8:$O$100,"CASH",'F&amp;C Report'!$P$8:$P$100,"KHR")+'OPENING NEW DAY'!C19</f>
        <v>1</v>
      </c>
      <c r="H25" s="104">
        <f t="shared" ref="H25" si="2">F25*G25</f>
        <v>500</v>
      </c>
    </row>
    <row r="26" spans="2:10" s="43" customFormat="1" ht="33.75" customHeight="1">
      <c r="B26" s="794"/>
      <c r="C26" s="794"/>
      <c r="D26" s="49"/>
      <c r="E26" s="86"/>
      <c r="F26" s="37">
        <v>100</v>
      </c>
      <c r="G26" s="607">
        <f>+SUMIFS('F&amp;C Report'!$AC$8:$AC$100,'F&amp;C Report'!$N$8:$N$100,"CREDIT",'F&amp;C Report'!$O$8:$O$100,"CASH",'F&amp;C Report'!$P$8:$P$100,"KHR")-SUMIFS('F&amp;C Report'!$AC$8:$AC$100,'F&amp;C Report'!$N$8:$N$100,"FILL",'F&amp;C Report'!$O$8:$O$100,"CASH",'F&amp;C Report'!$P$8:$P$100,"KHR")+'OPENING NEW DAY'!C20</f>
        <v>2</v>
      </c>
      <c r="H26" s="104">
        <f t="shared" si="1"/>
        <v>200</v>
      </c>
    </row>
    <row r="27" spans="2:10" s="43" customFormat="1" ht="33.75" customHeight="1">
      <c r="B27" s="794"/>
      <c r="C27" s="794"/>
      <c r="D27" s="49"/>
      <c r="E27" s="86"/>
      <c r="F27" s="798" t="s">
        <v>87</v>
      </c>
      <c r="G27" s="798"/>
      <c r="H27" s="104">
        <f>SUM(H18:H26)/H28</f>
        <v>8496.6749999999993</v>
      </c>
    </row>
    <row r="28" spans="2:10" s="43" customFormat="1" ht="33.75" customHeight="1">
      <c r="B28" s="794"/>
      <c r="C28" s="794"/>
      <c r="D28" s="83"/>
      <c r="E28" s="86"/>
      <c r="F28" s="89"/>
      <c r="G28" s="89"/>
      <c r="H28" s="90">
        <v>4000</v>
      </c>
    </row>
    <row r="29" spans="2:10" s="43" customFormat="1" ht="33.75" customHeight="1">
      <c r="B29" s="786"/>
      <c r="C29" s="787"/>
      <c r="D29" s="47"/>
      <c r="E29" s="86"/>
      <c r="F29" s="91"/>
      <c r="G29" s="92" t="s">
        <v>6</v>
      </c>
      <c r="H29" s="108">
        <f>H14+H27</f>
        <v>376758.67499999999</v>
      </c>
    </row>
    <row r="30" spans="2:10" s="43" customFormat="1" ht="33.75" customHeight="1">
      <c r="B30" s="85"/>
      <c r="C30" s="85" t="s">
        <v>83</v>
      </c>
      <c r="D30" s="49">
        <f>SUM(D20:D29)</f>
        <v>-8000</v>
      </c>
      <c r="E30" s="35"/>
      <c r="F30" s="35"/>
      <c r="G30" s="93"/>
      <c r="H30" s="94"/>
    </row>
    <row r="31" spans="2:10" s="43" customFormat="1" ht="33.75" customHeight="1">
      <c r="B31" s="96"/>
      <c r="C31" s="96"/>
      <c r="D31" s="97"/>
      <c r="E31" s="35"/>
      <c r="F31" s="35"/>
      <c r="G31" s="93"/>
      <c r="H31" s="95"/>
    </row>
    <row r="32" spans="2:10" s="43" customFormat="1" ht="33.75" customHeight="1">
      <c r="C32" s="92" t="s">
        <v>6</v>
      </c>
      <c r="D32" s="107">
        <f>D5+D17+D30</f>
        <v>376758.67499999999</v>
      </c>
      <c r="E32" s="35"/>
      <c r="F32" s="35"/>
      <c r="G32" s="98" t="s">
        <v>71</v>
      </c>
    </row>
    <row r="33" spans="2:8" s="43" customFormat="1" ht="33.75" customHeight="1">
      <c r="C33" s="96"/>
      <c r="D33" s="97"/>
      <c r="E33" s="35"/>
      <c r="F33" s="35"/>
      <c r="G33" s="93"/>
      <c r="H33" s="94"/>
    </row>
    <row r="34" spans="2:8" s="43" customFormat="1" ht="33.75" customHeight="1">
      <c r="C34" s="520"/>
      <c r="D34" s="106">
        <f>D32-H29</f>
        <v>0</v>
      </c>
      <c r="E34" s="35"/>
      <c r="F34" s="35"/>
      <c r="G34" s="99"/>
      <c r="H34" s="100"/>
    </row>
    <row r="35" spans="2:8" s="43" customFormat="1" ht="30" customHeight="1">
      <c r="B35" s="96"/>
      <c r="C35" s="96"/>
      <c r="D35" s="88"/>
      <c r="E35" s="35"/>
      <c r="F35" s="35"/>
      <c r="G35" s="93"/>
      <c r="H35" s="94"/>
    </row>
    <row r="36" spans="2:8" s="43" customFormat="1" ht="30" customHeight="1">
      <c r="B36" s="96"/>
      <c r="C36" s="96"/>
      <c r="D36" s="88"/>
      <c r="E36" s="35"/>
      <c r="F36" s="35"/>
      <c r="G36" s="98" t="s">
        <v>72</v>
      </c>
    </row>
    <row r="37" spans="2:8" ht="30" customHeight="1">
      <c r="B37" s="521" t="s">
        <v>103</v>
      </c>
      <c r="C37" s="522" t="s">
        <v>190</v>
      </c>
      <c r="D37" s="88"/>
      <c r="E37" s="35"/>
      <c r="F37" s="35"/>
      <c r="G37" s="93"/>
      <c r="H37" s="94"/>
    </row>
    <row r="38" spans="2:8" ht="20.100000000000001" customHeight="1">
      <c r="B38" s="96"/>
      <c r="C38" s="96"/>
      <c r="D38" s="88"/>
      <c r="E38" s="35"/>
      <c r="F38" s="35"/>
      <c r="G38" s="99"/>
      <c r="H38" s="100"/>
    </row>
    <row r="39" spans="2:8" ht="20.100000000000001" customHeight="1">
      <c r="B39" s="96"/>
      <c r="C39" s="96"/>
      <c r="D39" s="88"/>
      <c r="E39" s="35"/>
      <c r="F39" s="35"/>
      <c r="G39" s="93"/>
      <c r="H39" s="94"/>
    </row>
    <row r="40" spans="2:8" ht="20.100000000000001" customHeight="1">
      <c r="B40" s="96"/>
      <c r="C40" s="96"/>
      <c r="D40" s="88"/>
      <c r="E40" s="35"/>
      <c r="F40" s="101"/>
      <c r="G40" s="101"/>
      <c r="H40" s="102"/>
    </row>
    <row r="41" spans="2:8" ht="20.100000000000001" customHeight="1">
      <c r="B41" s="96"/>
      <c r="C41" s="96"/>
      <c r="D41" s="88"/>
      <c r="E41" s="35"/>
      <c r="H41" s="54"/>
    </row>
    <row r="42" spans="2:8" ht="20.100000000000001" customHeight="1">
      <c r="B42" s="96"/>
      <c r="C42" s="96"/>
      <c r="D42" s="88"/>
      <c r="E42" s="89"/>
      <c r="G42" s="22"/>
      <c r="H42" s="22"/>
    </row>
    <row r="43" spans="2:8" ht="20.100000000000001" customHeight="1">
      <c r="B43" s="96"/>
      <c r="C43" s="96"/>
      <c r="D43" s="88"/>
      <c r="E43" s="35"/>
      <c r="H43" s="54"/>
    </row>
    <row r="44" spans="2:8" ht="20.100000000000001" customHeight="1">
      <c r="B44" s="96"/>
      <c r="C44" s="96"/>
      <c r="D44" s="88"/>
      <c r="E44" s="35"/>
      <c r="H44" s="54"/>
    </row>
    <row r="45" spans="2:8" ht="20.100000000000001" customHeight="1">
      <c r="B45" s="96"/>
      <c r="C45" s="96"/>
      <c r="D45" s="88"/>
      <c r="E45" s="54"/>
      <c r="H45" s="54"/>
    </row>
    <row r="46" spans="2:8" ht="20.100000000000001" customHeight="1">
      <c r="B46" s="96"/>
      <c r="C46" s="96"/>
      <c r="D46" s="88"/>
      <c r="E46" s="54"/>
      <c r="H46" s="54"/>
    </row>
    <row r="47" spans="2:8" ht="20.100000000000001" customHeight="1">
      <c r="B47" s="96"/>
      <c r="C47" s="96"/>
      <c r="D47" s="88"/>
      <c r="E47" s="54"/>
      <c r="H47" s="54"/>
    </row>
    <row r="48" spans="2:8" ht="20.100000000000001" customHeight="1">
      <c r="B48" s="87"/>
      <c r="C48" s="87"/>
      <c r="D48" s="54"/>
      <c r="E48" s="54"/>
      <c r="H48" s="54" t="s">
        <v>364</v>
      </c>
    </row>
    <row r="49" spans="2:9" ht="20.100000000000001" customHeight="1">
      <c r="B49" s="87"/>
      <c r="C49" s="87"/>
      <c r="D49" s="54"/>
      <c r="E49" s="54"/>
      <c r="H49" s="54"/>
    </row>
    <row r="50" spans="2:9" ht="20.100000000000001" customHeight="1">
      <c r="B50" s="87"/>
      <c r="C50" s="87"/>
      <c r="D50" s="54"/>
      <c r="E50" s="54"/>
      <c r="H50" s="54"/>
    </row>
    <row r="51" spans="2:9" ht="20.100000000000001" customHeight="1">
      <c r="B51" s="87"/>
      <c r="C51" s="87"/>
      <c r="D51" s="54"/>
      <c r="E51" s="54"/>
      <c r="H51" s="54"/>
      <c r="I51" s="509"/>
    </row>
    <row r="52" spans="2:9" ht="20.100000000000001" customHeight="1">
      <c r="B52" s="87"/>
      <c r="C52" s="87"/>
      <c r="D52" s="54"/>
      <c r="E52" s="54"/>
      <c r="H52" s="509"/>
    </row>
    <row r="53" spans="2:9" ht="20.100000000000001" customHeight="1">
      <c r="B53" s="87"/>
      <c r="C53" s="87"/>
      <c r="D53" s="54"/>
      <c r="E53" s="54"/>
      <c r="H53" s="54"/>
    </row>
    <row r="54" spans="2:9" ht="20.100000000000001" customHeight="1">
      <c r="B54" s="87"/>
      <c r="C54" s="87"/>
      <c r="D54" s="54"/>
      <c r="E54" s="54"/>
      <c r="H54" s="54"/>
    </row>
    <row r="55" spans="2:9" ht="20.100000000000001" customHeight="1">
      <c r="B55" s="87"/>
      <c r="C55" s="87"/>
      <c r="D55" s="54"/>
      <c r="E55" s="54"/>
      <c r="H55" s="54"/>
    </row>
    <row r="56" spans="2:9">
      <c r="B56" s="87"/>
      <c r="C56" s="87"/>
      <c r="D56" s="54"/>
      <c r="E56" s="54"/>
      <c r="H56" s="54"/>
    </row>
    <row r="57" spans="2:9">
      <c r="D57" s="54"/>
      <c r="E57" s="54"/>
      <c r="H57" s="54"/>
    </row>
    <row r="58" spans="2:9">
      <c r="D58" s="54"/>
      <c r="E58" s="54"/>
      <c r="H58" s="54"/>
    </row>
    <row r="59" spans="2:9">
      <c r="D59" s="54"/>
      <c r="E59" s="54"/>
      <c r="H59" s="54"/>
    </row>
    <row r="60" spans="2:9">
      <c r="D60" s="54"/>
      <c r="E60" s="54"/>
      <c r="H60" s="54"/>
    </row>
    <row r="61" spans="2:9">
      <c r="D61" s="54"/>
      <c r="E61" s="54"/>
      <c r="H61" s="54"/>
    </row>
    <row r="62" spans="2:9">
      <c r="D62" s="54"/>
      <c r="E62" s="54"/>
      <c r="H62" s="54"/>
    </row>
    <row r="63" spans="2:9">
      <c r="D63" s="54"/>
      <c r="E63" s="54"/>
      <c r="H63" s="54"/>
    </row>
    <row r="64" spans="2:9">
      <c r="D64" s="54"/>
      <c r="E64" s="54"/>
      <c r="H64" s="54"/>
    </row>
    <row r="65" spans="4:8">
      <c r="D65" s="54"/>
      <c r="E65" s="54"/>
      <c r="H65" s="54"/>
    </row>
    <row r="66" spans="4:8">
      <c r="D66" s="54"/>
      <c r="E66" s="54"/>
      <c r="H66" s="54"/>
    </row>
    <row r="67" spans="4:8">
      <c r="D67" s="54"/>
      <c r="E67" s="54"/>
      <c r="H67" s="54"/>
    </row>
    <row r="68" spans="4:8">
      <c r="D68" s="54"/>
      <c r="E68" s="54"/>
      <c r="H68" s="54"/>
    </row>
    <row r="69" spans="4:8">
      <c r="D69" s="54"/>
      <c r="E69" s="54"/>
      <c r="H69" s="54"/>
    </row>
    <row r="70" spans="4:8">
      <c r="D70" s="54"/>
      <c r="E70" s="54"/>
      <c r="H70" s="54"/>
    </row>
    <row r="71" spans="4:8">
      <c r="D71" s="54"/>
      <c r="E71" s="54"/>
    </row>
    <row r="72" spans="4:8">
      <c r="D72" s="54"/>
      <c r="E72" s="54"/>
    </row>
    <row r="73" spans="4:8">
      <c r="D73" s="54"/>
      <c r="E73" s="54"/>
    </row>
    <row r="74" spans="4:8">
      <c r="D74" s="54"/>
      <c r="E74" s="54"/>
    </row>
    <row r="75" spans="4:8">
      <c r="D75" s="54"/>
      <c r="E75" s="54"/>
    </row>
    <row r="76" spans="4:8">
      <c r="D76" s="54"/>
      <c r="E76" s="54"/>
    </row>
    <row r="77" spans="4:8">
      <c r="D77" s="54"/>
      <c r="E77" s="54"/>
    </row>
    <row r="78" spans="4:8">
      <c r="D78" s="54"/>
      <c r="E78" s="54"/>
    </row>
    <row r="79" spans="4:8">
      <c r="D79" s="54"/>
      <c r="E79" s="54"/>
    </row>
    <row r="80" spans="4:8">
      <c r="D80" s="54"/>
      <c r="E80" s="54"/>
    </row>
    <row r="81" spans="4:5">
      <c r="D81" s="54"/>
      <c r="E81" s="54"/>
    </row>
    <row r="82" spans="4:5">
      <c r="D82" s="54"/>
      <c r="E82" s="54"/>
    </row>
    <row r="83" spans="4:5">
      <c r="D83" s="54"/>
      <c r="E83" s="54"/>
    </row>
    <row r="84" spans="4:5">
      <c r="D84" s="54"/>
      <c r="E84" s="54"/>
    </row>
    <row r="85" spans="4:5">
      <c r="D85" s="54"/>
      <c r="E85" s="54"/>
    </row>
    <row r="86" spans="4:5">
      <c r="D86" s="54"/>
      <c r="E86" s="54"/>
    </row>
    <row r="87" spans="4:5">
      <c r="D87" s="54"/>
      <c r="E87" s="54"/>
    </row>
    <row r="88" spans="4:5">
      <c r="D88" s="54"/>
      <c r="E88" s="54"/>
    </row>
    <row r="89" spans="4:5">
      <c r="D89" s="54"/>
    </row>
    <row r="90" spans="4:5">
      <c r="D90" s="54"/>
    </row>
  </sheetData>
  <sheetProtection algorithmName="SHA-512" hashValue="f9n6Uj2ZIkdzdbIXS+gmaVRF+mSGBdDWJpSMFq5bYVFDa2EFgBqS8HB+8kQ+3T5kQHfhlcYJ+ySZJ8a6NlwOLA==" saltValue="LtCS/Y+EvJAhnhHwqk8HQg==" spinCount="100000" sheet="1" formatCells="0" selectLockedCells="1" selectUnlockedCells="1"/>
  <mergeCells count="28">
    <mergeCell ref="F15:G15"/>
    <mergeCell ref="F16:H16"/>
    <mergeCell ref="F27:G27"/>
    <mergeCell ref="B2:H2"/>
    <mergeCell ref="B3:H3"/>
    <mergeCell ref="F14:G14"/>
    <mergeCell ref="B5:C5"/>
    <mergeCell ref="B11:C11"/>
    <mergeCell ref="B12:C12"/>
    <mergeCell ref="B13:C13"/>
    <mergeCell ref="B14:C14"/>
    <mergeCell ref="B15:C15"/>
    <mergeCell ref="B24:C24"/>
    <mergeCell ref="B29:C29"/>
    <mergeCell ref="B6:D6"/>
    <mergeCell ref="B19:D19"/>
    <mergeCell ref="B26:C26"/>
    <mergeCell ref="B27:C27"/>
    <mergeCell ref="B28:C28"/>
    <mergeCell ref="B16:C16"/>
    <mergeCell ref="B22:C22"/>
    <mergeCell ref="B20:C20"/>
    <mergeCell ref="B21:C21"/>
    <mergeCell ref="B10:C10"/>
    <mergeCell ref="B9:C9"/>
    <mergeCell ref="B8:C8"/>
    <mergeCell ref="B7:C7"/>
    <mergeCell ref="B25:C25"/>
  </mergeCells>
  <phoneticPr fontId="53" type="noConversion"/>
  <conditionalFormatting sqref="G16 G40 G14 G18:G27">
    <cfRule type="cellIs" dxfId="43" priority="7" stopIfTrue="1" operator="greaterThan">
      <formula>0</formula>
    </cfRule>
  </conditionalFormatting>
  <conditionalFormatting sqref="G7:G13">
    <cfRule type="cellIs" dxfId="42" priority="2" stopIfTrue="1" operator="greaterThan">
      <formula>0</formula>
    </cfRule>
  </conditionalFormatting>
  <printOptions horizontalCentered="1" verticalCentered="1"/>
  <pageMargins left="0" right="0" top="0" bottom="0" header="0" footer="0"/>
  <pageSetup paperSize="9" scale="69" orientation="portrait" horizontalDpi="360" verticalDpi="360" r:id="rId1"/>
  <ignoredErrors>
    <ignoredError sqref="D22" 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/>
    <pageSetUpPr fitToPage="1"/>
  </sheetPr>
  <dimension ref="B1:BJ85"/>
  <sheetViews>
    <sheetView zoomScale="85" zoomScaleNormal="85" workbookViewId="0">
      <selection activeCell="Z17" sqref="Z17:Z18"/>
    </sheetView>
  </sheetViews>
  <sheetFormatPr defaultRowHeight="20.100000000000001" customHeight="1"/>
  <cols>
    <col min="1" max="1" width="15.7109375" style="1" customWidth="1"/>
    <col min="2" max="2" width="15.7109375" style="43" customWidth="1"/>
    <col min="3" max="3" width="29.42578125" style="43" customWidth="1"/>
    <col min="4" max="4" width="22.5703125" style="44" customWidth="1"/>
    <col min="5" max="5" width="1.7109375" style="43" customWidth="1"/>
    <col min="6" max="6" width="10.7109375" style="1" customWidth="1"/>
    <col min="7" max="7" width="10.140625" style="1" customWidth="1"/>
    <col min="8" max="8" width="8.85546875" style="1" customWidth="1"/>
    <col min="9" max="9" width="10.140625" style="1" customWidth="1"/>
    <col min="10" max="10" width="22" style="1" customWidth="1"/>
    <col min="11" max="11" width="1.7109375" style="1" customWidth="1"/>
    <col min="12" max="12" width="10.7109375" style="1" customWidth="1"/>
    <col min="13" max="14" width="10.140625" style="1" customWidth="1"/>
    <col min="15" max="15" width="11.42578125" style="1" customWidth="1"/>
    <col min="16" max="16" width="22" style="1" customWidth="1"/>
    <col min="17" max="17" width="1.7109375" style="1" customWidth="1"/>
    <col min="18" max="18" width="10.7109375" style="1" customWidth="1"/>
    <col min="19" max="19" width="10.140625" style="1" customWidth="1"/>
    <col min="20" max="20" width="10.28515625" style="1" customWidth="1"/>
    <col min="21" max="21" width="11.42578125" style="1" customWidth="1"/>
    <col min="22" max="22" width="22" style="1" customWidth="1"/>
    <col min="23" max="16384" width="9.140625" style="1"/>
  </cols>
  <sheetData>
    <row r="1" spans="2:62" ht="20.100000000000001" customHeight="1" thickBot="1"/>
    <row r="2" spans="2:62" ht="33" customHeight="1">
      <c r="B2" s="827" t="s">
        <v>289</v>
      </c>
      <c r="C2" s="828"/>
      <c r="D2" s="828"/>
      <c r="E2" s="828"/>
      <c r="F2" s="828"/>
      <c r="G2" s="828"/>
      <c r="H2" s="828"/>
      <c r="I2" s="828"/>
      <c r="J2" s="828"/>
      <c r="K2" s="828"/>
      <c r="L2" s="828"/>
      <c r="M2" s="828"/>
      <c r="N2" s="828"/>
      <c r="O2" s="828"/>
      <c r="P2" s="828"/>
      <c r="Q2" s="828"/>
      <c r="R2" s="828"/>
      <c r="S2" s="828"/>
      <c r="T2" s="828"/>
      <c r="U2" s="828"/>
      <c r="V2" s="829"/>
    </row>
    <row r="3" spans="2:62" ht="33" customHeight="1" thickBot="1">
      <c r="B3" s="803">
        <f>SUM('VIP-DB'!B3:J3)</f>
        <v>44427</v>
      </c>
      <c r="C3" s="804"/>
      <c r="D3" s="804"/>
      <c r="E3" s="804"/>
      <c r="F3" s="804"/>
      <c r="G3" s="804"/>
      <c r="H3" s="804"/>
      <c r="I3" s="804"/>
      <c r="J3" s="804"/>
      <c r="K3" s="804"/>
      <c r="L3" s="804"/>
      <c r="M3" s="804"/>
      <c r="N3" s="804"/>
      <c r="O3" s="804"/>
      <c r="P3" s="804"/>
      <c r="Q3" s="804"/>
      <c r="R3" s="804"/>
      <c r="S3" s="804"/>
      <c r="T3" s="804"/>
      <c r="U3" s="804"/>
      <c r="V3" s="805"/>
    </row>
    <row r="5" spans="2:62" ht="25.5" customHeight="1">
      <c r="B5" s="833" t="s">
        <v>81</v>
      </c>
      <c r="C5" s="834"/>
      <c r="D5" s="221">
        <f>'OPENING NEW DAY'!C23</f>
        <v>193007453</v>
      </c>
      <c r="F5" s="830" t="s">
        <v>74</v>
      </c>
      <c r="G5" s="831"/>
      <c r="H5" s="831"/>
      <c r="I5" s="831"/>
      <c r="J5" s="831"/>
      <c r="K5" s="831"/>
      <c r="L5" s="831"/>
      <c r="M5" s="831"/>
      <c r="N5" s="831"/>
      <c r="O5" s="831"/>
      <c r="P5" s="831"/>
      <c r="Q5" s="831"/>
      <c r="R5" s="831"/>
      <c r="S5" s="831"/>
      <c r="T5" s="831"/>
      <c r="U5" s="831"/>
      <c r="V5" s="832"/>
      <c r="W5" s="41"/>
    </row>
    <row r="6" spans="2:62" ht="20.100000000000001" customHeight="1">
      <c r="C6" s="45"/>
      <c r="D6" s="46"/>
    </row>
    <row r="7" spans="2:62" ht="24" customHeight="1">
      <c r="B7" s="836" t="s">
        <v>25</v>
      </c>
      <c r="C7" s="837"/>
      <c r="D7" s="838"/>
      <c r="F7" s="835" t="s">
        <v>66</v>
      </c>
      <c r="G7" s="835"/>
      <c r="H7" s="835"/>
      <c r="I7" s="835"/>
      <c r="J7" s="835"/>
      <c r="K7" s="26"/>
      <c r="L7" s="835" t="s">
        <v>184</v>
      </c>
      <c r="M7" s="835"/>
      <c r="N7" s="835"/>
      <c r="O7" s="835"/>
      <c r="P7" s="835"/>
      <c r="R7" s="839" t="s">
        <v>64</v>
      </c>
      <c r="S7" s="839"/>
      <c r="T7" s="839"/>
      <c r="U7" s="839"/>
      <c r="V7" s="839"/>
    </row>
    <row r="8" spans="2:62" ht="33.75" customHeight="1">
      <c r="B8" s="796" t="s">
        <v>145</v>
      </c>
      <c r="C8" s="797"/>
      <c r="D8" s="379">
        <f>'F&amp;C Report'!AQ40</f>
        <v>0</v>
      </c>
      <c r="F8" s="36" t="s">
        <v>4</v>
      </c>
      <c r="G8" s="36" t="s">
        <v>7</v>
      </c>
      <c r="H8" s="546" t="s">
        <v>249</v>
      </c>
      <c r="I8" s="547" t="s">
        <v>250</v>
      </c>
      <c r="J8" s="234" t="s">
        <v>167</v>
      </c>
      <c r="K8" s="26"/>
      <c r="L8" s="36" t="s">
        <v>4</v>
      </c>
      <c r="M8" s="546" t="s">
        <v>248</v>
      </c>
      <c r="N8" s="546" t="s">
        <v>249</v>
      </c>
      <c r="O8" s="547" t="s">
        <v>250</v>
      </c>
      <c r="P8" s="234" t="s">
        <v>167</v>
      </c>
      <c r="R8" s="393" t="s">
        <v>4</v>
      </c>
      <c r="S8" s="548" t="s">
        <v>245</v>
      </c>
      <c r="T8" s="546" t="s">
        <v>246</v>
      </c>
      <c r="U8" s="549" t="s">
        <v>247</v>
      </c>
      <c r="V8" s="394" t="s">
        <v>167</v>
      </c>
      <c r="BJ8" s="1">
        <v>42</v>
      </c>
    </row>
    <row r="9" spans="2:62" ht="24" customHeight="1">
      <c r="B9" s="796" t="s">
        <v>146</v>
      </c>
      <c r="C9" s="797"/>
      <c r="D9" s="379">
        <f>'F&amp;C Report'!AQ39</f>
        <v>0</v>
      </c>
      <c r="F9" s="235">
        <v>100000</v>
      </c>
      <c r="G9" s="614">
        <v>0</v>
      </c>
      <c r="H9" s="613">
        <f>SUMIFS('F&amp;C Report'!$U$8:$U$100,'F&amp;C Report'!$N$8:$N$100,"CREDIT",'F&amp;C Report'!$O$8:$O$100,"CHIP",'F&amp;C Report'!$P$8:$P$100,"CC02")-SUMIFS('F&amp;C Report'!$U$8:$U$100,'F&amp;C Report'!$N$8:$N$100,"FILL",'F&amp;C Report'!$O$8:$O$100,"CHIP",'F&amp;C Report'!$P$8:$P$100,"CC02")+'OPENING NEW DAY'!D5</f>
        <v>0</v>
      </c>
      <c r="I9" s="610">
        <f>SUM(G9:H9)</f>
        <v>0</v>
      </c>
      <c r="J9" s="48">
        <f>F9*G9</f>
        <v>0</v>
      </c>
      <c r="K9" s="27"/>
      <c r="L9" s="235">
        <v>100000</v>
      </c>
      <c r="M9" s="614">
        <f>'OPENING NEW DAY'!E17</f>
        <v>210</v>
      </c>
      <c r="N9" s="613">
        <f>SUMIFS('F&amp;C Report'!$U$8:$U$100,'F&amp;C Report'!$N$8:$N$100,"CREDIT",'F&amp;C Report'!$O$8:$O$100,"CHIP",'F&amp;C Report'!$P$8:$P$100,"JCC2")-SUMIFS('F&amp;C Report'!$U$8:$U$100,'F&amp;C Report'!$N$8:$N$100,"FILL",'F&amp;C Report'!$O$8:$O$100,"CHIP",'F&amp;C Report'!$P$8:$P$100,"JCC2")+'OPENING NEW DAY'!D17</f>
        <v>67</v>
      </c>
      <c r="O9" s="236">
        <f>M9+N9</f>
        <v>277</v>
      </c>
      <c r="P9" s="48">
        <f>L9*O9</f>
        <v>27700000</v>
      </c>
      <c r="R9" s="395">
        <v>100000</v>
      </c>
      <c r="S9" s="614">
        <f>'OPENING NEW DAY'!E28</f>
        <v>520</v>
      </c>
      <c r="T9" s="613">
        <f>SUMIFS('F&amp;C Report'!$U$8:$U$100,'F&amp;C Report'!$N$8:$N$100,"CREDIT",'F&amp;C Report'!$O$8:$O$100,"CHIP",'F&amp;C Report'!$P$8:$P$100,"CC01")-SUMIFS('F&amp;C Report'!$U$8:$U$100,'F&amp;C Report'!$N$8:$N$100,"FILL",'F&amp;C Report'!$O$8:$O$100,"CHIP",'F&amp;C Report'!$P$8:$P$100,"CC01")+'OPENING NEW DAY'!D28</f>
        <v>76</v>
      </c>
      <c r="U9" s="396">
        <f>S9+T9</f>
        <v>596</v>
      </c>
      <c r="V9" s="397">
        <f>R9*U9</f>
        <v>59600000</v>
      </c>
    </row>
    <row r="10" spans="2:62" ht="24" customHeight="1">
      <c r="B10" s="796" t="s">
        <v>24</v>
      </c>
      <c r="C10" s="797"/>
      <c r="D10" s="379">
        <f>'F&amp;C Report'!AQ38</f>
        <v>0</v>
      </c>
      <c r="F10" s="235">
        <v>50000</v>
      </c>
      <c r="G10" s="614">
        <v>0</v>
      </c>
      <c r="H10" s="613">
        <f>SUMIFS('F&amp;C Report'!$V$8:$V$100,'F&amp;C Report'!$N$8:$N$100,"CREDIT",'F&amp;C Report'!$O$8:$O$100,"CHIP",'F&amp;C Report'!$P$8:$P$100,"CC02")-SUMIFS('F&amp;C Report'!$V$8:$V$100,'F&amp;C Report'!$N$8:$N$100,"FILL",'F&amp;C Report'!$O$8:$O$100,"CHIP",'F&amp;C Report'!$P$8:$P$100,"CC02")+'OPENING NEW DAY'!D6</f>
        <v>0</v>
      </c>
      <c r="I10" s="610">
        <f t="shared" ref="I10:I19" si="0">SUM(G10:H10)</f>
        <v>0</v>
      </c>
      <c r="J10" s="48">
        <f t="shared" ref="J10:J19" si="1">F10*G10</f>
        <v>0</v>
      </c>
      <c r="K10" s="27"/>
      <c r="L10" s="235">
        <v>50000</v>
      </c>
      <c r="M10" s="614">
        <f>'OPENING NEW DAY'!E18</f>
        <v>546</v>
      </c>
      <c r="N10" s="613">
        <f>SUMIFS('F&amp;C Report'!$V$8:$V$100,'F&amp;C Report'!$N$8:$N$100,"CREDIT",'F&amp;C Report'!$O$8:$O$100,"CHIP",'F&amp;C Report'!$P$8:$P$100,"JCC2")-SUMIFS('F&amp;C Report'!$V$8:$V$100,'F&amp;C Report'!$N$8:$N$100,"FILL",'F&amp;C Report'!$O$8:$O$100,"CHIP",'F&amp;C Report'!$P$8:$P$100,"JCC2")+'OPENING NEW DAY'!D18</f>
        <v>29</v>
      </c>
      <c r="O10" s="236">
        <f t="shared" ref="O10:O18" si="2">M10+N10</f>
        <v>575</v>
      </c>
      <c r="P10" s="48">
        <f t="shared" ref="P10:P18" si="3">L10*O10</f>
        <v>28750000</v>
      </c>
      <c r="R10" s="395">
        <v>50000</v>
      </c>
      <c r="S10" s="614">
        <f>'OPENING NEW DAY'!E29</f>
        <v>576</v>
      </c>
      <c r="T10" s="613">
        <f>SUMIFS('F&amp;C Report'!$V$8:$V$100,'F&amp;C Report'!$N$8:$N$100,"CREDIT",'F&amp;C Report'!$O$8:$O$100,"CHIP",'F&amp;C Report'!$P$8:$P$100,"CC01")-SUMIFS('F&amp;C Report'!$V$8:$V$100,'F&amp;C Report'!$N$8:$N$100,"FILL",'F&amp;C Report'!$O$8:$O$100,"CHIP",'F&amp;C Report'!$P$8:$P$100,"CC01")+'OPENING NEW DAY'!D29</f>
        <v>24</v>
      </c>
      <c r="U10" s="396">
        <f>S10+T10</f>
        <v>600</v>
      </c>
      <c r="V10" s="397">
        <f t="shared" ref="V10:V18" si="4">R10*U10</f>
        <v>30000000</v>
      </c>
    </row>
    <row r="11" spans="2:62" ht="24" customHeight="1">
      <c r="B11" s="796" t="s">
        <v>292</v>
      </c>
      <c r="C11" s="797"/>
      <c r="D11" s="379">
        <f>'F&amp;C Report'!AQ42</f>
        <v>8000</v>
      </c>
      <c r="F11" s="235">
        <v>10000</v>
      </c>
      <c r="G11" s="614">
        <v>0</v>
      </c>
      <c r="H11" s="613">
        <f>SUMIFS('F&amp;C Report'!$X$8:$X$100,'F&amp;C Report'!$N$8:$N$100,"CREDIT",'F&amp;C Report'!$O$8:$O$100,"CHIP",'F&amp;C Report'!$P$8:$P$100,"CC02")-SUMIFS('F&amp;C Report'!$X$8:$X$100,'F&amp;C Report'!$N$8:$N$100,"FILL",'F&amp;C Report'!$O$8:$O$100,"CHIP",'F&amp;C Report'!$P$8:$P$100,"CC02")+'OPENING NEW DAY'!D7</f>
        <v>0</v>
      </c>
      <c r="I11" s="610">
        <f t="shared" si="0"/>
        <v>0</v>
      </c>
      <c r="J11" s="48">
        <f t="shared" si="1"/>
        <v>0</v>
      </c>
      <c r="K11" s="26"/>
      <c r="L11" s="235">
        <v>10000</v>
      </c>
      <c r="M11" s="614">
        <f>'OPENING NEW DAY'!E19</f>
        <v>580</v>
      </c>
      <c r="N11" s="613">
        <f>SUMIFS('F&amp;C Report'!$X$8:$X$100,'F&amp;C Report'!$N$8:$N$100,"CREDIT",'F&amp;C Report'!$O$8:$O$100,"CHIP",'F&amp;C Report'!$P$8:$P$100,"JCC2")-SUMIFS('F&amp;C Report'!$X$8:$X$100,'F&amp;C Report'!$N$8:$N$100,"FILL",'F&amp;C Report'!$O$8:$O$100,"CHIP",'F&amp;C Report'!$P$8:$P$100,"JCC2")+'OPENING NEW DAY'!D19</f>
        <v>126</v>
      </c>
      <c r="O11" s="236">
        <f t="shared" si="2"/>
        <v>706</v>
      </c>
      <c r="P11" s="48">
        <f t="shared" si="3"/>
        <v>7060000</v>
      </c>
      <c r="R11" s="395">
        <v>10000</v>
      </c>
      <c r="S11" s="614">
        <f>'OPENING NEW DAY'!E30</f>
        <v>1749</v>
      </c>
      <c r="T11" s="613">
        <f>SUMIFS('F&amp;C Report'!$X$8:$X$100,'F&amp;C Report'!$N$8:$N$100,"CREDIT",'F&amp;C Report'!$O$8:$O$100,"CHIP",'F&amp;C Report'!$P$8:$P$100,"CC01")-SUMIFS('F&amp;C Report'!$X$8:$X$100,'F&amp;C Report'!$N$8:$N$100,"FILL",'F&amp;C Report'!$O$8:$O$100,"CHIP",'F&amp;C Report'!$P$8:$P$100,"CC01")+'OPENING NEW DAY'!D30</f>
        <v>16</v>
      </c>
      <c r="U11" s="396">
        <f t="shared" ref="U11:U19" si="5">S11+T11</f>
        <v>1765</v>
      </c>
      <c r="V11" s="397">
        <f t="shared" si="4"/>
        <v>17650000</v>
      </c>
    </row>
    <row r="12" spans="2:62" ht="24" customHeight="1">
      <c r="B12" s="826" t="s">
        <v>357</v>
      </c>
      <c r="C12" s="826"/>
      <c r="D12" s="618">
        <f>'F&amp;C Report'!AQ41</f>
        <v>0</v>
      </c>
      <c r="F12" s="235">
        <v>5000</v>
      </c>
      <c r="G12" s="614">
        <v>0</v>
      </c>
      <c r="H12" s="613">
        <f>SUMIFS('F&amp;C Report'!$Y$8:$Y$100,'F&amp;C Report'!$N$8:$N$100,"CREDIT",'F&amp;C Report'!$O$8:$O$100,"CHIP",'F&amp;C Report'!$P$8:$P$100,"CC02")-SUMIFS('F&amp;C Report'!$Y$8:$Y$100,'F&amp;C Report'!$N$8:$N$100,"FILL",'F&amp;C Report'!$O$8:$O$100,"CHIP",'F&amp;C Report'!$P$8:$P$100,"CC02")+'OPENING NEW DAY'!D8</f>
        <v>0</v>
      </c>
      <c r="I12" s="610">
        <f t="shared" si="0"/>
        <v>0</v>
      </c>
      <c r="J12" s="48">
        <f t="shared" si="1"/>
        <v>0</v>
      </c>
      <c r="K12" s="26"/>
      <c r="L12" s="235">
        <v>5000</v>
      </c>
      <c r="M12" s="614">
        <f>'OPENING NEW DAY'!E20</f>
        <v>1043</v>
      </c>
      <c r="N12" s="613">
        <f>SUMIFS('F&amp;C Report'!$Y$8:$Y$100,'F&amp;C Report'!$N$8:$N$100,"CREDIT",'F&amp;C Report'!$O$8:$O$100,"CHIP",'F&amp;C Report'!$P$8:$P$100,"JCC2")-SUMIFS('F&amp;C Report'!$Y$8:$Y$100,'F&amp;C Report'!$N$8:$N$100,"FILL",'F&amp;C Report'!$O$8:$O$100,"CHIP",'F&amp;C Report'!$P$8:$P$100,"JCC2")+'OPENING NEW DAY'!D20</f>
        <v>156</v>
      </c>
      <c r="O12" s="236">
        <f t="shared" si="2"/>
        <v>1199</v>
      </c>
      <c r="P12" s="48">
        <f t="shared" si="3"/>
        <v>5995000</v>
      </c>
      <c r="R12" s="395">
        <v>5000</v>
      </c>
      <c r="S12" s="614">
        <f>'OPENING NEW DAY'!E31</f>
        <v>1200</v>
      </c>
      <c r="T12" s="488">
        <f>SUMIFS('F&amp;C Report'!$Y$8:$Y$100,'F&amp;C Report'!$N$8:$N$100,"CREDIT",'F&amp;C Report'!$O$8:$O$100,"CHIP",'F&amp;C Report'!$P$8:$P$100,"CC01")-SUMIFS('F&amp;C Report'!$Y$8:$Y$100,'F&amp;C Report'!$N$8:$N$100,"FILL",'F&amp;C Report'!$O$8:$O$100,"CHIP",'F&amp;C Report'!$P$8:$P$100,"CC01")+'OPENING NEW DAY'!D31</f>
        <v>70</v>
      </c>
      <c r="U12" s="396">
        <f t="shared" si="5"/>
        <v>1270</v>
      </c>
      <c r="V12" s="397">
        <f t="shared" si="4"/>
        <v>6350000</v>
      </c>
    </row>
    <row r="13" spans="2:62" ht="24" customHeight="1">
      <c r="B13" s="807"/>
      <c r="C13" s="808"/>
      <c r="D13" s="506"/>
      <c r="F13" s="235">
        <v>1000</v>
      </c>
      <c r="G13" s="614">
        <v>0</v>
      </c>
      <c r="H13" s="613">
        <f>SUMIFS('F&amp;C Report'!$AA$8:$AA$100,'F&amp;C Report'!$N$8:$N$100,"CREDIT",'F&amp;C Report'!$O$8:$O$100,"CHIP",'F&amp;C Report'!$P$8:$P$100,"CC02")-SUMIFS('F&amp;C Report'!$AA$8:$AA$100,'F&amp;C Report'!$N$8:$N$100,"FILL",'F&amp;C Report'!$O$8:$O$100,"CHIP",'F&amp;C Report'!$P$8:$P$100,"CC02")+'OPENING NEW DAY'!D9</f>
        <v>0</v>
      </c>
      <c r="I13" s="610">
        <f t="shared" si="0"/>
        <v>0</v>
      </c>
      <c r="J13" s="48">
        <f t="shared" si="1"/>
        <v>0</v>
      </c>
      <c r="K13" s="26"/>
      <c r="L13" s="235">
        <v>1000</v>
      </c>
      <c r="M13" s="614">
        <f>'OPENING NEW DAY'!E21</f>
        <v>684</v>
      </c>
      <c r="N13" s="613">
        <f>SUMIFS('F&amp;C Report'!$AA$8:$AA$100,'F&amp;C Report'!$N$8:$N$100,"CREDIT",'F&amp;C Report'!$O$8:$O$100,"CHIP",'F&amp;C Report'!$P$8:$P$100,"JCC2")-SUMIFS('F&amp;C Report'!$AA$8:$AA$100,'F&amp;C Report'!$N$8:$N$100,"FILL",'F&amp;C Report'!$O$8:$O$100,"CHIP",'F&amp;C Report'!$P$8:$P$100,"JCC2")+'OPENING NEW DAY'!D21</f>
        <v>212</v>
      </c>
      <c r="O13" s="236">
        <f t="shared" si="2"/>
        <v>896</v>
      </c>
      <c r="P13" s="48">
        <f t="shared" si="3"/>
        <v>896000</v>
      </c>
      <c r="R13" s="395">
        <v>1000</v>
      </c>
      <c r="S13" s="614">
        <f>'OPENING NEW DAY'!E32</f>
        <v>2851</v>
      </c>
      <c r="T13" s="488">
        <f>SUMIFS('F&amp;C Report'!$AA$8:$AA$100,'F&amp;C Report'!$N$8:$N$100,"CREDIT",'F&amp;C Report'!$O$8:$O$100,"CHIP",'F&amp;C Report'!$P$8:$P$100,"CC01")-SUMIFS('F&amp;C Report'!$AA$8:$AA$100,'F&amp;C Report'!$N$8:$N$100,"FILL",'F&amp;C Report'!$O$8:$O$100,"CHIP",'F&amp;C Report'!$P$8:$P$100,"CC01")+'OPENING NEW DAY'!D32</f>
        <v>343</v>
      </c>
      <c r="U13" s="396">
        <f t="shared" si="5"/>
        <v>3194</v>
      </c>
      <c r="V13" s="397">
        <f t="shared" si="4"/>
        <v>3194000</v>
      </c>
    </row>
    <row r="14" spans="2:62" ht="24" customHeight="1">
      <c r="B14" s="807"/>
      <c r="C14" s="808"/>
      <c r="D14" s="47"/>
      <c r="F14" s="235">
        <v>500</v>
      </c>
      <c r="G14" s="614">
        <v>0</v>
      </c>
      <c r="H14" s="613">
        <f>SUMIFS('F&amp;C Report'!$AB$8:$AB$100,'F&amp;C Report'!$N$8:$N$100,"CREDIT",'F&amp;C Report'!$O$8:$O$100,"CHIP",'F&amp;C Report'!$P$8:$P$100,"CC02")-SUMIFS('F&amp;C Report'!$AB$8:$AB$100,'F&amp;C Report'!$N$8:$N$100,"FILL",'F&amp;C Report'!$O$8:$O$100,"CHIP",'F&amp;C Report'!$P$8:$P$100,"CC02")+'OPENING NEW DAY'!D10</f>
        <v>0</v>
      </c>
      <c r="I14" s="610">
        <f t="shared" si="0"/>
        <v>0</v>
      </c>
      <c r="J14" s="48">
        <f t="shared" si="1"/>
        <v>0</v>
      </c>
      <c r="K14" s="28"/>
      <c r="L14" s="235">
        <v>500</v>
      </c>
      <c r="M14" s="614">
        <f>'OPENING NEW DAY'!E22</f>
        <v>952</v>
      </c>
      <c r="N14" s="613">
        <f>SUMIFS('F&amp;C Report'!$AB$8:$AB$100,'F&amp;C Report'!$N$8:$N$100,"CREDIT",'F&amp;C Report'!$O$8:$O$100,"CHIP",'F&amp;C Report'!$P$8:$P$100,"JCC2")-SUMIFS('F&amp;C Report'!$AB$8:$AB$100,'F&amp;C Report'!$N$8:$N$100,"FILL",'F&amp;C Report'!$O$8:$O$100,"CHIP",'F&amp;C Report'!$P$8:$P$100,"JCC2")+'OPENING NEW DAY'!D22</f>
        <v>221</v>
      </c>
      <c r="O14" s="236">
        <f t="shared" si="2"/>
        <v>1173</v>
      </c>
      <c r="P14" s="48">
        <f t="shared" si="3"/>
        <v>586500</v>
      </c>
      <c r="R14" s="395">
        <v>500</v>
      </c>
      <c r="S14" s="614">
        <f>'OPENING NEW DAY'!E33</f>
        <v>2906</v>
      </c>
      <c r="T14" s="488">
        <f>SUMIFS('F&amp;C Report'!$AB$8:$AB$100,'F&amp;C Report'!$N$8:$N$100,"CREDIT",'F&amp;C Report'!$O$8:$O$100,"CHIP",'F&amp;C Report'!$P$8:$P$100,"CC01")-SUMIFS('F&amp;C Report'!$AB$8:$AB$100,'F&amp;C Report'!$N$8:$N$100,"FILL",'F&amp;C Report'!$O$8:$O$100,"CHIP",'F&amp;C Report'!$P$8:$P$100,"CC01")+'OPENING NEW DAY'!D33</f>
        <v>352</v>
      </c>
      <c r="U14" s="396">
        <f t="shared" si="5"/>
        <v>3258</v>
      </c>
      <c r="V14" s="397">
        <f t="shared" si="4"/>
        <v>1629000</v>
      </c>
    </row>
    <row r="15" spans="2:62" ht="24" customHeight="1">
      <c r="B15" s="807"/>
      <c r="C15" s="808"/>
      <c r="D15" s="47"/>
      <c r="F15" s="235">
        <v>100</v>
      </c>
      <c r="G15" s="614">
        <v>0</v>
      </c>
      <c r="H15" s="613">
        <f>SUMIFS('F&amp;C Report'!$AC$8:$AC$100,'F&amp;C Report'!$N$8:$N$100,"CREDIT",'F&amp;C Report'!$O$8:$O$100,"CHIP",'F&amp;C Report'!$P$8:$P$100,"CC02")-SUMIFS('F&amp;C Report'!$AC$8:$AC$100,'F&amp;C Report'!$N$8:$N$100,"FILL",'F&amp;C Report'!$O$8:$O$100,"CHIP",'F&amp;C Report'!$P$8:$P$100,"CC02")+'OPENING NEW DAY'!D11</f>
        <v>0</v>
      </c>
      <c r="I15" s="610">
        <f t="shared" si="0"/>
        <v>0</v>
      </c>
      <c r="J15" s="48">
        <f t="shared" si="1"/>
        <v>0</v>
      </c>
      <c r="K15" s="28"/>
      <c r="L15" s="235">
        <v>100</v>
      </c>
      <c r="M15" s="614">
        <f>'OPENING NEW DAY'!E23</f>
        <v>1881</v>
      </c>
      <c r="N15" s="613">
        <f>SUMIFS('F&amp;C Report'!$AC$8:$AC$100,'F&amp;C Report'!$N$8:$N$100,"CREDIT",'F&amp;C Report'!$O$8:$O$100,"CHIP",'F&amp;C Report'!$P$8:$P$100,"JCC2")-SUMIFS('F&amp;C Report'!$AC$8:$AC$100,'F&amp;C Report'!$N$8:$N$100,"FILL",'F&amp;C Report'!$O$8:$O$100,"CHIP",'F&amp;C Report'!$P$8:$P$100,"JCC2")+'OPENING NEW DAY'!D23</f>
        <v>266</v>
      </c>
      <c r="O15" s="236">
        <f t="shared" si="2"/>
        <v>2147</v>
      </c>
      <c r="P15" s="48">
        <f t="shared" si="3"/>
        <v>214700</v>
      </c>
      <c r="R15" s="395">
        <v>100</v>
      </c>
      <c r="S15" s="614">
        <f>'OPENING NEW DAY'!E34</f>
        <v>3101</v>
      </c>
      <c r="T15" s="488">
        <f>SUMIFS('F&amp;C Report'!$AC$8:$AC$100,'F&amp;C Report'!$N$8:$N$100,"CREDIT",'F&amp;C Report'!$O$8:$O$100,"CHIP",'F&amp;C Report'!$P$8:$P$100,"CC01")-SUMIFS('F&amp;C Report'!$AC$8:$AC$100,'F&amp;C Report'!$N$8:$N$100,"FILL",'F&amp;C Report'!$O$8:$O$100,"CHIP",'F&amp;C Report'!$P$8:$P$100,"CC01")+'OPENING NEW DAY'!D34</f>
        <v>1140</v>
      </c>
      <c r="U15" s="396">
        <f t="shared" si="5"/>
        <v>4241</v>
      </c>
      <c r="V15" s="397">
        <f t="shared" si="4"/>
        <v>424100</v>
      </c>
    </row>
    <row r="16" spans="2:62" ht="24" customHeight="1">
      <c r="B16" s="807"/>
      <c r="C16" s="808"/>
      <c r="D16" s="47"/>
      <c r="F16" s="235">
        <v>25</v>
      </c>
      <c r="G16" s="614">
        <v>0</v>
      </c>
      <c r="H16" s="613">
        <f>SUMIFS('F&amp;C Report'!$AE$8:$AE$100,'F&amp;C Report'!$N$8:$N$100,"CREDIT",'F&amp;C Report'!$O$8:$O$100,"CHIP",'F&amp;C Report'!$P$8:$P$100,"CC02")-SUMIFS('F&amp;C Report'!$AE$8:$AE$100,'F&amp;C Report'!$N$8:$N$100,"FILL",'F&amp;C Report'!$O$8:$O$100,"CHIP",'F&amp;C Report'!$P$8:$P$100,"CC02")+'OPENING NEW DAY'!D12</f>
        <v>0</v>
      </c>
      <c r="I16" s="610">
        <f t="shared" si="0"/>
        <v>0</v>
      </c>
      <c r="J16" s="48">
        <f t="shared" si="1"/>
        <v>0</v>
      </c>
      <c r="K16" s="28"/>
      <c r="L16" s="235">
        <v>25</v>
      </c>
      <c r="M16" s="614">
        <f>'OPENING NEW DAY'!E24</f>
        <v>1019</v>
      </c>
      <c r="N16" s="613">
        <f>SUMIFS('F&amp;C Report'!$AE$8:$AE$100,'F&amp;C Report'!$N$8:$N$100,"CREDIT",'F&amp;C Report'!$O$8:$O$100,"CHIP",'F&amp;C Report'!$P$8:$P$100,"JCC2")-SUMIFS('F&amp;C Report'!$AE$8:$AE$100,'F&amp;C Report'!$N$8:$N$100,"FILL",'F&amp;C Report'!$O$8:$O$100,"CHIP",'F&amp;C Report'!$P$8:$P$100,"JCC2")+'OPENING NEW DAY'!D24</f>
        <v>154</v>
      </c>
      <c r="O16" s="236">
        <f t="shared" si="2"/>
        <v>1173</v>
      </c>
      <c r="P16" s="48">
        <f t="shared" si="3"/>
        <v>29325</v>
      </c>
      <c r="R16" s="395">
        <v>25</v>
      </c>
      <c r="S16" s="614">
        <f>'OPENING NEW DAY'!E35</f>
        <v>2318</v>
      </c>
      <c r="T16" s="488">
        <f>SUMIFS('F&amp;C Report'!$AE$8:$AE$100,'F&amp;C Report'!$N$8:$N$100,"CREDIT",'F&amp;C Report'!$O$8:$O$100,"CHIP",'F&amp;C Report'!$P$8:$P$100,"CC01")-SUMIFS('F&amp;C Report'!$AE$8:$AE$100,'F&amp;C Report'!$N$8:$N$100,"FILL",'F&amp;C Report'!$O$8:$O$100,"CHIP",'F&amp;C Report'!$P$8:$P$100,"CC01")+'OPENING NEW DAY'!D35</f>
        <v>947</v>
      </c>
      <c r="U16" s="396">
        <f t="shared" si="5"/>
        <v>3265</v>
      </c>
      <c r="V16" s="397">
        <f t="shared" si="4"/>
        <v>81625</v>
      </c>
    </row>
    <row r="17" spans="2:22" ht="24" customHeight="1">
      <c r="B17" s="807"/>
      <c r="C17" s="808"/>
      <c r="D17" s="47"/>
      <c r="F17" s="235">
        <v>5</v>
      </c>
      <c r="G17" s="614">
        <v>0</v>
      </c>
      <c r="H17" s="613">
        <f>SUMIFS('F&amp;C Report'!$AH$8:$AH$100,'F&amp;C Report'!$N$8:$N$100,"CREDIT",'F&amp;C Report'!$O$8:$O$100,"CHIP",'F&amp;C Report'!$P$8:$P$100,"CC02")-SUMIFS('F&amp;C Report'!$AH$8:$AH$100,'F&amp;C Report'!$N$8:$N$100,"FILL",'F&amp;C Report'!$O$8:$O$100,"CHIP",'F&amp;C Report'!$P$8:$P$100,"CC02")+'OPENING NEW DAY'!D13</f>
        <v>0</v>
      </c>
      <c r="I17" s="610">
        <f t="shared" si="0"/>
        <v>0</v>
      </c>
      <c r="J17" s="48">
        <f t="shared" si="1"/>
        <v>0</v>
      </c>
      <c r="K17" s="28"/>
      <c r="L17" s="235">
        <v>5</v>
      </c>
      <c r="M17" s="614">
        <f>'OPENING NEW DAY'!E25</f>
        <v>1288</v>
      </c>
      <c r="N17" s="613">
        <f>SUMIFS('F&amp;C Report'!$AH$8:$AH$100,'F&amp;C Report'!$N$8:$N$100,"CREDIT",'F&amp;C Report'!$O$8:$O$100,"CHIP",'F&amp;C Report'!$P$8:$P$100,"JCC2")-SUMIFS('F&amp;C Report'!$AH$8:$AH$100,'F&amp;C Report'!$N$8:$N$100,"FILL",'F&amp;C Report'!$O$8:$O$100,"CHIP",'F&amp;C Report'!$P$8:$P$100,"JCC2")+'OPENING NEW DAY'!D25</f>
        <v>145</v>
      </c>
      <c r="O17" s="236">
        <f t="shared" si="2"/>
        <v>1433</v>
      </c>
      <c r="P17" s="48">
        <f t="shared" si="3"/>
        <v>7165</v>
      </c>
      <c r="R17" s="395">
        <v>5</v>
      </c>
      <c r="S17" s="614">
        <f>'OPENING NEW DAY'!E36</f>
        <v>3580</v>
      </c>
      <c r="T17" s="488">
        <f>SUMIFS('F&amp;C Report'!$AH$8:$AH$100,'F&amp;C Report'!$N$8:$N$100,"CREDIT",'F&amp;C Report'!$O$8:$O$100,"CHIP",'F&amp;C Report'!$P$8:$P$100,"CC01")-SUMIFS('F&amp;C Report'!$AH$8:$AH$100,'F&amp;C Report'!$N$8:$N$100,"FILL",'F&amp;C Report'!$O$8:$O$100,"CHIP",'F&amp;C Report'!$P$8:$P$100,"CC01")+'OPENING NEW DAY'!D36</f>
        <v>1148</v>
      </c>
      <c r="U17" s="396">
        <f t="shared" si="5"/>
        <v>4728</v>
      </c>
      <c r="V17" s="397">
        <f t="shared" si="4"/>
        <v>23640</v>
      </c>
    </row>
    <row r="18" spans="2:22" ht="24" customHeight="1">
      <c r="B18" s="807"/>
      <c r="C18" s="808"/>
      <c r="D18" s="47"/>
      <c r="F18" s="235">
        <v>1</v>
      </c>
      <c r="G18" s="614">
        <v>0</v>
      </c>
      <c r="H18" s="613">
        <f>SUMIFS('F&amp;C Report'!$AI$8:$AI$100,'F&amp;C Report'!$N$8:$N$100,"CREDIT",'F&amp;C Report'!$O$8:$O$100,"CHIP",'F&amp;C Report'!$P$8:$P$100,"CC02")-SUMIFS('F&amp;C Report'!$AI$8:$AI$100,'F&amp;C Report'!$N$8:$N$100,"FILL",'F&amp;C Report'!$O$8:$O$100,"CHIP",'F&amp;C Report'!$P$8:$P$100,"CC02")+'OPENING NEW DAY'!D14</f>
        <v>0</v>
      </c>
      <c r="I18" s="610">
        <f t="shared" si="0"/>
        <v>0</v>
      </c>
      <c r="J18" s="48">
        <f t="shared" si="1"/>
        <v>0</v>
      </c>
      <c r="K18" s="28"/>
      <c r="L18" s="235">
        <v>1</v>
      </c>
      <c r="M18" s="614">
        <f>'OPENING NEW DAY'!E26</f>
        <v>290</v>
      </c>
      <c r="N18" s="613">
        <f>SUMIFS('F&amp;C Report'!$AI$8:$AI$100,'F&amp;C Report'!$N$8:$N$100,"CREDIT",'F&amp;C Report'!$O$8:$O$100,"CHIP",'F&amp;C Report'!$P$8:$P$100,"JCC2")-SUMIFS('F&amp;C Report'!$AI$8:$AI$100,'F&amp;C Report'!$N$8:$N$100,"FILL",'F&amp;C Report'!$O$8:$O$100,"CHIP",'F&amp;C Report'!$P$8:$P$100,"JCC2")+'OPENING NEW DAY'!D26</f>
        <v>10</v>
      </c>
      <c r="O18" s="236">
        <f t="shared" si="2"/>
        <v>300</v>
      </c>
      <c r="P18" s="48">
        <f t="shared" si="3"/>
        <v>300</v>
      </c>
      <c r="R18" s="395">
        <v>1</v>
      </c>
      <c r="S18" s="614">
        <f>'OPENING NEW DAY'!E37</f>
        <v>2393</v>
      </c>
      <c r="T18" s="488">
        <f>SUMIFS('F&amp;C Report'!$AI$8:$AI$100,'F&amp;C Report'!$N$8:$N$100,"CREDIT",'F&amp;C Report'!$O$8:$O$100,"CHIP",'F&amp;C Report'!$P$8:$P$100,"CC01")-SUMIFS('F&amp;C Report'!$AI$8:$AI$100,'F&amp;C Report'!$N$8:$N$100,"FILL",'F&amp;C Report'!$O$8:$O$100,"CHIP",'F&amp;C Report'!$P$8:$P$100,"CC01")+'OPENING NEW DAY'!D37</f>
        <v>806</v>
      </c>
      <c r="U18" s="396">
        <f t="shared" si="5"/>
        <v>3199</v>
      </c>
      <c r="V18" s="397">
        <f t="shared" si="4"/>
        <v>3199</v>
      </c>
    </row>
    <row r="19" spans="2:22" ht="24" customHeight="1">
      <c r="B19" s="824"/>
      <c r="C19" s="825"/>
      <c r="D19" s="50"/>
      <c r="F19" s="360">
        <v>0.5</v>
      </c>
      <c r="G19" s="614">
        <v>0</v>
      </c>
      <c r="H19" s="613">
        <f>SUMIFS('F&amp;C Report'!$AJ$8:$AJ$100,'F&amp;C Report'!$N$8:$N$100,"CREDIT",'F&amp;C Report'!$O$8:$O$100,"CHIP",'F&amp;C Report'!$P$8:$P$100,"CC02")-SUMIFS('F&amp;C Report'!$AJ$8:$AJ$100,'F&amp;C Report'!$N$8:$N$100,"FILL",'F&amp;C Report'!$O$8:$O$100,"CHIP",'F&amp;C Report'!$P$8:$P$100,"CC02")+'OPENING NEW DAY'!D15</f>
        <v>0</v>
      </c>
      <c r="I19" s="610">
        <f t="shared" si="0"/>
        <v>0</v>
      </c>
      <c r="J19" s="48">
        <f t="shared" si="1"/>
        <v>0</v>
      </c>
      <c r="K19" s="28"/>
      <c r="L19" s="359"/>
      <c r="M19" s="359"/>
      <c r="N19" s="359"/>
      <c r="O19" s="30" t="s">
        <v>73</v>
      </c>
      <c r="P19" s="49">
        <f>SUM(P8:P18)</f>
        <v>71238990</v>
      </c>
      <c r="R19" s="398">
        <v>0.5</v>
      </c>
      <c r="S19" s="614">
        <f>'OPENING NEW DAY'!E38</f>
        <v>1094</v>
      </c>
      <c r="T19" s="488">
        <f>SUMIFS('F&amp;C Report'!$AJ$8:$AJ$100,'F&amp;C Report'!$N$8:$N$100,"CREDIT",'F&amp;C Report'!$O$8:$O$100,"CHIP",'F&amp;C Report'!$P$8:$P$100,"CC01")-SUMIFS('F&amp;C Report'!$AJ$8:$AJ$100,'F&amp;C Report'!$N$8:$N$100,"FILL",'F&amp;C Report'!$O$8:$O$100,"CHIP",'F&amp;C Report'!$P$8:$P$100,"CC01")+'OPENING NEW DAY'!D38</f>
        <v>704</v>
      </c>
      <c r="U19" s="396">
        <f t="shared" si="5"/>
        <v>1798</v>
      </c>
      <c r="V19" s="397">
        <f>R19*U19</f>
        <v>899</v>
      </c>
    </row>
    <row r="20" spans="2:22" ht="24" customHeight="1">
      <c r="B20" s="51"/>
      <c r="C20" s="52" t="s">
        <v>82</v>
      </c>
      <c r="D20" s="47">
        <f>SUM(D8:D19)</f>
        <v>8000</v>
      </c>
      <c r="G20" s="30" t="s">
        <v>73</v>
      </c>
      <c r="H20" s="30"/>
      <c r="I20" s="30"/>
      <c r="J20" s="49">
        <f>SUM(J8:J19)</f>
        <v>0</v>
      </c>
      <c r="K20" s="28"/>
      <c r="N20" s="359"/>
      <c r="R20" s="399"/>
      <c r="S20" s="399"/>
      <c r="T20" s="399"/>
      <c r="U20" s="400" t="s">
        <v>200</v>
      </c>
      <c r="V20" s="401">
        <f>SUM(V9:V19)</f>
        <v>118956463</v>
      </c>
    </row>
    <row r="21" spans="2:22" ht="20.100000000000001" customHeight="1">
      <c r="B21" s="51"/>
      <c r="C21" s="52"/>
      <c r="D21" s="358"/>
      <c r="K21" s="28"/>
    </row>
    <row r="22" spans="2:22" ht="24" customHeight="1">
      <c r="B22" s="53"/>
      <c r="C22" s="54"/>
      <c r="D22" s="55"/>
      <c r="F22" s="821" t="s">
        <v>189</v>
      </c>
      <c r="G22" s="822"/>
      <c r="H22" s="822"/>
      <c r="I22" s="822"/>
      <c r="J22" s="823"/>
      <c r="K22" s="28"/>
      <c r="L22" s="821" t="s">
        <v>185</v>
      </c>
      <c r="M22" s="822"/>
      <c r="N22" s="822"/>
      <c r="O22" s="822"/>
      <c r="P22" s="823"/>
    </row>
    <row r="23" spans="2:22" ht="29.25" customHeight="1">
      <c r="B23" s="818" t="s">
        <v>26</v>
      </c>
      <c r="C23" s="819"/>
      <c r="D23" s="820"/>
      <c r="F23" s="36" t="s">
        <v>4</v>
      </c>
      <c r="G23" s="36" t="s">
        <v>7</v>
      </c>
      <c r="H23" s="546" t="s">
        <v>249</v>
      </c>
      <c r="I23" s="547" t="s">
        <v>250</v>
      </c>
      <c r="J23" s="234" t="s">
        <v>167</v>
      </c>
      <c r="K23" s="28"/>
      <c r="L23" s="36" t="s">
        <v>4</v>
      </c>
      <c r="M23" s="546" t="s">
        <v>248</v>
      </c>
      <c r="N23" s="546" t="s">
        <v>249</v>
      </c>
      <c r="O23" s="547" t="s">
        <v>250</v>
      </c>
      <c r="P23" s="234" t="s">
        <v>167</v>
      </c>
      <c r="R23" s="333" t="s">
        <v>103</v>
      </c>
      <c r="S23" s="550" t="str">
        <f>'Main Bank'!C37</f>
        <v>NIGHT</v>
      </c>
      <c r="T23" s="333"/>
    </row>
    <row r="24" spans="2:22" ht="24" customHeight="1">
      <c r="B24" s="796" t="s">
        <v>157</v>
      </c>
      <c r="C24" s="797"/>
      <c r="D24" s="379">
        <f>'F&amp;C Report'!AQ29</f>
        <v>0</v>
      </c>
      <c r="F24" s="707">
        <v>50000</v>
      </c>
      <c r="G24" s="708">
        <v>0</v>
      </c>
      <c r="H24" s="708">
        <f>SUMIFS('F&amp;C Report'!$U$8:$U$100,'F&amp;C Report'!$N$8:$N$100,"CREDIT",'F&amp;C Report'!$O$8:$O$100,"CHIP",'F&amp;C Report'!$P$8:$P$100,"NN02")-SUMIFS('F&amp;C Report'!$U$8:$U$100,'F&amp;C Report'!$N$8:$N$100,"FILL",'F&amp;C Report'!$O$8:$O$100,"CHIP",'F&amp;C Report'!$P$8:$P$100,"NN02")+'OPENING NEW DAY'!D40</f>
        <v>0</v>
      </c>
      <c r="I24" s="709">
        <f>SUM(G24:H24)</f>
        <v>0</v>
      </c>
      <c r="J24" s="710">
        <f>F24*G24</f>
        <v>0</v>
      </c>
      <c r="K24" s="27"/>
      <c r="L24" s="235">
        <v>100000</v>
      </c>
      <c r="M24" s="614">
        <f>-SUMIFS('F&amp;C Report'!$U$8:$U$100,'F&amp;C Report'!$N$8:$N$100,"VIP to RB",'F&amp;C Report'!$O$8:$O$100,"CHIP",'F&amp;C Report'!$P$8:$P$100,"JNN2")+SUMIFS('F&amp;C Report'!$U$8:$U$100,'F&amp;C Report'!$N$8:$N$100,"RB to VIP",'F&amp;C Report'!$O$8:$O$100,"CHIP",'F&amp;C Report'!$P$8:$P$100,"JNN2")+'OPENING NEW DAY'!E48</f>
        <v>0</v>
      </c>
      <c r="N24" s="488">
        <f>SUMIFS('F&amp;C Report'!$U$8:$U$100,'F&amp;C Report'!$N$8:$N$100,"CREDIT",'F&amp;C Report'!$O$8:$O$100,"CHIP",'F&amp;C Report'!$P$8:$P$100,"JNN2")-SUMIFS('F&amp;C Report'!$U$8:$U$100,'F&amp;C Report'!$N$8:$N$100,"FILL",'F&amp;C Report'!$O$8:$O$100,"CHIP",'F&amp;C Report'!$P$8:$P$100,"JNN2")+SUMIFS('F&amp;C Report'!$U$8:$U$100,'F&amp;C Report'!$N$8:$N$100,"MH to VIP",'F&amp;C Report'!$O$8:$O$100,"CHIP",'F&amp;C Report'!$P$8:$P$100,"JNN2")-SUMIFS('F&amp;C Report'!$U$8:$U$100,'F&amp;C Report'!$N$8:$N$100,"VIP to MH",'F&amp;C Report'!$O$8:$O$100,"CHIP",'F&amp;C Report'!$P$8:$P$100,"JNN2")+'OPENING NEW DAY'!D48</f>
        <v>0</v>
      </c>
      <c r="O24" s="236">
        <f>M24+N24</f>
        <v>0</v>
      </c>
      <c r="P24" s="48">
        <f t="shared" ref="P24:P32" si="6">L24*O24</f>
        <v>0</v>
      </c>
    </row>
    <row r="25" spans="2:22" ht="24" customHeight="1">
      <c r="B25" s="796" t="s">
        <v>158</v>
      </c>
      <c r="C25" s="797"/>
      <c r="D25" s="379">
        <f>'F&amp;C Report'!AQ28</f>
        <v>0</v>
      </c>
      <c r="F25" s="707">
        <v>10000</v>
      </c>
      <c r="G25" s="708">
        <v>0</v>
      </c>
      <c r="H25" s="708">
        <f>SUMIFS('F&amp;C Report'!$V$8:$V$100,'F&amp;C Report'!$N$8:$N$100,"CREDIT",'F&amp;C Report'!$O$8:$O$100,"CHIP",'F&amp;C Report'!$P$8:$P$100,"NN02")-SUMIFS('F&amp;C Report'!$V$8:$V$100,'F&amp;C Report'!$N$8:$N$100,"FILL",'F&amp;C Report'!$O$8:$O$100,"CHIP",'F&amp;C Report'!$P$8:$P$100,"NN02")+'OPENING NEW DAY'!D41</f>
        <v>0</v>
      </c>
      <c r="I25" s="709">
        <f t="shared" ref="I25:I30" si="7">SUM(G25:H25)</f>
        <v>0</v>
      </c>
      <c r="J25" s="710">
        <f t="shared" ref="J25:J26" si="8">F25*G25</f>
        <v>0</v>
      </c>
      <c r="K25" s="27"/>
      <c r="L25" s="235">
        <v>50000</v>
      </c>
      <c r="M25" s="614">
        <f>-SUMIFS('F&amp;C Report'!$V$8:$V$100,'F&amp;C Report'!$N$8:$N$100,"VIP to RB",'F&amp;C Report'!$O$8:$O$100,"CHIP",'F&amp;C Report'!$P$8:$P$100,"JNN2")+SUMIFS('F&amp;C Report'!$V$8:$V$100,'F&amp;C Report'!$N$8:$N$100,"RB to VIP",'F&amp;C Report'!$O$8:$O$100,"CHIP",'F&amp;C Report'!$P$8:$P$100,"JNN2")+'OPENING NEW DAY'!E49</f>
        <v>0</v>
      </c>
      <c r="N25" s="488">
        <f>SUMIFS('F&amp;C Report'!$V$8:$V$100,'F&amp;C Report'!$N$8:$N$100,"CREDIT",'F&amp;C Report'!$O$8:$O$100,"CHIP",'F&amp;C Report'!$P$8:$P$100,"JNN2")-SUMIFS('F&amp;C Report'!$V$8:$V$100,'F&amp;C Report'!$N$8:$N$100,"FILL",'F&amp;C Report'!$O$8:$O$100,"CHIP",'F&amp;C Report'!$P$8:$P$100,"JNN2")+SUMIFS('F&amp;C Report'!$V$8:$V$100,'F&amp;C Report'!$N$8:$N$100,"MH to VIP",'F&amp;C Report'!$O$8:$O$100,"CHIP",'F&amp;C Report'!$P$8:$P$100,"JNN2")-SUMIFS('F&amp;C Report'!$V$8:$V$100,'F&amp;C Report'!$N$8:$N$100,"VIP to MH",'F&amp;C Report'!$O$8:$O$100,"CHIP",'F&amp;C Report'!$P$8:$P$100,"JNN2")+'OPENING NEW DAY'!D49</f>
        <v>0</v>
      </c>
      <c r="O25" s="236">
        <f t="shared" ref="O25:O32" si="9">M25+N25</f>
        <v>0</v>
      </c>
      <c r="P25" s="48">
        <f t="shared" si="6"/>
        <v>0</v>
      </c>
    </row>
    <row r="26" spans="2:22" ht="24" customHeight="1">
      <c r="B26" s="796" t="s">
        <v>23</v>
      </c>
      <c r="C26" s="797"/>
      <c r="D26" s="379">
        <f>'F&amp;C Report'!AQ27</f>
        <v>0</v>
      </c>
      <c r="F26" s="707">
        <v>5000</v>
      </c>
      <c r="G26" s="708">
        <v>0</v>
      </c>
      <c r="H26" s="708">
        <f>SUMIFS('F&amp;C Report'!$X$8:$X$100,'F&amp;C Report'!$N$8:$N$100,"CREDIT",'F&amp;C Report'!$O$8:$O$100,"CHIP",'F&amp;C Report'!$P$8:$P$100,"NN02")-SUMIFS('F&amp;C Report'!$X$8:$X$100,'F&amp;C Report'!$N$8:$N$100,"FILL",'F&amp;C Report'!$O$8:$O$100,"CHIP",'F&amp;C Report'!$P$8:$P$100,"NN02")+'OPENING NEW DAY'!D42</f>
        <v>0</v>
      </c>
      <c r="I26" s="709">
        <f t="shared" si="7"/>
        <v>0</v>
      </c>
      <c r="J26" s="710">
        <f t="shared" si="8"/>
        <v>0</v>
      </c>
      <c r="K26" s="27"/>
      <c r="L26" s="235">
        <v>10000</v>
      </c>
      <c r="M26" s="614">
        <f>-SUMIFS('F&amp;C Report'!$X$8:$X$100,'F&amp;C Report'!$N$8:$N$100,"VIP to RB",'F&amp;C Report'!$O$8:$O$100,"CHIP",'F&amp;C Report'!$P$8:$P$100,"JNN2")+SUMIFS('F&amp;C Report'!$X$8:$X$100,'F&amp;C Report'!$N$8:$N$100,"RB to VIP",'F&amp;C Report'!$O$8:$O$100,"CHIP",'F&amp;C Report'!$P$8:$P$100,"JNN2")+'OPENING NEW DAY'!E50</f>
        <v>0</v>
      </c>
      <c r="N26" s="488">
        <f>SUMIFS('F&amp;C Report'!$X$8:$X$100,'F&amp;C Report'!$N$8:$N$100,"CREDIT",'F&amp;C Report'!$O$8:$O$100,"CHIP",'F&amp;C Report'!$P$8:$P$100,"JNN2")-SUMIFS('F&amp;C Report'!$X$8:$X$100,'F&amp;C Report'!$N$8:$N$100,"FILL",'F&amp;C Report'!$O$8:$O$100,"CHIP",'F&amp;C Report'!$P$8:$P$100,"JNN2")+SUMIFS('F&amp;C Report'!$X$8:$X$100,'F&amp;C Report'!$N$8:$N$100,"MH tO VIP",'F&amp;C Report'!$O$8:$O$100,"CHIP",'F&amp;C Report'!$P$8:$P$100,"JNN2")-SUMIFS('F&amp;C Report'!$X$8:$X$100,'F&amp;C Report'!$N$8:$N$100,"VIP to MH",'F&amp;C Report'!$O$8:$O$100,"CHIP",'F&amp;C Report'!$P$8:$P$100,"JNN2")+'OPENING NEW DAY'!D50</f>
        <v>0</v>
      </c>
      <c r="O26" s="236">
        <f t="shared" si="9"/>
        <v>0</v>
      </c>
      <c r="P26" s="48">
        <f t="shared" si="6"/>
        <v>0</v>
      </c>
    </row>
    <row r="27" spans="2:22" ht="24" customHeight="1">
      <c r="B27" s="796" t="s">
        <v>291</v>
      </c>
      <c r="C27" s="797"/>
      <c r="D27" s="379">
        <f>'F&amp;C Report'!AQ31</f>
        <v>0</v>
      </c>
      <c r="F27" s="235">
        <v>1000</v>
      </c>
      <c r="G27" s="614">
        <f>'OPENING NEW DAY'!E43</f>
        <v>2100</v>
      </c>
      <c r="H27" s="613">
        <f>SUMIFS('F&amp;C Report'!$AA$8:$AA$100,'F&amp;C Report'!$N$8:$N$100,"CREDIT",'F&amp;C Report'!$O$8:$O$100,"CHIP",'F&amp;C Report'!$P$8:$P$100,"NNP")-SUMIFS('F&amp;C Report'!$AA$8:$AA$100,'F&amp;C Report'!$N$8:$N$100,"FILL",'F&amp;C Report'!$O$8:$O$100,"CHIP",'F&amp;C Report'!$P$8:$P$100,"NNP")+'OPENING NEW DAY'!D43</f>
        <v>0</v>
      </c>
      <c r="I27" s="610">
        <f t="shared" si="7"/>
        <v>2100</v>
      </c>
      <c r="J27" s="48">
        <f>F27*I27</f>
        <v>2100000</v>
      </c>
      <c r="K27" s="27"/>
      <c r="L27" s="235">
        <v>5000</v>
      </c>
      <c r="M27" s="614">
        <f>-SUMIFS('F&amp;C Report'!$Y$8:$Y$100,'F&amp;C Report'!$N$8:$N$100,"VIP to RB",'F&amp;C Report'!$O$8:$O$100,"CHIP",'F&amp;C Report'!$P$8:$P$100,"JNN2")+SUMIFS('F&amp;C Report'!$Y$8:$Y$100,'F&amp;C Report'!$N$8:$N$100,"RB to VIP",'F&amp;C Report'!$O$8:$O$100,"CHIP",'F&amp;C Report'!$P$8:$P$100,"JNN2")+'OPENING NEW DAY'!E51</f>
        <v>0</v>
      </c>
      <c r="N27" s="488">
        <f>SUMIFS('F&amp;C Report'!$Y$8:$Y$100,'F&amp;C Report'!$N$8:$N$100,"CREDIT",'F&amp;C Report'!$O$8:$O$100,"CHIP",'F&amp;C Report'!$P$8:$P$100,"JNN2")-SUMIFS('F&amp;C Report'!$Y$8:$Y$100,'F&amp;C Report'!$N$8:$N$100,"FILL",'F&amp;C Report'!$O$8:$O$100,"CHIP",'F&amp;C Report'!$P$8:$P$100,"JNN2")+SUMIFS('F&amp;C Report'!$Y$8:$Y$100,'F&amp;C Report'!$N$8:$N$100,"MH to VIP",'F&amp;C Report'!$O$8:$O$100,"CHIP",'F&amp;C Report'!$P$8:$P$100,"JNN2")-SUMIFS('F&amp;C Report'!$Y$8:$Y$100,'F&amp;C Report'!$N$8:$N$100,"VIP to MH",'F&amp;C Report'!$O$8:$O$100,"CHIP",'F&amp;C Report'!$P$8:$P$100,"JNN2")+'OPENING NEW DAY'!D51</f>
        <v>0</v>
      </c>
      <c r="O27" s="236">
        <f t="shared" si="9"/>
        <v>0</v>
      </c>
      <c r="P27" s="48">
        <f t="shared" si="6"/>
        <v>0</v>
      </c>
      <c r="R27" s="810" t="s">
        <v>71</v>
      </c>
      <c r="S27" s="811"/>
      <c r="T27" s="811"/>
      <c r="U27" s="812"/>
      <c r="V27" s="816"/>
    </row>
    <row r="28" spans="2:22" ht="24" customHeight="1">
      <c r="B28" s="847" t="s">
        <v>358</v>
      </c>
      <c r="C28" s="848"/>
      <c r="D28" s="619">
        <f>'F&amp;C Report'!AQ30</f>
        <v>0</v>
      </c>
      <c r="F28" s="235">
        <v>500</v>
      </c>
      <c r="G28" s="614">
        <f>'OPENING NEW DAY'!E44</f>
        <v>1000</v>
      </c>
      <c r="H28" s="613">
        <f>SUMIFS('F&amp;C Report'!$AB$8:$AB$100,'F&amp;C Report'!$N$8:$N$100,"CREDIT",'F&amp;C Report'!$O$8:$O$100,"CHIP",'F&amp;C Report'!$P$8:$P$100,"NNP")-SUMIFS('F&amp;C Report'!$AB$8:$AB$100,'F&amp;C Report'!$N$8:$N$100,"FILL",'F&amp;C Report'!$O$8:$O$100,"CHIP",'F&amp;C Report'!$P$8:$P$100,"NNP")+'OPENING NEW DAY'!D44</f>
        <v>0</v>
      </c>
      <c r="I28" s="610">
        <f t="shared" si="7"/>
        <v>1000</v>
      </c>
      <c r="J28" s="48">
        <f t="shared" ref="J28:J30" si="10">F28*I28</f>
        <v>500000</v>
      </c>
      <c r="K28" s="28"/>
      <c r="L28" s="235">
        <v>1000</v>
      </c>
      <c r="M28" s="614">
        <f>-SUMIFS('F&amp;C Report'!$AA$8:$AA$100,'F&amp;C Report'!$N$8:$N$100,"VIP to RB",'F&amp;C Report'!$O$8:$O$100,"CHIP",'F&amp;C Report'!$P$8:$P$100,"JNN2")+SUMIFS('F&amp;C Report'!$AA$8:$AA$100,'F&amp;C Report'!$N$8:$N$100,"RB to VIP",'F&amp;C Report'!$O$8:$O$100,"CHIP",'F&amp;C Report'!$P$8:$P$100,"JNN2")+'OPENING NEW DAY'!E52</f>
        <v>0</v>
      </c>
      <c r="N28" s="488">
        <f>SUMIFS('F&amp;C Report'!$AA$8:$AA$100,'F&amp;C Report'!$N$8:$N$100,"CREDIT",'F&amp;C Report'!$O$8:$O$100,"CHIP",'F&amp;C Report'!$P$8:$P$100,"JNN2")-SUMIFS('F&amp;C Report'!$AA$8:$AA$100,'F&amp;C Report'!$N$8:$N$100,"FILL",'F&amp;C Report'!$O$8:$O$100,"CHIP",'F&amp;C Report'!$P$8:$P$100,"JNN2")+SUMIFS('F&amp;C Report'!$AA$8:$AA$100,'F&amp;C Report'!$N$8:$N$100,"MH to VIP",'F&amp;C Report'!$O$8:$O$100,"CHIP",'F&amp;C Report'!$P$8:$P$100,"JNN2")-SUMIFS('F&amp;C Report'!$AA$8:$AA$100,'F&amp;C Report'!$N$8:$N$100,"VIP to MH",'F&amp;C Report'!$O$8:$O$100,"CHIP",'F&amp;C Report'!$P$8:$P$100,"JNN2")+'OPENING NEW DAY'!D52</f>
        <v>0</v>
      </c>
      <c r="O28" s="236">
        <f t="shared" si="9"/>
        <v>0</v>
      </c>
      <c r="P28" s="48">
        <f t="shared" si="6"/>
        <v>0</v>
      </c>
      <c r="R28" s="813"/>
      <c r="S28" s="814"/>
      <c r="T28" s="814"/>
      <c r="U28" s="815"/>
      <c r="V28" s="817"/>
    </row>
    <row r="29" spans="2:22" ht="24" customHeight="1">
      <c r="B29" s="807"/>
      <c r="C29" s="808"/>
      <c r="D29" s="47"/>
      <c r="F29" s="235">
        <v>100</v>
      </c>
      <c r="G29" s="614">
        <f>'OPENING NEW DAY'!E45</f>
        <v>2100</v>
      </c>
      <c r="H29" s="613">
        <f>SUMIFS('F&amp;C Report'!$AC$8:$AC$100,'F&amp;C Report'!$N$8:$N$100,"CREDIT",'F&amp;C Report'!$O$8:$O$100,"CHIP",'F&amp;C Report'!$P$8:$P$100,"NNP")-SUMIFS('F&amp;C Report'!$AC$8:$AC$100,'F&amp;C Report'!$N$8:$N$100,"FILL",'F&amp;C Report'!$O$8:$O$100,"CHIP",'F&amp;C Report'!$P$8:$P$100,"NNP")+'OPENING NEW DAY'!D45</f>
        <v>0</v>
      </c>
      <c r="I29" s="610">
        <f t="shared" si="7"/>
        <v>2100</v>
      </c>
      <c r="J29" s="48">
        <f t="shared" si="10"/>
        <v>210000</v>
      </c>
      <c r="K29" s="28"/>
      <c r="L29" s="235">
        <v>500</v>
      </c>
      <c r="M29" s="614">
        <f>-SUMIFS('F&amp;C Report'!$AB$8:$AB$100,'F&amp;C Report'!$N$8:$N$100,"VIP to RB",'F&amp;C Report'!$O$8:$O$100,"CHIP",'F&amp;C Report'!$P$8:$P$100,"JNN2")+SUMIFS('F&amp;C Report'!$AB$8:$AB$100,'F&amp;C Report'!$N$8:$N$100,"RB to VIP",'F&amp;C Report'!$O$8:$O$100,"CHIP",'F&amp;C Report'!$P$8:$P$100,"JNN2")+'OPENING NEW DAY'!E53</f>
        <v>0</v>
      </c>
      <c r="N29" s="488">
        <f>SUMIFS('F&amp;C Report'!$AB$8:$AB$100,'F&amp;C Report'!$N$8:$N$100,"CREDIT",'F&amp;C Report'!$O$8:$O$100,"CHIP",'F&amp;C Report'!$P$8:$P$100,"JNN2")-SUMIFS('F&amp;C Report'!$AB$8:$AB$100,'F&amp;C Report'!$N$8:$N$100,"FILL",'F&amp;C Report'!$O$8:$O$100,"CHIP",'F&amp;C Report'!$P$8:$P$100,"JNN2")+SUMIFS('F&amp;C Report'!$AB$8:$AB$100,'F&amp;C Report'!$N$8:$N$100,"MH to VIP",'F&amp;C Report'!$O$8:$O$100,"CHIP",'F&amp;C Report'!$P$8:$P$100,"JNN2")-SUMIFS('F&amp;C Report'!$AB$8:$AB$100,'F&amp;C Report'!$N$8:$N$100,"VIP to MH",'F&amp;C Report'!$O$8:$O$100,"CHIP",'F&amp;C Report'!$P$8:$P$100,"JNN2")+'OPENING NEW DAY'!D53</f>
        <v>0</v>
      </c>
      <c r="O29" s="236">
        <f t="shared" si="9"/>
        <v>0</v>
      </c>
      <c r="P29" s="48">
        <f t="shared" si="6"/>
        <v>0</v>
      </c>
      <c r="R29" s="22"/>
      <c r="S29" s="22"/>
      <c r="T29" s="22"/>
      <c r="U29" s="22"/>
      <c r="V29" s="22"/>
    </row>
    <row r="30" spans="2:22" ht="24" customHeight="1">
      <c r="B30" s="807"/>
      <c r="C30" s="808"/>
      <c r="D30" s="47"/>
      <c r="F30" s="235">
        <v>10</v>
      </c>
      <c r="G30" s="614">
        <f>'OPENING NEW DAY'!E46</f>
        <v>1000</v>
      </c>
      <c r="H30" s="613">
        <f>SUMIFS('F&amp;C Report'!$AG$8:$AG$100,'F&amp;C Report'!$N$8:$N$100,"CREDIT",'F&amp;C Report'!$O$8:$O$100,"CHIP",'F&amp;C Report'!$P$8:$P$100,"NNP")-SUMIFS('F&amp;C Report'!$AG$8:$AG$100,'F&amp;C Report'!$N$8:$N$100,"FILL",'F&amp;C Report'!$O$8:$O$100,"CHIP",'F&amp;C Report'!$P$8:$P$100,"NNP")+'OPENING NEW DAY'!D46</f>
        <v>0</v>
      </c>
      <c r="I30" s="610">
        <f t="shared" si="7"/>
        <v>1000</v>
      </c>
      <c r="J30" s="48">
        <f t="shared" si="10"/>
        <v>10000</v>
      </c>
      <c r="K30" s="28"/>
      <c r="L30" s="235">
        <v>100</v>
      </c>
      <c r="M30" s="614">
        <f>-SUMIFS('F&amp;C Report'!$AC$8:$AC$100,'F&amp;C Report'!$N$8:$N$100,"VIP to RB",'F&amp;C Report'!$O$8:$O$100,"CHIP",'F&amp;C Report'!$P$8:$P$100,"JNN2")+SUMIFS('F&amp;C Report'!$AC$8:$AC$100,'F&amp;C Report'!$N$8:$N$100,"RB tO VIP",'F&amp;C Report'!$O$8:$O$100,"CHIP",'F&amp;C Report'!$P$8:$P$100,"JNN2")+'OPENING NEW DAY'!E54</f>
        <v>0</v>
      </c>
      <c r="N30" s="488">
        <f>SUMIFS('F&amp;C Report'!$AC$8:$AC$100,'F&amp;C Report'!$N$8:$N$100,"CREDIT",'F&amp;C Report'!$O$8:$O$100,"CHIP",'F&amp;C Report'!$P$8:$P$100,"JNN2")-SUMIFS('F&amp;C Report'!$AC$8:$AC$100,'F&amp;C Report'!$N$8:$N$100,"FILL",'F&amp;C Report'!$O$8:$O$100,"CHIP",'F&amp;C Report'!$P$8:$P$100,"JNN2")+SUMIFS('F&amp;C Report'!$AC$8:$AC$100,'F&amp;C Report'!$N$8:$N$100,"MH to VIP",'F&amp;C Report'!$O$8:$O$100,"CHIP",'F&amp;C Report'!$P$8:$P$100,"JNN2")-SUMIFS('F&amp;C Report'!$AC$8:$AC$100,'F&amp;C Report'!$N$8:$N$100,"VIP to MH",'F&amp;C Report'!$O$8:$O$100,"CHIP",'F&amp;C Report'!$P$8:$P$100,"JNN2")+'OPENING NEW DAY'!D54</f>
        <v>0</v>
      </c>
      <c r="O30" s="236">
        <f t="shared" si="9"/>
        <v>0</v>
      </c>
      <c r="P30" s="48">
        <f t="shared" si="6"/>
        <v>0</v>
      </c>
      <c r="R30" s="810" t="s">
        <v>72</v>
      </c>
      <c r="S30" s="811"/>
      <c r="T30" s="811"/>
      <c r="U30" s="812"/>
      <c r="V30" s="391"/>
    </row>
    <row r="31" spans="2:22" ht="24" customHeight="1">
      <c r="B31" s="807"/>
      <c r="C31" s="808"/>
      <c r="D31" s="50"/>
      <c r="G31" s="30" t="s">
        <v>73</v>
      </c>
      <c r="H31" s="30"/>
      <c r="I31" s="30"/>
      <c r="J31" s="49">
        <f>SUM(J24:J30)</f>
        <v>2820000</v>
      </c>
      <c r="K31" s="28"/>
      <c r="L31" s="484">
        <v>25</v>
      </c>
      <c r="M31" s="614">
        <f>-SUMIFS('F&amp;C Report'!$AE$8:$AE$100,'F&amp;C Report'!$N$8:$N$100,"VIP to RB",'F&amp;C Report'!$O$8:$O$100,"CHIP",'F&amp;C Report'!$P$8:$P$100,"JNN2")+SUMIFS('F&amp;C Report'!$AE$8:$AE$100,'F&amp;C Report'!$N$8:$N$100,"RB to VIP",'F&amp;C Report'!$O$8:$O$100,"CHIP",'F&amp;C Report'!$P$8:$P$100,"JNN2")+'OPENING NEW DAY'!E55</f>
        <v>0</v>
      </c>
      <c r="N31" s="488">
        <f>SUMIFS('F&amp;C Report'!$AE$8:$AE$100,'F&amp;C Report'!$N$8:$N$100,"CREDIT",'F&amp;C Report'!$O$8:$O$100,"CHIP",'F&amp;C Report'!$P$8:$P$100,"JNN2")-SUMIFS('F&amp;C Report'!$AE$8:$AE$100,'F&amp;C Report'!$N$8:$N$100,"FILL",'F&amp;C Report'!$O$8:$O$100,"CHIP",'F&amp;C Report'!$P$8:$P$100,"JNN2")+SUMIFS('F&amp;C Report'!$AE$8:$AE$100,'F&amp;C Report'!$N$8:$N$100,"MH to VIP",'F&amp;C Report'!$O$8:$O$100,"CHIP",'F&amp;C Report'!$P$8:$P$100,"JNN2")-SUMIFS('F&amp;C Report'!$AE$8:$AE$100,'F&amp;C Report'!$N$8:$N$100,"VIP to MH",'F&amp;C Report'!$O$8:$O$100,"CHIP",'F&amp;C Report'!$P$8:$P$100,"JNN2")+'OPENING NEW DAY'!D55</f>
        <v>0</v>
      </c>
      <c r="O31" s="236">
        <f t="shared" si="9"/>
        <v>0</v>
      </c>
      <c r="P31" s="49">
        <f t="shared" si="6"/>
        <v>0</v>
      </c>
      <c r="R31" s="813"/>
      <c r="S31" s="814"/>
      <c r="T31" s="814"/>
      <c r="U31" s="815"/>
      <c r="V31" s="392"/>
    </row>
    <row r="32" spans="2:22" ht="24" customHeight="1">
      <c r="B32" s="807"/>
      <c r="C32" s="808"/>
      <c r="D32" s="50"/>
      <c r="G32" s="30"/>
      <c r="H32" s="30"/>
      <c r="I32" s="30"/>
      <c r="J32" s="366"/>
      <c r="K32" s="28"/>
      <c r="L32" s="484">
        <v>5</v>
      </c>
      <c r="M32" s="614">
        <f>-SUMIFS('F&amp;C Report'!$AH$8:$AH$100,'F&amp;C Report'!$N$8:$N$100,"VIP to RB",'F&amp;C Report'!$O$8:$O$100,"CHIP",'F&amp;C Report'!$P$8:$P$100,"JNN2")+SUMIFS('F&amp;C Report'!$AH$8:$AH$100,'F&amp;C Report'!$N$8:$N$100,"RB tO VIP",'F&amp;C Report'!$O$8:$O$100,"CHIP",'F&amp;C Report'!$P$8:$P$100,"JNN2")+'OPENING NEW DAY'!E56</f>
        <v>0</v>
      </c>
      <c r="N32" s="488">
        <f>SUMIFS('F&amp;C Report'!$AH$8:$AH$100,'F&amp;C Report'!$N$8:$N$100,"CREDIT",'F&amp;C Report'!$O$8:$O$100,"CHIP",'F&amp;C Report'!$P$8:$P$100,"JNN2")-SUMIFS('F&amp;C Report'!$AH$8:$AH$100,'F&amp;C Report'!$N$8:$N$100,"FILL",'F&amp;C Report'!$O$8:$O$100,"CHIP",'F&amp;C Report'!$P$8:$P$100,"JNN2")+SUMIFS('F&amp;C Report'!$AH$8:$AH$100,'F&amp;C Report'!$N$8:$N$100,"MH to VIP",'F&amp;C Report'!$O$8:$O$100,"CHIP",'F&amp;C Report'!$P$8:$P$100,"JNN2")-SUMIFS('F&amp;C Report'!$AH$8:$AH$100,'F&amp;C Report'!$N$8:$N$100,"VIP to MH",'F&amp;C Report'!$O$8:$O$100,"CHIP",'F&amp;C Report'!$P$8:$P$100,"JNN2")+'OPENING NEW DAY'!D56</f>
        <v>0</v>
      </c>
      <c r="O32" s="236">
        <f t="shared" si="9"/>
        <v>0</v>
      </c>
      <c r="P32" s="49">
        <f t="shared" si="6"/>
        <v>0</v>
      </c>
    </row>
    <row r="33" spans="2:16" ht="24" customHeight="1">
      <c r="B33" s="807"/>
      <c r="C33" s="808"/>
      <c r="D33" s="50"/>
      <c r="J33" s="366"/>
      <c r="K33" s="28"/>
      <c r="P33" s="49">
        <f>SUM(P24:P32)</f>
        <v>0</v>
      </c>
    </row>
    <row r="34" spans="2:16" ht="24" customHeight="1">
      <c r="B34" s="56"/>
      <c r="C34" s="52"/>
      <c r="D34" s="50">
        <f>SUM(D24:D33)</f>
        <v>0</v>
      </c>
      <c r="J34" s="369"/>
      <c r="K34" s="28"/>
    </row>
    <row r="35" spans="2:16" ht="21" customHeight="1">
      <c r="B35" s="56"/>
      <c r="C35" s="52"/>
      <c r="D35" s="55"/>
      <c r="E35" s="28"/>
      <c r="F35" s="853" t="s">
        <v>75</v>
      </c>
      <c r="G35" s="854"/>
      <c r="H35" s="855"/>
      <c r="I35" s="849">
        <f>J20+P19+J31+P33+V20</f>
        <v>193015453</v>
      </c>
      <c r="J35" s="850"/>
      <c r="K35" s="28"/>
    </row>
    <row r="36" spans="2:16" ht="21" customHeight="1">
      <c r="B36" s="57"/>
      <c r="C36" s="58"/>
      <c r="D36" s="55"/>
      <c r="E36" s="28"/>
      <c r="F36" s="856"/>
      <c r="G36" s="857"/>
      <c r="H36" s="858"/>
      <c r="I36" s="851"/>
      <c r="J36" s="852"/>
      <c r="K36" s="28"/>
    </row>
    <row r="37" spans="2:16" ht="20.100000000000001" customHeight="1">
      <c r="B37" s="57"/>
      <c r="C37" s="841" t="s">
        <v>8</v>
      </c>
      <c r="D37" s="844">
        <f>D5+D20+D34</f>
        <v>193015453</v>
      </c>
      <c r="E37" s="45"/>
      <c r="F37" s="28"/>
    </row>
    <row r="38" spans="2:16" ht="20.100000000000001" customHeight="1">
      <c r="B38" s="59"/>
      <c r="C38" s="842"/>
      <c r="D38" s="845"/>
      <c r="E38" s="28"/>
      <c r="F38" s="28"/>
    </row>
    <row r="39" spans="2:16" ht="20.100000000000001" customHeight="1">
      <c r="B39" s="54"/>
      <c r="C39" s="843"/>
      <c r="D39" s="846"/>
      <c r="E39" s="62"/>
      <c r="F39" s="333"/>
    </row>
    <row r="40" spans="2:16" ht="20.100000000000001" customHeight="1">
      <c r="B40" s="54"/>
      <c r="E40" s="62"/>
    </row>
    <row r="41" spans="2:16" ht="23.25" customHeight="1">
      <c r="C41" s="519" t="str">
        <f>IF(D41=0," BALANCE ","VARIANCE - PLEASE CHECK")</f>
        <v xml:space="preserve"> BALANCE </v>
      </c>
      <c r="D41" s="518">
        <f>D37-I35</f>
        <v>0</v>
      </c>
      <c r="E41" s="62"/>
    </row>
    <row r="42" spans="2:16" ht="39.950000000000003" customHeight="1">
      <c r="C42" s="60"/>
    </row>
    <row r="43" spans="2:16" ht="20.100000000000001" customHeight="1">
      <c r="D43" s="61" t="s">
        <v>141</v>
      </c>
      <c r="L43" s="41"/>
      <c r="M43" s="41"/>
      <c r="N43" s="41"/>
      <c r="O43" s="41"/>
    </row>
    <row r="44" spans="2:16" ht="20.100000000000001" customHeight="1">
      <c r="C44" s="58"/>
    </row>
    <row r="45" spans="2:16" ht="20.100000000000001" customHeight="1">
      <c r="B45" s="56"/>
      <c r="C45" s="60"/>
      <c r="D45" s="61"/>
    </row>
    <row r="46" spans="2:16" ht="20.100000000000001" customHeight="1">
      <c r="B46" s="56"/>
      <c r="C46" s="60"/>
      <c r="D46" s="61"/>
    </row>
    <row r="47" spans="2:16" ht="20.100000000000001" customHeight="1">
      <c r="B47" s="56"/>
      <c r="C47" s="60"/>
      <c r="D47" s="61"/>
    </row>
    <row r="48" spans="2:16" ht="20.100000000000001" customHeight="1">
      <c r="B48" s="65"/>
      <c r="C48" s="60"/>
      <c r="D48" s="61"/>
      <c r="H48" s="1" t="s">
        <v>364</v>
      </c>
    </row>
    <row r="49" spans="3:11" ht="20.100000000000001" customHeight="1">
      <c r="C49" s="60"/>
      <c r="D49" s="61"/>
    </row>
    <row r="50" spans="3:11" ht="20.100000000000001" customHeight="1">
      <c r="C50" s="63"/>
      <c r="D50" s="61"/>
    </row>
    <row r="51" spans="3:11" ht="20.100000000000001" customHeight="1">
      <c r="C51" s="67"/>
      <c r="D51" s="66"/>
      <c r="J51" s="809"/>
      <c r="K51" s="809"/>
    </row>
    <row r="52" spans="3:11" ht="20.100000000000001" customHeight="1">
      <c r="C52" s="69"/>
      <c r="D52" s="68"/>
    </row>
    <row r="53" spans="3:11" ht="20.100000000000001" customHeight="1">
      <c r="C53" s="71"/>
      <c r="D53" s="70"/>
    </row>
    <row r="54" spans="3:11" ht="20.100000000000001" customHeight="1">
      <c r="C54" s="73"/>
      <c r="D54" s="72"/>
    </row>
    <row r="55" spans="3:11" ht="20.100000000000001" customHeight="1">
      <c r="C55" s="45"/>
      <c r="D55" s="74"/>
    </row>
    <row r="56" spans="3:11" ht="20.100000000000001" customHeight="1">
      <c r="C56" s="840"/>
      <c r="D56" s="75"/>
    </row>
    <row r="57" spans="3:11" ht="20.100000000000001" customHeight="1">
      <c r="C57" s="840"/>
      <c r="D57" s="75"/>
    </row>
    <row r="58" spans="3:11" ht="20.100000000000001" customHeight="1">
      <c r="C58" s="54"/>
      <c r="D58" s="75"/>
    </row>
    <row r="59" spans="3:11" ht="20.100000000000001" customHeight="1">
      <c r="C59" s="54"/>
      <c r="D59" s="74"/>
    </row>
    <row r="60" spans="3:11" ht="20.100000000000001" customHeight="1">
      <c r="C60" s="54"/>
      <c r="D60" s="74"/>
    </row>
    <row r="61" spans="3:11" ht="20.100000000000001" customHeight="1">
      <c r="C61" s="54"/>
      <c r="D61" s="74"/>
    </row>
    <row r="62" spans="3:11" ht="20.100000000000001" customHeight="1">
      <c r="C62" s="54"/>
      <c r="D62" s="74"/>
    </row>
    <row r="63" spans="3:11" ht="20.100000000000001" customHeight="1">
      <c r="C63" s="54"/>
      <c r="D63" s="76"/>
    </row>
    <row r="64" spans="3:11" ht="20.100000000000001" customHeight="1">
      <c r="C64" s="54"/>
      <c r="D64" s="74"/>
    </row>
    <row r="65" spans="3:4" ht="20.100000000000001" customHeight="1">
      <c r="C65" s="54"/>
      <c r="D65" s="74"/>
    </row>
    <row r="66" spans="3:4" ht="20.100000000000001" customHeight="1">
      <c r="C66" s="54"/>
      <c r="D66" s="74"/>
    </row>
    <row r="67" spans="3:4" ht="20.100000000000001" customHeight="1">
      <c r="C67" s="54"/>
      <c r="D67" s="74"/>
    </row>
    <row r="68" spans="3:4" ht="20.100000000000001" customHeight="1">
      <c r="C68" s="54"/>
      <c r="D68" s="74"/>
    </row>
    <row r="69" spans="3:4" ht="20.100000000000001" customHeight="1">
      <c r="C69" s="54"/>
      <c r="D69" s="74"/>
    </row>
    <row r="70" spans="3:4" ht="20.100000000000001" customHeight="1">
      <c r="C70" s="54"/>
      <c r="D70" s="74"/>
    </row>
    <row r="71" spans="3:4" ht="20.100000000000001" customHeight="1">
      <c r="C71" s="54"/>
      <c r="D71" s="74"/>
    </row>
    <row r="72" spans="3:4" ht="20.100000000000001" customHeight="1">
      <c r="C72" s="54"/>
      <c r="D72" s="77"/>
    </row>
    <row r="73" spans="3:4" ht="20.100000000000001" customHeight="1">
      <c r="C73" s="54"/>
      <c r="D73" s="77"/>
    </row>
    <row r="74" spans="3:4" ht="20.100000000000001" customHeight="1">
      <c r="C74" s="54"/>
      <c r="D74" s="77"/>
    </row>
    <row r="75" spans="3:4" ht="20.100000000000001" customHeight="1">
      <c r="C75" s="54"/>
      <c r="D75" s="77"/>
    </row>
    <row r="76" spans="3:4" ht="20.100000000000001" customHeight="1">
      <c r="C76" s="54"/>
      <c r="D76" s="77"/>
    </row>
    <row r="77" spans="3:4" ht="20.100000000000001" customHeight="1">
      <c r="C77" s="54"/>
      <c r="D77" s="77"/>
    </row>
    <row r="78" spans="3:4" ht="20.100000000000001" customHeight="1">
      <c r="C78" s="54"/>
      <c r="D78" s="77"/>
    </row>
    <row r="79" spans="3:4" ht="20.100000000000001" customHeight="1">
      <c r="C79" s="54"/>
      <c r="D79" s="77"/>
    </row>
    <row r="80" spans="3:4" ht="20.100000000000001" customHeight="1">
      <c r="C80" s="54"/>
      <c r="D80" s="77"/>
    </row>
    <row r="81" spans="3:4" ht="20.100000000000001" customHeight="1">
      <c r="C81" s="54"/>
      <c r="D81" s="77"/>
    </row>
    <row r="82" spans="3:4" ht="20.100000000000001" customHeight="1">
      <c r="C82" s="54"/>
      <c r="D82" s="77"/>
    </row>
    <row r="83" spans="3:4" ht="20.100000000000001" customHeight="1">
      <c r="C83" s="54"/>
      <c r="D83" s="77"/>
    </row>
    <row r="84" spans="3:4" ht="20.100000000000001" customHeight="1">
      <c r="C84" s="54"/>
      <c r="D84" s="77"/>
    </row>
    <row r="85" spans="3:4" ht="20.100000000000001" customHeight="1">
      <c r="D85" s="77"/>
    </row>
  </sheetData>
  <sheetProtection algorithmName="SHA-512" hashValue="qUT8ObD+ISlrxUE6DS+gWQPEp2oaec5oAVL9Goks6LVOvis0RUXHppj/sZ9ddJ6z9S2PirzH8Uyf/bPNlj3dyw==" saltValue="uBPE1zOckCCYfbcPh9A8LQ==" spinCount="100000" sheet="1" selectLockedCells="1"/>
  <protectedRanges>
    <protectedRange sqref="O9:O18" name="Range1_2_1_1_3_1_1_1_1_1_1_2_3"/>
    <protectedRange sqref="G9:I19 M24:N32 G24:H30 M9:N18 S9:T19" name="Range1_2_1_1_3_1_1_1_1_1_1_2_2_1_1"/>
  </protectedRanges>
  <mergeCells count="42">
    <mergeCell ref="F22:J22"/>
    <mergeCell ref="D37:D39"/>
    <mergeCell ref="B26:C26"/>
    <mergeCell ref="B25:C25"/>
    <mergeCell ref="B24:C24"/>
    <mergeCell ref="B27:C27"/>
    <mergeCell ref="B28:C28"/>
    <mergeCell ref="I35:J36"/>
    <mergeCell ref="F35:H36"/>
    <mergeCell ref="C56:C57"/>
    <mergeCell ref="B32:C32"/>
    <mergeCell ref="B29:C29"/>
    <mergeCell ref="B31:C31"/>
    <mergeCell ref="C37:C39"/>
    <mergeCell ref="B33:C33"/>
    <mergeCell ref="B30:C30"/>
    <mergeCell ref="B2:V2"/>
    <mergeCell ref="B3:V3"/>
    <mergeCell ref="F5:V5"/>
    <mergeCell ref="B9:C9"/>
    <mergeCell ref="B8:C8"/>
    <mergeCell ref="B5:C5"/>
    <mergeCell ref="F7:J7"/>
    <mergeCell ref="L7:P7"/>
    <mergeCell ref="B7:D7"/>
    <mergeCell ref="R7:V7"/>
    <mergeCell ref="J51:K51"/>
    <mergeCell ref="R27:U28"/>
    <mergeCell ref="V27:V28"/>
    <mergeCell ref="R30:U31"/>
    <mergeCell ref="B10:C10"/>
    <mergeCell ref="B23:D23"/>
    <mergeCell ref="L22:P22"/>
    <mergeCell ref="B13:C13"/>
    <mergeCell ref="B18:C18"/>
    <mergeCell ref="B19:C19"/>
    <mergeCell ref="B17:C17"/>
    <mergeCell ref="B14:C14"/>
    <mergeCell ref="B15:C15"/>
    <mergeCell ref="B16:C16"/>
    <mergeCell ref="B11:C11"/>
    <mergeCell ref="B12:C12"/>
  </mergeCells>
  <phoneticPr fontId="53" type="noConversion"/>
  <printOptions horizontalCentered="1" verticalCentered="1"/>
  <pageMargins left="0" right="0" top="0" bottom="0" header="0" footer="0"/>
  <pageSetup scale="52" orientation="landscape" horizontalDpi="360" verticalDpi="360" r:id="rId1"/>
  <ignoredErrors>
    <ignoredError sqref="U9:U19 O9:O18 O24:O32" unlockedFormula="1"/>
    <ignoredError sqref="I9:I19 I24:I30" formulaRange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F0"/>
  </sheetPr>
  <dimension ref="A1:CB114"/>
  <sheetViews>
    <sheetView zoomScale="85" zoomScaleNormal="85" zoomScaleSheetLayoutView="70" zoomScalePageLayoutView="70" workbookViewId="0">
      <pane xSplit="9" ySplit="7" topLeftCell="J8" activePane="bottomRight" state="frozen"/>
      <selection activeCell="L53" sqref="L53"/>
      <selection pane="topRight" activeCell="L53" sqref="L53"/>
      <selection pane="bottomLeft" activeCell="L53" sqref="L53"/>
      <selection pane="bottomRight" activeCell="AA20" sqref="AA20"/>
    </sheetView>
  </sheetViews>
  <sheetFormatPr defaultColWidth="5" defaultRowHeight="15" customHeight="1"/>
  <cols>
    <col min="1" max="1" width="2.5703125" style="291" customWidth="1"/>
    <col min="2" max="2" width="8.42578125" style="33" hidden="1" customWidth="1"/>
    <col min="3" max="3" width="4.42578125" style="33" hidden="1" customWidth="1"/>
    <col min="4" max="4" width="11" style="190" hidden="1" customWidth="1"/>
    <col min="5" max="6" width="12.5703125" style="190" hidden="1" customWidth="1"/>
    <col min="7" max="7" width="8.5703125" style="190" hidden="1" customWidth="1"/>
    <col min="8" max="8" width="4" style="187" customWidth="1"/>
    <col min="9" max="9" width="8.28515625" style="113" customWidth="1"/>
    <col min="10" max="10" width="6.5703125" style="33" customWidth="1"/>
    <col min="11" max="12" width="9.5703125" style="33" customWidth="1"/>
    <col min="13" max="13" width="9.5703125" style="403" customWidth="1"/>
    <col min="14" max="14" width="10.28515625" style="33" bestFit="1" customWidth="1"/>
    <col min="15" max="16" width="9.5703125" style="33" customWidth="1"/>
    <col min="17" max="17" width="15.140625" style="191" hidden="1" customWidth="1"/>
    <col min="18" max="18" width="16.85546875" style="191" customWidth="1"/>
    <col min="19" max="36" width="9.28515625" style="191" customWidth="1"/>
    <col min="37" max="37" width="19.85546875" style="33" hidden="1" customWidth="1"/>
    <col min="38" max="38" width="21.140625" style="33" bestFit="1" customWidth="1"/>
    <col min="39" max="39" width="1.28515625" style="33" customWidth="1"/>
    <col min="40" max="40" width="1.28515625" style="192" customWidth="1"/>
    <col min="41" max="41" width="16.85546875" style="33" customWidth="1"/>
    <col min="42" max="44" width="27.7109375" style="33" customWidth="1"/>
    <col min="45" max="45" width="24" style="33" customWidth="1"/>
    <col min="46" max="16384" width="5" style="33"/>
  </cols>
  <sheetData>
    <row r="1" spans="1:80" ht="15" customHeight="1" thickBot="1"/>
    <row r="2" spans="1:80" ht="30" customHeight="1">
      <c r="D2" s="193"/>
      <c r="E2" s="193"/>
      <c r="F2" s="193"/>
      <c r="G2" s="193"/>
      <c r="H2" s="868" t="s">
        <v>312</v>
      </c>
      <c r="I2" s="869"/>
      <c r="J2" s="869"/>
      <c r="K2" s="869"/>
      <c r="L2" s="869"/>
      <c r="M2" s="869"/>
      <c r="N2" s="869"/>
      <c r="O2" s="869"/>
      <c r="P2" s="869"/>
      <c r="Q2" s="869"/>
      <c r="R2" s="869"/>
      <c r="S2" s="869"/>
      <c r="T2" s="869"/>
      <c r="U2" s="869"/>
      <c r="V2" s="869"/>
      <c r="W2" s="869"/>
      <c r="X2" s="869"/>
      <c r="Y2" s="869"/>
      <c r="Z2" s="869"/>
      <c r="AA2" s="869"/>
      <c r="AB2" s="869"/>
      <c r="AC2" s="869"/>
      <c r="AD2" s="869"/>
      <c r="AE2" s="869"/>
      <c r="AF2" s="869"/>
      <c r="AG2" s="869"/>
      <c r="AH2" s="869"/>
      <c r="AI2" s="869"/>
      <c r="AJ2" s="869"/>
      <c r="AK2" s="869"/>
      <c r="AL2" s="870"/>
      <c r="AM2" s="604"/>
      <c r="AO2" s="868" t="s">
        <v>160</v>
      </c>
      <c r="AP2" s="869"/>
      <c r="AQ2" s="869"/>
      <c r="AR2" s="869"/>
      <c r="AS2" s="870"/>
    </row>
    <row r="3" spans="1:80" ht="30" customHeight="1" thickBot="1">
      <c r="B3" s="355">
        <v>44332</v>
      </c>
      <c r="C3" s="355"/>
      <c r="D3" s="356"/>
      <c r="E3" s="356"/>
      <c r="F3" s="356"/>
      <c r="G3" s="356"/>
      <c r="H3" s="887">
        <f>'VIP-DB'!B3</f>
        <v>44427</v>
      </c>
      <c r="I3" s="888"/>
      <c r="J3" s="888"/>
      <c r="K3" s="888"/>
      <c r="L3" s="888"/>
      <c r="M3" s="888"/>
      <c r="N3" s="888"/>
      <c r="O3" s="888"/>
      <c r="P3" s="888"/>
      <c r="Q3" s="888"/>
      <c r="R3" s="888"/>
      <c r="S3" s="888"/>
      <c r="T3" s="888"/>
      <c r="U3" s="888"/>
      <c r="V3" s="888"/>
      <c r="W3" s="888"/>
      <c r="X3" s="888"/>
      <c r="Y3" s="888"/>
      <c r="Z3" s="888"/>
      <c r="AA3" s="888"/>
      <c r="AB3" s="888"/>
      <c r="AC3" s="888"/>
      <c r="AD3" s="888"/>
      <c r="AE3" s="888"/>
      <c r="AF3" s="888"/>
      <c r="AG3" s="888"/>
      <c r="AH3" s="888"/>
      <c r="AI3" s="888"/>
      <c r="AJ3" s="888"/>
      <c r="AK3" s="888"/>
      <c r="AL3" s="889"/>
      <c r="AM3" s="659"/>
      <c r="AO3" s="871">
        <f>'VIP-DB'!B3</f>
        <v>44427</v>
      </c>
      <c r="AP3" s="872"/>
      <c r="AQ3" s="872"/>
      <c r="AR3" s="872"/>
      <c r="AS3" s="873"/>
    </row>
    <row r="4" spans="1:80" ht="15" customHeight="1">
      <c r="J4" s="194"/>
      <c r="K4" s="194"/>
      <c r="L4" s="194"/>
      <c r="M4" s="194"/>
      <c r="N4" s="194"/>
      <c r="O4" s="194"/>
      <c r="P4" s="194"/>
      <c r="Q4" s="195"/>
      <c r="R4" s="195"/>
      <c r="S4" s="195"/>
      <c r="T4" s="195"/>
      <c r="U4" s="195"/>
      <c r="V4" s="195"/>
      <c r="W4" s="195"/>
      <c r="X4" s="195"/>
      <c r="Y4" s="195"/>
      <c r="Z4" s="195"/>
      <c r="AA4" s="195"/>
      <c r="AB4" s="195"/>
      <c r="AC4" s="195"/>
      <c r="AD4" s="195"/>
      <c r="AE4" s="195"/>
      <c r="AF4" s="195"/>
      <c r="AG4" s="195"/>
      <c r="AH4" s="195"/>
      <c r="AI4" s="195"/>
      <c r="AJ4" s="187"/>
      <c r="AK4" s="196"/>
      <c r="AL4" s="196"/>
      <c r="AM4" s="196"/>
      <c r="AN4" s="190"/>
      <c r="AP4" s="197"/>
      <c r="AQ4" s="197"/>
      <c r="AR4" s="197"/>
    </row>
    <row r="5" spans="1:80" ht="21" hidden="1" customHeight="1">
      <c r="J5" s="194"/>
      <c r="K5" s="194"/>
      <c r="L5" s="194"/>
      <c r="M5" s="194"/>
      <c r="N5" s="194"/>
      <c r="O5" s="194"/>
      <c r="P5" s="194"/>
      <c r="Q5" s="195"/>
      <c r="R5" s="195"/>
      <c r="S5" s="195"/>
      <c r="T5" s="195"/>
      <c r="U5" s="195"/>
      <c r="V5" s="195"/>
      <c r="W5" s="195"/>
      <c r="X5" s="195"/>
      <c r="Y5" s="195"/>
      <c r="Z5" s="195"/>
      <c r="AA5" s="195"/>
      <c r="AB5" s="195"/>
      <c r="AC5" s="195"/>
      <c r="AD5" s="195"/>
      <c r="AE5" s="195"/>
      <c r="AF5" s="195"/>
      <c r="AG5" s="195"/>
      <c r="AH5" s="195"/>
      <c r="AI5" s="195"/>
      <c r="AJ5" s="187"/>
      <c r="AK5" s="196"/>
      <c r="AL5" s="196"/>
      <c r="AM5" s="196"/>
      <c r="AN5" s="190"/>
      <c r="AP5" s="197"/>
      <c r="AQ5" s="197"/>
      <c r="AR5" s="197"/>
    </row>
    <row r="6" spans="1:80" ht="20.25" customHeight="1" thickBot="1">
      <c r="B6" s="339"/>
      <c r="C6" s="339"/>
      <c r="H6" s="340"/>
      <c r="I6" s="192"/>
      <c r="J6" s="198"/>
      <c r="K6" s="198"/>
      <c r="L6" s="198"/>
      <c r="M6" s="198"/>
      <c r="N6" s="198"/>
      <c r="O6" s="198"/>
      <c r="P6" s="198"/>
      <c r="Q6" s="199"/>
      <c r="R6" s="199"/>
      <c r="S6" s="341">
        <v>1000000</v>
      </c>
      <c r="T6" s="341">
        <v>500000</v>
      </c>
      <c r="U6" s="341">
        <v>100000</v>
      </c>
      <c r="V6" s="341">
        <v>50000</v>
      </c>
      <c r="W6" s="341" t="s">
        <v>338</v>
      </c>
      <c r="X6" s="341">
        <v>10000</v>
      </c>
      <c r="Y6" s="341">
        <v>5000</v>
      </c>
      <c r="Z6" s="341" t="s">
        <v>339</v>
      </c>
      <c r="AA6" s="341">
        <v>1000</v>
      </c>
      <c r="AB6" s="341">
        <v>500</v>
      </c>
      <c r="AC6" s="341">
        <v>100</v>
      </c>
      <c r="AD6" s="608">
        <v>50</v>
      </c>
      <c r="AE6" s="341">
        <v>25</v>
      </c>
      <c r="AF6" s="341" t="s">
        <v>114</v>
      </c>
      <c r="AG6" s="341">
        <v>10</v>
      </c>
      <c r="AH6" s="341">
        <v>5</v>
      </c>
      <c r="AI6" s="341">
        <v>1</v>
      </c>
      <c r="AJ6" s="342">
        <v>0.5</v>
      </c>
      <c r="AK6" s="339"/>
      <c r="AL6" s="339"/>
      <c r="AM6" s="339"/>
      <c r="AP6" s="188"/>
      <c r="AQ6" s="188"/>
      <c r="AR6" s="188"/>
    </row>
    <row r="7" spans="1:80" s="200" customFormat="1" ht="30" customHeight="1" thickBot="1">
      <c r="A7" s="302"/>
      <c r="B7" s="200" t="s">
        <v>266</v>
      </c>
      <c r="D7" s="201" t="s">
        <v>41</v>
      </c>
      <c r="E7" s="202" t="s">
        <v>18</v>
      </c>
      <c r="F7" s="201" t="s">
        <v>14</v>
      </c>
      <c r="G7" s="201" t="s">
        <v>42</v>
      </c>
      <c r="H7" s="203" t="s">
        <v>10</v>
      </c>
      <c r="I7" s="204" t="s">
        <v>100</v>
      </c>
      <c r="J7" s="205" t="s">
        <v>14</v>
      </c>
      <c r="K7" s="205" t="s">
        <v>42</v>
      </c>
      <c r="L7" s="205" t="s">
        <v>41</v>
      </c>
      <c r="M7" s="405" t="s">
        <v>33</v>
      </c>
      <c r="N7" s="205" t="s">
        <v>101</v>
      </c>
      <c r="O7" s="205" t="s">
        <v>43</v>
      </c>
      <c r="P7" s="205" t="s">
        <v>18</v>
      </c>
      <c r="Q7" s="229" t="s">
        <v>65</v>
      </c>
      <c r="R7" s="230" t="s">
        <v>363</v>
      </c>
      <c r="S7" s="231" t="s">
        <v>34</v>
      </c>
      <c r="T7" s="231" t="s">
        <v>35</v>
      </c>
      <c r="U7" s="231" t="s">
        <v>36</v>
      </c>
      <c r="V7" s="231" t="s">
        <v>37</v>
      </c>
      <c r="W7" s="231" t="s">
        <v>340</v>
      </c>
      <c r="X7" s="231" t="s">
        <v>38</v>
      </c>
      <c r="Y7" s="231" t="s">
        <v>39</v>
      </c>
      <c r="Z7" s="231" t="s">
        <v>341</v>
      </c>
      <c r="AA7" s="231" t="s">
        <v>40</v>
      </c>
      <c r="AB7" s="203">
        <v>500</v>
      </c>
      <c r="AC7" s="203">
        <v>100</v>
      </c>
      <c r="AD7" s="609">
        <v>50</v>
      </c>
      <c r="AE7" s="203">
        <v>25</v>
      </c>
      <c r="AF7" s="203" t="s">
        <v>114</v>
      </c>
      <c r="AG7" s="203">
        <v>10</v>
      </c>
      <c r="AH7" s="203">
        <v>5</v>
      </c>
      <c r="AI7" s="203">
        <v>1</v>
      </c>
      <c r="AJ7" s="203">
        <v>0.5</v>
      </c>
      <c r="AK7" s="206" t="s">
        <v>3</v>
      </c>
      <c r="AL7" s="206" t="s">
        <v>3</v>
      </c>
      <c r="AM7" s="605"/>
      <c r="AN7" s="302"/>
      <c r="AO7" s="874" t="s">
        <v>78</v>
      </c>
      <c r="AP7" s="875"/>
      <c r="AQ7" s="875"/>
      <c r="AR7" s="875"/>
      <c r="AS7" s="876"/>
      <c r="AT7" s="303"/>
      <c r="AU7" s="302"/>
      <c r="AV7" s="302"/>
      <c r="AW7" s="302"/>
      <c r="AX7" s="302"/>
      <c r="AY7" s="302"/>
      <c r="AZ7" s="302"/>
      <c r="BA7" s="302"/>
      <c r="BB7" s="302"/>
      <c r="BC7" s="302"/>
      <c r="BD7" s="302"/>
      <c r="BE7" s="302"/>
      <c r="BF7" s="302"/>
      <c r="BG7" s="302"/>
      <c r="BH7" s="302"/>
      <c r="BI7" s="302"/>
      <c r="BJ7" s="302"/>
      <c r="BK7" s="302"/>
      <c r="BL7" s="302"/>
      <c r="BM7" s="302"/>
      <c r="BN7" s="302"/>
      <c r="BO7" s="302"/>
      <c r="BP7" s="302"/>
      <c r="BQ7" s="302"/>
      <c r="BR7" s="302"/>
      <c r="BS7" s="302"/>
      <c r="BT7" s="302"/>
      <c r="BU7" s="302"/>
      <c r="BV7" s="302"/>
      <c r="BW7" s="302"/>
      <c r="BX7" s="302"/>
      <c r="BY7" s="302"/>
      <c r="BZ7" s="302"/>
      <c r="CA7" s="302"/>
      <c r="CB7" s="302"/>
    </row>
    <row r="8" spans="1:80" s="287" customFormat="1" ht="24.95" customHeight="1">
      <c r="A8" s="291"/>
      <c r="B8" s="343" t="s">
        <v>99</v>
      </c>
      <c r="C8" s="286" t="s">
        <v>52</v>
      </c>
      <c r="D8" s="288" t="s">
        <v>196</v>
      </c>
      <c r="E8" s="289" t="s">
        <v>64</v>
      </c>
      <c r="F8" s="286" t="s">
        <v>15</v>
      </c>
      <c r="G8" s="289" t="s">
        <v>52</v>
      </c>
      <c r="H8" s="314" t="s">
        <v>232</v>
      </c>
      <c r="I8" s="344" t="s">
        <v>390</v>
      </c>
      <c r="J8" s="344" t="s">
        <v>15</v>
      </c>
      <c r="K8" s="344" t="s">
        <v>52</v>
      </c>
      <c r="L8" s="345" t="s">
        <v>294</v>
      </c>
      <c r="M8" s="314" t="s">
        <v>391</v>
      </c>
      <c r="N8" s="344" t="s">
        <v>20</v>
      </c>
      <c r="O8" s="344" t="s">
        <v>13</v>
      </c>
      <c r="P8" s="344" t="s">
        <v>343</v>
      </c>
      <c r="Q8" s="346"/>
      <c r="R8" s="232"/>
      <c r="S8" s="611"/>
      <c r="T8" s="611"/>
      <c r="U8" s="611"/>
      <c r="V8" s="611"/>
      <c r="W8" s="611"/>
      <c r="X8" s="611"/>
      <c r="Y8" s="611"/>
      <c r="Z8" s="611"/>
      <c r="AA8" s="611"/>
      <c r="AB8" s="611"/>
      <c r="AC8" s="611"/>
      <c r="AD8" s="611">
        <v>100</v>
      </c>
      <c r="AE8" s="611"/>
      <c r="AF8" s="611">
        <v>398</v>
      </c>
      <c r="AG8" s="611">
        <v>404</v>
      </c>
      <c r="AH8" s="611"/>
      <c r="AI8" s="611"/>
      <c r="AJ8" s="611"/>
      <c r="AK8" s="374">
        <f>IF(N8="FILL",(Q8+$S$6*S8+$T$6*T8+$U$6*U8+$V$6*V8+$W$6*W8+$X$6*X8+$Y$6*Y8+$Z$6*Z8+$AA$6*AA8+$AB$6*AB8+$AC$6*AC8+$AD$6*AD8+$AE$6*AE8+$AF$6*AF8+$AH$6*AH8+$AI$6*AI8+$AJ$6*AJ8+$AG$6*AG8) * -1,(Q8+$S$6*S8+$T$6*T8+$U$6*U8+$V$6*V8+$W$6*W8+$X$6*X8+$Y$6*Y8+$Z$6*Z8+$AA$6*AA8+$AB$6*AB8+$AC$6*AC8+$AD$6*AD8+$AE$6*AE8+$AF$6*AF8+$AH$6*AH8+$AI$6*AI8+$AJ$6*AJ8+$AG$6*AG8))-IF(N8="VIP to RB",(Q8+$S$6*S8+$T$6*T8+$U$6*U8+$V$6*V8+$W$6*W8+$X$6*X8+$Y$6*Y8+$Z$6*Z8+$AA$6*AA8+$AB$6*AB8+$AC$6*AC8+$AD$6*AD8+$AE$6*AE8+$AF$6*AF8+$AH$6*AH8+$AI$6*AI8+$AJ$6*AJ8+$AG$6*AG8)+(Q8+$S$6*S8+$T$6*T8+$U$6*U8+$V$6*V8+$W$6*W8+$X$6*X8+$Y$6*Y8+$Z$6*Z8+$AA$6*AA8+$AB$6*AB8+$AC$6*AC8+$AD$6*AD8+$AE$6*AE8+$AF$6*AF8+$AH$6*AH8+$AI$6*AI8+$AJ$6*AJ8+$AG$6*AG8))</f>
        <v>17000</v>
      </c>
      <c r="AL8" s="374">
        <f>SUM(SUMIFS(AK8,O8,"CHIP",N8,"FILL",P8,{"CC01*","CC02*","VNN*","NNP*","NN02*","VJCC*","VJNN*","JCC2*","JNN2*"}))+SUM(SUMIFS(AK8,O8,"CHIP",N8,"CREDIT",P8,{"CC01*","CC02*","VNN*","NNP*","NN02*","VJCC*","VJNN*","JCC2*","JNN2*"}))+SUM(SUMIFS(AK8,O8,"CASH",N8,"CREDIT",P8,{"KHR*"}))/4000+SUM(SUMIFS(AK8,O8,"CASH",N8,"FILL",P8,{"KHR*"}))/4000+SUM(SUMIFS(AK8,O8,"CASH",N8,"FILL",P8,{"USD$*"}))+SUM(SUMIFS(AK8,O8,"CASH",N8,"CREDIT",P8,{"USD$*"}))+SUM(SUMIFS(AK8,O8,"CHIP",N8,"VIP TO RB",P8,{"CC01*","CC02*","VNN*","NNP*","NN02*","VJCC*","VJNN*","JCC2*","JNN2*"}))+SUM(SUMIFS(AK8,O8,"CHIP",N8,"RB TO VIP",P8,{"CC01*","CC02*","VNN*","NNP*","NN02*","VJCC*","VJNN*","JCC2*","JNN2*"}))</f>
        <v>17000</v>
      </c>
      <c r="AM8" s="660"/>
      <c r="AN8" s="294"/>
      <c r="AO8" s="304" t="s">
        <v>45</v>
      </c>
      <c r="AP8" s="305" t="s">
        <v>47</v>
      </c>
      <c r="AQ8" s="305" t="s">
        <v>49</v>
      </c>
      <c r="AR8" s="306" t="s">
        <v>76</v>
      </c>
      <c r="AS8" s="877">
        <f>AP12+AQ12+AR12</f>
        <v>28000</v>
      </c>
      <c r="AT8" s="291"/>
      <c r="AU8" s="291"/>
      <c r="AV8" s="291"/>
      <c r="AW8" s="291"/>
      <c r="AX8" s="291"/>
      <c r="AY8" s="291"/>
      <c r="AZ8" s="291"/>
      <c r="BA8" s="291"/>
      <c r="BB8" s="291"/>
      <c r="BC8" s="291"/>
      <c r="BD8" s="291"/>
      <c r="BE8" s="291"/>
      <c r="BF8" s="291"/>
      <c r="BG8" s="291"/>
      <c r="BH8" s="291"/>
      <c r="BI8" s="291"/>
      <c r="BJ8" s="291"/>
      <c r="BK8" s="291"/>
      <c r="BL8" s="291"/>
      <c r="BM8" s="291"/>
      <c r="BN8" s="291">
        <v>42</v>
      </c>
      <c r="BO8" s="291"/>
      <c r="BP8" s="291"/>
      <c r="BQ8" s="291"/>
      <c r="BR8" s="291"/>
      <c r="BS8" s="291"/>
      <c r="BT8" s="291"/>
      <c r="BU8" s="291"/>
      <c r="BV8" s="291"/>
      <c r="BW8" s="291"/>
      <c r="BX8" s="291"/>
      <c r="BY8" s="291"/>
      <c r="BZ8" s="291"/>
      <c r="CA8" s="291"/>
      <c r="CB8" s="291"/>
    </row>
    <row r="9" spans="1:80" s="287" customFormat="1" ht="24.95" customHeight="1">
      <c r="A9" s="291"/>
      <c r="B9" s="343" t="s">
        <v>197</v>
      </c>
      <c r="C9" s="286" t="s">
        <v>52</v>
      </c>
      <c r="D9" s="285" t="s">
        <v>156</v>
      </c>
      <c r="E9" s="289" t="s">
        <v>66</v>
      </c>
      <c r="F9" s="286" t="s">
        <v>16</v>
      </c>
      <c r="G9" s="289" t="s">
        <v>54</v>
      </c>
      <c r="H9" s="314" t="s">
        <v>233</v>
      </c>
      <c r="I9" s="344" t="s">
        <v>390</v>
      </c>
      <c r="J9" s="344" t="s">
        <v>15</v>
      </c>
      <c r="K9" s="344" t="s">
        <v>52</v>
      </c>
      <c r="L9" s="345" t="s">
        <v>294</v>
      </c>
      <c r="M9" s="314" t="s">
        <v>392</v>
      </c>
      <c r="N9" s="344" t="s">
        <v>20</v>
      </c>
      <c r="O9" s="344" t="s">
        <v>13</v>
      </c>
      <c r="P9" s="344" t="s">
        <v>306</v>
      </c>
      <c r="Q9" s="346"/>
      <c r="R9" s="232"/>
      <c r="S9" s="611"/>
      <c r="T9" s="611"/>
      <c r="U9" s="611"/>
      <c r="V9" s="611"/>
      <c r="W9" s="611">
        <v>400</v>
      </c>
      <c r="X9" s="611"/>
      <c r="Y9" s="611"/>
      <c r="Z9" s="611"/>
      <c r="AA9" s="611">
        <v>4000</v>
      </c>
      <c r="AB9" s="611"/>
      <c r="AC9" s="611"/>
      <c r="AD9" s="611"/>
      <c r="AE9" s="611"/>
      <c r="AF9" s="611"/>
      <c r="AG9" s="611"/>
      <c r="AH9" s="611"/>
      <c r="AI9" s="611"/>
      <c r="AJ9" s="611"/>
      <c r="AK9" s="374">
        <f t="shared" ref="AK9:AK47" si="0">IF(N9="FILL",(Q9+$S$6*S9+$T$6*T9+$U$6*U9+$V$6*V9+$W$6*W9+$X$6*X9+$Y$6*Y9+$Z$6*Z9+$AA$6*AA9+$AB$6*AB9+$AC$6*AC9+$AD$6*AD9+$AE$6*AE9+$AF$6*AF9+$AH$6*AH9+$AI$6*AI9+$AJ$6*AJ9+$AG$6*AG9) * -1,(Q9+$S$6*S9+$T$6*T9+$U$6*U9+$V$6*V9+$W$6*W9+$X$6*X9+$Y$6*Y9+$Z$6*Z9+$AA$6*AA9+$AB$6*AB9+$AC$6*AC9+$AD$6*AD9+$AE$6*AE9+$AF$6*AF9+$AH$6*AH9+$AI$6*AI9+$AJ$6*AJ9+$AG$6*AG9))-IF(N9="VIP to RB",(Q9+$S$6*S9+$T$6*T9+$U$6*U9+$V$6*V9+$W$6*W9+$X$6*X9+$Y$6*Y9+$Z$6*Z9+$AA$6*AA9+$AB$6*AB9+$AC$6*AC9+$AD$6*AD9+$AE$6*AE9+$AF$6*AF9+$AH$6*AH9+$AI$6*AI9+$AJ$6*AJ9+$AG$6*AG9)+(Q9+$S$6*S9+$T$6*T9+$U$6*U9+$V$6*V9+$W$6*W9+$X$6*X9+$Y$6*Y9+$Z$6*Z9+$AA$6*AA9+$AB$6*AB9+$AC$6*AC9+$AD$6*AD9+$AE$6*AE9+$AF$6*AF9+$AH$6*AH9+$AI$6*AI9+$AJ$6*AJ9+$AG$6*AG9))</f>
        <v>12000000</v>
      </c>
      <c r="AL9" s="374">
        <f>SUM(SUMIFS(AK9,O9,"CHIP",N9,"FILL",P9,{"CC01*","CC02*","VNN*","NNP*","NN02*","VJCC*","VJNN*","JCC2*","JNN2*"}))+SUM(SUMIFS(AK9,O9,"CHIP",N9,"CREDIT",P9,{"CC01*","CC02*","VNN*","NNP*","NN02*","VJCC*","VJNN*","JCC2*","JNN2*"}))+SUM(SUMIFS(AK9,O9,"CASH",N9,"CREDIT",P9,{"KHR*"}))/4000+SUM(SUMIFS(AK9,O9,"CASH",N9,"FILL",P9,{"KHR*"}))/4000+SUM(SUMIFS(AK9,O9,"CASH",N9,"FILL",P9,{"USD$*"}))+SUM(SUMIFS(AK9,O9,"CASH",N9,"CREDIT",P9,{"USD$*"}))+SUM(SUMIFS(AK9,O9,"CHIP",N9,"VIP TO RB",P9,{"CC01*","CC02*","VNN*","NNP*","NN02*","VJCC*","VJNN*","JCC2*","JNN2*"}))+SUM(SUMIFS(AK9,O9,"CHIP",N9,"RB TO VIP",P9,{"CC01*","CC02*","VNN*","NNP*","NN02*","VJCC*","VJNN*","JCC2*","JNN2*"}))</f>
        <v>3000</v>
      </c>
      <c r="AM9" s="660"/>
      <c r="AN9" s="294"/>
      <c r="AO9" s="307" t="s">
        <v>15</v>
      </c>
      <c r="AP9" s="537">
        <f>SUMIFS($AL$8:$AL$108,$J$8:$J$108,"M",$N$8:$N$108,"Credit",$O$8:$O$108,"Cash",P8:P108,"USD$")+SUMIFS($AL$8:$AL$108,$J$8:$J$108,"M",$N$8:$N$108,"Credit",$O$8:$O$108,"Cash",P8:P108,"KHR")+SUMIFS($AL$8:$AL$108,$J$8:$J$108,"M",$N$8:$N$108,"MH to VIP",$O$8:$O$108,"Cash",P8:P108,"USD$")</f>
        <v>20000</v>
      </c>
      <c r="AQ9" s="537">
        <f>SUMIFS($AL$8:$AL$108,$J$8:$J$108,"M",$N$8:$N$108,"Credit",$O$8:$O$108,"Chip")+SUMIFS($AL$8:$AL$108,$J$8:$J$108,"M",$N$8:$N$108,"RB To VIP",$O$8:$O$108,"Chip")</f>
        <v>8000</v>
      </c>
      <c r="AR9" s="538">
        <f>SUMIFS($AL$8:$AL$108,$J$8:$J$108,"M",$N$8:$N$108,"Credit",$O$8:$O$108,"Marker")</f>
        <v>0</v>
      </c>
      <c r="AS9" s="877"/>
      <c r="AT9" s="291"/>
      <c r="AU9" s="291"/>
      <c r="AV9" s="291"/>
      <c r="AW9" s="291"/>
      <c r="AX9" s="291"/>
      <c r="AY9" s="291"/>
      <c r="AZ9" s="291"/>
      <c r="BA9" s="291"/>
      <c r="BB9" s="291"/>
      <c r="BC9" s="291"/>
      <c r="BD9" s="291"/>
      <c r="BE9" s="291"/>
      <c r="BF9" s="291"/>
      <c r="BG9" s="291"/>
      <c r="BH9" s="291"/>
      <c r="BI9" s="291"/>
      <c r="BJ9" s="291"/>
      <c r="BK9" s="291"/>
      <c r="BL9" s="291"/>
      <c r="BM9" s="291"/>
      <c r="BN9" s="291"/>
      <c r="BO9" s="291"/>
      <c r="BP9" s="291"/>
      <c r="BQ9" s="291"/>
      <c r="BR9" s="291"/>
      <c r="BS9" s="291"/>
      <c r="BT9" s="291"/>
      <c r="BU9" s="291"/>
      <c r="BV9" s="291"/>
      <c r="BW9" s="291"/>
      <c r="BX9" s="291"/>
      <c r="BY9" s="291"/>
      <c r="BZ9" s="291"/>
      <c r="CA9" s="291"/>
      <c r="CB9" s="291"/>
    </row>
    <row r="10" spans="1:80" s="287" customFormat="1" ht="24.95" customHeight="1">
      <c r="A10" s="291"/>
      <c r="B10" s="292" t="s">
        <v>198</v>
      </c>
      <c r="C10" s="286" t="s">
        <v>52</v>
      </c>
      <c r="D10" s="285" t="s">
        <v>199</v>
      </c>
      <c r="E10" s="286" t="s">
        <v>189</v>
      </c>
      <c r="F10" s="286" t="s">
        <v>17</v>
      </c>
      <c r="G10" s="289"/>
      <c r="H10" s="314" t="s">
        <v>234</v>
      </c>
      <c r="I10" s="344" t="s">
        <v>390</v>
      </c>
      <c r="J10" s="344" t="s">
        <v>15</v>
      </c>
      <c r="K10" s="344" t="s">
        <v>52</v>
      </c>
      <c r="L10" s="345" t="s">
        <v>293</v>
      </c>
      <c r="M10" s="314" t="s">
        <v>393</v>
      </c>
      <c r="N10" s="344" t="s">
        <v>19</v>
      </c>
      <c r="O10" s="344" t="s">
        <v>13</v>
      </c>
      <c r="P10" s="344" t="s">
        <v>343</v>
      </c>
      <c r="Q10" s="346"/>
      <c r="R10" s="232"/>
      <c r="S10" s="611"/>
      <c r="T10" s="611"/>
      <c r="U10" s="611"/>
      <c r="V10" s="611"/>
      <c r="W10" s="611"/>
      <c r="X10" s="611"/>
      <c r="Y10" s="611"/>
      <c r="Z10" s="611"/>
      <c r="AA10" s="611"/>
      <c r="AB10" s="611"/>
      <c r="AC10" s="611"/>
      <c r="AD10" s="611">
        <v>100</v>
      </c>
      <c r="AE10" s="611"/>
      <c r="AF10" s="611">
        <v>100</v>
      </c>
      <c r="AG10" s="611">
        <v>100</v>
      </c>
      <c r="AH10" s="611"/>
      <c r="AI10" s="611"/>
      <c r="AJ10" s="611"/>
      <c r="AK10" s="374">
        <f t="shared" si="0"/>
        <v>-8000</v>
      </c>
      <c r="AL10" s="374">
        <f>SUM(SUMIFS(AK10,O10,"CHIP",N10,"FILL",P10,{"CC01*","CC02*","VNN*","NNP*","NN02*","VJCC*","VJNN*","JCC2*","JNN2*"}))+SUM(SUMIFS(AK10,O10,"CHIP",N10,"CREDIT",P10,{"CC01*","CC02*","VNN*","NNP*","NN02*","VJCC*","VJNN*","JCC2*","JNN2*"}))+SUM(SUMIFS(AK10,O10,"CASH",N10,"CREDIT",P10,{"KHR*"}))/4000+SUM(SUMIFS(AK10,O10,"CASH",N10,"FILL",P10,{"KHR*"}))/4000+SUM(SUMIFS(AK10,O10,"CASH",N10,"FILL",P10,{"USD$*"}))+SUM(SUMIFS(AK10,O10,"CASH",N10,"CREDIT",P10,{"USD$*"}))+SUM(SUMIFS(AK10,O10,"CHIP",N10,"VIP TO RB",P10,{"CC01*","CC02*","VNN*","NNP*","NN02*","VJCC*","VJNN*","JCC2*","JNN2*"}))+SUM(SUMIFS(AK10,O10,"CHIP",N10,"RB TO VIP",P10,{"CC01*","CC02*","VNN*","NNP*","NN02*","VJCC*","VJNN*","JCC2*","JNN2*"}))</f>
        <v>-8000</v>
      </c>
      <c r="AM10" s="660"/>
      <c r="AN10" s="294"/>
      <c r="AO10" s="307" t="s">
        <v>16</v>
      </c>
      <c r="AP10" s="537">
        <f>SUMIFS($AL$8:$AL$108,$J$8:$J$108,"A",$N$8:$N$108,"Credit",$O$8:$O$108,"Cash",P8:P108,"USD$")+SUMIFS($AL$8:$AL$108,$J$8:$J$108,"A",$N$8:$N$108,"Credit",$O$8:$O$108,"Cash",P8:P108,"KHR")+SUMIFS($AL$8:$AL$108,$J$8:$J$108,"A",$N$8:$N$108,"MH to VIP",$O$8:$O$108,"Cash",P8:P108,"USD$")</f>
        <v>0</v>
      </c>
      <c r="AQ10" s="537">
        <f>SUMIFS($AL$8:$AL$108,$J$8:$J$108,"A",$N$8:$N$108,"Credit",$O$8:$O$108,"Chip")+SUMIFS($AL$8:$AL$108,$J$8:$J$108,"A",$N$8:$N$108,"MH to VIP",$O$8:$O$108,"Chip")</f>
        <v>0</v>
      </c>
      <c r="AR10" s="538">
        <f>SUMIFS($AL$8:$AL$108,$J$8:$J$108,"A",$N$8:$N$108,"Credit",$O$8:$O$108,"Marker")</f>
        <v>0</v>
      </c>
      <c r="AS10" s="877"/>
      <c r="AT10" s="291"/>
      <c r="AU10" s="291"/>
      <c r="AV10" s="291"/>
      <c r="AW10" s="291"/>
      <c r="AX10" s="291"/>
      <c r="AY10" s="291"/>
      <c r="AZ10" s="291"/>
      <c r="BA10" s="291"/>
      <c r="BB10" s="291"/>
      <c r="BC10" s="291"/>
      <c r="BD10" s="291"/>
      <c r="BE10" s="291"/>
      <c r="BF10" s="291"/>
      <c r="BG10" s="291"/>
      <c r="BH10" s="291"/>
      <c r="BI10" s="291"/>
      <c r="BJ10" s="291"/>
      <c r="BK10" s="291"/>
      <c r="BL10" s="291"/>
      <c r="BM10" s="291"/>
      <c r="BN10" s="291"/>
      <c r="BO10" s="291"/>
      <c r="BP10" s="291"/>
      <c r="BQ10" s="291"/>
      <c r="BR10" s="291"/>
      <c r="BS10" s="291"/>
      <c r="BT10" s="291"/>
      <c r="BU10" s="291"/>
      <c r="BV10" s="291"/>
      <c r="BW10" s="291"/>
      <c r="BX10" s="291"/>
      <c r="BY10" s="291"/>
      <c r="BZ10" s="291"/>
      <c r="CA10" s="291"/>
      <c r="CB10" s="291"/>
    </row>
    <row r="11" spans="1:80" s="291" customFormat="1" ht="24.95" customHeight="1" thickBot="1">
      <c r="B11" s="292" t="s">
        <v>218</v>
      </c>
      <c r="C11" s="290" t="s">
        <v>52</v>
      </c>
      <c r="D11" s="316" t="s">
        <v>221</v>
      </c>
      <c r="E11" s="308" t="s">
        <v>68</v>
      </c>
      <c r="F11" s="308" t="s">
        <v>19</v>
      </c>
      <c r="G11" s="308"/>
      <c r="H11" s="314" t="s">
        <v>235</v>
      </c>
      <c r="I11" s="344" t="s">
        <v>390</v>
      </c>
      <c r="J11" s="344" t="s">
        <v>15</v>
      </c>
      <c r="K11" s="344" t="s">
        <v>52</v>
      </c>
      <c r="L11" s="345" t="s">
        <v>293</v>
      </c>
      <c r="M11" s="314" t="s">
        <v>394</v>
      </c>
      <c r="N11" s="344" t="s">
        <v>20</v>
      </c>
      <c r="O11" s="344" t="s">
        <v>44</v>
      </c>
      <c r="P11" s="344" t="s">
        <v>64</v>
      </c>
      <c r="Q11" s="346"/>
      <c r="R11" s="232"/>
      <c r="S11" s="611"/>
      <c r="T11" s="611"/>
      <c r="U11" s="611"/>
      <c r="V11" s="611"/>
      <c r="W11" s="611"/>
      <c r="X11" s="611"/>
      <c r="Y11" s="611"/>
      <c r="Z11" s="611"/>
      <c r="AA11" s="611"/>
      <c r="AB11" s="611"/>
      <c r="AC11" s="611">
        <v>80</v>
      </c>
      <c r="AD11" s="611"/>
      <c r="AE11" s="611"/>
      <c r="AF11" s="611"/>
      <c r="AG11" s="611"/>
      <c r="AH11" s="611"/>
      <c r="AI11" s="611"/>
      <c r="AJ11" s="611"/>
      <c r="AK11" s="374">
        <f t="shared" si="0"/>
        <v>8000</v>
      </c>
      <c r="AL11" s="374">
        <f>SUM(SUMIFS(AK11,O11,"CHIP",N11,"FILL",P11,{"CC01*","CC02*","VNN*","NNP*","NN02*","VJCC*","VJNN*","JCC2*","JNN2*"}))+SUM(SUMIFS(AK11,O11,"CHIP",N11,"CREDIT",P11,{"CC01*","CC02*","VNN*","NNP*","NN02*","VJCC*","VJNN*","JCC2*","JNN2*"}))+SUM(SUMIFS(AK11,O11,"CASH",N11,"CREDIT",P11,{"KHR*"}))/4000+SUM(SUMIFS(AK11,O11,"CASH",N11,"FILL",P11,{"KHR*"}))/4000+SUM(SUMIFS(AK11,O11,"CASH",N11,"FILL",P11,{"USD$*"}))+SUM(SUMIFS(AK11,O11,"CASH",N11,"CREDIT",P11,{"USD$*"}))+SUM(SUMIFS(AK11,O11,"CHIP",N11,"VIP TO RB",P11,{"CC01*","CC02*","VNN*","NNP*","NN02*","VJCC*","VJNN*","JCC2*","JNN2*"}))+SUM(SUMIFS(AK11,O11,"CHIP",N11,"RB TO VIP",P11,{"CC01*","CC02*","VNN*","NNP*","NN02*","VJCC*","VJNN*","JCC2*","JNN2*"}))</f>
        <v>8000</v>
      </c>
      <c r="AM11" s="660"/>
      <c r="AN11" s="294"/>
      <c r="AO11" s="309" t="s">
        <v>17</v>
      </c>
      <c r="AP11" s="539">
        <f>SUMIFS($AL$8:$AL$108,$J$8:$J$108,"N",$N$8:$N$108,"Credit",$O$8:$O$108,"Cash",P8:P108,"USD$")+SUMIFS($AL$8:$AL$108,$J$8:$J$108,"N",$N$8:$N$108,"Credit",$O$8:$O$108,"Cash",P8:P108,"KHR")+SUMIFS($AL$8:$AL$108,$J$8:$J$108,"N",$N$8:$N$108,"MH to VIP",$O$8:$O$108,"Cash",P8:P108,"USD$")</f>
        <v>0</v>
      </c>
      <c r="AQ11" s="539">
        <f>SUMIFS($AL$8:$AL$108,$J$8:$J$108,"N",$N$8:$N$108,"Credit",$O$8:$O$108,"Chip")+SUMIFS($AL$8:$AL$108,$J$8:$J$108,"N",$N$8:$N$108,"MH to VIP",$O$8:$O$108,"Chip")</f>
        <v>0</v>
      </c>
      <c r="AR11" s="540">
        <f>SUMIFS($AL$8:$AL$108,$J$8:$J$108,"N",$N$8:$N$108,"Credit",$O$8:$O$108,"Marker")</f>
        <v>0</v>
      </c>
      <c r="AS11" s="877"/>
    </row>
    <row r="12" spans="1:80" s="291" customFormat="1" ht="27.75" customHeight="1" thickBot="1">
      <c r="B12" s="292" t="s">
        <v>271</v>
      </c>
      <c r="C12" s="290" t="s">
        <v>52</v>
      </c>
      <c r="D12" s="316" t="s">
        <v>222</v>
      </c>
      <c r="E12" s="308" t="s">
        <v>168</v>
      </c>
      <c r="F12" s="308" t="s">
        <v>20</v>
      </c>
      <c r="G12" s="308"/>
      <c r="H12" s="314" t="s">
        <v>236</v>
      </c>
      <c r="I12" s="344"/>
      <c r="J12" s="344"/>
      <c r="K12" s="344"/>
      <c r="L12" s="345"/>
      <c r="M12" s="314"/>
      <c r="N12" s="344"/>
      <c r="O12" s="344"/>
      <c r="P12" s="344"/>
      <c r="Q12" s="346"/>
      <c r="R12" s="232"/>
      <c r="S12" s="611"/>
      <c r="T12" s="611"/>
      <c r="U12" s="611"/>
      <c r="V12" s="611"/>
      <c r="W12" s="611"/>
      <c r="X12" s="611"/>
      <c r="Y12" s="611"/>
      <c r="Z12" s="611"/>
      <c r="AA12" s="611"/>
      <c r="AB12" s="611"/>
      <c r="AC12" s="611"/>
      <c r="AD12" s="611"/>
      <c r="AE12" s="611"/>
      <c r="AF12" s="611"/>
      <c r="AG12" s="611"/>
      <c r="AH12" s="611"/>
      <c r="AI12" s="611"/>
      <c r="AJ12" s="611"/>
      <c r="AK12" s="374">
        <f t="shared" si="0"/>
        <v>0</v>
      </c>
      <c r="AL12" s="374">
        <f>SUM(SUMIFS(AK12,O12,"CHIP",N12,"FILL",P12,{"CC01*","CC02*","VNN*","NNP*","NN02*","VJCC*","VJNN*","JCC2*","JNN2*"}))+SUM(SUMIFS(AK12,O12,"CHIP",N12,"CREDIT",P12,{"CC01*","CC02*","VNN*","NNP*","NN02*","VJCC*","VJNN*","JCC2*","JNN2*"}))+SUM(SUMIFS(AK12,O12,"CASH",N12,"CREDIT",P12,{"KHR*"}))/4000+SUM(SUMIFS(AK12,O12,"CASH",N12,"FILL",P12,{"KHR*"}))/4000+SUM(SUMIFS(AK12,O12,"CASH",N12,"FILL",P12,{"USD$*"}))+SUM(SUMIFS(AK12,O12,"CASH",N12,"CREDIT",P12,{"USD$*"}))+SUM(SUMIFS(AK12,O12,"CHIP",N12,"VIP TO RB",P12,{"CC01*","CC02*","VNN*","NNP*","NN02*","VJCC*","VJNN*","JCC2*","JNN2*"}))+SUM(SUMIFS(AK12,O12,"CHIP",N12,"RB TO VIP",P12,{"CC01*","CC02*","VNN*","NNP*","NN02*","VJCC*","VJNN*","JCC2*","JNN2*"}))</f>
        <v>0</v>
      </c>
      <c r="AM12" s="660"/>
      <c r="AN12" s="294"/>
      <c r="AO12" s="310" t="s">
        <v>8</v>
      </c>
      <c r="AP12" s="541">
        <f>SUM(AP9:AP11)</f>
        <v>20000</v>
      </c>
      <c r="AQ12" s="542">
        <f>SUM(AQ9:AQ11)</f>
        <v>8000</v>
      </c>
      <c r="AR12" s="543">
        <f>SUM(AR9:AR11)</f>
        <v>0</v>
      </c>
      <c r="AS12" s="878"/>
    </row>
    <row r="13" spans="1:80" s="291" customFormat="1" ht="24.95" customHeight="1">
      <c r="B13" s="292" t="s">
        <v>272</v>
      </c>
      <c r="C13" s="290" t="s">
        <v>52</v>
      </c>
      <c r="D13" s="316" t="s">
        <v>201</v>
      </c>
      <c r="E13" s="308" t="s">
        <v>69</v>
      </c>
      <c r="F13" s="308" t="s">
        <v>80</v>
      </c>
      <c r="G13" s="308"/>
      <c r="H13" s="314" t="s">
        <v>237</v>
      </c>
      <c r="I13" s="344"/>
      <c r="J13" s="344"/>
      <c r="K13" s="344"/>
      <c r="L13" s="345"/>
      <c r="M13" s="314"/>
      <c r="N13" s="344"/>
      <c r="O13" s="344"/>
      <c r="P13" s="344"/>
      <c r="Q13" s="346"/>
      <c r="R13" s="232"/>
      <c r="S13" s="611"/>
      <c r="T13" s="611"/>
      <c r="U13" s="611"/>
      <c r="V13" s="611"/>
      <c r="W13" s="611"/>
      <c r="X13" s="611"/>
      <c r="Y13" s="611"/>
      <c r="Z13" s="611"/>
      <c r="AA13" s="611"/>
      <c r="AB13" s="611"/>
      <c r="AC13" s="611"/>
      <c r="AD13" s="611"/>
      <c r="AE13" s="611"/>
      <c r="AF13" s="611"/>
      <c r="AG13" s="611"/>
      <c r="AH13" s="611"/>
      <c r="AI13" s="611"/>
      <c r="AJ13" s="611"/>
      <c r="AK13" s="374">
        <f t="shared" si="0"/>
        <v>0</v>
      </c>
      <c r="AL13" s="374">
        <f>SUM(SUMIFS(AK13,O13,"CHIP",N13,"FILL",P13,{"CC01*","CC02*","VNN*","NNP*","NN02*","VJCC*","VJNN*","JCC2*","JNN2*"}))+SUM(SUMIFS(AK13,O13,"CHIP",N13,"CREDIT",P13,{"CC01*","CC02*","VNN*","NNP*","NN02*","VJCC*","VJNN*","JCC2*","JNN2*"}))+SUM(SUMIFS(AK13,O13,"CASH",N13,"CREDIT",P13,{"KHR*"}))/4000+SUM(SUMIFS(AK13,O13,"CASH",N13,"FILL",P13,{"KHR*"}))/4000+SUM(SUMIFS(AK13,O13,"CASH",N13,"FILL",P13,{"USD$*"}))+SUM(SUMIFS(AK13,O13,"CASH",N13,"CREDIT",P13,{"USD$*"}))+SUM(SUMIFS(AK13,O13,"CHIP",N13,"VIP TO RB",P13,{"CC01*","CC02*","VNN*","NNP*","NN02*","VJCC*","VJNN*","JCC2*","JNN2*"}))+SUM(SUMIFS(AK13,O13,"CHIP",N13,"RB TO VIP",P13,{"CC01*","CC02*","VNN*","NNP*","NN02*","VJCC*","VJNN*","JCC2*","JNN2*"}))</f>
        <v>0</v>
      </c>
      <c r="AM13" s="660"/>
      <c r="AN13" s="294"/>
      <c r="AO13" s="879" t="s">
        <v>79</v>
      </c>
      <c r="AP13" s="880"/>
      <c r="AQ13" s="880"/>
      <c r="AR13" s="880"/>
      <c r="AS13" s="881"/>
    </row>
    <row r="14" spans="1:80" s="291" customFormat="1" ht="24.95" customHeight="1" thickBot="1">
      <c r="B14" s="292" t="s">
        <v>290</v>
      </c>
      <c r="C14" s="290" t="s">
        <v>52</v>
      </c>
      <c r="D14" s="316" t="s">
        <v>223</v>
      </c>
      <c r="E14" s="308" t="s">
        <v>70</v>
      </c>
      <c r="F14" s="308"/>
      <c r="G14" s="308"/>
      <c r="H14" s="314" t="s">
        <v>238</v>
      </c>
      <c r="I14" s="344"/>
      <c r="J14" s="344"/>
      <c r="K14" s="344"/>
      <c r="L14" s="345"/>
      <c r="M14" s="314"/>
      <c r="N14" s="344"/>
      <c r="O14" s="344"/>
      <c r="P14" s="344"/>
      <c r="Q14" s="346"/>
      <c r="R14" s="232"/>
      <c r="S14" s="611"/>
      <c r="T14" s="611"/>
      <c r="U14" s="611"/>
      <c r="V14" s="611"/>
      <c r="W14" s="611"/>
      <c r="X14" s="611"/>
      <c r="Y14" s="611"/>
      <c r="Z14" s="611"/>
      <c r="AA14" s="611"/>
      <c r="AB14" s="611"/>
      <c r="AC14" s="611"/>
      <c r="AD14" s="611"/>
      <c r="AE14" s="611"/>
      <c r="AF14" s="611"/>
      <c r="AG14" s="611"/>
      <c r="AH14" s="611"/>
      <c r="AI14" s="611"/>
      <c r="AJ14" s="611"/>
      <c r="AK14" s="374">
        <f t="shared" si="0"/>
        <v>0</v>
      </c>
      <c r="AL14" s="374">
        <f>SUM(SUMIFS(AK14,O14,"CHIP",N14,"FILL",P14,{"CC01*","CC02*","VNN*","NNP*","NN02*","VJCC*","VJNN*","JCC2*","JNN2*"}))+SUM(SUMIFS(AK14,O14,"CHIP",N14,"CREDIT",P14,{"CC01*","CC02*","VNN*","NNP*","NN02*","VJCC*","VJNN*","JCC2*","JNN2*"}))+SUM(SUMIFS(AK14,O14,"CASH",N14,"CREDIT",P14,{"KHR*"}))/4000+SUM(SUMIFS(AK14,O14,"CASH",N14,"FILL",P14,{"KHR*"}))/4000+SUM(SUMIFS(AK14,O14,"CASH",N14,"FILL",P14,{"USD$*"}))+SUM(SUMIFS(AK14,O14,"CASH",N14,"CREDIT",P14,{"USD$*"}))+SUM(SUMIFS(AK14,O14,"CHIP",N14,"VIP TO RB",P14,{"CC01*","CC02*","VNN*","NNP*","NN02*","VJCC*","VJNN*","JCC2*","JNN2*"}))+SUM(SUMIFS(AK14,O14,"CHIP",N14,"RB TO VIP",P14,{"CC01*","CC02*","VNN*","NNP*","NN02*","VJCC*","VJNN*","JCC2*","JNN2*"}))</f>
        <v>0</v>
      </c>
      <c r="AM14" s="660"/>
      <c r="AN14" s="294"/>
      <c r="AO14" s="882"/>
      <c r="AP14" s="883"/>
      <c r="AQ14" s="883"/>
      <c r="AR14" s="883"/>
      <c r="AS14" s="884"/>
    </row>
    <row r="15" spans="1:80" s="291" customFormat="1" ht="24.95" customHeight="1">
      <c r="B15" s="292"/>
      <c r="C15" s="290" t="s">
        <v>52</v>
      </c>
      <c r="D15" s="318" t="s">
        <v>154</v>
      </c>
      <c r="E15" s="308" t="s">
        <v>306</v>
      </c>
      <c r="F15" s="308"/>
      <c r="G15" s="290"/>
      <c r="H15" s="314" t="s">
        <v>239</v>
      </c>
      <c r="I15" s="344"/>
      <c r="J15" s="344"/>
      <c r="K15" s="344"/>
      <c r="L15" s="345"/>
      <c r="M15" s="314"/>
      <c r="N15" s="344"/>
      <c r="O15" s="344"/>
      <c r="P15" s="344"/>
      <c r="Q15" s="346"/>
      <c r="R15" s="232"/>
      <c r="S15" s="611"/>
      <c r="T15" s="611"/>
      <c r="U15" s="611"/>
      <c r="V15" s="611"/>
      <c r="W15" s="611"/>
      <c r="X15" s="611"/>
      <c r="Y15" s="611"/>
      <c r="Z15" s="611"/>
      <c r="AA15" s="611"/>
      <c r="AB15" s="611"/>
      <c r="AC15" s="611"/>
      <c r="AD15" s="611"/>
      <c r="AE15" s="611"/>
      <c r="AF15" s="611"/>
      <c r="AG15" s="611"/>
      <c r="AH15" s="611"/>
      <c r="AI15" s="611"/>
      <c r="AJ15" s="611"/>
      <c r="AK15" s="374">
        <f t="shared" si="0"/>
        <v>0</v>
      </c>
      <c r="AL15" s="374">
        <f>SUM(SUMIFS(AK15,O15,"CHIP",N15,"FILL",P15,{"CC01*","CC02*","VNN*","NNP*","NN02*","VJCC*","VJNN*","JCC2*","JNN2*"}))+SUM(SUMIFS(AK15,O15,"CHIP",N15,"CREDIT",P15,{"CC01*","CC02*","VNN*","NNP*","NN02*","VJCC*","VJNN*","JCC2*","JNN2*"}))+SUM(SUMIFS(AK15,O15,"CASH",N15,"CREDIT",P15,{"KHR*"}))/4000+SUM(SUMIFS(AK15,O15,"CASH",N15,"FILL",P15,{"KHR*"}))/4000+SUM(SUMIFS(AK15,O15,"CASH",N15,"FILL",P15,{"USD$*"}))+SUM(SUMIFS(AK15,O15,"CASH",N15,"CREDIT",P15,{"USD$*"}))+SUM(SUMIFS(AK15,O15,"CHIP",N15,"VIP TO RB",P15,{"CC01*","CC02*","VNN*","NNP*","NN02*","VJCC*","VJNN*","JCC2*","JNN2*"}))+SUM(SUMIFS(AK15,O15,"CHIP",N15,"RB TO VIP",P15,{"CC01*","CC02*","VNN*","NNP*","NN02*","VJCC*","VJNN*","JCC2*","JNN2*"}))</f>
        <v>0</v>
      </c>
      <c r="AM15" s="660"/>
      <c r="AN15" s="294"/>
      <c r="AO15" s="311" t="s">
        <v>45</v>
      </c>
      <c r="AP15" s="312" t="s">
        <v>46</v>
      </c>
      <c r="AQ15" s="312" t="s">
        <v>48</v>
      </c>
      <c r="AR15" s="313" t="s">
        <v>76</v>
      </c>
      <c r="AS15" s="885">
        <f>AP19+AQ19+AR19</f>
        <v>-8000</v>
      </c>
    </row>
    <row r="16" spans="1:80" s="291" customFormat="1" ht="24.95" customHeight="1">
      <c r="B16" s="292"/>
      <c r="C16" s="290" t="s">
        <v>52</v>
      </c>
      <c r="D16" s="318" t="s">
        <v>153</v>
      </c>
      <c r="E16" s="308" t="s">
        <v>343</v>
      </c>
      <c r="F16" s="308"/>
      <c r="G16" s="308"/>
      <c r="H16" s="314" t="s">
        <v>240</v>
      </c>
      <c r="I16" s="344"/>
      <c r="J16" s="344"/>
      <c r="K16" s="344"/>
      <c r="L16" s="345"/>
      <c r="M16" s="314"/>
      <c r="N16" s="344"/>
      <c r="O16" s="344"/>
      <c r="P16" s="344"/>
      <c r="Q16" s="346"/>
      <c r="R16" s="232"/>
      <c r="S16" s="611"/>
      <c r="T16" s="611"/>
      <c r="U16" s="611"/>
      <c r="V16" s="611"/>
      <c r="W16" s="611"/>
      <c r="X16" s="611"/>
      <c r="Y16" s="611"/>
      <c r="Z16" s="611"/>
      <c r="AA16" s="611"/>
      <c r="AB16" s="611"/>
      <c r="AC16" s="611"/>
      <c r="AD16" s="611"/>
      <c r="AE16" s="611"/>
      <c r="AF16" s="611"/>
      <c r="AG16" s="611"/>
      <c r="AH16" s="611"/>
      <c r="AI16" s="611"/>
      <c r="AJ16" s="611"/>
      <c r="AK16" s="374">
        <f t="shared" si="0"/>
        <v>0</v>
      </c>
      <c r="AL16" s="374">
        <f>SUM(SUMIFS(AK16,O16,"CHIP",N16,"FILL",P16,{"CC01*","CC02*","VNN*","NNP*","NN02*","VJCC*","VJNN*","JCC2*","JNN2*"}))+SUM(SUMIFS(AK16,O16,"CHIP",N16,"CREDIT",P16,{"CC01*","CC02*","VNN*","NNP*","NN02*","VJCC*","VJNN*","JCC2*","JNN2*"}))+SUM(SUMIFS(AK16,O16,"CASH",N16,"CREDIT",P16,{"KHR*"}))/4000+SUM(SUMIFS(AK16,O16,"CASH",N16,"FILL",P16,{"KHR*"}))/4000+SUM(SUMIFS(AK16,O16,"CASH",N16,"FILL",P16,{"USD$*"}))+SUM(SUMIFS(AK16,O16,"CASH",N16,"CREDIT",P16,{"USD$*"}))+SUM(SUMIFS(AK16,O16,"CHIP",N16,"VIP TO RB",P16,{"CC01*","CC02*","VNN*","NNP*","NN02*","VJCC*","VJNN*","JCC2*","JNN2*"}))+SUM(SUMIFS(AK16,O16,"CHIP",N16,"RB TO VIP",P16,{"CC01*","CC02*","VNN*","NNP*","NN02*","VJCC*","VJNN*","JCC2*","JNN2*"}))</f>
        <v>0</v>
      </c>
      <c r="AM16" s="660"/>
      <c r="AN16" s="294"/>
      <c r="AO16" s="307" t="s">
        <v>15</v>
      </c>
      <c r="AP16" s="537">
        <f>SUMIFS($AL$8:$AL$108,$J$8:$J$108,"M",$N$8:$N$108,"Fill",$O$8:$O$108,"Cash",P8:P108,"USD$")+SUMIFS($AL$8:$AL$108,$J$8:$J$108,"M",$N$8:$N$108,"Fill",$O$8:$O$108,"Cash",P8:P108,"KHR")+SUMIFS($AL$8:$AL$108,$J$8:$J$108,"M",$N$8:$N$108,"VIP to MH",$O$8:$O$108,"Cash",P8:P108,"USD$")</f>
        <v>-8000</v>
      </c>
      <c r="AQ16" s="537">
        <f>SUMIFS($AL$8:$AL$108,$J$8:$J$108,"M",$N$8:$N$108,"FILL",$O$8:$O$108,"CHIP")+SUMIFS($AL$8:$AL$108,$J$8:$J$108,"M",$N$8:$N$108,"VIP to RB",$O$8:$O$108,"CHIP")</f>
        <v>0</v>
      </c>
      <c r="AR16" s="538">
        <f>SUMIFS($AL$8:$AL$108,$J$8:$J$108,"M",$N$8:$N$108,"FILL",$O$8:$O$108,"Marker")</f>
        <v>0</v>
      </c>
      <c r="AS16" s="885"/>
    </row>
    <row r="17" spans="2:45" s="291" customFormat="1" ht="24.95" customHeight="1">
      <c r="B17" s="292"/>
      <c r="C17" s="290" t="s">
        <v>52</v>
      </c>
      <c r="D17" s="316" t="s">
        <v>152</v>
      </c>
      <c r="E17" s="290" t="s">
        <v>257</v>
      </c>
      <c r="F17" s="308"/>
      <c r="G17" s="308"/>
      <c r="H17" s="314" t="s">
        <v>241</v>
      </c>
      <c r="I17" s="344"/>
      <c r="J17" s="344"/>
      <c r="K17" s="344"/>
      <c r="L17" s="345"/>
      <c r="M17" s="314"/>
      <c r="N17" s="344"/>
      <c r="O17" s="344"/>
      <c r="P17" s="344"/>
      <c r="Q17" s="346"/>
      <c r="R17" s="232"/>
      <c r="S17" s="611"/>
      <c r="T17" s="611"/>
      <c r="U17" s="611"/>
      <c r="V17" s="611"/>
      <c r="W17" s="611"/>
      <c r="X17" s="611"/>
      <c r="Y17" s="611"/>
      <c r="Z17" s="611"/>
      <c r="AA17" s="611"/>
      <c r="AB17" s="611"/>
      <c r="AC17" s="611"/>
      <c r="AD17" s="611"/>
      <c r="AE17" s="611"/>
      <c r="AF17" s="611"/>
      <c r="AG17" s="611"/>
      <c r="AH17" s="611"/>
      <c r="AI17" s="611"/>
      <c r="AJ17" s="611"/>
      <c r="AK17" s="374">
        <f t="shared" si="0"/>
        <v>0</v>
      </c>
      <c r="AL17" s="374">
        <f>SUM(SUMIFS(AK17,O17,"CHIP",N17,"FILL",P17,{"CC01*","CC02*","VNN*","NNP*","NN02*","VJCC*","VJNN*","JCC2*","JNN2*"}))+SUM(SUMIFS(AK17,O17,"CHIP",N17,"CREDIT",P17,{"CC01*","CC02*","VNN*","NNP*","NN02*","VJCC*","VJNN*","JCC2*","JNN2*"}))+SUM(SUMIFS(AK17,O17,"CASH",N17,"CREDIT",P17,{"KHR*"}))/4000+SUM(SUMIFS(AK17,O17,"CASH",N17,"FILL",P17,{"KHR*"}))/4000+SUM(SUMIFS(AK17,O17,"CASH",N17,"FILL",P17,{"USD$*"}))+SUM(SUMIFS(AK17,O17,"CASH",N17,"CREDIT",P17,{"USD$*"}))+SUM(SUMIFS(AK17,O17,"CHIP",N17,"VIP TO RB",P17,{"CC01*","CC02*","VNN*","NNP*","NN02*","VJCC*","VJNN*","JCC2*","JNN2*"}))+SUM(SUMIFS(AK17,O17,"CHIP",N17,"RB TO VIP",P17,{"CC01*","CC02*","VNN*","NNP*","NN02*","VJCC*","VJNN*","JCC2*","JNN2*"}))</f>
        <v>0</v>
      </c>
      <c r="AM17" s="660"/>
      <c r="AN17" s="294"/>
      <c r="AO17" s="307" t="s">
        <v>16</v>
      </c>
      <c r="AP17" s="537">
        <f>SUMIFS($AL$8:$AL$108,$J$8:$J$108,"A",$N$8:$N$108,"Fill",$O$8:$O$108,"Cash",P8:P108,"USD$")+SUMIFS($AL$8:$AL$108,$J$8:$J$108,"A",$N$8:$N$108,"Fill",$O$8:$O$108,"Cash",P8:P108,"KHR")+SUMIFS($AL$8:$AL$108,$J$8:$J$108,"A",$N$8:$N$108,"VIP to MH",$O$8:$O$108,"Cash",P8:P108,"USD$")</f>
        <v>0</v>
      </c>
      <c r="AQ17" s="537">
        <f>SUMIFS($AL$8:$AL$108,$J$8:$J$108,"A",$N$8:$N$108,"FILL",$O$8:$O$108,"CHIP")+SUMIFS($AL$8:$AL$108,$J$8:$J$108,"A",$N$8:$N$108,"VIP to MH",$O$8:$O$108,"CHIP")</f>
        <v>0</v>
      </c>
      <c r="AR17" s="538">
        <f>SUMIFS($AL$8:$AL$108,$J$8:$J$108,"A",$N$8:$N$108,"FILL",$O$8:$O$108,"Marker")</f>
        <v>0</v>
      </c>
      <c r="AS17" s="885"/>
    </row>
    <row r="18" spans="2:45" s="291" customFormat="1" ht="24.95" customHeight="1" thickBot="1">
      <c r="B18" s="292"/>
      <c r="C18" s="290" t="s">
        <v>52</v>
      </c>
      <c r="D18" s="316" t="s">
        <v>224</v>
      </c>
      <c r="E18" s="290" t="s">
        <v>260</v>
      </c>
      <c r="F18" s="317" t="s">
        <v>43</v>
      </c>
      <c r="G18" s="308"/>
      <c r="H18" s="314" t="s">
        <v>242</v>
      </c>
      <c r="I18" s="344"/>
      <c r="J18" s="344"/>
      <c r="K18" s="344"/>
      <c r="L18" s="345"/>
      <c r="M18" s="314"/>
      <c r="N18" s="344"/>
      <c r="O18" s="344"/>
      <c r="P18" s="344"/>
      <c r="Q18" s="346"/>
      <c r="R18" s="232"/>
      <c r="S18" s="611"/>
      <c r="T18" s="611"/>
      <c r="U18" s="611"/>
      <c r="V18" s="611"/>
      <c r="W18" s="611"/>
      <c r="X18" s="611"/>
      <c r="Y18" s="611"/>
      <c r="Z18" s="611"/>
      <c r="AA18" s="611"/>
      <c r="AB18" s="611"/>
      <c r="AC18" s="611"/>
      <c r="AD18" s="611"/>
      <c r="AE18" s="611"/>
      <c r="AF18" s="611"/>
      <c r="AG18" s="611"/>
      <c r="AH18" s="611"/>
      <c r="AI18" s="611"/>
      <c r="AJ18" s="611"/>
      <c r="AK18" s="374">
        <f t="shared" si="0"/>
        <v>0</v>
      </c>
      <c r="AL18" s="374">
        <f>SUM(SUMIFS(AK18,O18,"CHIP",N18,"FILL",P18,{"CC01*","CC02*","VNN*","NNP*","NN02*","VJCC*","VJNN*","JCC2*","JNN2*"}))+SUM(SUMIFS(AK18,O18,"CHIP",N18,"CREDIT",P18,{"CC01*","CC02*","VNN*","NNP*","NN02*","VJCC*","VJNN*","JCC2*","JNN2*"}))+SUM(SUMIFS(AK18,O18,"CASH",N18,"CREDIT",P18,{"KHR*"}))/4000+SUM(SUMIFS(AK18,O18,"CASH",N18,"FILL",P18,{"KHR*"}))/4000+SUM(SUMIFS(AK18,O18,"CASH",N18,"FILL",P18,{"USD$*"}))+SUM(SUMIFS(AK18,O18,"CASH",N18,"CREDIT",P18,{"USD$*"}))+SUM(SUMIFS(AK18,O18,"CHIP",N18,"VIP TO RB",P18,{"CC01*","CC02*","VNN*","NNP*","NN02*","VJCC*","VJNN*","JCC2*","JNN2*"}))+SUM(SUMIFS(AK18,O18,"CHIP",N18,"RB TO VIP",P18,{"CC01*","CC02*","VNN*","NNP*","NN02*","VJCC*","VJNN*","JCC2*","JNN2*"}))</f>
        <v>0</v>
      </c>
      <c r="AM18" s="660"/>
      <c r="AN18" s="294"/>
      <c r="AO18" s="309" t="s">
        <v>17</v>
      </c>
      <c r="AP18" s="539">
        <f>SUMIFS($AL$8:$AL$108,$J$8:$J$108,"N",$N$8:$N$108,"Fill",$O$8:$O$108,"Cash",P8:P108,"USD$")+SUMIFS($AL$8:$AL$108,$J$8:$J$108,"N",$N$8:$N$108,"Fill",$O$8:$O$108,"Cash",P8:P108,"KHR")+SUMIFS($AL$8:$AL$108,$J$8:$J$108,"N",$N$8:$N$108,"VIP to MH",$O$8:$O$108,"Cash",P8:P108,"USD$")</f>
        <v>0</v>
      </c>
      <c r="AQ18" s="539">
        <f>SUMIFS($AL$8:$AL$108,$J$8:$J$108,"N",$N$8:$N$108,"FILL",$O$8:$O$108,"CHIP")+SUMIFS($AL$8:$AL$108,$J$8:$J$108,"N",$N$8:$N$108,"VIP to MH",$O$8:$O$108,"CHIP")</f>
        <v>0</v>
      </c>
      <c r="AR18" s="540">
        <f>SUMIFS($AL$8:$AL$108,$J$8:$J$108,"N",$N$8:$N$108,"FILL",$O$8:$O$108,"Marker")</f>
        <v>0</v>
      </c>
      <c r="AS18" s="885"/>
    </row>
    <row r="19" spans="2:45" s="291" customFormat="1" ht="24.95" customHeight="1" thickBot="1">
      <c r="B19" s="292"/>
      <c r="C19" s="290" t="s">
        <v>52</v>
      </c>
      <c r="D19" s="316" t="s">
        <v>243</v>
      </c>
      <c r="E19" s="290" t="s">
        <v>258</v>
      </c>
      <c r="F19" s="308" t="s">
        <v>13</v>
      </c>
      <c r="G19" s="290"/>
      <c r="H19" s="314" t="s">
        <v>119</v>
      </c>
      <c r="I19" s="344"/>
      <c r="J19" s="344"/>
      <c r="K19" s="344"/>
      <c r="L19" s="345"/>
      <c r="M19" s="314"/>
      <c r="N19" s="344"/>
      <c r="O19" s="344"/>
      <c r="P19" s="344"/>
      <c r="Q19" s="346"/>
      <c r="R19" s="232"/>
      <c r="S19" s="611"/>
      <c r="T19" s="611"/>
      <c r="U19" s="611"/>
      <c r="V19" s="611"/>
      <c r="W19" s="611"/>
      <c r="X19" s="611"/>
      <c r="Y19" s="611"/>
      <c r="Z19" s="611"/>
      <c r="AA19" s="611"/>
      <c r="AB19" s="611"/>
      <c r="AC19" s="611"/>
      <c r="AD19" s="611"/>
      <c r="AE19" s="611"/>
      <c r="AF19" s="611"/>
      <c r="AG19" s="611"/>
      <c r="AH19" s="611"/>
      <c r="AI19" s="611"/>
      <c r="AJ19" s="611"/>
      <c r="AK19" s="374">
        <f t="shared" si="0"/>
        <v>0</v>
      </c>
      <c r="AL19" s="374">
        <f>SUM(SUMIFS(AK19,O19,"CHIP",N19,"FILL",P19,{"CC01*","CC02*","VNN*","NNP*","NN02*","VJCC*","VJNN*","JCC2*","JNN2*"}))+SUM(SUMIFS(AK19,O19,"CHIP",N19,"CREDIT",P19,{"CC01*","CC02*","VNN*","NNP*","NN02*","VJCC*","VJNN*","JCC2*","JNN2*"}))+SUM(SUMIFS(AK19,O19,"CASH",N19,"CREDIT",P19,{"KHR*"}))/4000+SUM(SUMIFS(AK19,O19,"CASH",N19,"FILL",P19,{"KHR*"}))/4000+SUM(SUMIFS(AK19,O19,"CASH",N19,"FILL",P19,{"USD$*"}))+SUM(SUMIFS(AK19,O19,"CASH",N19,"CREDIT",P19,{"USD$*"}))+SUM(SUMIFS(AK19,O19,"CHIP",N19,"VIP TO RB",P19,{"CC01*","CC02*","VNN*","NNP*","NN02*","VJCC*","VJNN*","JCC2*","JNN2*"}))+SUM(SUMIFS(AK19,O19,"CHIP",N19,"RB TO VIP",P19,{"CC01*","CC02*","VNN*","NNP*","NN02*","VJCC*","VJNN*","JCC2*","JNN2*"}))</f>
        <v>0</v>
      </c>
      <c r="AM19" s="660"/>
      <c r="AN19" s="294"/>
      <c r="AO19" s="315" t="s">
        <v>8</v>
      </c>
      <c r="AP19" s="544">
        <f>SUM(AP16:AP18)</f>
        <v>-8000</v>
      </c>
      <c r="AQ19" s="545">
        <f>SUM(AQ16:AQ18)</f>
        <v>0</v>
      </c>
      <c r="AR19" s="545">
        <f>SUM(AR16:AR18)</f>
        <v>0</v>
      </c>
      <c r="AS19" s="886"/>
    </row>
    <row r="20" spans="2:45" s="291" customFormat="1" ht="24.95" customHeight="1" thickBot="1">
      <c r="B20" s="292"/>
      <c r="C20" s="294" t="s">
        <v>149</v>
      </c>
      <c r="D20" s="316" t="s">
        <v>155</v>
      </c>
      <c r="E20" s="290" t="s">
        <v>259</v>
      </c>
      <c r="F20" s="308" t="s">
        <v>44</v>
      </c>
      <c r="G20" s="290"/>
      <c r="H20" s="314" t="s">
        <v>219</v>
      </c>
      <c r="I20" s="344"/>
      <c r="J20" s="344"/>
      <c r="K20" s="344"/>
      <c r="L20" s="345"/>
      <c r="M20" s="314"/>
      <c r="N20" s="344"/>
      <c r="O20" s="344"/>
      <c r="P20" s="344"/>
      <c r="Q20" s="346"/>
      <c r="R20" s="232"/>
      <c r="S20" s="611"/>
      <c r="T20" s="611"/>
      <c r="U20" s="611"/>
      <c r="V20" s="611"/>
      <c r="W20" s="611"/>
      <c r="X20" s="611"/>
      <c r="Y20" s="611"/>
      <c r="Z20" s="611"/>
      <c r="AA20" s="611"/>
      <c r="AB20" s="611"/>
      <c r="AC20" s="611"/>
      <c r="AD20" s="611"/>
      <c r="AE20" s="611"/>
      <c r="AF20" s="611"/>
      <c r="AG20" s="611"/>
      <c r="AH20" s="611"/>
      <c r="AI20" s="611"/>
      <c r="AJ20" s="611"/>
      <c r="AK20" s="374">
        <f t="shared" si="0"/>
        <v>0</v>
      </c>
      <c r="AL20" s="374">
        <f>SUM(SUMIFS(AK20,O20,"CHIP",N20,"FILL",P20,{"CC01*","CC02*","VNN*","NNP*","NN02*","VJCC*","VJNN*","JCC2*","JNN2*"}))+SUM(SUMIFS(AK20,O20,"CHIP",N20,"CREDIT",P20,{"CC01*","CC02*","VNN*","NNP*","NN02*","VJCC*","VJNN*","JCC2*","JNN2*"}))+SUM(SUMIFS(AK20,O20,"CASH",N20,"CREDIT",P20,{"KHR*"}))/4000+SUM(SUMIFS(AK20,O20,"CASH",N20,"FILL",P20,{"KHR*"}))/4000+SUM(SUMIFS(AK20,O20,"CASH",N20,"FILL",P20,{"USD$*"}))+SUM(SUMIFS(AK20,O20,"CASH",N20,"CREDIT",P20,{"USD$*"}))+SUM(SUMIFS(AK20,O20,"CHIP",N20,"VIP TO RB",P20,{"CC01*","CC02*","VNN*","NNP*","NN02*","VJCC*","VJNN*","JCC2*","JNN2*"}))+SUM(SUMIFS(AK20,O20,"CHIP",N20,"RB TO VIP",P20,{"CC01*","CC02*","VNN*","NNP*","NN02*","VJCC*","VJNN*","JCC2*","JNN2*"}))</f>
        <v>0</v>
      </c>
      <c r="AM20" s="661"/>
      <c r="AN20" s="294"/>
    </row>
    <row r="21" spans="2:45" s="291" customFormat="1" ht="23.25" customHeight="1" thickBot="1">
      <c r="B21" s="292"/>
      <c r="C21" s="294" t="s">
        <v>149</v>
      </c>
      <c r="D21" s="318" t="s">
        <v>255</v>
      </c>
      <c r="E21" s="290"/>
      <c r="F21" s="290" t="s">
        <v>76</v>
      </c>
      <c r="G21" s="290"/>
      <c r="H21" s="314" t="s">
        <v>120</v>
      </c>
      <c r="I21" s="344"/>
      <c r="J21" s="344"/>
      <c r="K21" s="344"/>
      <c r="L21" s="345"/>
      <c r="M21" s="314"/>
      <c r="N21" s="344"/>
      <c r="O21" s="344"/>
      <c r="P21" s="344"/>
      <c r="Q21" s="346"/>
      <c r="R21" s="232"/>
      <c r="S21" s="611"/>
      <c r="T21" s="611"/>
      <c r="U21" s="611"/>
      <c r="V21" s="611"/>
      <c r="W21" s="611"/>
      <c r="X21" s="611"/>
      <c r="Y21" s="611"/>
      <c r="Z21" s="611"/>
      <c r="AA21" s="611"/>
      <c r="AB21" s="611"/>
      <c r="AC21" s="611"/>
      <c r="AD21" s="611"/>
      <c r="AE21" s="611"/>
      <c r="AF21" s="611"/>
      <c r="AG21" s="611"/>
      <c r="AH21" s="611"/>
      <c r="AI21" s="611"/>
      <c r="AJ21" s="611"/>
      <c r="AK21" s="374">
        <f t="shared" si="0"/>
        <v>0</v>
      </c>
      <c r="AL21" s="374">
        <f>SUM(SUMIFS(AK21,O21,"CHIP",N21,"FILL",P21,{"CC01*","CC02*","VNN*","NNP*","NN02*","VJCC*","VJNN*","JCC2*","JNN2*"}))+SUM(SUMIFS(AK21,O21,"CHIP",N21,"CREDIT",P21,{"CC01*","CC02*","VNN*","NNP*","NN02*","VJCC*","VJNN*","JCC2*","JNN2*"}))+SUM(SUMIFS(AK21,O21,"CASH",N21,"CREDIT",P21,{"KHR*"}))/4000+SUM(SUMIFS(AK21,O21,"CASH",N21,"FILL",P21,{"KHR*"}))/4000+SUM(SUMIFS(AK21,O21,"CASH",N21,"FILL",P21,{"USD$*"}))+SUM(SUMIFS(AK21,O21,"CASH",N21,"CREDIT",P21,{"USD$*"}))+SUM(SUMIFS(AK21,O21,"CHIP",N21,"VIP TO RB",P21,{"CC01*","CC02*","VNN*","NNP*","NN02*","VJCC*","VJNN*","JCC2*","JNN2*"}))+SUM(SUMIFS(AK21,O21,"CHIP",N21,"RB TO VIP",P21,{"CC01*","CC02*","VNN*","NNP*","NN02*","VJCC*","VJNN*","JCC2*","JNN2*"}))</f>
        <v>0</v>
      </c>
      <c r="AM21" s="661"/>
      <c r="AN21" s="294"/>
      <c r="AO21" s="319"/>
      <c r="AP21" s="292"/>
      <c r="AQ21" s="292"/>
      <c r="AR21" s="293" t="s">
        <v>61</v>
      </c>
      <c r="AS21" s="551">
        <f>AS8+AS15</f>
        <v>20000</v>
      </c>
    </row>
    <row r="22" spans="2:45" s="291" customFormat="1" ht="24.95" customHeight="1">
      <c r="B22" s="292"/>
      <c r="C22" s="292"/>
      <c r="D22" s="318" t="s">
        <v>231</v>
      </c>
      <c r="E22" s="290"/>
      <c r="F22" s="308"/>
      <c r="G22" s="290"/>
      <c r="H22" s="314" t="s">
        <v>121</v>
      </c>
      <c r="I22" s="344"/>
      <c r="J22" s="344"/>
      <c r="K22" s="344"/>
      <c r="L22" s="345"/>
      <c r="M22" s="314"/>
      <c r="N22" s="344"/>
      <c r="O22" s="344"/>
      <c r="P22" s="344"/>
      <c r="Q22" s="346"/>
      <c r="R22" s="232"/>
      <c r="S22" s="611"/>
      <c r="T22" s="611"/>
      <c r="U22" s="611"/>
      <c r="V22" s="611"/>
      <c r="W22" s="611"/>
      <c r="X22" s="611"/>
      <c r="Y22" s="611"/>
      <c r="Z22" s="611"/>
      <c r="AA22" s="611"/>
      <c r="AB22" s="611"/>
      <c r="AC22" s="611"/>
      <c r="AD22" s="611"/>
      <c r="AE22" s="611"/>
      <c r="AF22" s="611"/>
      <c r="AG22" s="611"/>
      <c r="AH22" s="611"/>
      <c r="AI22" s="611"/>
      <c r="AJ22" s="611"/>
      <c r="AK22" s="374">
        <f t="shared" si="0"/>
        <v>0</v>
      </c>
      <c r="AL22" s="374">
        <f>SUM(SUMIFS(AK22,O22,"CHIP",N22,"FILL",P22,{"CC01*","CC02*","VNN*","NNP*","NN02*","VJCC*","VJNN*","JCC2*","JNN2*"}))+SUM(SUMIFS(AK22,O22,"CHIP",N22,"CREDIT",P22,{"CC01*","CC02*","VNN*","NNP*","NN02*","VJCC*","VJNN*","JCC2*","JNN2*"}))+SUM(SUMIFS(AK22,O22,"CASH",N22,"CREDIT",P22,{"KHR*"}))/4000+SUM(SUMIFS(AK22,O22,"CASH",N22,"FILL",P22,{"KHR*"}))/4000+SUM(SUMIFS(AK22,O22,"CASH",N22,"FILL",P22,{"USD$*"}))+SUM(SUMIFS(AK22,O22,"CASH",N22,"CREDIT",P22,{"USD$*"}))+SUM(SUMIFS(AK22,O22,"CHIP",N22,"VIP TO RB",P22,{"CC01*","CC02*","VNN*","NNP*","NN02*","VJCC*","VJNN*","JCC2*","JNN2*"}))+SUM(SUMIFS(AK22,O22,"CHIP",N22,"RB TO VIP",P22,{"CC01*","CC02*","VNN*","NNP*","NN02*","VJCC*","VJNN*","JCC2*","JNN2*"}))</f>
        <v>0</v>
      </c>
      <c r="AM22" s="661"/>
      <c r="AN22" s="294"/>
      <c r="AO22" s="320" t="s">
        <v>77</v>
      </c>
      <c r="AP22" s="321"/>
      <c r="AQ22" s="554">
        <f>SUMIFS($AL$8:$AL$108,$O$8:$O$108,"MARKER",$L$8:$L$108,"OB",$N$8:$N$108,"FILL")</f>
        <v>0</v>
      </c>
      <c r="AR22" s="890">
        <f>SUM(AQ22:AQ26)</f>
        <v>-8000</v>
      </c>
      <c r="AS22" s="891"/>
    </row>
    <row r="23" spans="2:45" s="291" customFormat="1" ht="24.95" customHeight="1">
      <c r="B23" s="292"/>
      <c r="C23" s="292"/>
      <c r="D23" s="318" t="s">
        <v>171</v>
      </c>
      <c r="E23" s="290"/>
      <c r="F23" s="308"/>
      <c r="G23" s="290"/>
      <c r="H23" s="314" t="s">
        <v>122</v>
      </c>
      <c r="I23" s="344"/>
      <c r="J23" s="344"/>
      <c r="K23" s="344"/>
      <c r="L23" s="345"/>
      <c r="M23" s="314"/>
      <c r="N23" s="344"/>
      <c r="O23" s="344"/>
      <c r="P23" s="344"/>
      <c r="Q23" s="346"/>
      <c r="R23" s="232"/>
      <c r="S23" s="611"/>
      <c r="T23" s="611"/>
      <c r="U23" s="611"/>
      <c r="V23" s="611"/>
      <c r="W23" s="611"/>
      <c r="X23" s="611"/>
      <c r="Y23" s="611"/>
      <c r="Z23" s="611"/>
      <c r="AA23" s="611"/>
      <c r="AB23" s="611"/>
      <c r="AC23" s="611"/>
      <c r="AD23" s="611"/>
      <c r="AE23" s="611"/>
      <c r="AF23" s="611"/>
      <c r="AG23" s="611"/>
      <c r="AH23" s="611"/>
      <c r="AI23" s="611"/>
      <c r="AJ23" s="611"/>
      <c r="AK23" s="374">
        <f t="shared" si="0"/>
        <v>0</v>
      </c>
      <c r="AL23" s="374">
        <f>SUM(SUMIFS(AK23,O23,"CHIP",N23,"FILL",P23,{"CC01*","CC02*","VNN*","NNP*","NN02*","VJCC*","VJNN*","JCC2*","JNN2*"}))+SUM(SUMIFS(AK23,O23,"CHIP",N23,"CREDIT",P23,{"CC01*","CC02*","VNN*","NNP*","NN02*","VJCC*","VJNN*","JCC2*","JNN2*"}))+SUM(SUMIFS(AK23,O23,"CASH",N23,"CREDIT",P23,{"KHR*"}))/4000+SUM(SUMIFS(AK23,O23,"CASH",N23,"FILL",P23,{"KHR*"}))/4000+SUM(SUMIFS(AK23,O23,"CASH",N23,"FILL",P23,{"USD$*"}))+SUM(SUMIFS(AK23,O23,"CASH",N23,"CREDIT",P23,{"USD$*"}))+SUM(SUMIFS(AK23,O23,"CHIP",N23,"VIP TO RB",P23,{"CC01*","CC02*","VNN*","NNP*","NN02*","VJCC*","VJNN*","JCC2*","JNN2*"}))+SUM(SUMIFS(AK23,O23,"CHIP",N23,"RB TO VIP",P23,{"CC01*","CC02*","VNN*","NNP*","NN02*","VJCC*","VJNN*","JCC2*","JNN2*"}))</f>
        <v>0</v>
      </c>
      <c r="AM23" s="661"/>
      <c r="AN23" s="294"/>
      <c r="AO23" s="322" t="s">
        <v>55</v>
      </c>
      <c r="AP23" s="323"/>
      <c r="AQ23" s="555">
        <f>SUM(SUMIFS($AL$8:$AL$108,$O$8:$O$108,"CASH",$N$8:$N$108,"FILL",$L$8:$L$108,{"VB*","VNN*","DT*","BJ*","RL*","FPC*","PG*","TS*","NN*","MB*"}))</f>
        <v>0</v>
      </c>
      <c r="AR23" s="892"/>
      <c r="AS23" s="893"/>
    </row>
    <row r="24" spans="2:45" s="291" customFormat="1" ht="24.95" customHeight="1">
      <c r="B24" s="292"/>
      <c r="C24" s="292"/>
      <c r="D24" s="318" t="s">
        <v>172</v>
      </c>
      <c r="E24" s="290"/>
      <c r="F24" s="290"/>
      <c r="G24" s="290"/>
      <c r="H24" s="314" t="s">
        <v>123</v>
      </c>
      <c r="I24" s="344"/>
      <c r="J24" s="344"/>
      <c r="K24" s="344"/>
      <c r="L24" s="345"/>
      <c r="M24" s="314"/>
      <c r="N24" s="344"/>
      <c r="O24" s="344"/>
      <c r="P24" s="344"/>
      <c r="Q24" s="346"/>
      <c r="R24" s="232"/>
      <c r="S24" s="611"/>
      <c r="T24" s="611"/>
      <c r="U24" s="611"/>
      <c r="V24" s="611"/>
      <c r="W24" s="611"/>
      <c r="X24" s="611"/>
      <c r="Y24" s="611"/>
      <c r="Z24" s="611"/>
      <c r="AA24" s="611"/>
      <c r="AB24" s="611"/>
      <c r="AC24" s="611"/>
      <c r="AD24" s="611"/>
      <c r="AE24" s="611"/>
      <c r="AF24" s="611"/>
      <c r="AG24" s="611"/>
      <c r="AH24" s="611"/>
      <c r="AI24" s="611"/>
      <c r="AJ24" s="611"/>
      <c r="AK24" s="374">
        <f t="shared" si="0"/>
        <v>0</v>
      </c>
      <c r="AL24" s="374">
        <f>SUM(SUMIFS(AK24,O24,"CHIP",N24,"FILL",P24,{"CC01*","CC02*","VNN*","NNP*","NN02*","VJCC*","VJNN*","JCC2*","JNN2*"}))+SUM(SUMIFS(AK24,O24,"CHIP",N24,"CREDIT",P24,{"CC01*","CC02*","VNN*","NNP*","NN02*","VJCC*","VJNN*","JCC2*","JNN2*"}))+SUM(SUMIFS(AK24,O24,"CASH",N24,"CREDIT",P24,{"KHR*"}))/4000+SUM(SUMIFS(AK24,O24,"CASH",N24,"FILL",P24,{"KHR*"}))/4000+SUM(SUMIFS(AK24,O24,"CASH",N24,"FILL",P24,{"USD$*"}))+SUM(SUMIFS(AK24,O24,"CASH",N24,"CREDIT",P24,{"USD$*"}))+SUM(SUMIFS(AK24,O24,"CHIP",N24,"VIP TO RB",P24,{"CC01*","CC02*","VNN*","NNP*","NN02*","VJCC*","VJNN*","JCC2*","JNN2*"}))+SUM(SUMIFS(AK24,O24,"CHIP",N24,"RB TO VIP",P24,{"CC01*","CC02*","VNN*","NNP*","NN02*","VJCC*","VJNN*","JCC2*","JNN2*"}))</f>
        <v>0</v>
      </c>
      <c r="AM24" s="661"/>
      <c r="AN24" s="294"/>
      <c r="AO24" s="322" t="s">
        <v>56</v>
      </c>
      <c r="AP24" s="323"/>
      <c r="AQ24" s="555">
        <f>SUMIFS($AL$8:$AL$108,$O$8:$O$108,"CASH",$N$8:$N$108,"FILL",$L$8:$L$108,"OB",$P$8:$P$108,"USD$")+SUMIFS($AL$8:$AL$108,$O$8:$O$108,"CASH",$N$8:$N$108,"FILL",$L$8:$L$108,"OB",$P$8:$P$108,"KHR")</f>
        <v>0</v>
      </c>
      <c r="AR24" s="892"/>
      <c r="AS24" s="893"/>
    </row>
    <row r="25" spans="2:45" s="291" customFormat="1" ht="24.95" customHeight="1">
      <c r="B25" s="292"/>
      <c r="C25" s="292"/>
      <c r="D25" s="318" t="s">
        <v>166</v>
      </c>
      <c r="E25" s="290"/>
      <c r="F25" s="290"/>
      <c r="G25" s="290"/>
      <c r="H25" s="314" t="s">
        <v>124</v>
      </c>
      <c r="I25" s="344"/>
      <c r="J25" s="344"/>
      <c r="K25" s="344"/>
      <c r="L25" s="345"/>
      <c r="M25" s="314"/>
      <c r="N25" s="344"/>
      <c r="O25" s="344"/>
      <c r="P25" s="344"/>
      <c r="Q25" s="346"/>
      <c r="R25" s="232"/>
      <c r="S25" s="611"/>
      <c r="T25" s="611"/>
      <c r="U25" s="611"/>
      <c r="V25" s="611"/>
      <c r="W25" s="611"/>
      <c r="X25" s="611"/>
      <c r="Y25" s="611"/>
      <c r="Z25" s="611"/>
      <c r="AA25" s="611"/>
      <c r="AB25" s="611"/>
      <c r="AC25" s="611"/>
      <c r="AD25" s="611"/>
      <c r="AE25" s="611"/>
      <c r="AF25" s="611"/>
      <c r="AG25" s="611"/>
      <c r="AH25" s="611"/>
      <c r="AI25" s="611"/>
      <c r="AJ25" s="611"/>
      <c r="AK25" s="374">
        <f t="shared" si="0"/>
        <v>0</v>
      </c>
      <c r="AL25" s="374">
        <f>SUM(SUMIFS(AK25,O25,"CHIP",N25,"FILL",P25,{"CC01*","CC02*","VNN*","NNP*","NN02*","VJCC*","VJNN*","JCC2*","JNN2*"}))+SUM(SUMIFS(AK25,O25,"CHIP",N25,"CREDIT",P25,{"CC01*","CC02*","VNN*","NNP*","NN02*","VJCC*","VJNN*","JCC2*","JNN2*"}))+SUM(SUMIFS(AK25,O25,"CASH",N25,"CREDIT",P25,{"KHR*"}))/4000+SUM(SUMIFS(AK25,O25,"CASH",N25,"FILL",P25,{"KHR*"}))/4000+SUM(SUMIFS(AK25,O25,"CASH",N25,"FILL",P25,{"USD$*"}))+SUM(SUMIFS(AK25,O25,"CASH",N25,"CREDIT",P25,{"USD$*"}))+SUM(SUMIFS(AK25,O25,"CHIP",N25,"VIP TO RB",P25,{"CC01*","CC02*","VNN*","NNP*","NN02*","VJCC*","VJNN*","JCC2*","JNN2*"}))+SUM(SUMIFS(AK25,O25,"CHIP",N25,"RB TO VIP",P25,{"CC01*","CC02*","VNN*","NNP*","NN02*","VJCC*","VJNN*","JCC2*","JNN2*"}))</f>
        <v>0</v>
      </c>
      <c r="AM25" s="661"/>
      <c r="AN25" s="294"/>
      <c r="AO25" s="322" t="s">
        <v>57</v>
      </c>
      <c r="AP25" s="323"/>
      <c r="AQ25" s="555">
        <f>SUMIFS($AL$8:$AL$108,$O$8:$O$108,"CASH",$N$8:$N$108,"FILL",$L$8:$L$108,"RB",$P$8:$P$108,"USD$")+SUMIFS($AL$8:$AL$108,$O$8:$O$108,"CASH",$N$8:$N$108,"FILL",$L$8:$L$108,"RB",$P$8:$P$108,"KHR")</f>
        <v>0</v>
      </c>
      <c r="AR25" s="892"/>
      <c r="AS25" s="893"/>
    </row>
    <row r="26" spans="2:45" s="291" customFormat="1" ht="24.95" customHeight="1" thickBot="1">
      <c r="B26" s="292"/>
      <c r="C26" s="292"/>
      <c r="D26" s="318" t="s">
        <v>163</v>
      </c>
      <c r="E26" s="290"/>
      <c r="F26" s="290"/>
      <c r="G26" s="290"/>
      <c r="H26" s="314" t="s">
        <v>114</v>
      </c>
      <c r="I26" s="344"/>
      <c r="J26" s="344"/>
      <c r="K26" s="344"/>
      <c r="L26" s="345"/>
      <c r="M26" s="314"/>
      <c r="N26" s="344"/>
      <c r="O26" s="344"/>
      <c r="P26" s="344"/>
      <c r="Q26" s="346"/>
      <c r="R26" s="232"/>
      <c r="S26" s="611"/>
      <c r="T26" s="611"/>
      <c r="U26" s="611"/>
      <c r="V26" s="611"/>
      <c r="W26" s="611"/>
      <c r="X26" s="611"/>
      <c r="Y26" s="611"/>
      <c r="Z26" s="611"/>
      <c r="AA26" s="611"/>
      <c r="AB26" s="611"/>
      <c r="AC26" s="611"/>
      <c r="AD26" s="611"/>
      <c r="AE26" s="611"/>
      <c r="AF26" s="611"/>
      <c r="AG26" s="611"/>
      <c r="AH26" s="611"/>
      <c r="AI26" s="611"/>
      <c r="AJ26" s="611"/>
      <c r="AK26" s="374">
        <f t="shared" si="0"/>
        <v>0</v>
      </c>
      <c r="AL26" s="374">
        <f>SUM(SUMIFS(AK26,O26,"CHIP",N26,"FILL",P26,{"CC01*","CC02*","VNN*","NNP*","NN02*","VJCC*","VJNN*","JCC2*","JNN2*"}))+SUM(SUMIFS(AK26,O26,"CHIP",N26,"CREDIT",P26,{"CC01*","CC02*","VNN*","NNP*","NN02*","VJCC*","VJNN*","JCC2*","JNN2*"}))+SUM(SUMIFS(AK26,O26,"CASH",N26,"CREDIT",P26,{"KHR*"}))/4000+SUM(SUMIFS(AK26,O26,"CASH",N26,"FILL",P26,{"KHR*"}))/4000+SUM(SUMIFS(AK26,O26,"CASH",N26,"FILL",P26,{"USD$*"}))+SUM(SUMIFS(AK26,O26,"CASH",N26,"CREDIT",P26,{"USD$*"}))+SUM(SUMIFS(AK26,O26,"CHIP",N26,"VIP TO RB",P26,{"CC01*","CC02*","VNN*","NNP*","NN02*","VJCC*","VJNN*","JCC2*","JNN2*"}))+SUM(SUMIFS(AK26,O26,"CHIP",N26,"RB TO VIP",P26,{"CC01*","CC02*","VNN*","NNP*","NN02*","VJCC*","VJNN*","JCC2*","JNN2*"}))</f>
        <v>0</v>
      </c>
      <c r="AM26" s="661"/>
      <c r="AN26" s="294"/>
      <c r="AO26" s="324" t="s">
        <v>296</v>
      </c>
      <c r="AP26" s="325"/>
      <c r="AQ26" s="556">
        <f>+SUM(SUMIFS($AL$8:$AL$108,$O$8:$O$108,"CASH",$N$8:$N$108,"FILL",$P$8:$P$108,"USD$",$L$8:$L$108,{"FW01*","FW02*","TORO*"}))+SUM(SUMIFS($AL$8:$AL$108,$O$8:$O$108,"CASH",$N$8:$N108,"FILL",$P$8:$P$108,"KHR",$L$8:$L$108,{"FW01*","FW02*","TORO*"}))</f>
        <v>-8000</v>
      </c>
      <c r="AR26" s="894"/>
      <c r="AS26" s="895"/>
    </row>
    <row r="27" spans="2:45" s="291" customFormat="1" ht="24.95" customHeight="1">
      <c r="B27" s="292"/>
      <c r="C27" s="292"/>
      <c r="D27" s="318" t="s">
        <v>181</v>
      </c>
      <c r="E27" s="290"/>
      <c r="F27" s="290"/>
      <c r="G27" s="290"/>
      <c r="H27" s="314" t="s">
        <v>125</v>
      </c>
      <c r="I27" s="344"/>
      <c r="J27" s="344"/>
      <c r="K27" s="344"/>
      <c r="L27" s="345"/>
      <c r="M27" s="314"/>
      <c r="N27" s="344"/>
      <c r="O27" s="344"/>
      <c r="P27" s="344"/>
      <c r="Q27" s="346"/>
      <c r="R27" s="232"/>
      <c r="S27" s="611"/>
      <c r="T27" s="611"/>
      <c r="U27" s="611"/>
      <c r="V27" s="611"/>
      <c r="W27" s="611"/>
      <c r="X27" s="611"/>
      <c r="Y27" s="611"/>
      <c r="Z27" s="611"/>
      <c r="AA27" s="611"/>
      <c r="AB27" s="611"/>
      <c r="AC27" s="611"/>
      <c r="AD27" s="611"/>
      <c r="AE27" s="611"/>
      <c r="AF27" s="611"/>
      <c r="AG27" s="611"/>
      <c r="AH27" s="611"/>
      <c r="AI27" s="611"/>
      <c r="AJ27" s="611"/>
      <c r="AK27" s="374">
        <f t="shared" si="0"/>
        <v>0</v>
      </c>
      <c r="AL27" s="374">
        <f>SUM(SUMIFS(AK27,O27,"CHIP",N27,"FILL",P27,{"CC01*","CC02*","VNN*","NNP*","NN02*","VJCC*","VJNN*","JCC2*","JNN2*"}))+SUM(SUMIFS(AK27,O27,"CHIP",N27,"CREDIT",P27,{"CC01*","CC02*","VNN*","NNP*","NN02*","VJCC*","VJNN*","JCC2*","JNN2*"}))+SUM(SUMIFS(AK27,O27,"CASH",N27,"CREDIT",P27,{"KHR*"}))/4000+SUM(SUMIFS(AK27,O27,"CASH",N27,"FILL",P27,{"KHR*"}))/4000+SUM(SUMIFS(AK27,O27,"CASH",N27,"FILL",P27,{"USD$*"}))+SUM(SUMIFS(AK27,O27,"CASH",N27,"CREDIT",P27,{"USD$*"}))+SUM(SUMIFS(AK27,O27,"CHIP",N27,"VIP TO RB",P27,{"CC01*","CC02*","VNN*","NNP*","NN02*","VJCC*","VJNN*","JCC2*","JNN2*"}))+SUM(SUMIFS(AK27,O27,"CHIP",N27,"RB TO VIP",P27,{"CC01*","CC02*","VNN*","NNP*","NN02*","VJCC*","VJNN*","JCC2*","JNN2*"}))</f>
        <v>0</v>
      </c>
      <c r="AM27" s="661"/>
      <c r="AN27" s="294"/>
      <c r="AO27" s="552" t="s">
        <v>58</v>
      </c>
      <c r="AP27" s="553"/>
      <c r="AQ27" s="559">
        <f>SUM(SUMIFS($AL$8:$AL$108,$O$8:$O$108,"CHIP",$N$8:$N$108,"FILL",$L$8:$L$108,{"VB*","VNN*","DT*","BJ*","RL*","FPC*","PG*","TS*","NN*","MB*"}))</f>
        <v>0</v>
      </c>
      <c r="AR27" s="890">
        <f>SUM(AQ27:AQ31)</f>
        <v>0</v>
      </c>
      <c r="AS27" s="891"/>
    </row>
    <row r="28" spans="2:45" s="291" customFormat="1" ht="24.95" customHeight="1">
      <c r="B28" s="292"/>
      <c r="C28" s="292"/>
      <c r="D28" s="318" t="s">
        <v>182</v>
      </c>
      <c r="E28" s="290"/>
      <c r="F28" s="290"/>
      <c r="G28" s="290"/>
      <c r="H28" s="314" t="s">
        <v>126</v>
      </c>
      <c r="I28" s="344"/>
      <c r="J28" s="344"/>
      <c r="K28" s="344"/>
      <c r="L28" s="345"/>
      <c r="M28" s="314"/>
      <c r="N28" s="344"/>
      <c r="O28" s="344"/>
      <c r="P28" s="344"/>
      <c r="Q28" s="346"/>
      <c r="R28" s="232"/>
      <c r="S28" s="611"/>
      <c r="T28" s="611"/>
      <c r="U28" s="611"/>
      <c r="V28" s="611"/>
      <c r="W28" s="611"/>
      <c r="X28" s="611"/>
      <c r="Y28" s="611"/>
      <c r="Z28" s="611"/>
      <c r="AA28" s="611"/>
      <c r="AB28" s="611"/>
      <c r="AC28" s="611"/>
      <c r="AD28" s="611"/>
      <c r="AE28" s="611"/>
      <c r="AF28" s="611"/>
      <c r="AG28" s="611"/>
      <c r="AH28" s="611"/>
      <c r="AI28" s="611"/>
      <c r="AJ28" s="611"/>
      <c r="AK28" s="374">
        <f t="shared" si="0"/>
        <v>0</v>
      </c>
      <c r="AL28" s="374">
        <f>SUM(SUMIFS(AK28,O28,"CHIP",N28,"FILL",P28,{"CC01*","CC02*","VNN*","NNP*","NN02*","VJCC*","VJNN*","JCC2*","JNN2*"}))+SUM(SUMIFS(AK28,O28,"CHIP",N28,"CREDIT",P28,{"CC01*","CC02*","VNN*","NNP*","NN02*","VJCC*","VJNN*","JCC2*","JNN2*"}))+SUM(SUMIFS(AK28,O28,"CASH",N28,"CREDIT",P28,{"KHR*"}))/4000+SUM(SUMIFS(AK28,O28,"CASH",N28,"FILL",P28,{"KHR*"}))/4000+SUM(SUMIFS(AK28,O28,"CASH",N28,"FILL",P28,{"USD$*"}))+SUM(SUMIFS(AK28,O28,"CASH",N28,"CREDIT",P28,{"USD$*"}))+SUM(SUMIFS(AK28,O28,"CHIP",N28,"VIP TO RB",P28,{"CC01*","CC02*","VNN*","NNP*","NN02*","VJCC*","VJNN*","JCC2*","JNN2*"}))+SUM(SUMIFS(AK28,O28,"CHIP",N28,"RB TO VIP",P28,{"CC01*","CC02*","VNN*","NNP*","NN02*","VJCC*","VJNN*","JCC2*","JNN2*"}))</f>
        <v>0</v>
      </c>
      <c r="AM28" s="661"/>
      <c r="AN28" s="294"/>
      <c r="AO28" s="326" t="s">
        <v>59</v>
      </c>
      <c r="AP28" s="327"/>
      <c r="AQ28" s="555">
        <f>SUMIFS($AL$8:$AL$108,$O$8:$O$108,"CHIP",$N$8:$N$108,"FILL",$L$8:$L$108,{"OB"})</f>
        <v>0</v>
      </c>
      <c r="AR28" s="892"/>
      <c r="AS28" s="893"/>
    </row>
    <row r="29" spans="2:45" s="291" customFormat="1" ht="24.95" customHeight="1">
      <c r="B29" s="292"/>
      <c r="C29" s="292"/>
      <c r="D29" s="318" t="s">
        <v>293</v>
      </c>
      <c r="E29" s="290"/>
      <c r="F29" s="290"/>
      <c r="G29" s="290"/>
      <c r="H29" s="314" t="s">
        <v>127</v>
      </c>
      <c r="I29" s="344"/>
      <c r="J29" s="344"/>
      <c r="K29" s="344"/>
      <c r="L29" s="345"/>
      <c r="M29" s="314"/>
      <c r="N29" s="344"/>
      <c r="O29" s="344"/>
      <c r="P29" s="344"/>
      <c r="Q29" s="346"/>
      <c r="R29" s="232"/>
      <c r="S29" s="611"/>
      <c r="T29" s="611"/>
      <c r="U29" s="611"/>
      <c r="V29" s="611"/>
      <c r="W29" s="611"/>
      <c r="X29" s="611"/>
      <c r="Y29" s="611"/>
      <c r="Z29" s="611"/>
      <c r="AA29" s="611"/>
      <c r="AB29" s="611"/>
      <c r="AC29" s="611"/>
      <c r="AD29" s="611"/>
      <c r="AE29" s="611"/>
      <c r="AF29" s="611"/>
      <c r="AG29" s="611"/>
      <c r="AH29" s="611"/>
      <c r="AI29" s="611"/>
      <c r="AJ29" s="611"/>
      <c r="AK29" s="374">
        <f t="shared" si="0"/>
        <v>0</v>
      </c>
      <c r="AL29" s="374">
        <f>SUM(SUMIFS(AK29,O29,"CHIP",N29,"FILL",P29,{"CC01*","CC02*","VNN*","NNP*","NN02*","VJCC*","VJNN*","JCC2*","JNN2*"}))+SUM(SUMIFS(AK29,O29,"CHIP",N29,"CREDIT",P29,{"CC01*","CC02*","VNN*","NNP*","NN02*","VJCC*","VJNN*","JCC2*","JNN2*"}))+SUM(SUMIFS(AK29,O29,"CASH",N29,"CREDIT",P29,{"KHR*"}))/4000+SUM(SUMIFS(AK29,O29,"CASH",N29,"FILL",P29,{"KHR*"}))/4000+SUM(SUMIFS(AK29,O29,"CASH",N29,"FILL",P29,{"USD$*"}))+SUM(SUMIFS(AK29,O29,"CASH",N29,"CREDIT",P29,{"USD$*"}))+SUM(SUMIFS(AK29,O29,"CHIP",N29,"VIP TO RB",P29,{"CC01*","CC02*","VNN*","NNP*","NN02*","VJCC*","VJNN*","JCC2*","JNN2*"}))+SUM(SUMIFS(AK29,O29,"CHIP",N29,"RB TO VIP",P29,{"CC01*","CC02*","VNN*","NNP*","NN02*","VJCC*","VJNN*","JCC2*","JNN2*"}))</f>
        <v>0</v>
      </c>
      <c r="AM29" s="661"/>
      <c r="AN29" s="294"/>
      <c r="AO29" s="326" t="s">
        <v>60</v>
      </c>
      <c r="AP29" s="327"/>
      <c r="AQ29" s="555">
        <f>SUMIFS($AL$8:$AL$108,$O$8:$O$108,"CHIP",$N$8:$N$108,"FILL",$L$8:$L$108,"RB")</f>
        <v>0</v>
      </c>
      <c r="AR29" s="892"/>
      <c r="AS29" s="893"/>
    </row>
    <row r="30" spans="2:45" s="291" customFormat="1" ht="24.95" customHeight="1">
      <c r="B30" s="292"/>
      <c r="C30" s="292"/>
      <c r="D30" s="318" t="s">
        <v>294</v>
      </c>
      <c r="E30" s="290"/>
      <c r="F30" s="290"/>
      <c r="G30" s="290"/>
      <c r="H30" s="314" t="s">
        <v>115</v>
      </c>
      <c r="I30" s="344"/>
      <c r="J30" s="344"/>
      <c r="K30" s="344"/>
      <c r="L30" s="345"/>
      <c r="M30" s="314"/>
      <c r="N30" s="344"/>
      <c r="O30" s="344"/>
      <c r="P30" s="344"/>
      <c r="Q30" s="346"/>
      <c r="R30" s="232"/>
      <c r="S30" s="611"/>
      <c r="T30" s="611"/>
      <c r="U30" s="611"/>
      <c r="V30" s="611"/>
      <c r="W30" s="611"/>
      <c r="X30" s="611"/>
      <c r="Y30" s="611"/>
      <c r="Z30" s="611"/>
      <c r="AA30" s="611"/>
      <c r="AB30" s="611"/>
      <c r="AC30" s="611"/>
      <c r="AD30" s="611"/>
      <c r="AE30" s="611"/>
      <c r="AF30" s="611"/>
      <c r="AG30" s="611"/>
      <c r="AH30" s="611"/>
      <c r="AI30" s="611"/>
      <c r="AJ30" s="611"/>
      <c r="AK30" s="374">
        <f t="shared" si="0"/>
        <v>0</v>
      </c>
      <c r="AL30" s="374">
        <f>SUM(SUMIFS(AK30,O30,"CHIP",N30,"FILL",P30,{"CC01*","CC02*","VNN*","NNP*","NN02*","VJCC*","VJNN*","JCC2*","JNN2*"}))+SUM(SUMIFS(AK30,O30,"CHIP",N30,"CREDIT",P30,{"CC01*","CC02*","VNN*","NNP*","NN02*","VJCC*","VJNN*","JCC2*","JNN2*"}))+SUM(SUMIFS(AK30,O30,"CASH",N30,"CREDIT",P30,{"KHR*"}))/4000+SUM(SUMIFS(AK30,O30,"CASH",N30,"FILL",P30,{"KHR*"}))/4000+SUM(SUMIFS(AK30,O30,"CASH",N30,"FILL",P30,{"USD$*"}))+SUM(SUMIFS(AK30,O30,"CASH",N30,"CREDIT",P30,{"USD$*"}))+SUM(SUMIFS(AK30,O30,"CHIP",N30,"VIP TO RB",P30,{"CC01*","CC02*","VNN*","NNP*","NN02*","VJCC*","VJNN*","JCC2*","JNN2*"}))+SUM(SUMIFS(AK30,O30,"CHIP",N30,"RB TO VIP",P30,{"CC01*","CC02*","VNN*","NNP*","NN02*","VJCC*","VJNN*","JCC2*","JNN2*"}))</f>
        <v>0</v>
      </c>
      <c r="AM30" s="661"/>
      <c r="AN30" s="294"/>
      <c r="AO30" s="326" t="s">
        <v>359</v>
      </c>
      <c r="AP30" s="616"/>
      <c r="AQ30" s="555">
        <f>SUMIFS($AL$8:$AL$108,$O$8:$O$108,"CHIP",$N$8:$N$108,"VIP to MH")</f>
        <v>0</v>
      </c>
      <c r="AR30" s="892"/>
      <c r="AS30" s="893"/>
    </row>
    <row r="31" spans="2:45" s="291" customFormat="1" ht="24.95" customHeight="1" thickBot="1">
      <c r="B31" s="292"/>
      <c r="C31" s="292"/>
      <c r="D31" s="318" t="s">
        <v>295</v>
      </c>
      <c r="E31" s="290"/>
      <c r="F31" s="290"/>
      <c r="G31" s="290"/>
      <c r="H31" s="314" t="s">
        <v>116</v>
      </c>
      <c r="I31" s="344"/>
      <c r="J31" s="344"/>
      <c r="K31" s="344"/>
      <c r="L31" s="345"/>
      <c r="M31" s="314"/>
      <c r="N31" s="344"/>
      <c r="O31" s="344"/>
      <c r="P31" s="344"/>
      <c r="Q31" s="346"/>
      <c r="R31" s="232"/>
      <c r="S31" s="611"/>
      <c r="T31" s="611"/>
      <c r="U31" s="611"/>
      <c r="V31" s="611"/>
      <c r="W31" s="611"/>
      <c r="X31" s="611"/>
      <c r="Y31" s="611"/>
      <c r="Z31" s="611"/>
      <c r="AA31" s="611"/>
      <c r="AB31" s="611"/>
      <c r="AC31" s="611"/>
      <c r="AD31" s="611"/>
      <c r="AE31" s="611"/>
      <c r="AF31" s="611"/>
      <c r="AG31" s="611"/>
      <c r="AH31" s="611"/>
      <c r="AI31" s="611"/>
      <c r="AJ31" s="611"/>
      <c r="AK31" s="374">
        <f t="shared" si="0"/>
        <v>0</v>
      </c>
      <c r="AL31" s="374">
        <f>SUM(SUMIFS(AK31,O31,"CHIP",N31,"FILL",P31,{"CC01*","CC02*","VNN*","NNP*","NN02*","VJCC*","VJNN*","JCC2*","JNN2*"}))+SUM(SUMIFS(AK31,O31,"CHIP",N31,"CREDIT",P31,{"CC01*","CC02*","VNN*","NNP*","NN02*","VJCC*","VJNN*","JCC2*","JNN2*"}))+SUM(SUMIFS(AK31,O31,"CASH",N31,"CREDIT",P31,{"KHR*"}))/4000+SUM(SUMIFS(AK31,O31,"CASH",N31,"FILL",P31,{"KHR*"}))/4000+SUM(SUMIFS(AK31,O31,"CASH",N31,"FILL",P31,{"USD$*"}))+SUM(SUMIFS(AK31,O31,"CASH",N31,"CREDIT",P31,{"USD$*"}))+SUM(SUMIFS(AK31,O31,"CHIP",N31,"VIP TO RB",P31,{"CC01*","CC02*","VNN*","NNP*","NN02*","VJCC*","VJNN*","JCC2*","JNN2*"}))+SUM(SUMIFS(AK31,O31,"CHIP",N31,"RB TO VIP",P31,{"CC01*","CC02*","VNN*","NNP*","NN02*","VJCC*","VJNN*","JCC2*","JNN2*"}))</f>
        <v>0</v>
      </c>
      <c r="AM31" s="661"/>
      <c r="AN31" s="294"/>
      <c r="AO31" s="328" t="s">
        <v>297</v>
      </c>
      <c r="AP31" s="329"/>
      <c r="AQ31" s="556">
        <f>SUM(SUMIFS($AL$8:$AL$108,$O$8:$O$108,"CHIP",$N$8:$N$108,"FILL",$L$8:$L108,{"FW01*","FW02*","TORO*"}))</f>
        <v>0</v>
      </c>
      <c r="AR31" s="894"/>
      <c r="AS31" s="895"/>
    </row>
    <row r="32" spans="2:45" s="291" customFormat="1" ht="24.95" customHeight="1" thickBot="1">
      <c r="B32" s="292"/>
      <c r="C32" s="292"/>
      <c r="D32" s="318" t="s">
        <v>150</v>
      </c>
      <c r="E32" s="290"/>
      <c r="F32" s="290"/>
      <c r="G32" s="290"/>
      <c r="H32" s="314" t="s">
        <v>128</v>
      </c>
      <c r="I32" s="344"/>
      <c r="J32" s="344"/>
      <c r="K32" s="344"/>
      <c r="L32" s="345"/>
      <c r="M32" s="314"/>
      <c r="N32" s="344"/>
      <c r="O32" s="344"/>
      <c r="P32" s="344"/>
      <c r="Q32" s="346"/>
      <c r="R32" s="232"/>
      <c r="S32" s="611"/>
      <c r="T32" s="611"/>
      <c r="U32" s="611"/>
      <c r="V32" s="611"/>
      <c r="W32" s="611"/>
      <c r="X32" s="611"/>
      <c r="Y32" s="611"/>
      <c r="Z32" s="611"/>
      <c r="AA32" s="611"/>
      <c r="AB32" s="611"/>
      <c r="AC32" s="611"/>
      <c r="AD32" s="611"/>
      <c r="AE32" s="611"/>
      <c r="AF32" s="611"/>
      <c r="AG32" s="611"/>
      <c r="AH32" s="611"/>
      <c r="AI32" s="611"/>
      <c r="AJ32" s="611"/>
      <c r="AK32" s="374">
        <f t="shared" si="0"/>
        <v>0</v>
      </c>
      <c r="AL32" s="374">
        <f>SUM(SUMIFS(AK32,O32,"CHIP",N32,"FILL",P32,{"CC01*","CC02*","VNN*","NNP*","NN02*","VJCC*","VJNN*","JCC2*","JNN2*"}))+SUM(SUMIFS(AK32,O32,"CHIP",N32,"CREDIT",P32,{"CC01*","CC02*","VNN*","NNP*","NN02*","VJCC*","VJNN*","JCC2*","JNN2*"}))+SUM(SUMIFS(AK32,O32,"CASH",N32,"CREDIT",P32,{"KHR*"}))/4000+SUM(SUMIFS(AK32,O32,"CASH",N32,"FILL",P32,{"KHR*"}))/4000+SUM(SUMIFS(AK32,O32,"CASH",N32,"FILL",P32,{"USD$*"}))+SUM(SUMIFS(AK32,O32,"CASH",N32,"CREDIT",P32,{"USD$*"}))+SUM(SUMIFS(AK32,O32,"CHIP",N32,"VIP TO RB",P32,{"CC01*","CC02*","VNN*","NNP*","NN02*","VJCC*","VJNN*","JCC2*","JNN2*"}))+SUM(SUMIFS(AK32,O32,"CHIP",N32,"RB TO VIP",P32,{"CC01*","CC02*","VNN*","NNP*","NN02*","VJCC*","VJNN*","JCC2*","JNN2*"}))</f>
        <v>0</v>
      </c>
      <c r="AM32" s="661"/>
      <c r="AN32" s="294"/>
      <c r="AQ32" s="330"/>
      <c r="AR32" s="331"/>
      <c r="AS32" s="331"/>
    </row>
    <row r="33" spans="2:45" s="291" customFormat="1" ht="24.95" customHeight="1">
      <c r="B33" s="292"/>
      <c r="C33" s="292"/>
      <c r="D33" s="318" t="s">
        <v>148</v>
      </c>
      <c r="E33" s="290"/>
      <c r="F33" s="290"/>
      <c r="G33" s="290"/>
      <c r="H33" s="314" t="s">
        <v>129</v>
      </c>
      <c r="I33" s="344"/>
      <c r="J33" s="344"/>
      <c r="K33" s="344"/>
      <c r="L33" s="345"/>
      <c r="M33" s="314"/>
      <c r="N33" s="344"/>
      <c r="O33" s="344"/>
      <c r="P33" s="344"/>
      <c r="Q33" s="346"/>
      <c r="R33" s="232"/>
      <c r="S33" s="611"/>
      <c r="T33" s="611"/>
      <c r="U33" s="611"/>
      <c r="V33" s="611"/>
      <c r="W33" s="611"/>
      <c r="X33" s="611"/>
      <c r="Y33" s="611"/>
      <c r="Z33" s="611"/>
      <c r="AA33" s="611"/>
      <c r="AB33" s="611"/>
      <c r="AC33" s="611"/>
      <c r="AD33" s="611"/>
      <c r="AE33" s="611"/>
      <c r="AF33" s="611"/>
      <c r="AG33" s="611"/>
      <c r="AH33" s="611"/>
      <c r="AI33" s="611"/>
      <c r="AJ33" s="611"/>
      <c r="AK33" s="374">
        <f t="shared" si="0"/>
        <v>0</v>
      </c>
      <c r="AL33" s="374">
        <f>SUM(SUMIFS(AK33,O33,"CHIP",N33,"FILL",P33,{"CC01*","CC02*","VNN*","NNP*","NN02*","VJCC*","VJNN*","JCC2*","JNN2*"}))+SUM(SUMIFS(AK33,O33,"CHIP",N33,"CREDIT",P33,{"CC01*","CC02*","VNN*","NNP*","NN02*","VJCC*","VJNN*","JCC2*","JNN2*"}))+SUM(SUMIFS(AK33,O33,"CASH",N33,"CREDIT",P33,{"KHR*"}))/4000+SUM(SUMIFS(AK33,O33,"CASH",N33,"FILL",P33,{"KHR*"}))/4000+SUM(SUMIFS(AK33,O33,"CASH",N33,"FILL",P33,{"USD$*"}))+SUM(SUMIFS(AK33,O33,"CASH",N33,"CREDIT",P33,{"USD$*"}))+SUM(SUMIFS(AK33,O33,"CHIP",N33,"VIP TO RB",P33,{"CC01*","CC02*","VNN*","NNP*","NN02*","VJCC*","VJNN*","JCC2*","JNN2*"}))+SUM(SUMIFS(AK33,O33,"CHIP",N33,"RB TO VIP",P33,{"CC01*","CC02*","VNN*","NNP*","NN02*","VJCC*","VJNN*","JCC2*","JNN2*"}))</f>
        <v>0</v>
      </c>
      <c r="AM33" s="661"/>
      <c r="AN33" s="294"/>
      <c r="AO33" s="320" t="s">
        <v>91</v>
      </c>
      <c r="AP33" s="321"/>
      <c r="AQ33" s="557">
        <f>SUMIFS($AL$8:$AL$108,$O$8:$O$108,"MARKER",$L$8:$L$108,"OB",$N$8:$N$108,"CREDIT")</f>
        <v>0</v>
      </c>
      <c r="AR33" s="861">
        <f>SUM(AQ33:AQ37)</f>
        <v>20000</v>
      </c>
      <c r="AS33" s="862"/>
    </row>
    <row r="34" spans="2:45" s="291" customFormat="1" ht="24.95" customHeight="1">
      <c r="B34" s="292"/>
      <c r="C34" s="292"/>
      <c r="D34" s="318"/>
      <c r="E34" s="290"/>
      <c r="F34" s="290"/>
      <c r="G34" s="290"/>
      <c r="H34" s="314" t="s">
        <v>130</v>
      </c>
      <c r="I34" s="344"/>
      <c r="J34" s="344"/>
      <c r="K34" s="344"/>
      <c r="L34" s="345"/>
      <c r="M34" s="314"/>
      <c r="N34" s="344"/>
      <c r="O34" s="344"/>
      <c r="P34" s="344"/>
      <c r="Q34" s="346"/>
      <c r="R34" s="232"/>
      <c r="S34" s="611"/>
      <c r="T34" s="611"/>
      <c r="U34" s="611"/>
      <c r="V34" s="611"/>
      <c r="W34" s="611"/>
      <c r="X34" s="611"/>
      <c r="Y34" s="611"/>
      <c r="Z34" s="611"/>
      <c r="AA34" s="611"/>
      <c r="AB34" s="611"/>
      <c r="AC34" s="611"/>
      <c r="AD34" s="611"/>
      <c r="AE34" s="611"/>
      <c r="AF34" s="611"/>
      <c r="AG34" s="611"/>
      <c r="AH34" s="611"/>
      <c r="AI34" s="611"/>
      <c r="AJ34" s="611"/>
      <c r="AK34" s="374">
        <f t="shared" si="0"/>
        <v>0</v>
      </c>
      <c r="AL34" s="374">
        <f>SUM(SUMIFS(AK34,O34,"CHIP",N34,"FILL",P34,{"CC01*","CC02*","VNN*","NNP*","NN02*","VJCC*","VJNN*","JCC2*","JNN2*"}))+SUM(SUMIFS(AK34,O34,"CHIP",N34,"CREDIT",P34,{"CC01*","CC02*","VNN*","NNP*","NN02*","VJCC*","VJNN*","JCC2*","JNN2*"}))+SUM(SUMIFS(AK34,O34,"CASH",N34,"CREDIT",P34,{"KHR*"}))/4000+SUM(SUMIFS(AK34,O34,"CASH",N34,"FILL",P34,{"KHR*"}))/4000+SUM(SUMIFS(AK34,O34,"CASH",N34,"FILL",P34,{"USD$*"}))+SUM(SUMIFS(AK34,O34,"CASH",N34,"CREDIT",P34,{"USD$*"}))+SUM(SUMIFS(AK34,O34,"CHIP",N34,"VIP TO RB",P34,{"CC01*","CC02*","VNN*","NNP*","NN02*","VJCC*","VJNN*","JCC2*","JNN2*"}))+SUM(SUMIFS(AK34,O34,"CHIP",N34,"RB TO VIP",P34,{"CC01*","CC02*","VNN*","NNP*","NN02*","VJCC*","VJNN*","JCC2*","JNN2*"}))</f>
        <v>0</v>
      </c>
      <c r="AM34" s="661"/>
      <c r="AN34" s="294"/>
      <c r="AO34" s="322" t="s">
        <v>88</v>
      </c>
      <c r="AP34" s="323"/>
      <c r="AQ34" s="555">
        <f>SUM(SUMIFS($AL$8:$AL$108,$O$8:$O$108,"CASH",$N$8:$N$108,"CREDIT",$L$8:$L$108,{"VB*","VNN*","DT*","BJ*","RL*","FPC*","PG*","TS*","NN*","MB*","EK*"}))</f>
        <v>0</v>
      </c>
      <c r="AR34" s="863"/>
      <c r="AS34" s="864"/>
    </row>
    <row r="35" spans="2:45" s="291" customFormat="1" ht="24.95" customHeight="1">
      <c r="B35" s="292"/>
      <c r="C35" s="292"/>
      <c r="D35" s="318"/>
      <c r="E35" s="290"/>
      <c r="F35" s="290"/>
      <c r="G35" s="290"/>
      <c r="H35" s="314" t="s">
        <v>118</v>
      </c>
      <c r="I35" s="344"/>
      <c r="J35" s="344"/>
      <c r="K35" s="344"/>
      <c r="L35" s="345"/>
      <c r="M35" s="314"/>
      <c r="N35" s="344"/>
      <c r="O35" s="344"/>
      <c r="P35" s="344"/>
      <c r="Q35" s="346"/>
      <c r="R35" s="232"/>
      <c r="S35" s="611"/>
      <c r="T35" s="611"/>
      <c r="U35" s="611"/>
      <c r="V35" s="611"/>
      <c r="W35" s="611"/>
      <c r="X35" s="611"/>
      <c r="Y35" s="611"/>
      <c r="Z35" s="611"/>
      <c r="AA35" s="611"/>
      <c r="AB35" s="611"/>
      <c r="AC35" s="611"/>
      <c r="AD35" s="611"/>
      <c r="AE35" s="611"/>
      <c r="AF35" s="611"/>
      <c r="AG35" s="611"/>
      <c r="AH35" s="611"/>
      <c r="AI35" s="611"/>
      <c r="AJ35" s="611"/>
      <c r="AK35" s="374">
        <f t="shared" si="0"/>
        <v>0</v>
      </c>
      <c r="AL35" s="374">
        <f>SUM(SUMIFS(AK35,O35,"CHIP",N35,"FILL",P35,{"CC01*","CC02*","VNN*","NNP*","NN02*","VJCC*","VJNN*","JCC2*","JNN2*"}))+SUM(SUMIFS(AK35,O35,"CHIP",N35,"CREDIT",P35,{"CC01*","CC02*","VNN*","NNP*","NN02*","VJCC*","VJNN*","JCC2*","JNN2*"}))+SUM(SUMIFS(AK35,O35,"CASH",N35,"CREDIT",P35,{"KHR*"}))/4000+SUM(SUMIFS(AK35,O35,"CASH",N35,"FILL",P35,{"KHR*"}))/4000+SUM(SUMIFS(AK35,O35,"CASH",N35,"FILL",P35,{"USD$*"}))+SUM(SUMIFS(AK35,O35,"CASH",N35,"CREDIT",P35,{"USD$*"}))+SUM(SUMIFS(AK35,O35,"CHIP",N35,"VIP TO RB",P35,{"CC01*","CC02*","VNN*","NNP*","NN02*","VJCC*","VJNN*","JCC2*","JNN2*"}))+SUM(SUMIFS(AK35,O35,"CHIP",N35,"RB TO VIP",P35,{"CC01*","CC02*","VNN*","NNP*","NN02*","VJCC*","VJNN*","JCC2*","JNN2*"}))</f>
        <v>0</v>
      </c>
      <c r="AM35" s="661"/>
      <c r="AN35" s="294"/>
      <c r="AO35" s="322" t="s">
        <v>89</v>
      </c>
      <c r="AP35" s="323"/>
      <c r="AQ35" s="558">
        <f>SUMIFS($AL$8:$AL$108,$O$8:$O$108,"CASH",$N$8:$N$108,"CREDIT",$L$8:$L$108,"OB",$P$8:$P$108,"USD$")+SUMIFS($AL$8:$AL$108,$O$8:$O$108,"CASH",$N$8:$N$108,"CREDIT",$L$8:$L$108,"OB",$P$8:$P$108,"KHR")</f>
        <v>0</v>
      </c>
      <c r="AR35" s="863"/>
      <c r="AS35" s="864"/>
    </row>
    <row r="36" spans="2:45" s="291" customFormat="1" ht="24.95" customHeight="1">
      <c r="B36" s="292"/>
      <c r="C36" s="292"/>
      <c r="D36" s="318"/>
      <c r="E36" s="332"/>
      <c r="F36" s="290"/>
      <c r="G36" s="290"/>
      <c r="H36" s="314" t="s">
        <v>117</v>
      </c>
      <c r="I36" s="344"/>
      <c r="J36" s="344"/>
      <c r="K36" s="344"/>
      <c r="L36" s="345"/>
      <c r="M36" s="314"/>
      <c r="N36" s="344"/>
      <c r="O36" s="344"/>
      <c r="P36" s="344"/>
      <c r="Q36" s="346"/>
      <c r="R36" s="232"/>
      <c r="S36" s="611"/>
      <c r="T36" s="611"/>
      <c r="U36" s="611"/>
      <c r="V36" s="611"/>
      <c r="W36" s="611"/>
      <c r="X36" s="611"/>
      <c r="Y36" s="611"/>
      <c r="Z36" s="611"/>
      <c r="AA36" s="611"/>
      <c r="AB36" s="611"/>
      <c r="AC36" s="611"/>
      <c r="AD36" s="611"/>
      <c r="AE36" s="611"/>
      <c r="AF36" s="611"/>
      <c r="AG36" s="611"/>
      <c r="AH36" s="611"/>
      <c r="AI36" s="611"/>
      <c r="AJ36" s="611"/>
      <c r="AK36" s="374">
        <f t="shared" si="0"/>
        <v>0</v>
      </c>
      <c r="AL36" s="374">
        <f>SUM(SUMIFS(AK36,O36,"CHIP",N36,"FILL",P36,{"CC01*","CC02*","VNN*","NNP*","NN02*","VJCC*","VJNN*","JCC2*","JNN2*"}))+SUM(SUMIFS(AK36,O36,"CHIP",N36,"CREDIT",P36,{"CC01*","CC02*","VNN*","NNP*","NN02*","VJCC*","VJNN*","JCC2*","JNN2*"}))+SUM(SUMIFS(AK36,O36,"CASH",N36,"CREDIT",P36,{"KHR*"}))/4000+SUM(SUMIFS(AK36,O36,"CASH",N36,"FILL",P36,{"KHR*"}))/4000+SUM(SUMIFS(AK36,O36,"CASH",N36,"FILL",P36,{"USD$*"}))+SUM(SUMIFS(AK36,O36,"CASH",N36,"CREDIT",P36,{"USD$*"}))+SUM(SUMIFS(AK36,O36,"CHIP",N36,"VIP TO RB",P36,{"CC01*","CC02*","VNN*","NNP*","NN02*","VJCC*","VJNN*","JCC2*","JNN2*"}))+SUM(SUMIFS(AK36,O36,"CHIP",N36,"RB TO VIP",P36,{"CC01*","CC02*","VNN*","NNP*","NN02*","VJCC*","VJNN*","JCC2*","JNN2*"}))</f>
        <v>0</v>
      </c>
      <c r="AM36" s="661"/>
      <c r="AN36" s="294"/>
      <c r="AO36" s="322" t="s">
        <v>90</v>
      </c>
      <c r="AP36" s="323"/>
      <c r="AQ36" s="558">
        <f>SUMIFS($AL$8:$AL$108,$O$8:$O$108,"CASH",$N$8:$N$108,"CREDIT",$L$8:$L$108,"RB",$P$8:$P$108,"USD$")+SUMIFS($AL$8:$AL$108,$O$8:$O$108,"CASH",$N$8:$N$108,"CREDIT",$L$8:$L$108,"RB",$P$8:$P$108,"KHR")</f>
        <v>0</v>
      </c>
      <c r="AR36" s="863"/>
      <c r="AS36" s="864"/>
    </row>
    <row r="37" spans="2:45" s="291" customFormat="1" ht="24.95" customHeight="1" thickBot="1">
      <c r="B37" s="292"/>
      <c r="C37" s="292"/>
      <c r="D37" s="318"/>
      <c r="E37" s="290"/>
      <c r="F37" s="290"/>
      <c r="G37" s="290"/>
      <c r="H37" s="314" t="s">
        <v>131</v>
      </c>
      <c r="I37" s="344"/>
      <c r="J37" s="344"/>
      <c r="K37" s="344"/>
      <c r="L37" s="345"/>
      <c r="M37" s="314"/>
      <c r="N37" s="344"/>
      <c r="O37" s="344"/>
      <c r="P37" s="344"/>
      <c r="Q37" s="346"/>
      <c r="R37" s="232"/>
      <c r="S37" s="611"/>
      <c r="T37" s="611"/>
      <c r="U37" s="611"/>
      <c r="V37" s="611"/>
      <c r="W37" s="611"/>
      <c r="X37" s="611"/>
      <c r="Y37" s="611"/>
      <c r="Z37" s="611"/>
      <c r="AA37" s="611"/>
      <c r="AB37" s="611"/>
      <c r="AC37" s="611"/>
      <c r="AD37" s="611"/>
      <c r="AE37" s="611"/>
      <c r="AF37" s="611"/>
      <c r="AG37" s="611"/>
      <c r="AH37" s="611"/>
      <c r="AI37" s="611"/>
      <c r="AJ37" s="611"/>
      <c r="AK37" s="374">
        <f t="shared" si="0"/>
        <v>0</v>
      </c>
      <c r="AL37" s="374">
        <f>SUM(SUMIFS(AK37,O37,"CHIP",N37,"FILL",P37,{"CC01*","CC02*","VNN*","NNP*","NN02*","VJCC*","VJNN*","JCC2*","JNN2*"}))+SUM(SUMIFS(AK37,O37,"CHIP",N37,"CREDIT",P37,{"CC01*","CC02*","VNN*","NNP*","NN02*","VJCC*","VJNN*","JCC2*","JNN2*"}))+SUM(SUMIFS(AK37,O37,"CASH",N37,"CREDIT",P37,{"KHR*"}))/4000+SUM(SUMIFS(AK37,O37,"CASH",N37,"FILL",P37,{"KHR*"}))/4000+SUM(SUMIFS(AK37,O37,"CASH",N37,"FILL",P37,{"USD$*"}))+SUM(SUMIFS(AK37,O37,"CASH",N37,"CREDIT",P37,{"USD$*"}))+SUM(SUMIFS(AK37,O37,"CHIP",N37,"VIP TO RB",P37,{"CC01*","CC02*","VNN*","NNP*","NN02*","VJCC*","VJNN*","JCC2*","JNN2*"}))+SUM(SUMIFS(AK37,O37,"CHIP",N37,"RB TO VIP",P37,{"CC01*","CC02*","VNN*","NNP*","NN02*","VJCC*","VJNN*","JCC2*","JNN2*"}))</f>
        <v>0</v>
      </c>
      <c r="AM37" s="661"/>
      <c r="AN37" s="294"/>
      <c r="AO37" s="322" t="s">
        <v>298</v>
      </c>
      <c r="AP37" s="325"/>
      <c r="AQ37" s="555">
        <f>SUM(SUMIFS($AL$8:$AL$108,$O$8:$O$108,"CASH",$N$8:$N$108,"CREDIT",$P$8:$P$108,"USD$",$L$8:$L$108,{"FW01*","FW02*","TORO*"}))+SUM(SUMIFS($AL$8:$AL$108,$O$8:$O$108,"CASH",$N$8:$N$108,"CREDIT",$P$8:$P$108,"KHR",$L$8:$L$108,{"FW01*","FW02*","TORO*"}))</f>
        <v>20000</v>
      </c>
      <c r="AR37" s="865"/>
      <c r="AS37" s="866"/>
    </row>
    <row r="38" spans="2:45" s="291" customFormat="1" ht="24.95" customHeight="1">
      <c r="B38" s="292"/>
      <c r="C38" s="292"/>
      <c r="D38" s="318"/>
      <c r="E38" s="290"/>
      <c r="F38" s="290"/>
      <c r="G38" s="290"/>
      <c r="H38" s="314" t="s">
        <v>132</v>
      </c>
      <c r="I38" s="344"/>
      <c r="J38" s="344"/>
      <c r="K38" s="344"/>
      <c r="L38" s="345"/>
      <c r="M38" s="314"/>
      <c r="N38" s="344"/>
      <c r="O38" s="344"/>
      <c r="P38" s="344"/>
      <c r="Q38" s="346"/>
      <c r="R38" s="232"/>
      <c r="S38" s="611"/>
      <c r="T38" s="611"/>
      <c r="U38" s="611"/>
      <c r="V38" s="611"/>
      <c r="W38" s="611"/>
      <c r="X38" s="611"/>
      <c r="Y38" s="611"/>
      <c r="Z38" s="611"/>
      <c r="AA38" s="611"/>
      <c r="AB38" s="611"/>
      <c r="AC38" s="611"/>
      <c r="AD38" s="611"/>
      <c r="AE38" s="611"/>
      <c r="AF38" s="611"/>
      <c r="AG38" s="611"/>
      <c r="AH38" s="611"/>
      <c r="AI38" s="611"/>
      <c r="AJ38" s="611"/>
      <c r="AK38" s="374">
        <f t="shared" si="0"/>
        <v>0</v>
      </c>
      <c r="AL38" s="374">
        <f>SUM(SUMIFS(AK38,O38,"CHIP",N38,"FILL",P38,{"CC01*","CC02*","VNN*","NNP*","NN02*","VJCC*","VJNN*","JCC2*","JNN2*"}))+SUM(SUMIFS(AK38,O38,"CHIP",N38,"CREDIT",P38,{"CC01*","CC02*","VNN*","NNP*","NN02*","VJCC*","VJNN*","JCC2*","JNN2*"}))+SUM(SUMIFS(AK38,O38,"CASH",N38,"CREDIT",P38,{"KHR*"}))/4000+SUM(SUMIFS(AK38,O38,"CASH",N38,"FILL",P38,{"KHR*"}))/4000+SUM(SUMIFS(AK38,O38,"CASH",N38,"FILL",P38,{"USD$*"}))+SUM(SUMIFS(AK38,O38,"CASH",N38,"CREDIT",P38,{"USD$*"}))+SUM(SUMIFS(AK38,O38,"CHIP",N38,"VIP TO RB",P38,{"CC01*","CC02*","VNN*","NNP*","NN02*","VJCC*","VJNN*","JCC2*","JNN2*"}))+SUM(SUMIFS(AK38,O38,"CHIP",N38,"RB TO VIP",P38,{"CC01*","CC02*","VNN*","NNP*","NN02*","VJCC*","VJNN*","JCC2*","JNN2*"}))</f>
        <v>0</v>
      </c>
      <c r="AM38" s="661"/>
      <c r="AN38" s="294"/>
      <c r="AO38" s="320" t="s">
        <v>92</v>
      </c>
      <c r="AP38" s="321"/>
      <c r="AQ38" s="557">
        <f>SUM(SUMIFS($AL$8:$AL$108,$O$8:$O$108,"CHIP",$N$8:$N$108,"CREDIT",$L$8:$L$108,{"VB*","VNN*","DT*","BJ*","RL*","FPC*","PG*","TS*","MB*","NN*","EK*"}))</f>
        <v>0</v>
      </c>
      <c r="AR38" s="861">
        <f>SUM(AQ38:AQ42)</f>
        <v>8000</v>
      </c>
      <c r="AS38" s="862"/>
    </row>
    <row r="39" spans="2:45" s="291" customFormat="1" ht="24.95" customHeight="1">
      <c r="B39" s="292"/>
      <c r="C39" s="292"/>
      <c r="D39" s="318"/>
      <c r="E39" s="290"/>
      <c r="F39" s="290"/>
      <c r="G39" s="290"/>
      <c r="H39" s="314" t="s">
        <v>133</v>
      </c>
      <c r="I39" s="344"/>
      <c r="J39" s="344"/>
      <c r="K39" s="344"/>
      <c r="L39" s="345"/>
      <c r="M39" s="314"/>
      <c r="N39" s="344"/>
      <c r="O39" s="344"/>
      <c r="P39" s="344"/>
      <c r="Q39" s="346"/>
      <c r="R39" s="232"/>
      <c r="S39" s="611"/>
      <c r="T39" s="611"/>
      <c r="U39" s="611"/>
      <c r="V39" s="611"/>
      <c r="W39" s="611"/>
      <c r="X39" s="611"/>
      <c r="Y39" s="611"/>
      <c r="Z39" s="611"/>
      <c r="AA39" s="611"/>
      <c r="AB39" s="611"/>
      <c r="AC39" s="611"/>
      <c r="AD39" s="611"/>
      <c r="AE39" s="611"/>
      <c r="AF39" s="611"/>
      <c r="AG39" s="611"/>
      <c r="AH39" s="611"/>
      <c r="AI39" s="611"/>
      <c r="AJ39" s="611"/>
      <c r="AK39" s="374">
        <f t="shared" si="0"/>
        <v>0</v>
      </c>
      <c r="AL39" s="374">
        <f>SUM(SUMIFS(AK39,O39,"CHIP",N39,"FILL",P39,{"CC01*","CC02*","VNN*","NNP*","NN02*","VJCC*","VJNN*","JCC2*","JNN2*"}))+SUM(SUMIFS(AK39,O39,"CHIP",N39,"CREDIT",P39,{"CC01*","CC02*","VNN*","NNP*","NN02*","VJCC*","VJNN*","JCC2*","JNN2*"}))+SUM(SUMIFS(AK39,O39,"CASH",N39,"CREDIT",P39,{"KHR*"}))/4000+SUM(SUMIFS(AK39,O39,"CASH",N39,"FILL",P39,{"KHR*"}))/4000+SUM(SUMIFS(AK39,O39,"CASH",N39,"FILL",P39,{"USD$*"}))+SUM(SUMIFS(AK39,O39,"CASH",N39,"CREDIT",P39,{"USD$*"}))+SUM(SUMIFS(AK39,O39,"CHIP",N39,"VIP TO RB",P39,{"CC01*","CC02*","VNN*","NNP*","NN02*","VJCC*","VJNN*","JCC2*","JNN2*"}))+SUM(SUMIFS(AK39,O39,"CHIP",N39,"RB TO VIP",P39,{"CC01*","CC02*","VNN*","NNP*","NN02*","VJCC*","VJNN*","JCC2*","JNN2*"}))</f>
        <v>0</v>
      </c>
      <c r="AM39" s="661"/>
      <c r="AN39" s="294"/>
      <c r="AO39" s="326" t="s">
        <v>93</v>
      </c>
      <c r="AP39" s="327"/>
      <c r="AQ39" s="558">
        <f>SUMIFS($AL$8:$AL$108,$O$8:$O$108,"CHIP",$N$8:$N$108,"CREDIT",$L$8:$L$108,"OB")</f>
        <v>0</v>
      </c>
      <c r="AR39" s="863"/>
      <c r="AS39" s="864"/>
    </row>
    <row r="40" spans="2:45" s="291" customFormat="1" ht="24.95" customHeight="1">
      <c r="B40" s="292"/>
      <c r="C40" s="292"/>
      <c r="D40" s="318"/>
      <c r="E40" s="290"/>
      <c r="F40" s="290"/>
      <c r="G40" s="290"/>
      <c r="H40" s="314" t="s">
        <v>134</v>
      </c>
      <c r="I40" s="344"/>
      <c r="J40" s="344"/>
      <c r="K40" s="344"/>
      <c r="L40" s="345"/>
      <c r="M40" s="314"/>
      <c r="N40" s="344"/>
      <c r="O40" s="344"/>
      <c r="P40" s="344"/>
      <c r="Q40" s="346"/>
      <c r="R40" s="232"/>
      <c r="S40" s="611"/>
      <c r="T40" s="611"/>
      <c r="U40" s="611"/>
      <c r="V40" s="611"/>
      <c r="W40" s="611"/>
      <c r="X40" s="611"/>
      <c r="Y40" s="611"/>
      <c r="Z40" s="611"/>
      <c r="AA40" s="611"/>
      <c r="AB40" s="611"/>
      <c r="AC40" s="611"/>
      <c r="AD40" s="611"/>
      <c r="AE40" s="611"/>
      <c r="AF40" s="611"/>
      <c r="AG40" s="611"/>
      <c r="AH40" s="611"/>
      <c r="AI40" s="611"/>
      <c r="AJ40" s="611"/>
      <c r="AK40" s="374">
        <f t="shared" si="0"/>
        <v>0</v>
      </c>
      <c r="AL40" s="374">
        <f>SUM(SUMIFS(AK40,O40,"CHIP",N40,"FILL",P40,{"CC01*","CC02*","VNN*","NNP*","NN02*","VJCC*","VJNN*","JCC2*","JNN2*"}))+SUM(SUMIFS(AK40,O40,"CHIP",N40,"CREDIT",P40,{"CC01*","CC02*","VNN*","NNP*","NN02*","VJCC*","VJNN*","JCC2*","JNN2*"}))+SUM(SUMIFS(AK40,O40,"CASH",N40,"CREDIT",P40,{"KHR*"}))/4000+SUM(SUMIFS(AK40,O40,"CASH",N40,"FILL",P40,{"KHR*"}))/4000+SUM(SUMIFS(AK40,O40,"CASH",N40,"FILL",P40,{"USD$*"}))+SUM(SUMIFS(AK40,O40,"CASH",N40,"CREDIT",P40,{"USD$*"}))+SUM(SUMIFS(AK40,O40,"CHIP",N40,"VIP TO RB",P40,{"CC01*","CC02*","VNN*","NNP*","NN02*","VJCC*","VJNN*","JCC2*","JNN2*"}))+SUM(SUMIFS(AK40,O40,"CHIP",N40,"RB TO VIP",P40,{"CC01*","CC02*","VNN*","NNP*","NN02*","VJCC*","VJNN*","JCC2*","JNN2*"}))</f>
        <v>0</v>
      </c>
      <c r="AM40" s="661"/>
      <c r="AN40" s="294"/>
      <c r="AO40" s="326" t="s">
        <v>94</v>
      </c>
      <c r="AP40" s="327"/>
      <c r="AQ40" s="558">
        <f>SUMIFS($AL$8:$AL$108,$O$8:$O$108,"CHIP",$N$8:$N$108,"CREDIT",$L$8:$L$108,"RB")+SUMIFS($AL$8:$AL$108,$O$8:$O$108,"CHIP",$N$8:$N$108,"RB TO VIP",$L$8:$L$108,"RB")</f>
        <v>0</v>
      </c>
      <c r="AR40" s="863"/>
      <c r="AS40" s="864"/>
    </row>
    <row r="41" spans="2:45" s="291" customFormat="1" ht="24.95" customHeight="1">
      <c r="B41" s="292"/>
      <c r="C41" s="292"/>
      <c r="D41" s="318"/>
      <c r="E41" s="290"/>
      <c r="F41" s="290"/>
      <c r="G41" s="290"/>
      <c r="H41" s="314" t="s">
        <v>135</v>
      </c>
      <c r="I41" s="344"/>
      <c r="J41" s="344"/>
      <c r="K41" s="344"/>
      <c r="L41" s="345"/>
      <c r="M41" s="314"/>
      <c r="N41" s="344"/>
      <c r="O41" s="344"/>
      <c r="P41" s="344"/>
      <c r="Q41" s="346"/>
      <c r="R41" s="232"/>
      <c r="S41" s="611"/>
      <c r="T41" s="611"/>
      <c r="U41" s="611"/>
      <c r="V41" s="611"/>
      <c r="W41" s="611"/>
      <c r="X41" s="611"/>
      <c r="Y41" s="611"/>
      <c r="Z41" s="611"/>
      <c r="AA41" s="611"/>
      <c r="AB41" s="611"/>
      <c r="AC41" s="611"/>
      <c r="AD41" s="611"/>
      <c r="AE41" s="611"/>
      <c r="AF41" s="611"/>
      <c r="AG41" s="611"/>
      <c r="AH41" s="611"/>
      <c r="AI41" s="611"/>
      <c r="AJ41" s="611"/>
      <c r="AK41" s="374">
        <f t="shared" si="0"/>
        <v>0</v>
      </c>
      <c r="AL41" s="374">
        <f>SUM(SUMIFS(AK41,O41,"CHIP",N41,"FILL",P41,{"CC01*","CC02*","VNN*","NNP*","NN02*","VJCC*","VJNN*","JCC2*","JNN2*"}))+SUM(SUMIFS(AK41,O41,"CHIP",N41,"CREDIT",P41,{"CC01*","CC02*","VNN*","NNP*","NN02*","VJCC*","VJNN*","JCC2*","JNN2*"}))+SUM(SUMIFS(AK41,O41,"CASH",N41,"CREDIT",P41,{"KHR*"}))/4000+SUM(SUMIFS(AK41,O41,"CASH",N41,"FILL",P41,{"KHR*"}))/4000+SUM(SUMIFS(AK41,O41,"CASH",N41,"FILL",P41,{"USD$*"}))+SUM(SUMIFS(AK41,O41,"CASH",N41,"CREDIT",P41,{"USD$*"}))+SUM(SUMIFS(AK41,O41,"CHIP",N41,"VIP TO RB",P41,{"CC01*","CC02*","VNN*","NNP*","NN02*","VJCC*","VJNN*","JCC2*","JNN2*"}))+SUM(SUMIFS(AK41,O41,"CHIP",N41,"RB TO VIP",P41,{"CC01*","CC02*","VNN*","NNP*","NN02*","VJCC*","VJNN*","JCC2*","JNN2*"}))</f>
        <v>0</v>
      </c>
      <c r="AM41" s="661"/>
      <c r="AN41" s="294"/>
      <c r="AO41" s="615" t="s">
        <v>360</v>
      </c>
      <c r="AP41" s="616"/>
      <c r="AQ41" s="558">
        <f>SUMIFS($AL$8:$AL$108,$O$8:$O$108,"CHIP",$N$8:$N$108,"MH to VIP")</f>
        <v>0</v>
      </c>
      <c r="AR41" s="863"/>
      <c r="AS41" s="864"/>
    </row>
    <row r="42" spans="2:45" s="291" customFormat="1" ht="24.95" customHeight="1" thickBot="1">
      <c r="B42" s="292"/>
      <c r="C42" s="292"/>
      <c r="D42" s="318"/>
      <c r="E42" s="290"/>
      <c r="F42" s="290"/>
      <c r="G42" s="290"/>
      <c r="H42" s="314" t="s">
        <v>136</v>
      </c>
      <c r="I42" s="344"/>
      <c r="J42" s="344"/>
      <c r="K42" s="344"/>
      <c r="L42" s="345"/>
      <c r="M42" s="314"/>
      <c r="N42" s="344"/>
      <c r="O42" s="344"/>
      <c r="P42" s="344"/>
      <c r="Q42" s="346"/>
      <c r="R42" s="232"/>
      <c r="S42" s="611"/>
      <c r="T42" s="611"/>
      <c r="U42" s="611"/>
      <c r="V42" s="611"/>
      <c r="W42" s="611"/>
      <c r="X42" s="611"/>
      <c r="Y42" s="611"/>
      <c r="Z42" s="611"/>
      <c r="AA42" s="611"/>
      <c r="AB42" s="611"/>
      <c r="AC42" s="611"/>
      <c r="AD42" s="611"/>
      <c r="AE42" s="611"/>
      <c r="AF42" s="611"/>
      <c r="AG42" s="611"/>
      <c r="AH42" s="611"/>
      <c r="AI42" s="611"/>
      <c r="AJ42" s="611"/>
      <c r="AK42" s="374">
        <f t="shared" si="0"/>
        <v>0</v>
      </c>
      <c r="AL42" s="374">
        <f>SUM(SUMIFS(AK42,O42,"CHIP",N42,"FILL",P42,{"CC01*","CC02*","VNN*","NNP*","NN02*","VJCC*","VJNN*","JCC2*","JNN2*"}))+SUM(SUMIFS(AK42,O42,"CHIP",N42,"CREDIT",P42,{"CC01*","CC02*","VNN*","NNP*","NN02*","VJCC*","VJNN*","JCC2*","JNN2*"}))+SUM(SUMIFS(AK42,O42,"CASH",N42,"CREDIT",P42,{"KHR*"}))/4000+SUM(SUMIFS(AK42,O42,"CASH",N42,"FILL",P42,{"KHR*"}))/4000+SUM(SUMIFS(AK42,O42,"CASH",N42,"FILL",P42,{"USD$*"}))+SUM(SUMIFS(AK42,O42,"CASH",N42,"CREDIT",P42,{"USD$*"}))+SUM(SUMIFS(AK42,O42,"CHIP",N42,"VIP TO RB",P42,{"CC01*","CC02*","VNN*","NNP*","NN02*","VJCC*","VJNN*","JCC2*","JNN2*"}))+SUM(SUMIFS(AK42,O42,"CHIP",N42,"RB TO VIP",P42,{"CC01*","CC02*","VNN*","NNP*","NN02*","VJCC*","VJNN*","JCC2*","JNN2*"}))</f>
        <v>0</v>
      </c>
      <c r="AM42" s="661"/>
      <c r="AN42" s="294"/>
      <c r="AO42" s="328" t="s">
        <v>299</v>
      </c>
      <c r="AP42" s="329"/>
      <c r="AQ42" s="556">
        <f>SUM(SUMIFS($AL$8:$AL$108,$O$8:$O$108,"CHIP",$N$8:$N$108,"CREDIT",$L$8:$L$108,{"FW01*","FW02*","TORO*"}))</f>
        <v>8000</v>
      </c>
      <c r="AR42" s="865"/>
      <c r="AS42" s="866"/>
    </row>
    <row r="43" spans="2:45" s="291" customFormat="1" ht="24.95" customHeight="1">
      <c r="B43" s="292"/>
      <c r="C43" s="292"/>
      <c r="D43" s="318"/>
      <c r="E43" s="290"/>
      <c r="F43" s="290"/>
      <c r="G43" s="290"/>
      <c r="H43" s="314" t="s">
        <v>137</v>
      </c>
      <c r="I43" s="344"/>
      <c r="J43" s="344"/>
      <c r="K43" s="344"/>
      <c r="L43" s="345"/>
      <c r="M43" s="314"/>
      <c r="N43" s="344"/>
      <c r="O43" s="344"/>
      <c r="P43" s="344"/>
      <c r="Q43" s="346"/>
      <c r="R43" s="232"/>
      <c r="S43" s="611"/>
      <c r="T43" s="611"/>
      <c r="U43" s="611"/>
      <c r="V43" s="611"/>
      <c r="W43" s="611"/>
      <c r="X43" s="611"/>
      <c r="Y43" s="611"/>
      <c r="Z43" s="611"/>
      <c r="AA43" s="611"/>
      <c r="AB43" s="611"/>
      <c r="AC43" s="611"/>
      <c r="AD43" s="611"/>
      <c r="AE43" s="611"/>
      <c r="AF43" s="611"/>
      <c r="AG43" s="611"/>
      <c r="AH43" s="611"/>
      <c r="AI43" s="611"/>
      <c r="AJ43" s="611"/>
      <c r="AK43" s="374">
        <f t="shared" si="0"/>
        <v>0</v>
      </c>
      <c r="AL43" s="374">
        <f>SUM(SUMIFS(AK43,O43,"CHIP",N43,"FILL",P43,{"CC01*","CC02*","VNN*","NNP*","NN02*","VJCC*","VJNN*","JCC2*","JNN2*"}))+SUM(SUMIFS(AK43,O43,"CHIP",N43,"CREDIT",P43,{"CC01*","CC02*","VNN*","NNP*","NN02*","VJCC*","VJNN*","JCC2*","JNN2*"}))+SUM(SUMIFS(AK43,O43,"CASH",N43,"CREDIT",P43,{"KHR*"}))/4000+SUM(SUMIFS(AK43,O43,"CASH",N43,"FILL",P43,{"KHR*"}))/4000+SUM(SUMIFS(AK43,O43,"CASH",N43,"FILL",P43,{"USD$*"}))+SUM(SUMIFS(AK43,O43,"CASH",N43,"CREDIT",P43,{"USD$*"}))+SUM(SUMIFS(AK43,O43,"CHIP",N43,"VIP TO RB",P43,{"CC01*","CC02*","VNN*","NNP*","NN02*","VJCC*","VJNN*","JCC2*","JNN2*"}))+SUM(SUMIFS(AK43,O43,"CHIP",N43,"RB TO VIP",P43,{"CC01*","CC02*","VNN*","NNP*","NN02*","VJCC*","VJNN*","JCC2*","JNN2*"}))</f>
        <v>0</v>
      </c>
      <c r="AM43" s="661"/>
      <c r="AN43" s="294"/>
      <c r="AR43" s="662"/>
      <c r="AS43" s="662"/>
    </row>
    <row r="44" spans="2:45" s="291" customFormat="1" ht="24.95" customHeight="1" thickBot="1">
      <c r="B44" s="292"/>
      <c r="C44" s="292"/>
      <c r="D44" s="318"/>
      <c r="E44" s="290"/>
      <c r="F44" s="290"/>
      <c r="G44" s="290"/>
      <c r="H44" s="314" t="s">
        <v>138</v>
      </c>
      <c r="I44" s="344"/>
      <c r="J44" s="344"/>
      <c r="K44" s="344"/>
      <c r="L44" s="345"/>
      <c r="M44" s="314"/>
      <c r="N44" s="344"/>
      <c r="O44" s="344"/>
      <c r="P44" s="344"/>
      <c r="Q44" s="346"/>
      <c r="R44" s="232"/>
      <c r="S44" s="611"/>
      <c r="T44" s="611"/>
      <c r="U44" s="611"/>
      <c r="V44" s="611"/>
      <c r="W44" s="611"/>
      <c r="X44" s="611"/>
      <c r="Y44" s="611"/>
      <c r="Z44" s="611"/>
      <c r="AA44" s="611"/>
      <c r="AB44" s="611"/>
      <c r="AC44" s="611"/>
      <c r="AD44" s="611"/>
      <c r="AE44" s="611"/>
      <c r="AF44" s="611"/>
      <c r="AG44" s="611"/>
      <c r="AH44" s="611"/>
      <c r="AI44" s="611"/>
      <c r="AJ44" s="611"/>
      <c r="AK44" s="374">
        <f t="shared" si="0"/>
        <v>0</v>
      </c>
      <c r="AL44" s="374">
        <f>SUM(SUMIFS(AK44,O44,"CHIP",N44,"FILL",P44,{"CC01*","CC02*","VNN*","NNP*","NN02*","VJCC*","VJNN*","JCC2*","JNN2*"}))+SUM(SUMIFS(AK44,O44,"CHIP",N44,"CREDIT",P44,{"CC01*","CC02*","VNN*","NNP*","NN02*","VJCC*","VJNN*","JCC2*","JNN2*"}))+SUM(SUMIFS(AK44,O44,"CASH",N44,"CREDIT",P44,{"KHR*"}))/4000+SUM(SUMIFS(AK44,O44,"CASH",N44,"FILL",P44,{"KHR*"}))/4000+SUM(SUMIFS(AK44,O44,"CASH",N44,"FILL",P44,{"USD$*"}))+SUM(SUMIFS(AK44,O44,"CASH",N44,"CREDIT",P44,{"USD$*"}))+SUM(SUMIFS(AK44,O44,"CHIP",N44,"VIP TO RB",P44,{"CC01*","CC02*","VNN*","NNP*","NN02*","VJCC*","VJNN*","JCC2*","JNN2*"}))+SUM(SUMIFS(AK44,O44,"CHIP",N44,"RB TO VIP",P44,{"CC01*","CC02*","VNN*","NNP*","NN02*","VJCC*","VJNN*","JCC2*","JNN2*"}))</f>
        <v>0</v>
      </c>
      <c r="AM44" s="661"/>
      <c r="AN44" s="290"/>
      <c r="AP44" s="292"/>
      <c r="AQ44" s="292"/>
    </row>
    <row r="45" spans="2:45" s="291" customFormat="1" ht="24.95" customHeight="1" thickBot="1">
      <c r="B45" s="292"/>
      <c r="C45" s="292"/>
      <c r="D45" s="318"/>
      <c r="E45" s="290"/>
      <c r="F45" s="290"/>
      <c r="G45" s="290"/>
      <c r="H45" s="314" t="s">
        <v>139</v>
      </c>
      <c r="I45" s="344"/>
      <c r="J45" s="344"/>
      <c r="K45" s="344"/>
      <c r="L45" s="345"/>
      <c r="M45" s="314"/>
      <c r="N45" s="344"/>
      <c r="O45" s="344"/>
      <c r="P45" s="344"/>
      <c r="Q45" s="346"/>
      <c r="R45" s="232"/>
      <c r="S45" s="611"/>
      <c r="T45" s="611"/>
      <c r="U45" s="611"/>
      <c r="V45" s="611"/>
      <c r="W45" s="611"/>
      <c r="X45" s="611"/>
      <c r="Y45" s="611"/>
      <c r="Z45" s="611"/>
      <c r="AA45" s="611"/>
      <c r="AB45" s="611"/>
      <c r="AC45" s="611"/>
      <c r="AD45" s="611"/>
      <c r="AE45" s="611"/>
      <c r="AF45" s="611"/>
      <c r="AG45" s="611"/>
      <c r="AH45" s="611"/>
      <c r="AI45" s="611"/>
      <c r="AJ45" s="611"/>
      <c r="AK45" s="374">
        <f t="shared" si="0"/>
        <v>0</v>
      </c>
      <c r="AL45" s="374">
        <f>SUM(SUMIFS(AK45,O45,"CHIP",N45,"FILL",P45,{"CC01*","CC02*","VNN*","NNP*","NN02*","VJCC*","VJNN*","JCC2*","JNN2*"}))+SUM(SUMIFS(AK45,O45,"CHIP",N45,"CREDIT",P45,{"CC01*","CC02*","VNN*","NNP*","NN02*","VJCC*","VJNN*","JCC2*","JNN2*"}))+SUM(SUMIFS(AK45,O45,"CASH",N45,"CREDIT",P45,{"KHR*"}))/4000+SUM(SUMIFS(AK45,O45,"CASH",N45,"FILL",P45,{"KHR*"}))/4000+SUM(SUMIFS(AK45,O45,"CASH",N45,"FILL",P45,{"USD$*"}))+SUM(SUMIFS(AK45,O45,"CASH",N45,"CREDIT",P45,{"USD$*"}))+SUM(SUMIFS(AK45,O45,"CHIP",N45,"VIP TO RB",P45,{"CC01*","CC02*","VNN*","NNP*","NN02*","VJCC*","VJNN*","JCC2*","JNN2*"}))+SUM(SUMIFS(AK45,O45,"CHIP",N45,"RB TO VIP",P45,{"CC01*","CC02*","VNN*","NNP*","NN02*","VJCC*","VJNN*","JCC2*","JNN2*"}))</f>
        <v>0</v>
      </c>
      <c r="AM45" s="661"/>
      <c r="AN45" s="290"/>
      <c r="AP45" s="292"/>
      <c r="AQ45" s="292"/>
      <c r="AR45" s="293" t="s">
        <v>62</v>
      </c>
      <c r="AS45" s="560">
        <f>AR22+AR27+AR33+AR38</f>
        <v>20000</v>
      </c>
    </row>
    <row r="46" spans="2:45" s="291" customFormat="1" ht="24.95" customHeight="1" thickBot="1">
      <c r="B46" s="292"/>
      <c r="C46" s="292"/>
      <c r="D46" s="318"/>
      <c r="E46" s="290"/>
      <c r="F46" s="290"/>
      <c r="G46" s="290"/>
      <c r="H46" s="314" t="s">
        <v>345</v>
      </c>
      <c r="I46" s="344"/>
      <c r="J46" s="344"/>
      <c r="K46" s="344"/>
      <c r="L46" s="345"/>
      <c r="M46" s="314"/>
      <c r="N46" s="344"/>
      <c r="O46" s="344"/>
      <c r="P46" s="344"/>
      <c r="Q46" s="346"/>
      <c r="R46" s="232"/>
      <c r="S46" s="612"/>
      <c r="T46" s="612"/>
      <c r="U46" s="612"/>
      <c r="V46" s="612"/>
      <c r="W46" s="612"/>
      <c r="X46" s="612"/>
      <c r="Y46" s="612"/>
      <c r="Z46" s="612"/>
      <c r="AA46" s="612"/>
      <c r="AB46" s="612"/>
      <c r="AC46" s="612"/>
      <c r="AD46" s="612"/>
      <c r="AE46" s="612"/>
      <c r="AF46" s="612"/>
      <c r="AG46" s="612"/>
      <c r="AH46" s="612"/>
      <c r="AI46" s="612"/>
      <c r="AJ46" s="612"/>
      <c r="AK46" s="374">
        <f t="shared" si="0"/>
        <v>0</v>
      </c>
      <c r="AL46" s="374">
        <f>SUM(SUMIFS(AK46,O46,"CHIP",N46,"FILL",P46,{"CC01*","CC02*","VNN*","NNP*","NN02*","VJCC*","VJNN*","JCC2*","JNN2*"}))+SUM(SUMIFS(AK46,O46,"CHIP",N46,"CREDIT",P46,{"CC01*","CC02*","VNN*","NNP*","NN02*","VJCC*","VJNN*","JCC2*","JNN2*"}))+SUM(SUMIFS(AK46,O46,"CASH",N46,"CREDIT",P46,{"KHR*"}))/4000+SUM(SUMIFS(AK46,O46,"CASH",N46,"FILL",P46,{"KHR*"}))/4000+SUM(SUMIFS(AK46,O46,"CASH",N46,"FILL",P46,{"USD$*"}))+SUM(SUMIFS(AK46,O46,"CASH",N46,"CREDIT",P46,{"USD$*"}))+SUM(SUMIFS(AK46,O46,"CHIP",N46,"VIP TO RB",P46,{"CC01*","CC02*","VNN*","NNP*","NN02*","VJCC*","VJNN*","JCC2*","JNN2*"}))+SUM(SUMIFS(AK46,O46,"CHIP",N46,"RB TO VIP",P46,{"CC01*","CC02*","VNN*","NNP*","NN02*","VJCC*","VJNN*","JCC2*","JNN2*"}))</f>
        <v>0</v>
      </c>
      <c r="AM46" s="661"/>
      <c r="AN46" s="290"/>
      <c r="AP46" s="292"/>
      <c r="AQ46" s="292"/>
      <c r="AR46" s="293"/>
      <c r="AS46" s="663"/>
    </row>
    <row r="47" spans="2:45" s="291" customFormat="1" ht="24.95" customHeight="1" thickBot="1">
      <c r="B47" s="292"/>
      <c r="C47" s="292"/>
      <c r="D47" s="318"/>
      <c r="E47" s="290"/>
      <c r="F47" s="290"/>
      <c r="G47" s="290"/>
      <c r="H47" s="314" t="s">
        <v>346</v>
      </c>
      <c r="I47" s="344"/>
      <c r="J47" s="344"/>
      <c r="K47" s="344"/>
      <c r="L47" s="348"/>
      <c r="M47" s="402"/>
      <c r="N47" s="344"/>
      <c r="O47" s="344"/>
      <c r="P47" s="344"/>
      <c r="Q47" s="346"/>
      <c r="R47" s="232"/>
      <c r="S47" s="612"/>
      <c r="T47" s="612"/>
      <c r="U47" s="612"/>
      <c r="V47" s="612"/>
      <c r="W47" s="612"/>
      <c r="X47" s="612"/>
      <c r="Y47" s="612"/>
      <c r="Z47" s="612"/>
      <c r="AA47" s="612"/>
      <c r="AB47" s="612"/>
      <c r="AC47" s="612"/>
      <c r="AD47" s="612"/>
      <c r="AE47" s="612"/>
      <c r="AF47" s="612"/>
      <c r="AG47" s="612"/>
      <c r="AH47" s="612"/>
      <c r="AI47" s="612"/>
      <c r="AJ47" s="612"/>
      <c r="AK47" s="374">
        <f t="shared" si="0"/>
        <v>0</v>
      </c>
      <c r="AL47" s="374">
        <f>SUM(SUMIFS(AK47,O47,"CHIP",N47,"FILL",P47,{"CC01*","CC02*","VNN*","NNP*","NN02*","VJCC*","VJNN*","JCC2*","JNN2*"}))+SUM(SUMIFS(AK47,O47,"CHIP",N47,"CREDIT",P47,{"CC01*","CC02*","VNN*","NNP*","NN02*","VJCC*","VJNN*","JCC2*","JNN2*"}))+SUM(SUMIFS(AK47,O47,"CASH",N47,"CREDIT",P47,{"KHR*"}))/4000+SUM(SUMIFS(AK47,O47,"CASH",N47,"FILL",P47,{"KHR*"}))/4000+SUM(SUMIFS(AK47,O47,"CASH",N47,"FILL",P47,{"USD$*"}))+SUM(SUMIFS(AK47,O47,"CASH",N47,"CREDIT",P47,{"USD$*"}))+SUM(SUMIFS(AK47,O47,"CHIP",N47,"VIP TO RB",P47,{"CC01*","CC02*","VNN*","NNP*","NN02*","VJCC*","VJNN*","JCC2*","JNN2*"}))+SUM(SUMIFS(AK47,O47,"CHIP",N47,"RB TO VIP",P47,{"CC01*","CC02*","VNN*","NNP*","NN02*","VJCC*","VJNN*","JCC2*","JNN2*"}))</f>
        <v>0</v>
      </c>
      <c r="AM47" s="661"/>
      <c r="AN47" s="290"/>
      <c r="AO47" s="867" t="s">
        <v>50</v>
      </c>
      <c r="AP47" s="867"/>
      <c r="AQ47" s="297"/>
      <c r="AR47" s="666" t="str">
        <f>IF(AS47=0," BALANCE ","VARIANCE - PLEASE CHECK")</f>
        <v xml:space="preserve"> BALANCE </v>
      </c>
      <c r="AS47" s="296">
        <f>AS21-AS45</f>
        <v>0</v>
      </c>
    </row>
    <row r="48" spans="2:45" s="291" customFormat="1" ht="24.95" hidden="1" customHeight="1">
      <c r="B48" s="292"/>
      <c r="C48" s="292"/>
      <c r="D48" s="318"/>
      <c r="E48" s="290"/>
      <c r="F48" s="290"/>
      <c r="G48" s="290"/>
      <c r="H48" s="314" t="s">
        <v>364</v>
      </c>
      <c r="I48" s="344"/>
      <c r="J48" s="344"/>
      <c r="K48" s="344"/>
      <c r="L48" s="348"/>
      <c r="M48" s="402"/>
      <c r="N48" s="349"/>
      <c r="O48" s="349"/>
      <c r="P48" s="349"/>
      <c r="Q48" s="346"/>
      <c r="R48" s="232"/>
      <c r="S48" s="314"/>
      <c r="T48" s="314"/>
      <c r="U48" s="314"/>
      <c r="V48" s="314"/>
      <c r="W48" s="314"/>
      <c r="X48" s="314"/>
      <c r="Y48" s="314"/>
      <c r="Z48" s="314"/>
      <c r="AA48" s="314"/>
      <c r="AB48" s="314"/>
      <c r="AC48" s="314"/>
      <c r="AD48" s="314"/>
      <c r="AE48" s="314"/>
      <c r="AF48" s="314"/>
      <c r="AG48" s="314"/>
      <c r="AH48" s="314"/>
      <c r="AI48" s="314"/>
      <c r="AJ48" s="314"/>
      <c r="AK48" s="375">
        <f t="shared" ref="AK48:AK108" si="1">IF(N48="FILL",(Q48+R48+$S$6*S48+$T$6*T48+$U$6*U48+$V$6*V48+$X$6*X48+$Y$6*Y48+$AA$6*AA48+$AB$6*AB48+$AC$6*AC48+$AE$6*AE48+$AH$6*AH48+$AI$6*AI48+$AJ$6*AJ48+$AG$6*AG48) * -1,(Q48+R48+$S$6*S48+$T$6*T48+$U$6*U48+$V$6*V48+$X$6*X48+$Y$6*Y48+$AA$6*AA48+$AB$6*AB48+$AC$6*AC48+$AE$6*AE48+$AH$6*AH48+$AI$6*AI48+$AJ$6*AJ48+$AG$6*AG48))</f>
        <v>0</v>
      </c>
      <c r="AL48" s="661"/>
      <c r="AM48" s="661"/>
      <c r="AN48" s="290"/>
      <c r="AP48" s="292"/>
      <c r="AQ48" s="292"/>
      <c r="AR48" s="293"/>
      <c r="AS48" s="663"/>
    </row>
    <row r="49" spans="2:45" s="291" customFormat="1" ht="24.95" hidden="1" customHeight="1">
      <c r="B49" s="292"/>
      <c r="C49" s="292" t="s">
        <v>313</v>
      </c>
      <c r="D49" s="318"/>
      <c r="E49" s="290"/>
      <c r="F49" s="290"/>
      <c r="G49" s="290"/>
      <c r="H49" s="314"/>
      <c r="I49" s="344"/>
      <c r="J49" s="344"/>
      <c r="K49" s="344"/>
      <c r="L49" s="348"/>
      <c r="M49" s="402"/>
      <c r="N49" s="349"/>
      <c r="O49" s="349"/>
      <c r="P49" s="349"/>
      <c r="Q49" s="346"/>
      <c r="R49" s="232"/>
      <c r="S49" s="314"/>
      <c r="T49" s="314"/>
      <c r="U49" s="314"/>
      <c r="V49" s="314"/>
      <c r="W49" s="314"/>
      <c r="X49" s="314"/>
      <c r="Y49" s="314"/>
      <c r="Z49" s="314"/>
      <c r="AA49" s="314"/>
      <c r="AB49" s="314"/>
      <c r="AC49" s="314"/>
      <c r="AD49" s="314"/>
      <c r="AE49" s="314"/>
      <c r="AF49" s="314"/>
      <c r="AG49" s="314"/>
      <c r="AH49" s="314"/>
      <c r="AI49" s="314"/>
      <c r="AJ49" s="314"/>
      <c r="AK49" s="375">
        <f t="shared" si="1"/>
        <v>0</v>
      </c>
      <c r="AL49" s="661"/>
      <c r="AM49" s="661"/>
      <c r="AN49" s="290"/>
      <c r="AP49" s="334" t="s">
        <v>103</v>
      </c>
      <c r="AQ49" s="667" t="str">
        <f>'Chip Bank'!S23</f>
        <v>NIGHT</v>
      </c>
      <c r="AR49" s="293"/>
      <c r="AS49" s="663"/>
    </row>
    <row r="50" spans="2:45" s="291" customFormat="1" ht="24.95" hidden="1" customHeight="1">
      <c r="B50" s="292"/>
      <c r="C50" s="292"/>
      <c r="D50" s="318"/>
      <c r="E50" s="290"/>
      <c r="F50" s="290"/>
      <c r="G50" s="290"/>
      <c r="H50" s="314"/>
      <c r="I50" s="344"/>
      <c r="J50" s="344"/>
      <c r="K50" s="344"/>
      <c r="L50" s="348"/>
      <c r="M50" s="402"/>
      <c r="N50" s="349"/>
      <c r="O50" s="349"/>
      <c r="P50" s="349"/>
      <c r="Q50" s="346"/>
      <c r="R50" s="232"/>
      <c r="S50" s="314"/>
      <c r="T50" s="314"/>
      <c r="U50" s="314"/>
      <c r="V50" s="314"/>
      <c r="W50" s="314"/>
      <c r="X50" s="314"/>
      <c r="Y50" s="314"/>
      <c r="Z50" s="314"/>
      <c r="AA50" s="314"/>
      <c r="AB50" s="314"/>
      <c r="AC50" s="314"/>
      <c r="AD50" s="314"/>
      <c r="AE50" s="314"/>
      <c r="AF50" s="314"/>
      <c r="AG50" s="314"/>
      <c r="AH50" s="314"/>
      <c r="AI50" s="314"/>
      <c r="AJ50" s="314"/>
      <c r="AK50" s="375">
        <f t="shared" si="1"/>
        <v>0</v>
      </c>
      <c r="AL50" s="661"/>
      <c r="AM50" s="661"/>
      <c r="AN50" s="290"/>
      <c r="AP50" s="292"/>
      <c r="AQ50" s="292"/>
      <c r="AR50" s="293"/>
      <c r="AS50" s="663"/>
    </row>
    <row r="51" spans="2:45" s="291" customFormat="1" ht="24.95" hidden="1" customHeight="1">
      <c r="B51" s="292"/>
      <c r="C51" s="292"/>
      <c r="D51" s="318"/>
      <c r="E51" s="290"/>
      <c r="F51" s="290"/>
      <c r="G51" s="290"/>
      <c r="H51" s="859"/>
      <c r="I51" s="860"/>
      <c r="J51" s="344"/>
      <c r="K51" s="344"/>
      <c r="L51" s="348"/>
      <c r="M51" s="402"/>
      <c r="N51" s="349"/>
      <c r="O51" s="349"/>
      <c r="P51" s="349"/>
      <c r="Q51" s="346"/>
      <c r="R51" s="232"/>
      <c r="S51" s="314"/>
      <c r="T51" s="314"/>
      <c r="U51" s="314"/>
      <c r="V51" s="314"/>
      <c r="W51" s="314"/>
      <c r="X51" s="314"/>
      <c r="Y51" s="314"/>
      <c r="Z51" s="314"/>
      <c r="AA51" s="314"/>
      <c r="AB51" s="314"/>
      <c r="AC51" s="314"/>
      <c r="AD51" s="314"/>
      <c r="AE51" s="314"/>
      <c r="AF51" s="314"/>
      <c r="AG51" s="314"/>
      <c r="AH51" s="314"/>
      <c r="AI51" s="314"/>
      <c r="AJ51" s="314"/>
      <c r="AK51" s="375">
        <f t="shared" si="1"/>
        <v>0</v>
      </c>
      <c r="AL51" s="661"/>
      <c r="AM51" s="661"/>
      <c r="AN51" s="290"/>
      <c r="AP51" s="292"/>
      <c r="AQ51" s="292"/>
      <c r="AR51" s="293"/>
      <c r="AS51" s="663"/>
    </row>
    <row r="52" spans="2:45" s="291" customFormat="1" ht="24.95" hidden="1" customHeight="1">
      <c r="B52" s="292"/>
      <c r="C52" s="292"/>
      <c r="D52" s="318"/>
      <c r="E52" s="290"/>
      <c r="F52" s="290"/>
      <c r="G52" s="290"/>
      <c r="H52" s="314"/>
      <c r="I52" s="344"/>
      <c r="J52" s="344"/>
      <c r="K52" s="344"/>
      <c r="L52" s="348"/>
      <c r="M52" s="402"/>
      <c r="N52" s="349"/>
      <c r="O52" s="349"/>
      <c r="P52" s="349"/>
      <c r="Q52" s="346"/>
      <c r="R52" s="232"/>
      <c r="S52" s="314"/>
      <c r="T52" s="314"/>
      <c r="U52" s="314"/>
      <c r="V52" s="314"/>
      <c r="W52" s="314"/>
      <c r="X52" s="314"/>
      <c r="Y52" s="314"/>
      <c r="Z52" s="314"/>
      <c r="AA52" s="314"/>
      <c r="AB52" s="314"/>
      <c r="AC52" s="314"/>
      <c r="AD52" s="314"/>
      <c r="AE52" s="314"/>
      <c r="AF52" s="314"/>
      <c r="AG52" s="314"/>
      <c r="AH52" s="314"/>
      <c r="AI52" s="314"/>
      <c r="AJ52" s="314"/>
      <c r="AK52" s="375">
        <f t="shared" si="1"/>
        <v>0</v>
      </c>
      <c r="AL52" s="661"/>
      <c r="AM52" s="661"/>
      <c r="AN52" s="290"/>
      <c r="AP52" s="292"/>
      <c r="AQ52" s="292"/>
      <c r="AR52" s="293"/>
      <c r="AS52" s="663"/>
    </row>
    <row r="53" spans="2:45" s="291" customFormat="1" ht="24.95" hidden="1" customHeight="1">
      <c r="B53" s="292"/>
      <c r="C53" s="292"/>
      <c r="D53" s="318"/>
      <c r="E53" s="332"/>
      <c r="F53" s="290"/>
      <c r="G53" s="290"/>
      <c r="H53" s="314"/>
      <c r="I53" s="344"/>
      <c r="J53" s="344"/>
      <c r="K53" s="344"/>
      <c r="L53" s="348"/>
      <c r="M53" s="402"/>
      <c r="N53" s="349"/>
      <c r="O53" s="349"/>
      <c r="P53" s="349"/>
      <c r="Q53" s="346"/>
      <c r="R53" s="232"/>
      <c r="S53" s="347"/>
      <c r="T53" s="347"/>
      <c r="U53" s="347"/>
      <c r="V53" s="347"/>
      <c r="W53" s="347"/>
      <c r="X53" s="314"/>
      <c r="Y53" s="314"/>
      <c r="Z53" s="314"/>
      <c r="AA53" s="314"/>
      <c r="AB53" s="314"/>
      <c r="AC53" s="314"/>
      <c r="AD53" s="314"/>
      <c r="AE53" s="314"/>
      <c r="AF53" s="314"/>
      <c r="AG53" s="314"/>
      <c r="AH53" s="314"/>
      <c r="AI53" s="314"/>
      <c r="AJ53" s="314"/>
      <c r="AK53" s="375">
        <f t="shared" si="1"/>
        <v>0</v>
      </c>
      <c r="AL53" s="661"/>
      <c r="AM53" s="661"/>
      <c r="AN53" s="294"/>
      <c r="AP53" s="292"/>
      <c r="AQ53" s="292"/>
      <c r="AR53" s="293"/>
      <c r="AS53" s="663"/>
    </row>
    <row r="54" spans="2:45" s="291" customFormat="1" ht="24.95" hidden="1" customHeight="1">
      <c r="B54" s="292"/>
      <c r="C54" s="292"/>
      <c r="D54" s="318"/>
      <c r="E54" s="332"/>
      <c r="F54" s="290"/>
      <c r="G54" s="290"/>
      <c r="H54" s="314"/>
      <c r="I54" s="344"/>
      <c r="J54" s="344"/>
      <c r="K54" s="344"/>
      <c r="L54" s="348"/>
      <c r="M54" s="402"/>
      <c r="N54" s="349"/>
      <c r="O54" s="349"/>
      <c r="P54" s="349"/>
      <c r="Q54" s="346"/>
      <c r="R54" s="232"/>
      <c r="S54" s="347"/>
      <c r="T54" s="347"/>
      <c r="U54" s="347"/>
      <c r="V54" s="347"/>
      <c r="W54" s="347"/>
      <c r="X54" s="314"/>
      <c r="Y54" s="314"/>
      <c r="Z54" s="314"/>
      <c r="AA54" s="314"/>
      <c r="AB54" s="314"/>
      <c r="AC54" s="314"/>
      <c r="AD54" s="314"/>
      <c r="AE54" s="314"/>
      <c r="AF54" s="314"/>
      <c r="AG54" s="314"/>
      <c r="AH54" s="314"/>
      <c r="AI54" s="314"/>
      <c r="AJ54" s="314"/>
      <c r="AK54" s="375">
        <f t="shared" si="1"/>
        <v>0</v>
      </c>
      <c r="AL54" s="661"/>
      <c r="AM54" s="661"/>
      <c r="AN54" s="294"/>
      <c r="AP54" s="292"/>
      <c r="AQ54" s="292"/>
      <c r="AR54" s="293"/>
      <c r="AS54" s="663"/>
    </row>
    <row r="55" spans="2:45" s="291" customFormat="1" ht="24.95" hidden="1" customHeight="1">
      <c r="B55" s="292"/>
      <c r="C55" s="292"/>
      <c r="D55" s="318"/>
      <c r="E55" s="332"/>
      <c r="F55" s="290"/>
      <c r="G55" s="290"/>
      <c r="H55" s="314"/>
      <c r="I55" s="344"/>
      <c r="J55" s="344"/>
      <c r="K55" s="344"/>
      <c r="L55" s="348"/>
      <c r="M55" s="402"/>
      <c r="N55" s="349"/>
      <c r="O55" s="349"/>
      <c r="P55" s="349"/>
      <c r="Q55" s="346"/>
      <c r="R55" s="232"/>
      <c r="S55" s="314"/>
      <c r="T55" s="314"/>
      <c r="U55" s="314"/>
      <c r="V55" s="314"/>
      <c r="W55" s="314"/>
      <c r="X55" s="314"/>
      <c r="Y55" s="314"/>
      <c r="Z55" s="314"/>
      <c r="AA55" s="314"/>
      <c r="AB55" s="314"/>
      <c r="AC55" s="314"/>
      <c r="AD55" s="314"/>
      <c r="AE55" s="314"/>
      <c r="AF55" s="314"/>
      <c r="AG55" s="314"/>
      <c r="AH55" s="314"/>
      <c r="AI55" s="314"/>
      <c r="AJ55" s="314"/>
      <c r="AK55" s="375">
        <f t="shared" si="1"/>
        <v>0</v>
      </c>
      <c r="AL55" s="661"/>
      <c r="AM55" s="661"/>
      <c r="AN55" s="294"/>
      <c r="AP55" s="292"/>
      <c r="AQ55" s="292"/>
      <c r="AR55" s="293"/>
      <c r="AS55" s="663"/>
    </row>
    <row r="56" spans="2:45" s="291" customFormat="1" ht="24.95" hidden="1" customHeight="1">
      <c r="B56" s="292"/>
      <c r="C56" s="292"/>
      <c r="D56" s="318"/>
      <c r="E56" s="332"/>
      <c r="F56" s="290"/>
      <c r="G56" s="290"/>
      <c r="H56" s="314"/>
      <c r="I56" s="344"/>
      <c r="J56" s="344"/>
      <c r="K56" s="344"/>
      <c r="L56" s="348"/>
      <c r="M56" s="402"/>
      <c r="N56" s="349"/>
      <c r="O56" s="349"/>
      <c r="P56" s="349"/>
      <c r="Q56" s="346"/>
      <c r="R56" s="232"/>
      <c r="S56" s="314"/>
      <c r="T56" s="314"/>
      <c r="U56" s="314"/>
      <c r="V56" s="314"/>
      <c r="W56" s="314"/>
      <c r="X56" s="314"/>
      <c r="Y56" s="314"/>
      <c r="Z56" s="314"/>
      <c r="AA56" s="314"/>
      <c r="AB56" s="314"/>
      <c r="AC56" s="314"/>
      <c r="AD56" s="314"/>
      <c r="AE56" s="314"/>
      <c r="AF56" s="314"/>
      <c r="AG56" s="314"/>
      <c r="AH56" s="314"/>
      <c r="AI56" s="314"/>
      <c r="AJ56" s="314"/>
      <c r="AK56" s="375">
        <f t="shared" si="1"/>
        <v>0</v>
      </c>
      <c r="AL56" s="661"/>
      <c r="AM56" s="661"/>
      <c r="AN56" s="294"/>
      <c r="AP56" s="292"/>
      <c r="AQ56" s="292"/>
      <c r="AR56" s="293"/>
      <c r="AS56" s="663"/>
    </row>
    <row r="57" spans="2:45" s="291" customFormat="1" ht="24.95" hidden="1" customHeight="1">
      <c r="B57" s="292"/>
      <c r="C57" s="292"/>
      <c r="D57" s="318"/>
      <c r="E57" s="332"/>
      <c r="F57" s="290"/>
      <c r="G57" s="290"/>
      <c r="H57" s="314"/>
      <c r="I57" s="344"/>
      <c r="J57" s="344"/>
      <c r="K57" s="344"/>
      <c r="L57" s="348"/>
      <c r="M57" s="402"/>
      <c r="N57" s="349"/>
      <c r="O57" s="349"/>
      <c r="P57" s="349"/>
      <c r="Q57" s="346"/>
      <c r="R57" s="232"/>
      <c r="S57" s="314"/>
      <c r="T57" s="314"/>
      <c r="U57" s="314"/>
      <c r="V57" s="314"/>
      <c r="W57" s="314"/>
      <c r="X57" s="314"/>
      <c r="Y57" s="314"/>
      <c r="Z57" s="314"/>
      <c r="AA57" s="314"/>
      <c r="AB57" s="314"/>
      <c r="AC57" s="314"/>
      <c r="AD57" s="314"/>
      <c r="AE57" s="314"/>
      <c r="AF57" s="314"/>
      <c r="AG57" s="314"/>
      <c r="AH57" s="314"/>
      <c r="AI57" s="314"/>
      <c r="AJ57" s="314"/>
      <c r="AK57" s="375">
        <f t="shared" si="1"/>
        <v>0</v>
      </c>
      <c r="AL57" s="661"/>
      <c r="AM57" s="661"/>
      <c r="AN57" s="294"/>
      <c r="AR57" s="293"/>
      <c r="AS57" s="663"/>
    </row>
    <row r="58" spans="2:45" s="291" customFormat="1" ht="24.95" hidden="1" customHeight="1">
      <c r="B58" s="292"/>
      <c r="C58" s="292"/>
      <c r="D58" s="318"/>
      <c r="E58" s="332"/>
      <c r="F58" s="290"/>
      <c r="G58" s="290"/>
      <c r="H58" s="314"/>
      <c r="I58" s="344"/>
      <c r="J58" s="344"/>
      <c r="K58" s="344"/>
      <c r="L58" s="348"/>
      <c r="M58" s="402"/>
      <c r="N58" s="349"/>
      <c r="O58" s="349"/>
      <c r="P58" s="349"/>
      <c r="Q58" s="346"/>
      <c r="R58" s="232"/>
      <c r="S58" s="314"/>
      <c r="T58" s="314"/>
      <c r="U58" s="314"/>
      <c r="V58" s="314"/>
      <c r="W58" s="314"/>
      <c r="X58" s="314"/>
      <c r="Y58" s="314"/>
      <c r="Z58" s="314"/>
      <c r="AA58" s="314"/>
      <c r="AB58" s="314"/>
      <c r="AC58" s="314"/>
      <c r="AD58" s="314"/>
      <c r="AE58" s="314"/>
      <c r="AF58" s="314"/>
      <c r="AG58" s="314"/>
      <c r="AH58" s="314"/>
      <c r="AI58" s="314"/>
      <c r="AJ58" s="314"/>
      <c r="AK58" s="375">
        <f t="shared" si="1"/>
        <v>0</v>
      </c>
      <c r="AL58" s="661"/>
      <c r="AM58" s="661"/>
      <c r="AN58" s="294"/>
    </row>
    <row r="59" spans="2:45" s="291" customFormat="1" ht="24.95" hidden="1" customHeight="1">
      <c r="B59" s="292"/>
      <c r="C59" s="292"/>
      <c r="D59" s="318"/>
      <c r="E59" s="332"/>
      <c r="F59" s="290"/>
      <c r="G59" s="290"/>
      <c r="H59" s="314"/>
      <c r="I59" s="344"/>
      <c r="J59" s="344"/>
      <c r="K59" s="344"/>
      <c r="L59" s="348"/>
      <c r="M59" s="402"/>
      <c r="N59" s="349"/>
      <c r="O59" s="349"/>
      <c r="P59" s="349"/>
      <c r="Q59" s="346"/>
      <c r="R59" s="232"/>
      <c r="S59" s="314"/>
      <c r="T59" s="314"/>
      <c r="U59" s="314"/>
      <c r="V59" s="314"/>
      <c r="W59" s="314"/>
      <c r="X59" s="314"/>
      <c r="Y59" s="314"/>
      <c r="Z59" s="314"/>
      <c r="AA59" s="314"/>
      <c r="AB59" s="314"/>
      <c r="AC59" s="314"/>
      <c r="AD59" s="314"/>
      <c r="AE59" s="314"/>
      <c r="AF59" s="314"/>
      <c r="AG59" s="314"/>
      <c r="AH59" s="314"/>
      <c r="AI59" s="314"/>
      <c r="AJ59" s="314"/>
      <c r="AK59" s="375">
        <f t="shared" si="1"/>
        <v>0</v>
      </c>
      <c r="AL59" s="661"/>
      <c r="AM59" s="661"/>
      <c r="AN59" s="294"/>
      <c r="AR59" s="337"/>
      <c r="AS59" s="337"/>
    </row>
    <row r="60" spans="2:45" s="291" customFormat="1" ht="24.95" hidden="1" customHeight="1">
      <c r="B60" s="292"/>
      <c r="C60" s="292"/>
      <c r="D60" s="318"/>
      <c r="E60" s="332"/>
      <c r="F60" s="290"/>
      <c r="G60" s="290"/>
      <c r="H60" s="314"/>
      <c r="I60" s="344"/>
      <c r="J60" s="344"/>
      <c r="K60" s="344"/>
      <c r="L60" s="348"/>
      <c r="M60" s="402"/>
      <c r="N60" s="349"/>
      <c r="O60" s="349"/>
      <c r="P60" s="349"/>
      <c r="Q60" s="346"/>
      <c r="R60" s="232"/>
      <c r="S60" s="314"/>
      <c r="T60" s="314"/>
      <c r="U60" s="314"/>
      <c r="V60" s="314"/>
      <c r="W60" s="314"/>
      <c r="X60" s="314"/>
      <c r="Y60" s="314"/>
      <c r="Z60" s="314"/>
      <c r="AA60" s="314"/>
      <c r="AB60" s="314"/>
      <c r="AC60" s="314"/>
      <c r="AD60" s="314"/>
      <c r="AE60" s="314"/>
      <c r="AF60" s="314"/>
      <c r="AG60" s="314"/>
      <c r="AH60" s="314"/>
      <c r="AI60" s="314"/>
      <c r="AJ60" s="314"/>
      <c r="AK60" s="375">
        <f t="shared" si="1"/>
        <v>0</v>
      </c>
      <c r="AL60" s="661"/>
      <c r="AM60" s="661"/>
      <c r="AN60" s="294"/>
      <c r="AO60" s="338"/>
      <c r="AP60" s="338"/>
      <c r="AQ60" s="338"/>
      <c r="AR60" s="337"/>
      <c r="AS60" s="337"/>
    </row>
    <row r="61" spans="2:45" s="291" customFormat="1" ht="24.95" hidden="1" customHeight="1">
      <c r="B61" s="292"/>
      <c r="C61" s="292"/>
      <c r="D61" s="318"/>
      <c r="E61" s="332"/>
      <c r="F61" s="290"/>
      <c r="G61" s="290"/>
      <c r="H61" s="314"/>
      <c r="I61" s="344"/>
      <c r="J61" s="344"/>
      <c r="K61" s="344"/>
      <c r="L61" s="348"/>
      <c r="M61" s="402"/>
      <c r="N61" s="344"/>
      <c r="O61" s="344"/>
      <c r="P61" s="344"/>
      <c r="Q61" s="346"/>
      <c r="R61" s="232"/>
      <c r="S61" s="347"/>
      <c r="T61" s="347"/>
      <c r="U61" s="347"/>
      <c r="V61" s="347"/>
      <c r="W61" s="347"/>
      <c r="X61" s="314"/>
      <c r="Y61" s="314"/>
      <c r="Z61" s="314"/>
      <c r="AA61" s="314"/>
      <c r="AB61" s="314"/>
      <c r="AC61" s="314"/>
      <c r="AD61" s="314"/>
      <c r="AE61" s="314"/>
      <c r="AF61" s="314"/>
      <c r="AG61" s="314"/>
      <c r="AH61" s="314"/>
      <c r="AI61" s="314"/>
      <c r="AJ61" s="314"/>
      <c r="AK61" s="375">
        <f t="shared" si="1"/>
        <v>0</v>
      </c>
      <c r="AL61" s="661"/>
      <c r="AM61" s="661"/>
      <c r="AN61" s="294"/>
      <c r="AO61" s="338"/>
      <c r="AP61" s="338"/>
      <c r="AQ61" s="338"/>
      <c r="AR61" s="295"/>
      <c r="AS61" s="664"/>
    </row>
    <row r="62" spans="2:45" s="291" customFormat="1" ht="24.95" hidden="1" customHeight="1">
      <c r="B62" s="292"/>
      <c r="C62" s="292"/>
      <c r="D62" s="318"/>
      <c r="E62" s="332"/>
      <c r="F62" s="290"/>
      <c r="G62" s="290"/>
      <c r="H62" s="314"/>
      <c r="I62" s="344"/>
      <c r="J62" s="344"/>
      <c r="K62" s="344"/>
      <c r="L62" s="348"/>
      <c r="M62" s="402"/>
      <c r="N62" s="344"/>
      <c r="O62" s="344"/>
      <c r="P62" s="344"/>
      <c r="Q62" s="346"/>
      <c r="R62" s="232"/>
      <c r="S62" s="347"/>
      <c r="T62" s="347"/>
      <c r="U62" s="347"/>
      <c r="V62" s="347"/>
      <c r="W62" s="347"/>
      <c r="X62" s="314"/>
      <c r="Y62" s="314"/>
      <c r="Z62" s="314"/>
      <c r="AA62" s="314"/>
      <c r="AB62" s="314"/>
      <c r="AC62" s="314"/>
      <c r="AD62" s="314"/>
      <c r="AE62" s="314"/>
      <c r="AF62" s="314"/>
      <c r="AG62" s="314"/>
      <c r="AH62" s="314"/>
      <c r="AI62" s="314"/>
      <c r="AJ62" s="314"/>
      <c r="AK62" s="375">
        <f t="shared" si="1"/>
        <v>0</v>
      </c>
      <c r="AL62" s="661"/>
      <c r="AM62" s="661"/>
      <c r="AN62" s="294"/>
      <c r="AO62" s="338"/>
      <c r="AP62" s="338"/>
      <c r="AQ62" s="338"/>
      <c r="AR62" s="295"/>
      <c r="AS62" s="664"/>
    </row>
    <row r="63" spans="2:45" s="291" customFormat="1" ht="24.95" hidden="1" customHeight="1">
      <c r="B63" s="292"/>
      <c r="C63" s="292"/>
      <c r="D63" s="318"/>
      <c r="E63" s="332"/>
      <c r="F63" s="290"/>
      <c r="G63" s="290"/>
      <c r="H63" s="314"/>
      <c r="I63" s="344"/>
      <c r="J63" s="344"/>
      <c r="K63" s="344"/>
      <c r="L63" s="348"/>
      <c r="M63" s="402"/>
      <c r="N63" s="344"/>
      <c r="O63" s="344"/>
      <c r="P63" s="344"/>
      <c r="Q63" s="346"/>
      <c r="R63" s="232"/>
      <c r="S63" s="347"/>
      <c r="T63" s="347"/>
      <c r="U63" s="347"/>
      <c r="V63" s="347"/>
      <c r="W63" s="347"/>
      <c r="X63" s="314"/>
      <c r="Y63" s="314"/>
      <c r="Z63" s="314"/>
      <c r="AA63" s="314"/>
      <c r="AB63" s="314"/>
      <c r="AC63" s="314"/>
      <c r="AD63" s="314"/>
      <c r="AE63" s="314"/>
      <c r="AF63" s="314"/>
      <c r="AG63" s="314"/>
      <c r="AH63" s="314"/>
      <c r="AI63" s="314"/>
      <c r="AJ63" s="314"/>
      <c r="AK63" s="375">
        <f t="shared" si="1"/>
        <v>0</v>
      </c>
      <c r="AL63" s="661"/>
      <c r="AM63" s="661"/>
      <c r="AN63" s="294"/>
      <c r="AP63" s="656"/>
      <c r="AQ63" s="298"/>
      <c r="AR63" s="295"/>
      <c r="AS63" s="664"/>
    </row>
    <row r="64" spans="2:45" s="291" customFormat="1" ht="24.75" hidden="1" customHeight="1">
      <c r="B64" s="292"/>
      <c r="C64" s="292"/>
      <c r="D64" s="318"/>
      <c r="E64" s="332"/>
      <c r="F64" s="290"/>
      <c r="G64" s="290"/>
      <c r="H64" s="314"/>
      <c r="I64" s="344"/>
      <c r="J64" s="344"/>
      <c r="K64" s="344"/>
      <c r="L64" s="348"/>
      <c r="M64" s="402"/>
      <c r="N64" s="344"/>
      <c r="O64" s="344"/>
      <c r="P64" s="344"/>
      <c r="Q64" s="346"/>
      <c r="R64" s="232"/>
      <c r="S64" s="347"/>
      <c r="T64" s="347"/>
      <c r="U64" s="347"/>
      <c r="V64" s="347"/>
      <c r="W64" s="347"/>
      <c r="X64" s="314"/>
      <c r="Y64" s="314"/>
      <c r="Z64" s="314"/>
      <c r="AA64" s="314"/>
      <c r="AB64" s="314"/>
      <c r="AC64" s="314"/>
      <c r="AD64" s="314"/>
      <c r="AE64" s="314"/>
      <c r="AF64" s="314"/>
      <c r="AG64" s="314"/>
      <c r="AH64" s="314"/>
      <c r="AI64" s="314"/>
      <c r="AJ64" s="314"/>
      <c r="AK64" s="375">
        <f t="shared" si="1"/>
        <v>0</v>
      </c>
      <c r="AL64" s="661"/>
      <c r="AM64" s="661"/>
      <c r="AN64" s="294"/>
      <c r="AP64" s="656"/>
      <c r="AQ64" s="298"/>
      <c r="AR64" s="295"/>
      <c r="AS64" s="664"/>
    </row>
    <row r="65" spans="2:45" s="291" customFormat="1" ht="24.95" hidden="1" customHeight="1">
      <c r="B65" s="292"/>
      <c r="C65" s="292"/>
      <c r="D65" s="318"/>
      <c r="E65" s="332"/>
      <c r="F65" s="290"/>
      <c r="G65" s="290"/>
      <c r="H65" s="314"/>
      <c r="I65" s="344"/>
      <c r="J65" s="344"/>
      <c r="K65" s="344"/>
      <c r="L65" s="348"/>
      <c r="M65" s="402"/>
      <c r="N65" s="344"/>
      <c r="O65" s="344"/>
      <c r="P65" s="344"/>
      <c r="Q65" s="346"/>
      <c r="R65" s="232"/>
      <c r="S65" s="347"/>
      <c r="T65" s="347"/>
      <c r="U65" s="347"/>
      <c r="V65" s="347"/>
      <c r="W65" s="347"/>
      <c r="X65" s="314"/>
      <c r="Y65" s="314"/>
      <c r="Z65" s="314"/>
      <c r="AA65" s="314"/>
      <c r="AB65" s="314"/>
      <c r="AC65" s="314"/>
      <c r="AD65" s="314"/>
      <c r="AE65" s="314"/>
      <c r="AF65" s="314"/>
      <c r="AG65" s="314"/>
      <c r="AH65" s="314"/>
      <c r="AI65" s="314"/>
      <c r="AJ65" s="314"/>
      <c r="AK65" s="375">
        <f t="shared" si="1"/>
        <v>0</v>
      </c>
      <c r="AL65" s="661"/>
      <c r="AM65" s="661"/>
      <c r="AN65" s="294"/>
      <c r="AP65" s="656"/>
      <c r="AQ65" s="298"/>
      <c r="AR65" s="295"/>
      <c r="AS65" s="664"/>
    </row>
    <row r="66" spans="2:45" s="291" customFormat="1" ht="24.95" hidden="1" customHeight="1">
      <c r="B66" s="292"/>
      <c r="C66" s="292"/>
      <c r="D66" s="318"/>
      <c r="E66" s="332"/>
      <c r="F66" s="290"/>
      <c r="G66" s="290"/>
      <c r="H66" s="314"/>
      <c r="I66" s="344"/>
      <c r="J66" s="344"/>
      <c r="K66" s="344"/>
      <c r="L66" s="348"/>
      <c r="M66" s="402"/>
      <c r="N66" s="344"/>
      <c r="O66" s="344"/>
      <c r="P66" s="344"/>
      <c r="Q66" s="346"/>
      <c r="R66" s="232"/>
      <c r="S66" s="347"/>
      <c r="T66" s="347"/>
      <c r="U66" s="347"/>
      <c r="V66" s="347"/>
      <c r="W66" s="347"/>
      <c r="X66" s="314"/>
      <c r="Y66" s="314"/>
      <c r="Z66" s="314"/>
      <c r="AA66" s="314"/>
      <c r="AB66" s="314"/>
      <c r="AC66" s="314"/>
      <c r="AD66" s="314"/>
      <c r="AE66" s="314"/>
      <c r="AF66" s="314"/>
      <c r="AG66" s="314"/>
      <c r="AH66" s="314"/>
      <c r="AI66" s="314"/>
      <c r="AJ66" s="314"/>
      <c r="AK66" s="375">
        <f t="shared" si="1"/>
        <v>0</v>
      </c>
      <c r="AL66" s="661"/>
      <c r="AM66" s="661"/>
      <c r="AN66" s="294"/>
      <c r="AP66" s="656"/>
      <c r="AQ66" s="298"/>
      <c r="AR66" s="295"/>
      <c r="AS66" s="664"/>
    </row>
    <row r="67" spans="2:45" s="291" customFormat="1" ht="24.95" hidden="1" customHeight="1">
      <c r="B67" s="292"/>
      <c r="C67" s="292"/>
      <c r="D67" s="318"/>
      <c r="E67" s="332"/>
      <c r="F67" s="290"/>
      <c r="G67" s="290"/>
      <c r="H67" s="314"/>
      <c r="I67" s="344"/>
      <c r="J67" s="344"/>
      <c r="K67" s="344"/>
      <c r="L67" s="348"/>
      <c r="M67" s="402"/>
      <c r="N67" s="344"/>
      <c r="O67" s="344"/>
      <c r="P67" s="344"/>
      <c r="Q67" s="346"/>
      <c r="R67" s="232"/>
      <c r="S67" s="347"/>
      <c r="T67" s="347"/>
      <c r="U67" s="347"/>
      <c r="V67" s="347"/>
      <c r="W67" s="347"/>
      <c r="X67" s="314"/>
      <c r="Y67" s="314"/>
      <c r="Z67" s="314"/>
      <c r="AA67" s="314"/>
      <c r="AB67" s="314"/>
      <c r="AC67" s="314"/>
      <c r="AD67" s="314"/>
      <c r="AE67" s="314"/>
      <c r="AF67" s="314"/>
      <c r="AG67" s="314"/>
      <c r="AH67" s="314"/>
      <c r="AI67" s="314"/>
      <c r="AJ67" s="314"/>
      <c r="AK67" s="375">
        <f t="shared" si="1"/>
        <v>0</v>
      </c>
      <c r="AL67" s="661"/>
      <c r="AM67" s="661"/>
      <c r="AN67" s="294"/>
      <c r="AP67" s="656"/>
      <c r="AQ67" s="298"/>
      <c r="AR67" s="295"/>
      <c r="AS67" s="664"/>
    </row>
    <row r="68" spans="2:45" s="291" customFormat="1" ht="24.95" hidden="1" customHeight="1">
      <c r="B68" s="292"/>
      <c r="C68" s="292"/>
      <c r="D68" s="318"/>
      <c r="E68" s="332"/>
      <c r="F68" s="290"/>
      <c r="G68" s="290"/>
      <c r="H68" s="314"/>
      <c r="I68" s="344"/>
      <c r="J68" s="344"/>
      <c r="K68" s="344"/>
      <c r="L68" s="348"/>
      <c r="M68" s="402"/>
      <c r="N68" s="344"/>
      <c r="O68" s="344"/>
      <c r="P68" s="344"/>
      <c r="Q68" s="346"/>
      <c r="R68" s="232"/>
      <c r="S68" s="347"/>
      <c r="T68" s="347"/>
      <c r="U68" s="347"/>
      <c r="V68" s="347"/>
      <c r="W68" s="347"/>
      <c r="X68" s="314"/>
      <c r="Y68" s="314"/>
      <c r="Z68" s="314"/>
      <c r="AA68" s="314"/>
      <c r="AB68" s="314"/>
      <c r="AC68" s="314"/>
      <c r="AD68" s="314"/>
      <c r="AE68" s="314"/>
      <c r="AF68" s="314"/>
      <c r="AG68" s="314"/>
      <c r="AH68" s="314"/>
      <c r="AI68" s="314"/>
      <c r="AJ68" s="314"/>
      <c r="AK68" s="375">
        <f t="shared" si="1"/>
        <v>0</v>
      </c>
      <c r="AL68" s="661"/>
      <c r="AM68" s="661"/>
      <c r="AN68" s="294"/>
      <c r="AP68" s="656"/>
      <c r="AQ68" s="298"/>
      <c r="AR68" s="295"/>
      <c r="AS68" s="664"/>
    </row>
    <row r="69" spans="2:45" s="291" customFormat="1" ht="24.95" hidden="1" customHeight="1">
      <c r="B69" s="292"/>
      <c r="C69" s="292"/>
      <c r="D69" s="318"/>
      <c r="E69" s="332"/>
      <c r="F69" s="290"/>
      <c r="G69" s="290"/>
      <c r="H69" s="314"/>
      <c r="I69" s="344"/>
      <c r="J69" s="344"/>
      <c r="K69" s="344"/>
      <c r="L69" s="348"/>
      <c r="M69" s="402"/>
      <c r="N69" s="344"/>
      <c r="O69" s="344"/>
      <c r="P69" s="344"/>
      <c r="Q69" s="346"/>
      <c r="R69" s="232"/>
      <c r="S69" s="347"/>
      <c r="T69" s="347"/>
      <c r="U69" s="347"/>
      <c r="V69" s="347"/>
      <c r="W69" s="347"/>
      <c r="X69" s="314"/>
      <c r="Y69" s="314"/>
      <c r="Z69" s="314"/>
      <c r="AA69" s="314"/>
      <c r="AB69" s="314"/>
      <c r="AC69" s="314"/>
      <c r="AD69" s="314"/>
      <c r="AE69" s="314"/>
      <c r="AF69" s="314"/>
      <c r="AG69" s="314"/>
      <c r="AH69" s="314"/>
      <c r="AI69" s="314"/>
      <c r="AJ69" s="314"/>
      <c r="AK69" s="375">
        <f t="shared" si="1"/>
        <v>0</v>
      </c>
      <c r="AL69" s="661"/>
      <c r="AM69" s="661"/>
      <c r="AN69" s="294"/>
      <c r="AP69" s="656"/>
      <c r="AQ69" s="298"/>
      <c r="AR69" s="295"/>
      <c r="AS69" s="664"/>
    </row>
    <row r="70" spans="2:45" s="291" customFormat="1" ht="24.95" hidden="1" customHeight="1">
      <c r="B70" s="292"/>
      <c r="C70" s="292"/>
      <c r="D70" s="318"/>
      <c r="E70" s="332"/>
      <c r="F70" s="290"/>
      <c r="G70" s="290"/>
      <c r="H70" s="314"/>
      <c r="I70" s="344"/>
      <c r="J70" s="344"/>
      <c r="K70" s="344"/>
      <c r="L70" s="348"/>
      <c r="M70" s="402"/>
      <c r="N70" s="344"/>
      <c r="O70" s="344"/>
      <c r="P70" s="344"/>
      <c r="Q70" s="346"/>
      <c r="R70" s="232"/>
      <c r="S70" s="347"/>
      <c r="T70" s="347"/>
      <c r="U70" s="347"/>
      <c r="V70" s="347"/>
      <c r="W70" s="347"/>
      <c r="X70" s="314"/>
      <c r="Y70" s="314"/>
      <c r="Z70" s="314"/>
      <c r="AA70" s="314"/>
      <c r="AB70" s="314"/>
      <c r="AC70" s="314"/>
      <c r="AD70" s="314"/>
      <c r="AE70" s="314"/>
      <c r="AF70" s="314"/>
      <c r="AG70" s="314"/>
      <c r="AH70" s="314"/>
      <c r="AI70" s="314"/>
      <c r="AJ70" s="314"/>
      <c r="AK70" s="375">
        <f t="shared" si="1"/>
        <v>0</v>
      </c>
      <c r="AL70" s="661"/>
      <c r="AM70" s="661"/>
      <c r="AN70" s="294"/>
      <c r="AP70" s="656"/>
      <c r="AQ70" s="298"/>
      <c r="AR70" s="295"/>
      <c r="AS70" s="664"/>
    </row>
    <row r="71" spans="2:45" s="291" customFormat="1" ht="24.95" hidden="1" customHeight="1">
      <c r="B71" s="292"/>
      <c r="C71" s="292"/>
      <c r="D71" s="318"/>
      <c r="E71" s="332"/>
      <c r="F71" s="290"/>
      <c r="G71" s="290"/>
      <c r="H71" s="314"/>
      <c r="I71" s="344"/>
      <c r="J71" s="344"/>
      <c r="K71" s="344"/>
      <c r="L71" s="348"/>
      <c r="M71" s="402"/>
      <c r="N71" s="344"/>
      <c r="O71" s="344"/>
      <c r="P71" s="344"/>
      <c r="Q71" s="346"/>
      <c r="R71" s="232"/>
      <c r="S71" s="347"/>
      <c r="T71" s="347"/>
      <c r="U71" s="347"/>
      <c r="V71" s="347"/>
      <c r="W71" s="347"/>
      <c r="X71" s="314"/>
      <c r="Y71" s="314"/>
      <c r="Z71" s="314"/>
      <c r="AA71" s="314"/>
      <c r="AB71" s="314"/>
      <c r="AC71" s="314"/>
      <c r="AD71" s="314"/>
      <c r="AE71" s="314"/>
      <c r="AF71" s="314"/>
      <c r="AG71" s="314"/>
      <c r="AH71" s="314"/>
      <c r="AI71" s="314"/>
      <c r="AJ71" s="314"/>
      <c r="AK71" s="375">
        <f t="shared" si="1"/>
        <v>0</v>
      </c>
      <c r="AL71" s="661"/>
      <c r="AM71" s="661"/>
      <c r="AN71" s="294"/>
      <c r="AP71" s="656"/>
      <c r="AQ71" s="298"/>
      <c r="AR71" s="295"/>
      <c r="AS71" s="664"/>
    </row>
    <row r="72" spans="2:45" s="291" customFormat="1" ht="24.95" hidden="1" customHeight="1">
      <c r="B72" s="292"/>
      <c r="C72" s="292"/>
      <c r="D72" s="318"/>
      <c r="E72" s="332"/>
      <c r="F72" s="290"/>
      <c r="G72" s="290"/>
      <c r="H72" s="314"/>
      <c r="I72" s="344"/>
      <c r="J72" s="344"/>
      <c r="K72" s="344"/>
      <c r="L72" s="348"/>
      <c r="M72" s="402"/>
      <c r="N72" s="344"/>
      <c r="O72" s="344"/>
      <c r="P72" s="344"/>
      <c r="Q72" s="346"/>
      <c r="R72" s="232"/>
      <c r="S72" s="347"/>
      <c r="T72" s="347"/>
      <c r="U72" s="347"/>
      <c r="V72" s="347"/>
      <c r="W72" s="347"/>
      <c r="X72" s="314"/>
      <c r="Y72" s="314"/>
      <c r="Z72" s="314"/>
      <c r="AA72" s="314"/>
      <c r="AB72" s="314"/>
      <c r="AC72" s="314"/>
      <c r="AD72" s="314"/>
      <c r="AE72" s="314"/>
      <c r="AF72" s="314"/>
      <c r="AG72" s="314"/>
      <c r="AH72" s="314"/>
      <c r="AI72" s="314"/>
      <c r="AJ72" s="314"/>
      <c r="AK72" s="375">
        <f t="shared" si="1"/>
        <v>0</v>
      </c>
      <c r="AL72" s="661"/>
      <c r="AM72" s="661"/>
      <c r="AN72" s="294"/>
      <c r="AP72" s="656"/>
      <c r="AQ72" s="298"/>
      <c r="AR72" s="295"/>
      <c r="AS72" s="664"/>
    </row>
    <row r="73" spans="2:45" s="291" customFormat="1" ht="24.95" hidden="1" customHeight="1">
      <c r="B73" s="292"/>
      <c r="C73" s="292"/>
      <c r="D73" s="318"/>
      <c r="E73" s="332"/>
      <c r="F73" s="290"/>
      <c r="G73" s="290"/>
      <c r="H73" s="314"/>
      <c r="I73" s="344"/>
      <c r="J73" s="344"/>
      <c r="K73" s="344"/>
      <c r="L73" s="348"/>
      <c r="M73" s="402"/>
      <c r="N73" s="344"/>
      <c r="O73" s="344"/>
      <c r="P73" s="344"/>
      <c r="Q73" s="346"/>
      <c r="R73" s="232"/>
      <c r="S73" s="347"/>
      <c r="T73" s="347"/>
      <c r="U73" s="347"/>
      <c r="V73" s="347"/>
      <c r="W73" s="347"/>
      <c r="X73" s="314"/>
      <c r="Y73" s="314"/>
      <c r="Z73" s="314"/>
      <c r="AA73" s="314"/>
      <c r="AB73" s="314"/>
      <c r="AC73" s="314"/>
      <c r="AD73" s="314"/>
      <c r="AE73" s="314"/>
      <c r="AF73" s="314"/>
      <c r="AG73" s="314"/>
      <c r="AH73" s="314"/>
      <c r="AI73" s="314"/>
      <c r="AJ73" s="314"/>
      <c r="AK73" s="375">
        <f t="shared" si="1"/>
        <v>0</v>
      </c>
      <c r="AL73" s="661"/>
      <c r="AM73" s="661"/>
      <c r="AN73" s="294"/>
      <c r="AP73" s="656"/>
      <c r="AQ73" s="298"/>
      <c r="AR73" s="295"/>
      <c r="AS73" s="664"/>
    </row>
    <row r="74" spans="2:45" s="291" customFormat="1" ht="24.95" hidden="1" customHeight="1">
      <c r="B74" s="292"/>
      <c r="C74" s="292"/>
      <c r="D74" s="318"/>
      <c r="E74" s="332"/>
      <c r="F74" s="290"/>
      <c r="G74" s="290"/>
      <c r="H74" s="314"/>
      <c r="I74" s="344"/>
      <c r="J74" s="344"/>
      <c r="K74" s="344"/>
      <c r="L74" s="348"/>
      <c r="M74" s="402"/>
      <c r="N74" s="344"/>
      <c r="O74" s="344"/>
      <c r="P74" s="344"/>
      <c r="Q74" s="346"/>
      <c r="R74" s="232"/>
      <c r="S74" s="347"/>
      <c r="T74" s="347"/>
      <c r="U74" s="347"/>
      <c r="V74" s="347"/>
      <c r="W74" s="347"/>
      <c r="X74" s="314"/>
      <c r="Y74" s="314"/>
      <c r="Z74" s="314"/>
      <c r="AA74" s="314"/>
      <c r="AB74" s="314"/>
      <c r="AC74" s="314"/>
      <c r="AD74" s="314"/>
      <c r="AE74" s="314"/>
      <c r="AF74" s="314"/>
      <c r="AG74" s="314"/>
      <c r="AH74" s="314"/>
      <c r="AI74" s="314"/>
      <c r="AJ74" s="314"/>
      <c r="AK74" s="375">
        <f t="shared" si="1"/>
        <v>0</v>
      </c>
      <c r="AL74" s="661"/>
      <c r="AM74" s="661"/>
      <c r="AN74" s="294"/>
      <c r="AP74" s="656"/>
      <c r="AQ74" s="298"/>
      <c r="AR74" s="295"/>
      <c r="AS74" s="664"/>
    </row>
    <row r="75" spans="2:45" s="291" customFormat="1" ht="24.95" hidden="1" customHeight="1">
      <c r="B75" s="292"/>
      <c r="C75" s="292"/>
      <c r="D75" s="318"/>
      <c r="E75" s="332"/>
      <c r="F75" s="290"/>
      <c r="G75" s="290"/>
      <c r="H75" s="314"/>
      <c r="I75" s="344"/>
      <c r="J75" s="344"/>
      <c r="K75" s="344"/>
      <c r="L75" s="348"/>
      <c r="M75" s="402"/>
      <c r="N75" s="344"/>
      <c r="O75" s="344"/>
      <c r="P75" s="344"/>
      <c r="Q75" s="346"/>
      <c r="R75" s="232"/>
      <c r="S75" s="347"/>
      <c r="T75" s="347"/>
      <c r="U75" s="347"/>
      <c r="V75" s="347"/>
      <c r="W75" s="347"/>
      <c r="X75" s="314"/>
      <c r="Y75" s="314"/>
      <c r="Z75" s="314"/>
      <c r="AA75" s="314"/>
      <c r="AB75" s="314"/>
      <c r="AC75" s="314"/>
      <c r="AD75" s="314"/>
      <c r="AE75" s="314"/>
      <c r="AF75" s="314"/>
      <c r="AG75" s="314"/>
      <c r="AH75" s="314"/>
      <c r="AI75" s="314"/>
      <c r="AJ75" s="314"/>
      <c r="AK75" s="375">
        <f t="shared" si="1"/>
        <v>0</v>
      </c>
      <c r="AL75" s="661"/>
      <c r="AM75" s="661"/>
      <c r="AN75" s="294"/>
      <c r="AP75" s="656"/>
      <c r="AQ75" s="298"/>
      <c r="AR75" s="295"/>
      <c r="AS75" s="664"/>
    </row>
    <row r="76" spans="2:45" s="291" customFormat="1" ht="24.95" hidden="1" customHeight="1">
      <c r="B76" s="292"/>
      <c r="C76" s="292"/>
      <c r="D76" s="318"/>
      <c r="E76" s="332"/>
      <c r="F76" s="290"/>
      <c r="G76" s="290"/>
      <c r="H76" s="314"/>
      <c r="I76" s="344"/>
      <c r="J76" s="344"/>
      <c r="K76" s="344"/>
      <c r="L76" s="348"/>
      <c r="M76" s="402"/>
      <c r="N76" s="344"/>
      <c r="O76" s="344"/>
      <c r="P76" s="344"/>
      <c r="Q76" s="346"/>
      <c r="R76" s="232"/>
      <c r="S76" s="347"/>
      <c r="T76" s="347"/>
      <c r="U76" s="347"/>
      <c r="V76" s="347"/>
      <c r="W76" s="347"/>
      <c r="X76" s="314"/>
      <c r="Y76" s="314"/>
      <c r="Z76" s="314"/>
      <c r="AA76" s="314"/>
      <c r="AB76" s="314"/>
      <c r="AC76" s="314"/>
      <c r="AD76" s="314"/>
      <c r="AE76" s="314"/>
      <c r="AF76" s="314"/>
      <c r="AG76" s="314"/>
      <c r="AH76" s="314"/>
      <c r="AI76" s="314"/>
      <c r="AJ76" s="314"/>
      <c r="AK76" s="375">
        <f t="shared" si="1"/>
        <v>0</v>
      </c>
      <c r="AL76" s="661"/>
      <c r="AM76" s="661"/>
      <c r="AN76" s="294"/>
      <c r="AP76" s="656"/>
      <c r="AQ76" s="298"/>
      <c r="AR76" s="295"/>
      <c r="AS76" s="664"/>
    </row>
    <row r="77" spans="2:45" s="291" customFormat="1" ht="24.95" hidden="1" customHeight="1">
      <c r="B77" s="292"/>
      <c r="C77" s="292"/>
      <c r="D77" s="318"/>
      <c r="E77" s="332"/>
      <c r="F77" s="290"/>
      <c r="G77" s="290"/>
      <c r="H77" s="314"/>
      <c r="I77" s="344"/>
      <c r="J77" s="344"/>
      <c r="K77" s="344"/>
      <c r="L77" s="348"/>
      <c r="M77" s="402"/>
      <c r="N77" s="344"/>
      <c r="O77" s="344"/>
      <c r="P77" s="344"/>
      <c r="Q77" s="346"/>
      <c r="R77" s="232"/>
      <c r="S77" s="347"/>
      <c r="T77" s="347"/>
      <c r="U77" s="347"/>
      <c r="V77" s="347"/>
      <c r="W77" s="347"/>
      <c r="X77" s="314"/>
      <c r="Y77" s="314"/>
      <c r="Z77" s="314"/>
      <c r="AA77" s="314"/>
      <c r="AB77" s="314"/>
      <c r="AC77" s="314"/>
      <c r="AD77" s="314"/>
      <c r="AE77" s="314"/>
      <c r="AF77" s="314"/>
      <c r="AG77" s="314"/>
      <c r="AH77" s="314"/>
      <c r="AI77" s="314"/>
      <c r="AJ77" s="314"/>
      <c r="AK77" s="375">
        <f t="shared" si="1"/>
        <v>0</v>
      </c>
      <c r="AL77" s="661"/>
      <c r="AM77" s="661"/>
      <c r="AN77" s="294"/>
      <c r="AP77" s="656"/>
      <c r="AQ77" s="298"/>
      <c r="AR77" s="295"/>
      <c r="AS77" s="664"/>
    </row>
    <row r="78" spans="2:45" s="291" customFormat="1" ht="24.95" hidden="1" customHeight="1">
      <c r="B78" s="292"/>
      <c r="C78" s="292"/>
      <c r="D78" s="318"/>
      <c r="E78" s="332"/>
      <c r="F78" s="290"/>
      <c r="G78" s="290"/>
      <c r="H78" s="314"/>
      <c r="I78" s="344"/>
      <c r="J78" s="344"/>
      <c r="K78" s="344"/>
      <c r="L78" s="348"/>
      <c r="M78" s="402"/>
      <c r="N78" s="344"/>
      <c r="O78" s="344"/>
      <c r="P78" s="344"/>
      <c r="Q78" s="346"/>
      <c r="R78" s="232"/>
      <c r="S78" s="347"/>
      <c r="T78" s="347"/>
      <c r="U78" s="347"/>
      <c r="V78" s="347"/>
      <c r="W78" s="347"/>
      <c r="X78" s="314"/>
      <c r="Y78" s="314"/>
      <c r="Z78" s="314"/>
      <c r="AA78" s="314"/>
      <c r="AB78" s="314"/>
      <c r="AC78" s="314"/>
      <c r="AD78" s="314"/>
      <c r="AE78" s="314"/>
      <c r="AF78" s="314"/>
      <c r="AG78" s="314"/>
      <c r="AH78" s="314"/>
      <c r="AI78" s="314"/>
      <c r="AJ78" s="314"/>
      <c r="AK78" s="375">
        <f t="shared" si="1"/>
        <v>0</v>
      </c>
      <c r="AL78" s="661"/>
      <c r="AM78" s="661"/>
      <c r="AN78" s="294"/>
      <c r="AP78" s="656"/>
      <c r="AQ78" s="298"/>
      <c r="AR78" s="295"/>
      <c r="AS78" s="664"/>
    </row>
    <row r="79" spans="2:45" s="291" customFormat="1" ht="24.95" hidden="1" customHeight="1">
      <c r="B79" s="292"/>
      <c r="C79" s="292"/>
      <c r="D79" s="318"/>
      <c r="E79" s="332"/>
      <c r="F79" s="290"/>
      <c r="G79" s="290"/>
      <c r="H79" s="314"/>
      <c r="I79" s="344"/>
      <c r="J79" s="344"/>
      <c r="K79" s="344"/>
      <c r="L79" s="348"/>
      <c r="M79" s="402"/>
      <c r="N79" s="344"/>
      <c r="O79" s="344"/>
      <c r="P79" s="344"/>
      <c r="Q79" s="346"/>
      <c r="R79" s="232"/>
      <c r="S79" s="347"/>
      <c r="T79" s="347"/>
      <c r="U79" s="347"/>
      <c r="V79" s="347"/>
      <c r="W79" s="347"/>
      <c r="X79" s="314"/>
      <c r="Y79" s="314"/>
      <c r="Z79" s="314"/>
      <c r="AA79" s="314"/>
      <c r="AB79" s="314"/>
      <c r="AC79" s="314"/>
      <c r="AD79" s="314"/>
      <c r="AE79" s="314"/>
      <c r="AF79" s="314"/>
      <c r="AG79" s="314"/>
      <c r="AH79" s="314"/>
      <c r="AI79" s="314"/>
      <c r="AJ79" s="314"/>
      <c r="AK79" s="375">
        <f t="shared" si="1"/>
        <v>0</v>
      </c>
      <c r="AL79" s="661"/>
      <c r="AM79" s="661"/>
      <c r="AN79" s="294"/>
      <c r="AP79" s="656"/>
      <c r="AQ79" s="298"/>
      <c r="AR79" s="295"/>
      <c r="AS79" s="664"/>
    </row>
    <row r="80" spans="2:45" s="291" customFormat="1" ht="24.95" hidden="1" customHeight="1">
      <c r="B80" s="292"/>
      <c r="C80" s="292"/>
      <c r="D80" s="318"/>
      <c r="E80" s="332"/>
      <c r="F80" s="290"/>
      <c r="G80" s="290"/>
      <c r="H80" s="314"/>
      <c r="I80" s="344"/>
      <c r="J80" s="344"/>
      <c r="K80" s="344"/>
      <c r="L80" s="348"/>
      <c r="M80" s="402"/>
      <c r="N80" s="344"/>
      <c r="O80" s="344"/>
      <c r="P80" s="344"/>
      <c r="Q80" s="346"/>
      <c r="R80" s="232"/>
      <c r="S80" s="347"/>
      <c r="T80" s="347"/>
      <c r="U80" s="347"/>
      <c r="V80" s="347"/>
      <c r="W80" s="347"/>
      <c r="X80" s="314"/>
      <c r="Y80" s="314"/>
      <c r="Z80" s="314"/>
      <c r="AA80" s="314"/>
      <c r="AB80" s="314"/>
      <c r="AC80" s="314"/>
      <c r="AD80" s="314"/>
      <c r="AE80" s="314"/>
      <c r="AF80" s="314"/>
      <c r="AG80" s="314"/>
      <c r="AH80" s="314"/>
      <c r="AI80" s="314"/>
      <c r="AJ80" s="314"/>
      <c r="AK80" s="375">
        <f t="shared" si="1"/>
        <v>0</v>
      </c>
      <c r="AL80" s="661"/>
      <c r="AM80" s="661"/>
      <c r="AN80" s="294"/>
      <c r="AP80" s="656"/>
      <c r="AQ80" s="298"/>
      <c r="AR80" s="295"/>
      <c r="AS80" s="664"/>
    </row>
    <row r="81" spans="2:45" s="291" customFormat="1" ht="24.95" hidden="1" customHeight="1">
      <c r="B81" s="292"/>
      <c r="C81" s="292"/>
      <c r="D81" s="318"/>
      <c r="E81" s="332"/>
      <c r="F81" s="290"/>
      <c r="G81" s="290"/>
      <c r="H81" s="314"/>
      <c r="I81" s="344"/>
      <c r="J81" s="344"/>
      <c r="K81" s="344"/>
      <c r="L81" s="348"/>
      <c r="M81" s="402"/>
      <c r="N81" s="344"/>
      <c r="O81" s="344"/>
      <c r="P81" s="344"/>
      <c r="Q81" s="346"/>
      <c r="R81" s="232"/>
      <c r="S81" s="347"/>
      <c r="T81" s="347"/>
      <c r="U81" s="347"/>
      <c r="V81" s="347"/>
      <c r="W81" s="347"/>
      <c r="X81" s="314"/>
      <c r="Y81" s="314"/>
      <c r="Z81" s="314"/>
      <c r="AA81" s="314"/>
      <c r="AB81" s="314"/>
      <c r="AC81" s="314"/>
      <c r="AD81" s="314"/>
      <c r="AE81" s="314"/>
      <c r="AF81" s="314"/>
      <c r="AG81" s="314"/>
      <c r="AH81" s="314"/>
      <c r="AI81" s="314"/>
      <c r="AJ81" s="314"/>
      <c r="AK81" s="375">
        <f t="shared" si="1"/>
        <v>0</v>
      </c>
      <c r="AL81" s="661"/>
      <c r="AM81" s="661"/>
      <c r="AN81" s="294"/>
      <c r="AP81" s="656"/>
      <c r="AQ81" s="298"/>
      <c r="AR81" s="295"/>
      <c r="AS81" s="664"/>
    </row>
    <row r="82" spans="2:45" s="291" customFormat="1" ht="24.95" hidden="1" customHeight="1">
      <c r="B82" s="292"/>
      <c r="C82" s="292"/>
      <c r="D82" s="318"/>
      <c r="E82" s="332"/>
      <c r="F82" s="290"/>
      <c r="G82" s="290"/>
      <c r="H82" s="314"/>
      <c r="I82" s="344"/>
      <c r="J82" s="344"/>
      <c r="K82" s="344"/>
      <c r="L82" s="348"/>
      <c r="M82" s="402"/>
      <c r="N82" s="344"/>
      <c r="O82" s="344"/>
      <c r="P82" s="344"/>
      <c r="Q82" s="346"/>
      <c r="R82" s="232"/>
      <c r="S82" s="347"/>
      <c r="T82" s="347"/>
      <c r="U82" s="347"/>
      <c r="V82" s="347"/>
      <c r="W82" s="347"/>
      <c r="X82" s="314"/>
      <c r="Y82" s="314"/>
      <c r="Z82" s="314"/>
      <c r="AA82" s="314"/>
      <c r="AB82" s="314"/>
      <c r="AC82" s="314"/>
      <c r="AD82" s="314"/>
      <c r="AE82" s="314"/>
      <c r="AF82" s="314"/>
      <c r="AG82" s="314"/>
      <c r="AH82" s="314"/>
      <c r="AI82" s="314"/>
      <c r="AJ82" s="314"/>
      <c r="AK82" s="375">
        <f t="shared" si="1"/>
        <v>0</v>
      </c>
      <c r="AL82" s="661"/>
      <c r="AM82" s="661"/>
      <c r="AN82" s="294"/>
      <c r="AP82" s="656"/>
      <c r="AQ82" s="298"/>
      <c r="AR82" s="295"/>
      <c r="AS82" s="664"/>
    </row>
    <row r="83" spans="2:45" s="291" customFormat="1" ht="24.95" hidden="1" customHeight="1">
      <c r="B83" s="292"/>
      <c r="C83" s="292"/>
      <c r="D83" s="318"/>
      <c r="E83" s="332"/>
      <c r="F83" s="290"/>
      <c r="G83" s="290"/>
      <c r="H83" s="314"/>
      <c r="I83" s="344"/>
      <c r="J83" s="344"/>
      <c r="K83" s="344"/>
      <c r="L83" s="348"/>
      <c r="M83" s="402"/>
      <c r="N83" s="344"/>
      <c r="O83" s="344"/>
      <c r="P83" s="344"/>
      <c r="Q83" s="346"/>
      <c r="R83" s="232"/>
      <c r="S83" s="347"/>
      <c r="T83" s="347"/>
      <c r="U83" s="347"/>
      <c r="V83" s="347"/>
      <c r="W83" s="347"/>
      <c r="X83" s="314"/>
      <c r="Y83" s="314"/>
      <c r="Z83" s="314"/>
      <c r="AA83" s="314"/>
      <c r="AB83" s="314"/>
      <c r="AC83" s="314"/>
      <c r="AD83" s="314"/>
      <c r="AE83" s="314"/>
      <c r="AF83" s="314"/>
      <c r="AG83" s="314"/>
      <c r="AH83" s="314"/>
      <c r="AI83" s="314"/>
      <c r="AJ83" s="314"/>
      <c r="AK83" s="375">
        <f t="shared" si="1"/>
        <v>0</v>
      </c>
      <c r="AL83" s="661"/>
      <c r="AM83" s="661"/>
      <c r="AN83" s="294"/>
      <c r="AP83" s="656"/>
      <c r="AQ83" s="298"/>
      <c r="AR83" s="295"/>
      <c r="AS83" s="664"/>
    </row>
    <row r="84" spans="2:45" s="291" customFormat="1" ht="24.95" hidden="1" customHeight="1">
      <c r="B84" s="292"/>
      <c r="C84" s="292"/>
      <c r="D84" s="318"/>
      <c r="E84" s="332"/>
      <c r="F84" s="290"/>
      <c r="G84" s="290"/>
      <c r="H84" s="314"/>
      <c r="I84" s="344"/>
      <c r="J84" s="344"/>
      <c r="K84" s="344"/>
      <c r="L84" s="348"/>
      <c r="M84" s="402"/>
      <c r="N84" s="344"/>
      <c r="O84" s="344"/>
      <c r="P84" s="344"/>
      <c r="Q84" s="346"/>
      <c r="R84" s="232"/>
      <c r="S84" s="347"/>
      <c r="T84" s="347"/>
      <c r="U84" s="347"/>
      <c r="V84" s="347"/>
      <c r="W84" s="347"/>
      <c r="X84" s="314"/>
      <c r="Y84" s="314"/>
      <c r="Z84" s="314"/>
      <c r="AA84" s="314"/>
      <c r="AB84" s="314"/>
      <c r="AC84" s="314"/>
      <c r="AD84" s="314"/>
      <c r="AE84" s="314"/>
      <c r="AF84" s="314"/>
      <c r="AG84" s="314"/>
      <c r="AH84" s="314"/>
      <c r="AI84" s="314"/>
      <c r="AJ84" s="314"/>
      <c r="AK84" s="375">
        <f t="shared" si="1"/>
        <v>0</v>
      </c>
      <c r="AL84" s="661"/>
      <c r="AM84" s="661"/>
      <c r="AN84" s="294"/>
      <c r="AP84" s="656"/>
      <c r="AQ84" s="298"/>
      <c r="AR84" s="295"/>
      <c r="AS84" s="664"/>
    </row>
    <row r="85" spans="2:45" s="291" customFormat="1" ht="24.95" hidden="1" customHeight="1">
      <c r="B85" s="292"/>
      <c r="C85" s="292"/>
      <c r="D85" s="318"/>
      <c r="E85" s="332"/>
      <c r="F85" s="290"/>
      <c r="G85" s="290"/>
      <c r="H85" s="314"/>
      <c r="I85" s="344"/>
      <c r="J85" s="344"/>
      <c r="K85" s="344"/>
      <c r="L85" s="348"/>
      <c r="M85" s="402"/>
      <c r="N85" s="344"/>
      <c r="O85" s="344"/>
      <c r="P85" s="344"/>
      <c r="Q85" s="346"/>
      <c r="R85" s="232"/>
      <c r="S85" s="347"/>
      <c r="T85" s="347"/>
      <c r="U85" s="347"/>
      <c r="V85" s="347"/>
      <c r="W85" s="347"/>
      <c r="X85" s="314"/>
      <c r="Y85" s="314"/>
      <c r="Z85" s="314"/>
      <c r="AA85" s="314"/>
      <c r="AB85" s="314"/>
      <c r="AC85" s="314"/>
      <c r="AD85" s="314"/>
      <c r="AE85" s="314"/>
      <c r="AF85" s="314"/>
      <c r="AG85" s="314"/>
      <c r="AH85" s="314"/>
      <c r="AI85" s="314"/>
      <c r="AJ85" s="314"/>
      <c r="AK85" s="375">
        <f t="shared" si="1"/>
        <v>0</v>
      </c>
      <c r="AL85" s="661"/>
      <c r="AM85" s="661"/>
      <c r="AN85" s="294"/>
      <c r="AP85" s="656"/>
      <c r="AQ85" s="298"/>
      <c r="AR85" s="295"/>
      <c r="AS85" s="664"/>
    </row>
    <row r="86" spans="2:45" s="291" customFormat="1" ht="24.95" hidden="1" customHeight="1">
      <c r="B86" s="292"/>
      <c r="C86" s="292"/>
      <c r="D86" s="318"/>
      <c r="E86" s="332"/>
      <c r="F86" s="290"/>
      <c r="G86" s="290"/>
      <c r="H86" s="314"/>
      <c r="I86" s="344"/>
      <c r="J86" s="344"/>
      <c r="K86" s="344"/>
      <c r="L86" s="348"/>
      <c r="M86" s="402"/>
      <c r="N86" s="344"/>
      <c r="O86" s="344"/>
      <c r="P86" s="344"/>
      <c r="Q86" s="346"/>
      <c r="R86" s="232"/>
      <c r="S86" s="347"/>
      <c r="T86" s="347"/>
      <c r="U86" s="347"/>
      <c r="V86" s="347"/>
      <c r="W86" s="347"/>
      <c r="X86" s="314"/>
      <c r="Y86" s="314"/>
      <c r="Z86" s="314"/>
      <c r="AA86" s="314"/>
      <c r="AB86" s="314"/>
      <c r="AC86" s="314"/>
      <c r="AD86" s="314"/>
      <c r="AE86" s="314"/>
      <c r="AF86" s="314"/>
      <c r="AG86" s="314"/>
      <c r="AH86" s="314"/>
      <c r="AI86" s="314"/>
      <c r="AJ86" s="314"/>
      <c r="AK86" s="375">
        <f t="shared" si="1"/>
        <v>0</v>
      </c>
      <c r="AL86" s="661"/>
      <c r="AM86" s="661"/>
      <c r="AN86" s="294"/>
      <c r="AP86" s="656"/>
      <c r="AQ86" s="298"/>
      <c r="AR86" s="295"/>
      <c r="AS86" s="664"/>
    </row>
    <row r="87" spans="2:45" s="291" customFormat="1" ht="24.95" hidden="1" customHeight="1">
      <c r="B87" s="292"/>
      <c r="C87" s="292"/>
      <c r="D87" s="318"/>
      <c r="E87" s="332"/>
      <c r="F87" s="290"/>
      <c r="G87" s="290"/>
      <c r="H87" s="314"/>
      <c r="I87" s="344"/>
      <c r="J87" s="344"/>
      <c r="K87" s="344"/>
      <c r="L87" s="348"/>
      <c r="M87" s="402"/>
      <c r="N87" s="344"/>
      <c r="O87" s="344"/>
      <c r="P87" s="344"/>
      <c r="Q87" s="346"/>
      <c r="R87" s="232"/>
      <c r="S87" s="347"/>
      <c r="T87" s="347"/>
      <c r="U87" s="347"/>
      <c r="V87" s="347"/>
      <c r="W87" s="347"/>
      <c r="X87" s="314"/>
      <c r="Y87" s="314"/>
      <c r="Z87" s="314"/>
      <c r="AA87" s="314"/>
      <c r="AB87" s="314"/>
      <c r="AC87" s="314"/>
      <c r="AD87" s="314"/>
      <c r="AE87" s="314"/>
      <c r="AF87" s="314"/>
      <c r="AG87" s="314"/>
      <c r="AH87" s="314"/>
      <c r="AI87" s="314"/>
      <c r="AJ87" s="314"/>
      <c r="AK87" s="375">
        <f t="shared" si="1"/>
        <v>0</v>
      </c>
      <c r="AL87" s="661"/>
      <c r="AM87" s="661"/>
      <c r="AN87" s="294"/>
      <c r="AP87" s="656"/>
      <c r="AQ87" s="298"/>
      <c r="AR87" s="295"/>
      <c r="AS87" s="664"/>
    </row>
    <row r="88" spans="2:45" s="291" customFormat="1" ht="24.95" hidden="1" customHeight="1">
      <c r="B88" s="292"/>
      <c r="C88" s="292"/>
      <c r="D88" s="318"/>
      <c r="E88" s="332"/>
      <c r="F88" s="290"/>
      <c r="G88" s="290"/>
      <c r="H88" s="314"/>
      <c r="I88" s="344"/>
      <c r="J88" s="344"/>
      <c r="K88" s="344"/>
      <c r="L88" s="348"/>
      <c r="M88" s="402"/>
      <c r="N88" s="344"/>
      <c r="O88" s="344"/>
      <c r="P88" s="344"/>
      <c r="Q88" s="346"/>
      <c r="R88" s="232"/>
      <c r="S88" s="347"/>
      <c r="T88" s="347"/>
      <c r="U88" s="347"/>
      <c r="V88" s="347"/>
      <c r="W88" s="347"/>
      <c r="X88" s="314"/>
      <c r="Y88" s="314"/>
      <c r="Z88" s="314"/>
      <c r="AA88" s="314"/>
      <c r="AB88" s="314"/>
      <c r="AC88" s="314"/>
      <c r="AD88" s="314"/>
      <c r="AE88" s="314"/>
      <c r="AF88" s="314"/>
      <c r="AG88" s="314"/>
      <c r="AH88" s="314"/>
      <c r="AI88" s="314"/>
      <c r="AJ88" s="314"/>
      <c r="AK88" s="375">
        <f t="shared" si="1"/>
        <v>0</v>
      </c>
      <c r="AL88" s="661"/>
      <c r="AM88" s="661"/>
      <c r="AN88" s="294"/>
      <c r="AR88" s="295"/>
      <c r="AS88" s="664"/>
    </row>
    <row r="89" spans="2:45" s="291" customFormat="1" ht="24.95" hidden="1" customHeight="1">
      <c r="B89" s="292"/>
      <c r="C89" s="292"/>
      <c r="D89" s="318"/>
      <c r="E89" s="332"/>
      <c r="F89" s="290"/>
      <c r="G89" s="290"/>
      <c r="H89" s="314"/>
      <c r="I89" s="344"/>
      <c r="J89" s="344"/>
      <c r="K89" s="344"/>
      <c r="L89" s="348"/>
      <c r="M89" s="402"/>
      <c r="N89" s="344"/>
      <c r="O89" s="344"/>
      <c r="P89" s="344"/>
      <c r="Q89" s="346"/>
      <c r="R89" s="232"/>
      <c r="S89" s="347"/>
      <c r="T89" s="347"/>
      <c r="U89" s="347"/>
      <c r="V89" s="347"/>
      <c r="W89" s="347"/>
      <c r="X89" s="314"/>
      <c r="Y89" s="314"/>
      <c r="Z89" s="314"/>
      <c r="AA89" s="314"/>
      <c r="AB89" s="314"/>
      <c r="AC89" s="314"/>
      <c r="AD89" s="314"/>
      <c r="AE89" s="314"/>
      <c r="AF89" s="314"/>
      <c r="AG89" s="314"/>
      <c r="AH89" s="314"/>
      <c r="AI89" s="314"/>
      <c r="AJ89" s="314"/>
      <c r="AK89" s="375">
        <f t="shared" si="1"/>
        <v>0</v>
      </c>
      <c r="AL89" s="661"/>
      <c r="AM89" s="661"/>
      <c r="AN89" s="294"/>
      <c r="AR89" s="295"/>
      <c r="AS89" s="664"/>
    </row>
    <row r="90" spans="2:45" s="291" customFormat="1" ht="24.95" hidden="1" customHeight="1">
      <c r="B90" s="292"/>
      <c r="C90" s="292"/>
      <c r="D90" s="318"/>
      <c r="E90" s="332"/>
      <c r="F90" s="290"/>
      <c r="G90" s="290"/>
      <c r="H90" s="314"/>
      <c r="I90" s="344"/>
      <c r="J90" s="344"/>
      <c r="K90" s="344"/>
      <c r="L90" s="348"/>
      <c r="M90" s="402"/>
      <c r="N90" s="344"/>
      <c r="O90" s="344"/>
      <c r="P90" s="344"/>
      <c r="Q90" s="346"/>
      <c r="R90" s="232"/>
      <c r="S90" s="347"/>
      <c r="T90" s="347"/>
      <c r="U90" s="347"/>
      <c r="V90" s="347"/>
      <c r="W90" s="347"/>
      <c r="X90" s="314"/>
      <c r="Y90" s="314"/>
      <c r="Z90" s="314"/>
      <c r="AA90" s="314"/>
      <c r="AB90" s="314"/>
      <c r="AC90" s="314"/>
      <c r="AD90" s="314"/>
      <c r="AE90" s="314"/>
      <c r="AF90" s="314"/>
      <c r="AG90" s="314"/>
      <c r="AH90" s="314"/>
      <c r="AI90" s="314"/>
      <c r="AJ90" s="314"/>
      <c r="AK90" s="375">
        <f t="shared" si="1"/>
        <v>0</v>
      </c>
      <c r="AL90" s="661"/>
      <c r="AM90" s="661"/>
      <c r="AN90" s="294"/>
      <c r="AR90" s="295"/>
      <c r="AS90" s="664"/>
    </row>
    <row r="91" spans="2:45" s="291" customFormat="1" ht="24.95" hidden="1" customHeight="1">
      <c r="B91" s="292"/>
      <c r="C91" s="292"/>
      <c r="D91" s="318"/>
      <c r="E91" s="332"/>
      <c r="F91" s="290"/>
      <c r="G91" s="290"/>
      <c r="H91" s="314"/>
      <c r="I91" s="344"/>
      <c r="J91" s="344"/>
      <c r="K91" s="344"/>
      <c r="L91" s="348"/>
      <c r="M91" s="402"/>
      <c r="N91" s="344"/>
      <c r="O91" s="344"/>
      <c r="P91" s="344"/>
      <c r="Q91" s="346"/>
      <c r="R91" s="232"/>
      <c r="S91" s="347"/>
      <c r="T91" s="347"/>
      <c r="U91" s="347"/>
      <c r="V91" s="347"/>
      <c r="W91" s="347"/>
      <c r="X91" s="314"/>
      <c r="Y91" s="314"/>
      <c r="Z91" s="314"/>
      <c r="AA91" s="314"/>
      <c r="AB91" s="314"/>
      <c r="AC91" s="314"/>
      <c r="AD91" s="314"/>
      <c r="AE91" s="314"/>
      <c r="AF91" s="314"/>
      <c r="AG91" s="314"/>
      <c r="AH91" s="314"/>
      <c r="AI91" s="314"/>
      <c r="AJ91" s="314"/>
      <c r="AK91" s="375">
        <f t="shared" si="1"/>
        <v>0</v>
      </c>
      <c r="AL91" s="661"/>
      <c r="AM91" s="661"/>
      <c r="AN91" s="294"/>
      <c r="AR91" s="295"/>
      <c r="AS91" s="664"/>
    </row>
    <row r="92" spans="2:45" s="291" customFormat="1" ht="24.95" hidden="1" customHeight="1">
      <c r="B92" s="292"/>
      <c r="C92" s="292"/>
      <c r="D92" s="318"/>
      <c r="E92" s="332"/>
      <c r="F92" s="290"/>
      <c r="G92" s="290"/>
      <c r="H92" s="314"/>
      <c r="I92" s="344"/>
      <c r="J92" s="344"/>
      <c r="K92" s="344"/>
      <c r="L92" s="348"/>
      <c r="M92" s="402"/>
      <c r="N92" s="344"/>
      <c r="O92" s="344"/>
      <c r="P92" s="344"/>
      <c r="Q92" s="346"/>
      <c r="R92" s="232"/>
      <c r="S92" s="347"/>
      <c r="T92" s="347"/>
      <c r="U92" s="347"/>
      <c r="V92" s="347"/>
      <c r="W92" s="347"/>
      <c r="X92" s="314"/>
      <c r="Y92" s="314"/>
      <c r="Z92" s="314"/>
      <c r="AA92" s="314"/>
      <c r="AB92" s="314"/>
      <c r="AC92" s="314"/>
      <c r="AD92" s="314"/>
      <c r="AE92" s="314"/>
      <c r="AF92" s="314"/>
      <c r="AG92" s="314"/>
      <c r="AH92" s="314"/>
      <c r="AI92" s="314"/>
      <c r="AJ92" s="314"/>
      <c r="AK92" s="375">
        <f t="shared" si="1"/>
        <v>0</v>
      </c>
      <c r="AL92" s="661"/>
      <c r="AM92" s="661"/>
      <c r="AN92" s="294"/>
      <c r="AR92" s="295"/>
      <c r="AS92" s="664"/>
    </row>
    <row r="93" spans="2:45" s="291" customFormat="1" ht="24.95" hidden="1" customHeight="1">
      <c r="B93" s="292"/>
      <c r="C93" s="292"/>
      <c r="D93" s="318"/>
      <c r="E93" s="332"/>
      <c r="F93" s="290"/>
      <c r="G93" s="290"/>
      <c r="H93" s="314"/>
      <c r="I93" s="344"/>
      <c r="J93" s="344"/>
      <c r="K93" s="344"/>
      <c r="L93" s="348"/>
      <c r="M93" s="402"/>
      <c r="N93" s="344"/>
      <c r="O93" s="344"/>
      <c r="P93" s="344"/>
      <c r="Q93" s="346"/>
      <c r="R93" s="232"/>
      <c r="S93" s="347"/>
      <c r="T93" s="347"/>
      <c r="U93" s="347"/>
      <c r="V93" s="347"/>
      <c r="W93" s="347"/>
      <c r="X93" s="314"/>
      <c r="Y93" s="314"/>
      <c r="Z93" s="314"/>
      <c r="AA93" s="314"/>
      <c r="AB93" s="314"/>
      <c r="AC93" s="314"/>
      <c r="AD93" s="314"/>
      <c r="AE93" s="314"/>
      <c r="AF93" s="314"/>
      <c r="AG93" s="314"/>
      <c r="AH93" s="314"/>
      <c r="AI93" s="314"/>
      <c r="AJ93" s="314"/>
      <c r="AK93" s="375">
        <f t="shared" si="1"/>
        <v>0</v>
      </c>
      <c r="AL93" s="661"/>
      <c r="AM93" s="661"/>
      <c r="AN93" s="294"/>
      <c r="AR93" s="295"/>
      <c r="AS93" s="664"/>
    </row>
    <row r="94" spans="2:45" s="291" customFormat="1" ht="24.95" hidden="1" customHeight="1">
      <c r="B94" s="292"/>
      <c r="C94" s="292"/>
      <c r="D94" s="318"/>
      <c r="E94" s="332"/>
      <c r="F94" s="290"/>
      <c r="G94" s="290"/>
      <c r="H94" s="314"/>
      <c r="I94" s="344"/>
      <c r="J94" s="344"/>
      <c r="K94" s="344"/>
      <c r="L94" s="348"/>
      <c r="M94" s="402"/>
      <c r="N94" s="344"/>
      <c r="O94" s="344"/>
      <c r="P94" s="344"/>
      <c r="Q94" s="346"/>
      <c r="R94" s="232"/>
      <c r="S94" s="347"/>
      <c r="T94" s="347"/>
      <c r="U94" s="347"/>
      <c r="V94" s="347"/>
      <c r="W94" s="347"/>
      <c r="X94" s="314"/>
      <c r="Y94" s="314"/>
      <c r="Z94" s="314"/>
      <c r="AA94" s="314"/>
      <c r="AB94" s="314"/>
      <c r="AC94" s="314"/>
      <c r="AD94" s="314"/>
      <c r="AE94" s="314"/>
      <c r="AF94" s="314"/>
      <c r="AG94" s="314"/>
      <c r="AH94" s="314"/>
      <c r="AI94" s="314"/>
      <c r="AJ94" s="314"/>
      <c r="AK94" s="375">
        <f t="shared" si="1"/>
        <v>0</v>
      </c>
      <c r="AL94" s="661"/>
      <c r="AM94" s="661"/>
      <c r="AN94" s="294"/>
      <c r="AR94" s="295"/>
      <c r="AS94" s="664"/>
    </row>
    <row r="95" spans="2:45" s="291" customFormat="1" ht="24.95" hidden="1" customHeight="1">
      <c r="B95" s="292"/>
      <c r="C95" s="292"/>
      <c r="D95" s="318"/>
      <c r="E95" s="332"/>
      <c r="F95" s="290"/>
      <c r="G95" s="290"/>
      <c r="H95" s="314"/>
      <c r="I95" s="344"/>
      <c r="J95" s="344"/>
      <c r="K95" s="344"/>
      <c r="L95" s="348"/>
      <c r="M95" s="402"/>
      <c r="N95" s="344"/>
      <c r="O95" s="344"/>
      <c r="P95" s="344"/>
      <c r="Q95" s="346"/>
      <c r="R95" s="232"/>
      <c r="S95" s="347"/>
      <c r="T95" s="347"/>
      <c r="U95" s="347"/>
      <c r="V95" s="347"/>
      <c r="W95" s="347"/>
      <c r="X95" s="314"/>
      <c r="Y95" s="314"/>
      <c r="Z95" s="314"/>
      <c r="AA95" s="314"/>
      <c r="AB95" s="314"/>
      <c r="AC95" s="314"/>
      <c r="AD95" s="314"/>
      <c r="AE95" s="314"/>
      <c r="AF95" s="314"/>
      <c r="AG95" s="314"/>
      <c r="AH95" s="314"/>
      <c r="AI95" s="314"/>
      <c r="AJ95" s="314"/>
      <c r="AK95" s="375">
        <f t="shared" si="1"/>
        <v>0</v>
      </c>
      <c r="AL95" s="661"/>
      <c r="AM95" s="661"/>
      <c r="AN95" s="294"/>
      <c r="AR95" s="295"/>
      <c r="AS95" s="664"/>
    </row>
    <row r="96" spans="2:45" s="291" customFormat="1" ht="24.95" hidden="1" customHeight="1">
      <c r="B96" s="292"/>
      <c r="C96" s="292"/>
      <c r="D96" s="318"/>
      <c r="E96" s="332"/>
      <c r="F96" s="290"/>
      <c r="G96" s="290"/>
      <c r="H96" s="314"/>
      <c r="I96" s="344"/>
      <c r="J96" s="344"/>
      <c r="K96" s="344"/>
      <c r="L96" s="348"/>
      <c r="M96" s="402"/>
      <c r="N96" s="344"/>
      <c r="O96" s="344"/>
      <c r="P96" s="344"/>
      <c r="Q96" s="346"/>
      <c r="R96" s="232"/>
      <c r="S96" s="347"/>
      <c r="T96" s="347"/>
      <c r="U96" s="347"/>
      <c r="V96" s="347"/>
      <c r="W96" s="347"/>
      <c r="X96" s="314"/>
      <c r="Y96" s="314"/>
      <c r="Z96" s="314"/>
      <c r="AA96" s="314"/>
      <c r="AB96" s="314"/>
      <c r="AC96" s="314"/>
      <c r="AD96" s="314"/>
      <c r="AE96" s="314"/>
      <c r="AF96" s="314"/>
      <c r="AG96" s="314"/>
      <c r="AH96" s="314"/>
      <c r="AI96" s="314"/>
      <c r="AJ96" s="314"/>
      <c r="AK96" s="375">
        <f t="shared" si="1"/>
        <v>0</v>
      </c>
      <c r="AL96" s="661"/>
      <c r="AM96" s="661"/>
      <c r="AN96" s="294"/>
      <c r="AR96" s="295"/>
      <c r="AS96" s="664"/>
    </row>
    <row r="97" spans="2:66" s="291" customFormat="1" ht="24.95" hidden="1" customHeight="1">
      <c r="B97" s="292"/>
      <c r="C97" s="292"/>
      <c r="D97" s="318"/>
      <c r="E97" s="332"/>
      <c r="F97" s="290"/>
      <c r="G97" s="290"/>
      <c r="H97" s="314"/>
      <c r="I97" s="344"/>
      <c r="J97" s="344"/>
      <c r="K97" s="344"/>
      <c r="L97" s="348"/>
      <c r="M97" s="402"/>
      <c r="N97" s="344"/>
      <c r="O97" s="344"/>
      <c r="P97" s="344"/>
      <c r="Q97" s="346"/>
      <c r="R97" s="232"/>
      <c r="S97" s="347"/>
      <c r="T97" s="347"/>
      <c r="U97" s="347"/>
      <c r="V97" s="347"/>
      <c r="W97" s="347"/>
      <c r="X97" s="314"/>
      <c r="Y97" s="314"/>
      <c r="Z97" s="314"/>
      <c r="AA97" s="314"/>
      <c r="AB97" s="314"/>
      <c r="AC97" s="314"/>
      <c r="AD97" s="314"/>
      <c r="AE97" s="314"/>
      <c r="AF97" s="314"/>
      <c r="AG97" s="314"/>
      <c r="AH97" s="314"/>
      <c r="AI97" s="314"/>
      <c r="AJ97" s="314"/>
      <c r="AK97" s="375">
        <f t="shared" si="1"/>
        <v>0</v>
      </c>
      <c r="AL97" s="661"/>
      <c r="AM97" s="661"/>
      <c r="AN97" s="294"/>
      <c r="AR97" s="295"/>
      <c r="AS97" s="664"/>
    </row>
    <row r="98" spans="2:66" s="291" customFormat="1" ht="24.95" hidden="1" customHeight="1">
      <c r="B98" s="292"/>
      <c r="C98" s="292"/>
      <c r="D98" s="318"/>
      <c r="E98" s="332"/>
      <c r="F98" s="290"/>
      <c r="G98" s="290"/>
      <c r="H98" s="314"/>
      <c r="I98" s="344"/>
      <c r="J98" s="344"/>
      <c r="K98" s="344"/>
      <c r="L98" s="348"/>
      <c r="M98" s="402"/>
      <c r="N98" s="344"/>
      <c r="O98" s="344"/>
      <c r="P98" s="344"/>
      <c r="Q98" s="346"/>
      <c r="R98" s="232"/>
      <c r="S98" s="347"/>
      <c r="T98" s="347"/>
      <c r="U98" s="347"/>
      <c r="V98" s="347"/>
      <c r="W98" s="347"/>
      <c r="X98" s="314"/>
      <c r="Y98" s="314"/>
      <c r="Z98" s="314"/>
      <c r="AA98" s="314"/>
      <c r="AB98" s="314"/>
      <c r="AC98" s="314"/>
      <c r="AD98" s="314"/>
      <c r="AE98" s="314"/>
      <c r="AF98" s="314"/>
      <c r="AG98" s="314"/>
      <c r="AH98" s="314"/>
      <c r="AI98" s="314"/>
      <c r="AJ98" s="314"/>
      <c r="AK98" s="375">
        <f t="shared" si="1"/>
        <v>0</v>
      </c>
      <c r="AL98" s="661"/>
      <c r="AM98" s="661"/>
      <c r="AN98" s="294"/>
      <c r="AR98" s="295"/>
      <c r="AS98" s="664"/>
    </row>
    <row r="99" spans="2:66" s="291" customFormat="1" ht="24.95" hidden="1" customHeight="1">
      <c r="B99" s="292"/>
      <c r="C99" s="292"/>
      <c r="D99" s="318"/>
      <c r="E99" s="332"/>
      <c r="F99" s="290"/>
      <c r="G99" s="290"/>
      <c r="H99" s="314"/>
      <c r="I99" s="344"/>
      <c r="J99" s="344"/>
      <c r="K99" s="344"/>
      <c r="L99" s="348"/>
      <c r="M99" s="402"/>
      <c r="N99" s="344"/>
      <c r="O99" s="344"/>
      <c r="P99" s="344"/>
      <c r="Q99" s="346"/>
      <c r="R99" s="232"/>
      <c r="S99" s="347"/>
      <c r="T99" s="347"/>
      <c r="U99" s="347"/>
      <c r="V99" s="347"/>
      <c r="W99" s="347"/>
      <c r="X99" s="347"/>
      <c r="Y99" s="347"/>
      <c r="Z99" s="347"/>
      <c r="AA99" s="347"/>
      <c r="AB99" s="347"/>
      <c r="AC99" s="347"/>
      <c r="AD99" s="347"/>
      <c r="AE99" s="347"/>
      <c r="AF99" s="347"/>
      <c r="AG99" s="347"/>
      <c r="AH99" s="347"/>
      <c r="AI99" s="347"/>
      <c r="AJ99" s="347"/>
      <c r="AK99" s="375">
        <f t="shared" si="1"/>
        <v>0</v>
      </c>
      <c r="AL99" s="661"/>
      <c r="AM99" s="661"/>
      <c r="AN99" s="294"/>
      <c r="AR99" s="295"/>
      <c r="AS99" s="664"/>
    </row>
    <row r="100" spans="2:66" s="291" customFormat="1" ht="24.95" hidden="1" customHeight="1">
      <c r="B100" s="292"/>
      <c r="C100" s="292"/>
      <c r="D100" s="318"/>
      <c r="E100" s="290"/>
      <c r="F100" s="290"/>
      <c r="G100" s="290"/>
      <c r="H100" s="314"/>
      <c r="I100" s="344"/>
      <c r="J100" s="349"/>
      <c r="K100" s="349"/>
      <c r="L100" s="348"/>
      <c r="M100" s="402"/>
      <c r="N100" s="349"/>
      <c r="O100" s="349"/>
      <c r="P100" s="349"/>
      <c r="Q100" s="346"/>
      <c r="R100" s="232"/>
      <c r="S100" s="314"/>
      <c r="T100" s="314"/>
      <c r="U100" s="314"/>
      <c r="V100" s="314"/>
      <c r="W100" s="314"/>
      <c r="X100" s="314"/>
      <c r="Y100" s="314"/>
      <c r="Z100" s="314"/>
      <c r="AA100" s="314"/>
      <c r="AB100" s="314"/>
      <c r="AC100" s="314"/>
      <c r="AD100" s="314"/>
      <c r="AE100" s="314"/>
      <c r="AF100" s="314"/>
      <c r="AG100" s="314"/>
      <c r="AH100" s="314"/>
      <c r="AI100" s="314"/>
      <c r="AJ100" s="314"/>
      <c r="AK100" s="375">
        <f t="shared" si="1"/>
        <v>0</v>
      </c>
      <c r="AL100" s="661"/>
      <c r="AM100" s="661"/>
      <c r="AN100" s="294"/>
      <c r="AR100" s="295"/>
      <c r="AS100" s="664"/>
    </row>
    <row r="101" spans="2:66" s="291" customFormat="1" ht="24.95" hidden="1" customHeight="1">
      <c r="B101" s="292"/>
      <c r="C101" s="292"/>
      <c r="D101" s="318"/>
      <c r="E101" s="290"/>
      <c r="F101" s="290"/>
      <c r="G101" s="290"/>
      <c r="H101" s="314"/>
      <c r="I101" s="344"/>
      <c r="J101" s="349"/>
      <c r="K101" s="349"/>
      <c r="L101" s="348"/>
      <c r="M101" s="402"/>
      <c r="N101" s="349"/>
      <c r="O101" s="349"/>
      <c r="P101" s="349"/>
      <c r="Q101" s="346"/>
      <c r="R101" s="232"/>
      <c r="S101" s="314"/>
      <c r="T101" s="314"/>
      <c r="U101" s="314"/>
      <c r="V101" s="314"/>
      <c r="W101" s="314"/>
      <c r="X101" s="314"/>
      <c r="Y101" s="314"/>
      <c r="Z101" s="314"/>
      <c r="AA101" s="314"/>
      <c r="AB101" s="314"/>
      <c r="AC101" s="314"/>
      <c r="AD101" s="314"/>
      <c r="AE101" s="314"/>
      <c r="AF101" s="314"/>
      <c r="AG101" s="314"/>
      <c r="AH101" s="314"/>
      <c r="AI101" s="314"/>
      <c r="AJ101" s="314"/>
      <c r="AK101" s="375">
        <f t="shared" si="1"/>
        <v>0</v>
      </c>
      <c r="AL101" s="661"/>
      <c r="AM101" s="661"/>
      <c r="AN101" s="294"/>
      <c r="AR101" s="295"/>
      <c r="AS101" s="664"/>
    </row>
    <row r="102" spans="2:66" s="291" customFormat="1" ht="24.95" hidden="1" customHeight="1">
      <c r="B102" s="292"/>
      <c r="C102" s="292"/>
      <c r="D102" s="318"/>
      <c r="E102" s="290"/>
      <c r="F102" s="290"/>
      <c r="G102" s="290"/>
      <c r="H102" s="314"/>
      <c r="I102" s="344"/>
      <c r="J102" s="344"/>
      <c r="K102" s="344"/>
      <c r="L102" s="348"/>
      <c r="M102" s="402"/>
      <c r="N102" s="344"/>
      <c r="O102" s="344"/>
      <c r="P102" s="344"/>
      <c r="Q102" s="346"/>
      <c r="R102" s="232"/>
      <c r="S102" s="347"/>
      <c r="T102" s="347"/>
      <c r="U102" s="347"/>
      <c r="V102" s="347"/>
      <c r="W102" s="347"/>
      <c r="X102" s="347"/>
      <c r="Y102" s="347"/>
      <c r="Z102" s="347"/>
      <c r="AA102" s="347"/>
      <c r="AB102" s="347"/>
      <c r="AC102" s="347"/>
      <c r="AD102" s="347"/>
      <c r="AE102" s="347"/>
      <c r="AF102" s="347"/>
      <c r="AG102" s="347"/>
      <c r="AH102" s="347"/>
      <c r="AI102" s="347"/>
      <c r="AJ102" s="347"/>
      <c r="AK102" s="375">
        <f t="shared" si="1"/>
        <v>0</v>
      </c>
      <c r="AL102" s="661"/>
      <c r="AM102" s="661"/>
      <c r="AN102" s="294"/>
      <c r="AR102" s="295"/>
      <c r="AS102" s="664"/>
    </row>
    <row r="103" spans="2:66" s="291" customFormat="1" ht="24.95" hidden="1" customHeight="1">
      <c r="B103" s="292"/>
      <c r="C103" s="292"/>
      <c r="D103" s="318"/>
      <c r="E103" s="290"/>
      <c r="F103" s="290"/>
      <c r="G103" s="290"/>
      <c r="H103" s="314"/>
      <c r="I103" s="344"/>
      <c r="J103" s="344"/>
      <c r="K103" s="344"/>
      <c r="L103" s="348"/>
      <c r="M103" s="402"/>
      <c r="N103" s="344"/>
      <c r="O103" s="344"/>
      <c r="P103" s="344"/>
      <c r="Q103" s="346"/>
      <c r="R103" s="232"/>
      <c r="S103" s="347"/>
      <c r="T103" s="347"/>
      <c r="U103" s="347"/>
      <c r="V103" s="347"/>
      <c r="W103" s="347"/>
      <c r="X103" s="347"/>
      <c r="Y103" s="347"/>
      <c r="Z103" s="347"/>
      <c r="AA103" s="347"/>
      <c r="AB103" s="347"/>
      <c r="AC103" s="347"/>
      <c r="AD103" s="347"/>
      <c r="AE103" s="347"/>
      <c r="AF103" s="347"/>
      <c r="AG103" s="347"/>
      <c r="AH103" s="347"/>
      <c r="AI103" s="347"/>
      <c r="AJ103" s="347"/>
      <c r="AK103" s="375">
        <f t="shared" si="1"/>
        <v>0</v>
      </c>
      <c r="AL103" s="661"/>
      <c r="AM103" s="661"/>
      <c r="AN103" s="294"/>
    </row>
    <row r="104" spans="2:66" ht="24.95" hidden="1" customHeight="1">
      <c r="B104" s="339"/>
      <c r="C104" s="339"/>
      <c r="D104" s="208"/>
      <c r="H104" s="314"/>
      <c r="I104" s="344"/>
      <c r="J104" s="349"/>
      <c r="K104" s="349"/>
      <c r="L104" s="348"/>
      <c r="M104" s="402"/>
      <c r="N104" s="349"/>
      <c r="O104" s="349"/>
      <c r="P104" s="349"/>
      <c r="Q104" s="346"/>
      <c r="R104" s="232"/>
      <c r="S104" s="314"/>
      <c r="T104" s="314"/>
      <c r="U104" s="314"/>
      <c r="V104" s="314"/>
      <c r="W104" s="314"/>
      <c r="X104" s="314"/>
      <c r="Y104" s="314"/>
      <c r="Z104" s="314"/>
      <c r="AA104" s="314"/>
      <c r="AB104" s="314"/>
      <c r="AC104" s="314"/>
      <c r="AD104" s="314"/>
      <c r="AE104" s="314"/>
      <c r="AF104" s="314"/>
      <c r="AG104" s="314"/>
      <c r="AH104" s="314"/>
      <c r="AI104" s="314"/>
      <c r="AJ104" s="314"/>
      <c r="AK104" s="375">
        <f t="shared" si="1"/>
        <v>0</v>
      </c>
      <c r="AL104" s="661"/>
      <c r="AM104" s="661"/>
      <c r="AN104" s="294"/>
      <c r="AO104" s="867"/>
      <c r="AP104" s="867"/>
      <c r="AQ104" s="291"/>
      <c r="AR104" s="291"/>
      <c r="AS104" s="291"/>
    </row>
    <row r="105" spans="2:66" ht="24.95" hidden="1" customHeight="1">
      <c r="B105" s="339"/>
      <c r="C105" s="339"/>
      <c r="D105" s="208"/>
      <c r="H105" s="314"/>
      <c r="I105" s="344"/>
      <c r="J105" s="350"/>
      <c r="K105" s="350"/>
      <c r="L105" s="348"/>
      <c r="M105" s="402"/>
      <c r="N105" s="350"/>
      <c r="O105" s="350"/>
      <c r="P105" s="350"/>
      <c r="Q105" s="351"/>
      <c r="R105" s="232"/>
      <c r="S105" s="228"/>
      <c r="T105" s="228"/>
      <c r="U105" s="228"/>
      <c r="V105" s="228"/>
      <c r="W105" s="228"/>
      <c r="X105" s="228"/>
      <c r="Y105" s="228"/>
      <c r="Z105" s="228"/>
      <c r="AA105" s="228"/>
      <c r="AB105" s="228"/>
      <c r="AC105" s="228"/>
      <c r="AD105" s="228"/>
      <c r="AE105" s="228"/>
      <c r="AF105" s="228"/>
      <c r="AG105" s="228"/>
      <c r="AH105" s="228"/>
      <c r="AI105" s="228"/>
      <c r="AJ105" s="228"/>
      <c r="AK105" s="375">
        <f t="shared" si="1"/>
        <v>0</v>
      </c>
      <c r="AL105" s="661"/>
      <c r="AM105" s="661"/>
      <c r="AO105" s="299"/>
      <c r="AP105" s="300"/>
      <c r="AQ105" s="291"/>
      <c r="AR105" s="291"/>
      <c r="AS105" s="291"/>
    </row>
    <row r="106" spans="2:66" ht="24.95" hidden="1" customHeight="1">
      <c r="B106" s="339"/>
      <c r="C106" s="339"/>
      <c r="D106" s="208"/>
      <c r="H106" s="314"/>
      <c r="I106" s="344"/>
      <c r="J106" s="350"/>
      <c r="K106" s="350"/>
      <c r="L106" s="348"/>
      <c r="M106" s="402"/>
      <c r="N106" s="350"/>
      <c r="O106" s="350"/>
      <c r="P106" s="350"/>
      <c r="Q106" s="351"/>
      <c r="R106" s="232"/>
      <c r="S106" s="228"/>
      <c r="T106" s="228"/>
      <c r="U106" s="228"/>
      <c r="V106" s="228"/>
      <c r="W106" s="228"/>
      <c r="X106" s="228"/>
      <c r="Y106" s="228"/>
      <c r="Z106" s="228"/>
      <c r="AA106" s="228"/>
      <c r="AB106" s="228"/>
      <c r="AC106" s="228"/>
      <c r="AD106" s="228"/>
      <c r="AE106" s="228"/>
      <c r="AF106" s="228"/>
      <c r="AG106" s="228"/>
      <c r="AH106" s="228"/>
      <c r="AI106" s="228"/>
      <c r="AJ106" s="228"/>
      <c r="AK106" s="375">
        <f t="shared" si="1"/>
        <v>0</v>
      </c>
      <c r="AL106" s="661"/>
      <c r="AM106" s="661"/>
      <c r="AO106" s="299"/>
      <c r="AP106" s="300"/>
      <c r="AQ106" s="291"/>
      <c r="AR106" s="291"/>
      <c r="AS106" s="291"/>
    </row>
    <row r="107" spans="2:66" ht="24.95" hidden="1" customHeight="1">
      <c r="B107" s="339"/>
      <c r="C107" s="339"/>
      <c r="D107" s="208"/>
      <c r="H107" s="314"/>
      <c r="I107" s="344"/>
      <c r="J107" s="350"/>
      <c r="K107" s="350"/>
      <c r="L107" s="348"/>
      <c r="M107" s="402"/>
      <c r="N107" s="350"/>
      <c r="O107" s="350"/>
      <c r="P107" s="350"/>
      <c r="Q107" s="351"/>
      <c r="R107" s="232"/>
      <c r="S107" s="228"/>
      <c r="T107" s="228"/>
      <c r="U107" s="228"/>
      <c r="V107" s="228"/>
      <c r="W107" s="228"/>
      <c r="X107" s="228"/>
      <c r="Y107" s="228"/>
      <c r="Z107" s="228"/>
      <c r="AA107" s="228"/>
      <c r="AB107" s="228"/>
      <c r="AC107" s="228"/>
      <c r="AD107" s="228"/>
      <c r="AE107" s="228"/>
      <c r="AF107" s="228"/>
      <c r="AG107" s="228"/>
      <c r="AH107" s="228"/>
      <c r="AI107" s="228"/>
      <c r="AJ107" s="228"/>
      <c r="AK107" s="375">
        <f t="shared" si="1"/>
        <v>0</v>
      </c>
      <c r="AL107" s="661"/>
      <c r="AM107" s="661"/>
      <c r="AO107" s="299"/>
      <c r="AP107" s="300"/>
      <c r="AQ107" s="291"/>
      <c r="AR107" s="291"/>
      <c r="AS107" s="291"/>
    </row>
    <row r="108" spans="2:66" ht="24.95" hidden="1" customHeight="1">
      <c r="B108" s="339"/>
      <c r="C108" s="339"/>
      <c r="D108" s="208"/>
      <c r="H108" s="314"/>
      <c r="I108" s="344"/>
      <c r="J108" s="350"/>
      <c r="K108" s="350"/>
      <c r="L108" s="348"/>
      <c r="M108" s="402"/>
      <c r="N108" s="350"/>
      <c r="O108" s="350"/>
      <c r="P108" s="350"/>
      <c r="Q108" s="351"/>
      <c r="R108" s="232"/>
      <c r="S108" s="228"/>
      <c r="T108" s="228"/>
      <c r="U108" s="228"/>
      <c r="V108" s="228"/>
      <c r="W108" s="228"/>
      <c r="X108" s="228"/>
      <c r="Y108" s="228"/>
      <c r="Z108" s="228"/>
      <c r="AA108" s="228"/>
      <c r="AB108" s="228"/>
      <c r="AC108" s="228"/>
      <c r="AD108" s="228"/>
      <c r="AE108" s="228"/>
      <c r="AF108" s="228"/>
      <c r="AG108" s="228"/>
      <c r="AH108" s="228"/>
      <c r="AI108" s="228"/>
      <c r="AJ108" s="228"/>
      <c r="AK108" s="375">
        <f t="shared" si="1"/>
        <v>0</v>
      </c>
      <c r="AL108" s="661"/>
      <c r="AM108" s="661"/>
      <c r="AO108" s="299"/>
      <c r="AP108" s="300"/>
      <c r="AQ108" s="301"/>
      <c r="AR108" s="291"/>
      <c r="AS108" s="291"/>
    </row>
    <row r="109" spans="2:66" ht="24.95" customHeight="1" thickBot="1">
      <c r="B109" s="339"/>
      <c r="C109" s="339"/>
      <c r="D109" s="207"/>
      <c r="F109" s="352"/>
      <c r="H109" s="340"/>
      <c r="I109" s="192"/>
      <c r="J109" s="194"/>
      <c r="K109" s="194"/>
      <c r="L109" s="194"/>
      <c r="M109" s="404"/>
      <c r="N109" s="194"/>
      <c r="O109" s="194"/>
      <c r="P109" s="194"/>
      <c r="Q109" s="195"/>
      <c r="R109" s="195"/>
      <c r="S109" s="195"/>
      <c r="T109" s="195"/>
      <c r="U109" s="195"/>
      <c r="V109" s="195"/>
      <c r="W109" s="195"/>
      <c r="X109" s="195"/>
      <c r="Y109" s="195"/>
      <c r="Z109" s="195"/>
      <c r="AA109" s="195"/>
      <c r="AB109" s="195"/>
      <c r="AC109" s="195"/>
      <c r="AD109" s="195"/>
      <c r="AE109" s="195"/>
      <c r="AF109" s="195"/>
      <c r="AG109" s="195"/>
      <c r="AH109" s="195"/>
      <c r="AI109" s="195"/>
      <c r="AJ109" s="212" t="s">
        <v>63</v>
      </c>
      <c r="AK109" s="620">
        <f>SUM(AK8:AK108)</f>
        <v>12017000</v>
      </c>
      <c r="AL109" s="213">
        <f>SUM(AL8:AL108)</f>
        <v>20000</v>
      </c>
      <c r="AM109" s="665"/>
      <c r="AN109" s="209"/>
      <c r="AO109" s="187"/>
      <c r="AP109" s="113"/>
      <c r="AQ109" s="188"/>
      <c r="AR109" s="301"/>
      <c r="AS109" s="291"/>
    </row>
    <row r="110" spans="2:66" ht="20.100000000000001" customHeight="1" thickTop="1">
      <c r="D110" s="207"/>
      <c r="F110" s="210"/>
      <c r="J110" s="209"/>
      <c r="K110" s="209"/>
      <c r="L110" s="209"/>
      <c r="M110" s="406"/>
      <c r="N110" s="209"/>
      <c r="O110" s="209"/>
      <c r="P110" s="209"/>
      <c r="Q110" s="211"/>
      <c r="R110" s="211"/>
      <c r="S110" s="211"/>
      <c r="T110" s="211"/>
      <c r="U110" s="211"/>
      <c r="V110" s="211"/>
      <c r="W110" s="211"/>
      <c r="X110" s="211"/>
      <c r="Y110" s="211"/>
      <c r="Z110" s="211"/>
      <c r="AA110" s="211"/>
      <c r="AB110" s="211"/>
      <c r="AC110" s="211"/>
      <c r="AD110" s="211"/>
      <c r="AE110" s="211"/>
      <c r="AF110" s="211"/>
      <c r="AG110" s="211"/>
      <c r="AH110" s="211"/>
      <c r="AI110" s="211"/>
      <c r="AJ110" s="212"/>
      <c r="AK110" s="665"/>
      <c r="AL110" s="665"/>
      <c r="AM110" s="665"/>
      <c r="AN110" s="209"/>
      <c r="AO110" s="187"/>
      <c r="AP110" s="113"/>
      <c r="AQ110" s="188"/>
      <c r="AR110" s="188"/>
    </row>
    <row r="111" spans="2:66" ht="15" customHeight="1">
      <c r="D111" s="207"/>
      <c r="H111" s="215"/>
      <c r="I111" s="216"/>
      <c r="J111" s="217"/>
      <c r="K111" s="218"/>
      <c r="L111" s="188"/>
      <c r="M111" s="407"/>
      <c r="N111" s="188"/>
      <c r="O111" s="188"/>
      <c r="P111" s="188"/>
      <c r="AK111" s="214"/>
      <c r="AL111" s="214"/>
      <c r="AM111" s="214"/>
      <c r="AO111" s="187"/>
      <c r="AP111" s="113"/>
      <c r="AQ111" s="188"/>
      <c r="AR111" s="188"/>
      <c r="BN111" s="189"/>
    </row>
    <row r="112" spans="2:66" ht="15" customHeight="1">
      <c r="D112" s="208"/>
      <c r="AO112" s="187"/>
      <c r="AP112" s="189"/>
      <c r="AQ112" s="188"/>
      <c r="AR112" s="188"/>
    </row>
    <row r="113" spans="4:44" ht="15" customHeight="1">
      <c r="D113" s="188"/>
      <c r="AQ113" s="188"/>
      <c r="AR113" s="188"/>
    </row>
    <row r="114" spans="4:44" ht="15" customHeight="1">
      <c r="D114" s="188"/>
    </row>
  </sheetData>
  <sheetProtection selectLockedCells="1"/>
  <dataConsolidate/>
  <mergeCells count="15">
    <mergeCell ref="H51:I51"/>
    <mergeCell ref="AR38:AS42"/>
    <mergeCell ref="AO104:AP104"/>
    <mergeCell ref="AO2:AS2"/>
    <mergeCell ref="AO3:AS3"/>
    <mergeCell ref="AO7:AS7"/>
    <mergeCell ref="AS8:AS12"/>
    <mergeCell ref="AO13:AS14"/>
    <mergeCell ref="AS15:AS19"/>
    <mergeCell ref="AO47:AP47"/>
    <mergeCell ref="H2:AL2"/>
    <mergeCell ref="H3:AL3"/>
    <mergeCell ref="AR27:AS31"/>
    <mergeCell ref="AR33:AS37"/>
    <mergeCell ref="AR22:AS26"/>
  </mergeCells>
  <phoneticPr fontId="48" type="noConversion"/>
  <conditionalFormatting sqref="N1 N7 N100:N101 N104:N1048576">
    <cfRule type="cellIs" dxfId="41" priority="430" operator="equal">
      <formula>"VOID"</formula>
    </cfRule>
  </conditionalFormatting>
  <conditionalFormatting sqref="N100">
    <cfRule type="cellIs" dxfId="40" priority="327" operator="equal">
      <formula>"VOID"</formula>
    </cfRule>
  </conditionalFormatting>
  <conditionalFormatting sqref="N100:N101">
    <cfRule type="cellIs" dxfId="39" priority="326" operator="equal">
      <formula>"VOID"</formula>
    </cfRule>
  </conditionalFormatting>
  <conditionalFormatting sqref="N48:N60">
    <cfRule type="cellIs" dxfId="38" priority="317" operator="equal">
      <formula>"VOID"</formula>
    </cfRule>
  </conditionalFormatting>
  <conditionalFormatting sqref="N104">
    <cfRule type="cellIs" dxfId="37" priority="325" operator="equal">
      <formula>"VOID"</formula>
    </cfRule>
  </conditionalFormatting>
  <conditionalFormatting sqref="N104">
    <cfRule type="cellIs" dxfId="36" priority="324" operator="equal">
      <formula>"VOID"</formula>
    </cfRule>
  </conditionalFormatting>
  <conditionalFormatting sqref="N61 N63:N66">
    <cfRule type="cellIs" dxfId="35" priority="294" operator="equal">
      <formula>"VOID"</formula>
    </cfRule>
  </conditionalFormatting>
  <conditionalFormatting sqref="N48:N60">
    <cfRule type="cellIs" dxfId="34" priority="303" operator="equal">
      <formula>"VOID"</formula>
    </cfRule>
  </conditionalFormatting>
  <conditionalFormatting sqref="N61">
    <cfRule type="cellIs" dxfId="33" priority="293" operator="equal">
      <formula>"VOID"</formula>
    </cfRule>
  </conditionalFormatting>
  <conditionalFormatting sqref="N103">
    <cfRule type="cellIs" dxfId="32" priority="281" operator="equal">
      <formula>"VOID"</formula>
    </cfRule>
  </conditionalFormatting>
  <conditionalFormatting sqref="N67:N90">
    <cfRule type="cellIs" dxfId="31" priority="292" operator="equal">
      <formula>"VOID"</formula>
    </cfRule>
  </conditionalFormatting>
  <conditionalFormatting sqref="N67:N75">
    <cfRule type="cellIs" dxfId="30" priority="291" operator="equal">
      <formula>"VOID"</formula>
    </cfRule>
  </conditionalFormatting>
  <conditionalFormatting sqref="N91:N97">
    <cfRule type="cellIs" dxfId="29" priority="290" operator="equal">
      <formula>"VOID"</formula>
    </cfRule>
  </conditionalFormatting>
  <conditionalFormatting sqref="N97">
    <cfRule type="cellIs" dxfId="28" priority="289" operator="equal">
      <formula>"VOID"</formula>
    </cfRule>
  </conditionalFormatting>
  <conditionalFormatting sqref="N91:N92">
    <cfRule type="cellIs" dxfId="27" priority="288" operator="equal">
      <formula>"VOID"</formula>
    </cfRule>
  </conditionalFormatting>
  <conditionalFormatting sqref="N92:N97">
    <cfRule type="cellIs" dxfId="26" priority="287" operator="equal">
      <formula>"VOID"</formula>
    </cfRule>
  </conditionalFormatting>
  <conditionalFormatting sqref="N98:N99">
    <cfRule type="cellIs" dxfId="25" priority="286" operator="equal">
      <formula>"VOID"</formula>
    </cfRule>
  </conditionalFormatting>
  <conditionalFormatting sqref="N98:N99">
    <cfRule type="cellIs" dxfId="24" priority="285" operator="equal">
      <formula>"VOID"</formula>
    </cfRule>
  </conditionalFormatting>
  <conditionalFormatting sqref="N99">
    <cfRule type="cellIs" dxfId="23" priority="284" operator="equal">
      <formula>"VOID"</formula>
    </cfRule>
  </conditionalFormatting>
  <conditionalFormatting sqref="N102:N103">
    <cfRule type="cellIs" dxfId="22" priority="283" operator="equal">
      <formula>"VOID"</formula>
    </cfRule>
  </conditionalFormatting>
  <conditionalFormatting sqref="N102:N103">
    <cfRule type="cellIs" dxfId="21" priority="282" operator="equal">
      <formula>"VOID"</formula>
    </cfRule>
  </conditionalFormatting>
  <conditionalFormatting sqref="N62">
    <cfRule type="cellIs" dxfId="20" priority="278" operator="equal">
      <formula>"VOID"</formula>
    </cfRule>
  </conditionalFormatting>
  <conditionalFormatting sqref="N11:N12 N17:N47 N8:N9">
    <cfRule type="cellIs" dxfId="19" priority="78" operator="equal">
      <formula>"VOID"</formula>
    </cfRule>
  </conditionalFormatting>
  <conditionalFormatting sqref="N10">
    <cfRule type="cellIs" dxfId="18" priority="5" operator="equal">
      <formula>"VOID"</formula>
    </cfRule>
  </conditionalFormatting>
  <conditionalFormatting sqref="N13">
    <cfRule type="cellIs" dxfId="17" priority="4" operator="equal">
      <formula>"VOID"</formula>
    </cfRule>
  </conditionalFormatting>
  <conditionalFormatting sqref="N14">
    <cfRule type="cellIs" dxfId="16" priority="3" operator="equal">
      <formula>"VOID"</formula>
    </cfRule>
  </conditionalFormatting>
  <conditionalFormatting sqref="N15">
    <cfRule type="cellIs" dxfId="15" priority="2" operator="equal">
      <formula>"VOID"</formula>
    </cfRule>
  </conditionalFormatting>
  <conditionalFormatting sqref="N16">
    <cfRule type="cellIs" dxfId="14" priority="1" operator="equal">
      <formula>"VOID"</formula>
    </cfRule>
  </conditionalFormatting>
  <dataValidations count="17">
    <dataValidation type="list" allowBlank="1" showInputMessage="1" showErrorMessage="1" sqref="L111:L112">
      <formula1>$D$35:$D$98</formula1>
    </dataValidation>
    <dataValidation type="list" allowBlank="1" showInputMessage="1" showErrorMessage="1" sqref="L113:L1048576">
      <formula1>#REF!</formula1>
    </dataValidation>
    <dataValidation type="list" allowBlank="1" showInputMessage="1" showErrorMessage="1" sqref="AQ47">
      <formula1>$D$109:$D$116</formula1>
    </dataValidation>
    <dataValidation type="list" allowBlank="1" showInputMessage="1" showErrorMessage="1" sqref="K107:K108">
      <formula1>$G$8:$G$9</formula1>
    </dataValidation>
    <dataValidation type="list" allowBlank="1" showInputMessage="1" showErrorMessage="1" sqref="P97:P99 P107:P108 P104 P101">
      <formula1>$E$8:$E$19</formula1>
    </dataValidation>
    <dataValidation type="list" allowBlank="1" showInputMessage="1" showErrorMessage="1" sqref="P102:P103 P105:P106 P100 P8:P96">
      <formula1>$E$8:$E$20</formula1>
    </dataValidation>
    <dataValidation type="list" allowBlank="1" showInputMessage="1" showErrorMessage="1" sqref="L47:L108">
      <formula1>$D$8:$D$106</formula1>
    </dataValidation>
    <dataValidation type="list" allowBlank="1" showInputMessage="1" showErrorMessage="1" sqref="O48:O108">
      <formula1>$F$18:$F$20</formula1>
    </dataValidation>
    <dataValidation type="list" allowBlank="1" showInputMessage="1" showErrorMessage="1" sqref="J8:J108">
      <formula1>$F$8:$F$10</formula1>
    </dataValidation>
    <dataValidation type="list" allowBlank="1" showInputMessage="1" showErrorMessage="1" sqref="N48:N108">
      <formula1>$F$13:$F$15</formula1>
    </dataValidation>
    <dataValidation type="list" allowBlank="1" showInputMessage="1" showErrorMessage="1" sqref="K8:K106">
      <formula1>$G$8:$G$13</formula1>
    </dataValidation>
    <dataValidation type="list" allowBlank="1" showInputMessage="1" showErrorMessage="1" sqref="L44:L46">
      <formula1>$D$8:$D$31</formula1>
    </dataValidation>
    <dataValidation type="list" allowBlank="1" showInputMessage="1" showErrorMessage="1" sqref="I61:I1048576 I1 I4:I7">
      <formula1>$B$8:$B$15</formula1>
    </dataValidation>
    <dataValidation type="list" allowBlank="1" sqref="I52:I60 I8:I50">
      <formula1>$B$8:$B$15</formula1>
    </dataValidation>
    <dataValidation type="list" allowBlank="1" showInputMessage="1" showErrorMessage="1" sqref="L8:L43">
      <formula1>$D$8:$D$39</formula1>
    </dataValidation>
    <dataValidation type="list" allowBlank="1" showInputMessage="1" showErrorMessage="1" sqref="N8:N47">
      <formula1>$F$11:$F$17</formula1>
    </dataValidation>
    <dataValidation type="list" allowBlank="1" showInputMessage="1" showErrorMessage="1" sqref="O8:O47">
      <formula1>$F$19:$F$21</formula1>
    </dataValidation>
  </dataValidations>
  <printOptions horizontalCentered="1" verticalCentered="1"/>
  <pageMargins left="0" right="0" top="0" bottom="0" header="0" footer="0"/>
  <pageSetup paperSize="9" scale="48" fitToWidth="2" fitToHeight="4" orientation="landscape" horizontalDpi="360" verticalDpi="360" r:id="rId1"/>
  <colBreaks count="1" manualBreakCount="1">
    <brk id="39" max="108" man="1"/>
  </colBreaks>
  <ignoredErrors>
    <ignoredError sqref="H8:H43 AE6:AJ6 AF7 W6:AC6" numberStoredAsText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  <pageSetUpPr fitToPage="1"/>
  </sheetPr>
  <dimension ref="A1:BU63"/>
  <sheetViews>
    <sheetView zoomScale="40" zoomScaleNormal="40" zoomScaleSheetLayoutView="25" workbookViewId="0">
      <pane xSplit="5" ySplit="5" topLeftCell="H9" activePane="bottomRight" state="frozen"/>
      <selection activeCell="L53" sqref="L53"/>
      <selection pane="topRight" activeCell="L53" sqref="L53"/>
      <selection pane="bottomLeft" activeCell="L53" sqref="L53"/>
      <selection pane="bottomRight" activeCell="BV13" sqref="BV13"/>
    </sheetView>
  </sheetViews>
  <sheetFormatPr defaultColWidth="9.140625" defaultRowHeight="50.1" customHeight="1"/>
  <cols>
    <col min="1" max="1" width="10.7109375" style="422" customWidth="1"/>
    <col min="2" max="2" width="13.5703125" style="434" bestFit="1" customWidth="1"/>
    <col min="3" max="3" width="21.28515625" style="434" customWidth="1"/>
    <col min="4" max="4" width="45" style="434" customWidth="1"/>
    <col min="5" max="5" width="46.7109375" style="435" customWidth="1"/>
    <col min="6" max="6" width="16.5703125" style="436" hidden="1" customWidth="1"/>
    <col min="7" max="7" width="13.42578125" style="436" hidden="1" customWidth="1"/>
    <col min="8" max="17" width="14" style="436" customWidth="1"/>
    <col min="18" max="18" width="16.42578125" style="436" hidden="1" customWidth="1"/>
    <col min="19" max="46" width="13.7109375" style="436" hidden="1" customWidth="1"/>
    <col min="47" max="47" width="19.140625" style="436" bestFit="1" customWidth="1"/>
    <col min="48" max="52" width="14" style="436" customWidth="1"/>
    <col min="53" max="54" width="13.7109375" style="422" hidden="1" customWidth="1"/>
    <col min="55" max="63" width="14" style="422" customWidth="1"/>
    <col min="64" max="64" width="13.85546875" style="422" hidden="1" customWidth="1"/>
    <col min="65" max="66" width="12.140625" style="422" hidden="1" customWidth="1"/>
    <col min="67" max="68" width="10.42578125" style="422" hidden="1" customWidth="1"/>
    <col min="69" max="70" width="7.5703125" style="422" hidden="1" customWidth="1"/>
    <col min="71" max="71" width="47.28515625" style="422" customWidth="1"/>
    <col min="72" max="72" width="47.28515625" style="439" customWidth="1"/>
    <col min="73" max="73" width="50.140625" style="422" customWidth="1"/>
    <col min="74" max="16384" width="9.140625" style="422"/>
  </cols>
  <sheetData>
    <row r="1" spans="1:73" ht="58.5">
      <c r="A1" s="902" t="s">
        <v>95</v>
      </c>
      <c r="B1" s="903"/>
      <c r="C1" s="903"/>
      <c r="D1" s="903"/>
      <c r="E1" s="903"/>
      <c r="F1" s="903"/>
      <c r="G1" s="903"/>
      <c r="H1" s="903"/>
      <c r="I1" s="903"/>
      <c r="J1" s="903"/>
      <c r="K1" s="903"/>
      <c r="L1" s="903"/>
      <c r="M1" s="903"/>
      <c r="N1" s="903"/>
      <c r="O1" s="903"/>
      <c r="P1" s="903"/>
      <c r="Q1" s="903"/>
      <c r="R1" s="903"/>
      <c r="S1" s="903"/>
      <c r="T1" s="903"/>
      <c r="U1" s="903"/>
      <c r="V1" s="903"/>
      <c r="W1" s="903"/>
      <c r="X1" s="903"/>
      <c r="Y1" s="903"/>
      <c r="Z1" s="903"/>
      <c r="AA1" s="903"/>
      <c r="AB1" s="903"/>
      <c r="AC1" s="903"/>
      <c r="AD1" s="903"/>
      <c r="AE1" s="903"/>
      <c r="AF1" s="903"/>
      <c r="AG1" s="903"/>
      <c r="AH1" s="903"/>
      <c r="AI1" s="903"/>
      <c r="AJ1" s="903"/>
      <c r="AK1" s="903"/>
      <c r="AL1" s="903"/>
      <c r="AM1" s="903"/>
      <c r="AN1" s="903"/>
      <c r="AO1" s="903"/>
      <c r="AP1" s="903"/>
      <c r="AQ1" s="903"/>
      <c r="AR1" s="903"/>
      <c r="AS1" s="903"/>
      <c r="AT1" s="903"/>
      <c r="AU1" s="903"/>
      <c r="AV1" s="903"/>
      <c r="AW1" s="903"/>
      <c r="AX1" s="903"/>
      <c r="AY1" s="903"/>
      <c r="AZ1" s="903"/>
      <c r="BA1" s="903"/>
      <c r="BB1" s="903"/>
      <c r="BC1" s="903"/>
      <c r="BD1" s="903"/>
      <c r="BE1" s="903"/>
      <c r="BF1" s="903"/>
      <c r="BG1" s="903"/>
      <c r="BH1" s="903"/>
      <c r="BI1" s="903"/>
      <c r="BJ1" s="903"/>
      <c r="BK1" s="903"/>
      <c r="BL1" s="903"/>
      <c r="BM1" s="903"/>
      <c r="BN1" s="903"/>
      <c r="BO1" s="903"/>
      <c r="BP1" s="903"/>
      <c r="BQ1" s="903"/>
      <c r="BR1" s="903"/>
      <c r="BS1" s="903"/>
      <c r="BT1" s="903"/>
      <c r="BU1" s="903"/>
    </row>
    <row r="2" spans="1:73" ht="53.25" customHeight="1">
      <c r="A2" s="904">
        <f>'F&amp;C Report'!H3</f>
        <v>44427</v>
      </c>
      <c r="B2" s="905"/>
      <c r="C2" s="905"/>
      <c r="D2" s="905"/>
      <c r="E2" s="905"/>
      <c r="F2" s="905"/>
      <c r="G2" s="905"/>
      <c r="H2" s="905"/>
      <c r="I2" s="905"/>
      <c r="J2" s="905"/>
      <c r="K2" s="905"/>
      <c r="L2" s="905"/>
      <c r="M2" s="905"/>
      <c r="N2" s="905"/>
      <c r="O2" s="905"/>
      <c r="P2" s="905"/>
      <c r="Q2" s="905"/>
      <c r="R2" s="905"/>
      <c r="S2" s="905"/>
      <c r="T2" s="905"/>
      <c r="U2" s="905"/>
      <c r="V2" s="905"/>
      <c r="W2" s="905"/>
      <c r="X2" s="905"/>
      <c r="Y2" s="905"/>
      <c r="Z2" s="905"/>
      <c r="AA2" s="905"/>
      <c r="AB2" s="905"/>
      <c r="AC2" s="905"/>
      <c r="AD2" s="905"/>
      <c r="AE2" s="905"/>
      <c r="AF2" s="905"/>
      <c r="AG2" s="905"/>
      <c r="AH2" s="905"/>
      <c r="AI2" s="905"/>
      <c r="AJ2" s="905"/>
      <c r="AK2" s="905"/>
      <c r="AL2" s="905"/>
      <c r="AM2" s="905"/>
      <c r="AN2" s="905"/>
      <c r="AO2" s="905"/>
      <c r="AP2" s="905"/>
      <c r="AQ2" s="905"/>
      <c r="AR2" s="905"/>
      <c r="AS2" s="905"/>
      <c r="AT2" s="905"/>
      <c r="AU2" s="905"/>
      <c r="AV2" s="905"/>
      <c r="AW2" s="905"/>
      <c r="AX2" s="905"/>
      <c r="AY2" s="905"/>
      <c r="AZ2" s="905"/>
      <c r="BA2" s="905"/>
      <c r="BB2" s="905"/>
      <c r="BC2" s="905"/>
      <c r="BD2" s="905"/>
      <c r="BE2" s="905"/>
      <c r="BF2" s="905"/>
      <c r="BG2" s="905"/>
      <c r="BH2" s="905"/>
      <c r="BI2" s="905"/>
      <c r="BJ2" s="905"/>
      <c r="BK2" s="905"/>
      <c r="BL2" s="905"/>
      <c r="BM2" s="905"/>
      <c r="BN2" s="905"/>
      <c r="BO2" s="905"/>
      <c r="BP2" s="905"/>
      <c r="BQ2" s="905"/>
      <c r="BR2" s="905"/>
      <c r="BS2" s="905"/>
      <c r="BT2" s="905"/>
      <c r="BU2" s="905"/>
    </row>
    <row r="3" spans="1:73" ht="50.1" customHeight="1" thickBot="1">
      <c r="A3" s="906"/>
      <c r="B3" s="906"/>
      <c r="C3" s="906"/>
      <c r="D3" s="906"/>
      <c r="E3" s="906"/>
      <c r="F3" s="906"/>
      <c r="G3" s="906"/>
      <c r="H3" s="906"/>
      <c r="I3" s="906"/>
      <c r="J3" s="906"/>
      <c r="K3" s="906"/>
      <c r="L3" s="906"/>
      <c r="M3" s="906"/>
      <c r="N3" s="906"/>
      <c r="O3" s="906"/>
      <c r="P3" s="906"/>
      <c r="Q3" s="906"/>
      <c r="R3" s="906"/>
      <c r="S3" s="906"/>
      <c r="T3" s="906"/>
      <c r="U3" s="906"/>
      <c r="V3" s="906"/>
      <c r="W3" s="906"/>
      <c r="X3" s="906"/>
      <c r="Y3" s="906"/>
      <c r="Z3" s="906"/>
      <c r="AA3" s="906"/>
      <c r="AB3" s="906"/>
      <c r="AC3" s="906"/>
      <c r="AD3" s="906"/>
      <c r="AE3" s="906"/>
      <c r="AF3" s="906"/>
      <c r="AG3" s="906"/>
      <c r="AH3" s="906"/>
      <c r="AI3" s="906"/>
      <c r="AJ3" s="906"/>
      <c r="AK3" s="906"/>
      <c r="AL3" s="906"/>
      <c r="AM3" s="906"/>
      <c r="AN3" s="906"/>
      <c r="AO3" s="906"/>
      <c r="AP3" s="906"/>
      <c r="AQ3" s="906"/>
      <c r="AR3" s="906"/>
      <c r="AS3" s="906"/>
      <c r="AT3" s="906"/>
      <c r="AU3" s="906"/>
      <c r="AV3" s="906"/>
      <c r="AW3" s="906"/>
      <c r="AX3" s="906"/>
      <c r="AY3" s="906"/>
      <c r="AZ3" s="906"/>
      <c r="BA3" s="906"/>
      <c r="BB3" s="906"/>
      <c r="BC3" s="906"/>
      <c r="BD3" s="906"/>
      <c r="BE3" s="906"/>
      <c r="BF3" s="906"/>
      <c r="BG3" s="906"/>
      <c r="BH3" s="906"/>
      <c r="BI3" s="906"/>
      <c r="BJ3" s="906"/>
      <c r="BK3" s="906"/>
      <c r="BL3" s="906"/>
      <c r="BM3" s="906"/>
      <c r="BN3" s="906"/>
      <c r="BO3" s="906"/>
      <c r="BP3" s="906"/>
      <c r="BQ3" s="906"/>
      <c r="BR3" s="906"/>
      <c r="BS3" s="906"/>
      <c r="BT3" s="906"/>
    </row>
    <row r="4" spans="1:73" s="423" customFormat="1" ht="49.5" customHeight="1">
      <c r="A4" s="930" t="s">
        <v>10</v>
      </c>
      <c r="B4" s="932" t="s">
        <v>12</v>
      </c>
      <c r="C4" s="932" t="s">
        <v>51</v>
      </c>
      <c r="D4" s="911" t="s">
        <v>334</v>
      </c>
      <c r="E4" s="934" t="s">
        <v>335</v>
      </c>
      <c r="F4" s="909" t="s">
        <v>184</v>
      </c>
      <c r="G4" s="910"/>
      <c r="H4" s="910"/>
      <c r="I4" s="910"/>
      <c r="J4" s="910"/>
      <c r="K4" s="910"/>
      <c r="L4" s="910"/>
      <c r="M4" s="910"/>
      <c r="N4" s="910"/>
      <c r="O4" s="910"/>
      <c r="P4" s="910"/>
      <c r="Q4" s="910"/>
      <c r="R4" s="910" t="s">
        <v>66</v>
      </c>
      <c r="S4" s="910"/>
      <c r="T4" s="910"/>
      <c r="U4" s="910"/>
      <c r="V4" s="910"/>
      <c r="W4" s="910"/>
      <c r="X4" s="910"/>
      <c r="Y4" s="910"/>
      <c r="Z4" s="910"/>
      <c r="AA4" s="910"/>
      <c r="AB4" s="910"/>
      <c r="AC4" s="641"/>
      <c r="AD4" s="641"/>
      <c r="AE4" s="641"/>
      <c r="AF4" s="641"/>
      <c r="AG4" s="641"/>
      <c r="AH4" s="641"/>
      <c r="AI4" s="641"/>
      <c r="AJ4" s="641"/>
      <c r="AK4" s="657"/>
      <c r="AL4" s="641"/>
      <c r="AM4" s="641"/>
      <c r="AN4" s="641"/>
      <c r="AO4" s="641"/>
      <c r="AP4" s="641"/>
      <c r="AQ4" s="641"/>
      <c r="AR4" s="641"/>
      <c r="AS4" s="641"/>
      <c r="AT4" s="641"/>
      <c r="AU4" s="936" t="s">
        <v>13</v>
      </c>
      <c r="AV4" s="936"/>
      <c r="AW4" s="936"/>
      <c r="AX4" s="936"/>
      <c r="AY4" s="936"/>
      <c r="AZ4" s="936"/>
      <c r="BA4" s="918" t="s">
        <v>64</v>
      </c>
      <c r="BB4" s="918"/>
      <c r="BC4" s="918"/>
      <c r="BD4" s="918"/>
      <c r="BE4" s="918"/>
      <c r="BF4" s="918"/>
      <c r="BG4" s="918"/>
      <c r="BH4" s="918"/>
      <c r="BI4" s="918"/>
      <c r="BJ4" s="918"/>
      <c r="BK4" s="918"/>
      <c r="BL4" s="917" t="s">
        <v>168</v>
      </c>
      <c r="BM4" s="917"/>
      <c r="BN4" s="917"/>
      <c r="BO4" s="917"/>
      <c r="BP4" s="917"/>
      <c r="BQ4" s="917"/>
      <c r="BR4" s="917"/>
      <c r="BS4" s="907" t="s">
        <v>331</v>
      </c>
      <c r="BT4" s="907" t="s">
        <v>370</v>
      </c>
      <c r="BU4" s="896" t="s">
        <v>371</v>
      </c>
    </row>
    <row r="5" spans="1:73" s="424" customFormat="1" ht="27.75" customHeight="1">
      <c r="A5" s="931"/>
      <c r="B5" s="933"/>
      <c r="C5" s="933"/>
      <c r="D5" s="912"/>
      <c r="E5" s="935"/>
      <c r="F5" s="642">
        <v>1000000</v>
      </c>
      <c r="G5" s="643">
        <v>500000</v>
      </c>
      <c r="H5" s="643">
        <v>100000</v>
      </c>
      <c r="I5" s="643">
        <v>50000</v>
      </c>
      <c r="J5" s="643">
        <v>10000</v>
      </c>
      <c r="K5" s="643">
        <v>5000</v>
      </c>
      <c r="L5" s="643">
        <v>1000</v>
      </c>
      <c r="M5" s="643">
        <v>500</v>
      </c>
      <c r="N5" s="643">
        <v>100</v>
      </c>
      <c r="O5" s="643">
        <v>25</v>
      </c>
      <c r="P5" s="643">
        <v>5</v>
      </c>
      <c r="Q5" s="643">
        <v>1</v>
      </c>
      <c r="R5" s="643">
        <v>100000</v>
      </c>
      <c r="S5" s="643">
        <v>50000</v>
      </c>
      <c r="T5" s="643">
        <v>10000</v>
      </c>
      <c r="U5" s="643">
        <v>5000</v>
      </c>
      <c r="V5" s="643">
        <v>1000</v>
      </c>
      <c r="W5" s="643">
        <v>500</v>
      </c>
      <c r="X5" s="643">
        <v>100</v>
      </c>
      <c r="Y5" s="643">
        <v>25</v>
      </c>
      <c r="Z5" s="643">
        <v>5</v>
      </c>
      <c r="AA5" s="643">
        <v>1</v>
      </c>
      <c r="AB5" s="644">
        <v>0.5</v>
      </c>
      <c r="AC5" s="643">
        <v>100000</v>
      </c>
      <c r="AD5" s="643">
        <v>50000</v>
      </c>
      <c r="AE5" s="643">
        <v>10000</v>
      </c>
      <c r="AF5" s="643">
        <v>5000</v>
      </c>
      <c r="AG5" s="643">
        <v>1000</v>
      </c>
      <c r="AH5" s="643">
        <v>500</v>
      </c>
      <c r="AI5" s="643">
        <v>100</v>
      </c>
      <c r="AJ5" s="643">
        <v>25</v>
      </c>
      <c r="AK5" s="643">
        <v>5</v>
      </c>
      <c r="AL5" s="643">
        <v>1000000</v>
      </c>
      <c r="AM5" s="643">
        <v>500000</v>
      </c>
      <c r="AN5" s="643">
        <v>100000</v>
      </c>
      <c r="AO5" s="643">
        <v>50000</v>
      </c>
      <c r="AP5" s="643">
        <v>10000</v>
      </c>
      <c r="AQ5" s="643">
        <v>5000</v>
      </c>
      <c r="AR5" s="643">
        <v>1000</v>
      </c>
      <c r="AS5" s="643">
        <v>500</v>
      </c>
      <c r="AT5" s="643">
        <v>100</v>
      </c>
      <c r="AU5" s="645">
        <v>100</v>
      </c>
      <c r="AV5" s="645">
        <v>50</v>
      </c>
      <c r="AW5" s="645">
        <v>20</v>
      </c>
      <c r="AX5" s="645">
        <v>10</v>
      </c>
      <c r="AY5" s="645">
        <v>5</v>
      </c>
      <c r="AZ5" s="645">
        <v>1</v>
      </c>
      <c r="BA5" s="643">
        <v>100000</v>
      </c>
      <c r="BB5" s="643">
        <v>50000</v>
      </c>
      <c r="BC5" s="643">
        <v>10000</v>
      </c>
      <c r="BD5" s="643">
        <v>5000</v>
      </c>
      <c r="BE5" s="643">
        <v>1000</v>
      </c>
      <c r="BF5" s="643">
        <v>500</v>
      </c>
      <c r="BG5" s="643">
        <v>100</v>
      </c>
      <c r="BH5" s="643">
        <v>25</v>
      </c>
      <c r="BI5" s="643">
        <v>5</v>
      </c>
      <c r="BJ5" s="643">
        <v>1</v>
      </c>
      <c r="BK5" s="644">
        <v>0.5</v>
      </c>
      <c r="BL5" s="643">
        <v>100000</v>
      </c>
      <c r="BM5" s="643">
        <v>50000</v>
      </c>
      <c r="BN5" s="643">
        <v>10000</v>
      </c>
      <c r="BO5" s="643">
        <v>5000</v>
      </c>
      <c r="BP5" s="643">
        <v>1000</v>
      </c>
      <c r="BQ5" s="643">
        <v>500</v>
      </c>
      <c r="BR5" s="643">
        <v>100</v>
      </c>
      <c r="BS5" s="908"/>
      <c r="BT5" s="908"/>
      <c r="BU5" s="897"/>
    </row>
    <row r="6" spans="1:73" s="566" customFormat="1" ht="72.75" customHeight="1">
      <c r="A6" s="561">
        <v>1</v>
      </c>
      <c r="B6" s="915" t="s">
        <v>52</v>
      </c>
      <c r="C6" s="530" t="s">
        <v>196</v>
      </c>
      <c r="D6" s="668">
        <f>'TABLE RESULT '!D6</f>
        <v>17200</v>
      </c>
      <c r="E6" s="669">
        <f>'TABLE RESULT '!D7+'TABLE RESULT '!D8</f>
        <v>1664545.5</v>
      </c>
      <c r="F6" s="646"/>
      <c r="G6" s="562"/>
      <c r="H6" s="563"/>
      <c r="I6" s="563"/>
      <c r="J6" s="563">
        <v>90</v>
      </c>
      <c r="K6" s="563">
        <v>57</v>
      </c>
      <c r="L6" s="563">
        <v>62</v>
      </c>
      <c r="M6" s="563">
        <v>51</v>
      </c>
      <c r="N6" s="563">
        <v>136</v>
      </c>
      <c r="O6" s="563">
        <v>52</v>
      </c>
      <c r="P6" s="563">
        <v>65</v>
      </c>
      <c r="Q6" s="563"/>
      <c r="R6" s="563"/>
      <c r="S6" s="563"/>
      <c r="T6" s="563"/>
      <c r="U6" s="563"/>
      <c r="V6" s="563"/>
      <c r="W6" s="563"/>
      <c r="X6" s="563"/>
      <c r="Y6" s="563"/>
      <c r="Z6" s="563"/>
      <c r="AA6" s="563"/>
      <c r="AB6" s="563"/>
      <c r="AC6" s="563"/>
      <c r="AD6" s="563"/>
      <c r="AE6" s="563"/>
      <c r="AF6" s="563"/>
      <c r="AG6" s="563"/>
      <c r="AH6" s="563"/>
      <c r="AI6" s="563"/>
      <c r="AJ6" s="563"/>
      <c r="AK6" s="563"/>
      <c r="AL6" s="563"/>
      <c r="AM6" s="563"/>
      <c r="AN6" s="563"/>
      <c r="AO6" s="563"/>
      <c r="AP6" s="563"/>
      <c r="AQ6" s="563"/>
      <c r="AR6" s="563"/>
      <c r="AS6" s="563"/>
      <c r="AT6" s="563"/>
      <c r="AU6" s="564">
        <v>188</v>
      </c>
      <c r="AV6" s="564"/>
      <c r="AW6" s="564"/>
      <c r="AX6" s="564"/>
      <c r="AY6" s="564"/>
      <c r="AZ6" s="564"/>
      <c r="BA6" s="563"/>
      <c r="BB6" s="563"/>
      <c r="BC6" s="563">
        <v>6</v>
      </c>
      <c r="BD6" s="563">
        <v>53</v>
      </c>
      <c r="BE6" s="563">
        <v>40</v>
      </c>
      <c r="BF6" s="563">
        <v>14</v>
      </c>
      <c r="BG6" s="563">
        <v>34</v>
      </c>
      <c r="BH6" s="563">
        <v>47</v>
      </c>
      <c r="BI6" s="563">
        <v>77</v>
      </c>
      <c r="BJ6" s="563">
        <v>55</v>
      </c>
      <c r="BK6" s="563">
        <v>95</v>
      </c>
      <c r="BL6" s="565"/>
      <c r="BM6" s="565"/>
      <c r="BN6" s="565"/>
      <c r="BO6" s="565"/>
      <c r="BP6" s="565"/>
      <c r="BQ6" s="565"/>
      <c r="BR6" s="565"/>
      <c r="BS6" s="684">
        <f>$AU$5*AU6+$AV$5*AV6+$AW$5*AW6+$AX$5*AX6+$AY$5*AY6+$AZ$5*AZ6</f>
        <v>18800</v>
      </c>
      <c r="BT6" s="684">
        <f>$BC$5*BC6+$BD$5*BD6+$BE$5*BE6+$BF$5*BF6+$BG$5*BG6+$BH$5*BH6+$BI$5*BI6+$BJ$5*BJ6+$BK$5*BK6</f>
        <v>377062.5</v>
      </c>
      <c r="BU6" s="684">
        <f>$H$5*H6+$I$5*I6+$J$5*J6+$K$5*K6+$L$5*L6+$M$5*M6+$N$5*N6+$O$5*O6+$P$5*P6+$Q$5*Q6</f>
        <v>1287725</v>
      </c>
    </row>
    <row r="7" spans="1:73" s="566" customFormat="1" ht="72.75" customHeight="1">
      <c r="A7" s="561">
        <f>A6+1</f>
        <v>2</v>
      </c>
      <c r="B7" s="915"/>
      <c r="C7" s="530" t="s">
        <v>156</v>
      </c>
      <c r="D7" s="668">
        <f>'TABLE RESULT '!D9</f>
        <v>20900</v>
      </c>
      <c r="E7" s="669">
        <f>'TABLE RESULT '!D10+'TABLE RESULT '!D11</f>
        <v>3146206</v>
      </c>
      <c r="F7" s="646"/>
      <c r="G7" s="562"/>
      <c r="H7" s="563">
        <v>8</v>
      </c>
      <c r="I7" s="563">
        <v>17</v>
      </c>
      <c r="J7" s="563">
        <v>85</v>
      </c>
      <c r="K7" s="563">
        <v>47</v>
      </c>
      <c r="L7" s="563">
        <v>54</v>
      </c>
      <c r="M7" s="563">
        <v>45</v>
      </c>
      <c r="N7" s="563">
        <v>45</v>
      </c>
      <c r="O7" s="563">
        <v>41</v>
      </c>
      <c r="P7" s="563">
        <v>49</v>
      </c>
      <c r="Q7" s="563"/>
      <c r="R7" s="563"/>
      <c r="S7" s="563"/>
      <c r="T7" s="563"/>
      <c r="U7" s="563"/>
      <c r="V7" s="563"/>
      <c r="W7" s="563"/>
      <c r="X7" s="563"/>
      <c r="Y7" s="563"/>
      <c r="Z7" s="563"/>
      <c r="AA7" s="563"/>
      <c r="AB7" s="563"/>
      <c r="AC7" s="563"/>
      <c r="AD7" s="563"/>
      <c r="AE7" s="563"/>
      <c r="AF7" s="563"/>
      <c r="AG7" s="563"/>
      <c r="AH7" s="563"/>
      <c r="AI7" s="563"/>
      <c r="AJ7" s="563"/>
      <c r="AK7" s="563"/>
      <c r="AL7" s="563"/>
      <c r="AM7" s="563"/>
      <c r="AN7" s="563"/>
      <c r="AO7" s="563"/>
      <c r="AP7" s="563"/>
      <c r="AQ7" s="563"/>
      <c r="AR7" s="563"/>
      <c r="AS7" s="563"/>
      <c r="AT7" s="563"/>
      <c r="AU7" s="564">
        <v>231</v>
      </c>
      <c r="AV7" s="564"/>
      <c r="AW7" s="564"/>
      <c r="AX7" s="564"/>
      <c r="AY7" s="564"/>
      <c r="AZ7" s="564"/>
      <c r="BA7" s="563"/>
      <c r="BB7" s="563"/>
      <c r="BC7" s="563">
        <v>20</v>
      </c>
      <c r="BD7" s="563">
        <v>26</v>
      </c>
      <c r="BE7" s="563">
        <v>20</v>
      </c>
      <c r="BF7" s="563">
        <v>15</v>
      </c>
      <c r="BG7" s="563">
        <v>6</v>
      </c>
      <c r="BH7" s="563">
        <v>50</v>
      </c>
      <c r="BI7" s="563">
        <v>101</v>
      </c>
      <c r="BJ7" s="563">
        <v>52</v>
      </c>
      <c r="BK7" s="563">
        <v>19</v>
      </c>
      <c r="BL7" s="565"/>
      <c r="BM7" s="565"/>
      <c r="BN7" s="565"/>
      <c r="BO7" s="565"/>
      <c r="BP7" s="565"/>
      <c r="BQ7" s="565"/>
      <c r="BR7" s="565"/>
      <c r="BS7" s="684">
        <f t="shared" ref="BS7:BS20" si="0">$AU$5*AU7+$AV$5*AV7+$AW$5*AW7+$AX$5*AX7+$AY$5*AY7+$AZ$5*AZ7</f>
        <v>23100</v>
      </c>
      <c r="BT7" s="684">
        <f t="shared" ref="BT7:BT20" si="1">$BC$5*BC7+$BD$5*BD7+$BE$5*BE7+$BF$5*BF7+$BG$5*BG7+$BH$5*BH7+$BI$5*BI7+$BJ$5*BJ7+$BK$5*BK7</f>
        <v>359916.5</v>
      </c>
      <c r="BU7" s="684">
        <f t="shared" ref="BU7:BU20" si="2">$H$5*H7+$I$5*I7+$J$5*J7+$K$5*K7+$L$5*L7+$M$5*M7+$N$5*N7+$O$5*O7+$P$5*P7+$Q$5*Q7</f>
        <v>2817270</v>
      </c>
    </row>
    <row r="8" spans="1:73" s="566" customFormat="1" ht="72.75" customHeight="1">
      <c r="A8" s="561">
        <f>A7+1</f>
        <v>3</v>
      </c>
      <c r="B8" s="915"/>
      <c r="C8" s="530" t="s">
        <v>199</v>
      </c>
      <c r="D8" s="668">
        <f>'TABLE RESULT '!D12</f>
        <v>15400</v>
      </c>
      <c r="E8" s="669">
        <f>'TABLE RESULT '!D13+'TABLE RESULT '!D14</f>
        <v>2432315.5</v>
      </c>
      <c r="F8" s="646"/>
      <c r="G8" s="562"/>
      <c r="H8" s="563">
        <v>12</v>
      </c>
      <c r="I8" s="567">
        <v>5</v>
      </c>
      <c r="J8" s="563">
        <v>54</v>
      </c>
      <c r="K8" s="563">
        <v>11</v>
      </c>
      <c r="L8" s="563">
        <v>193</v>
      </c>
      <c r="M8" s="563">
        <v>65</v>
      </c>
      <c r="N8" s="563">
        <v>100</v>
      </c>
      <c r="O8" s="563">
        <v>38</v>
      </c>
      <c r="P8" s="563">
        <v>34</v>
      </c>
      <c r="Q8" s="563"/>
      <c r="R8" s="568"/>
      <c r="S8" s="568"/>
      <c r="T8" s="568"/>
      <c r="U8" s="568"/>
      <c r="V8" s="568"/>
      <c r="W8" s="568"/>
      <c r="X8" s="568"/>
      <c r="Y8" s="568"/>
      <c r="Z8" s="568"/>
      <c r="AA8" s="563"/>
      <c r="AB8" s="563"/>
      <c r="AC8" s="563"/>
      <c r="AD8" s="563"/>
      <c r="AE8" s="563"/>
      <c r="AF8" s="563"/>
      <c r="AG8" s="563"/>
      <c r="AH8" s="563"/>
      <c r="AI8" s="563"/>
      <c r="AJ8" s="563"/>
      <c r="AK8" s="563"/>
      <c r="AL8" s="563"/>
      <c r="AM8" s="563"/>
      <c r="AN8" s="563"/>
      <c r="AO8" s="563"/>
      <c r="AP8" s="563"/>
      <c r="AQ8" s="563"/>
      <c r="AR8" s="563"/>
      <c r="AS8" s="563"/>
      <c r="AT8" s="563"/>
      <c r="AU8" s="564">
        <v>157</v>
      </c>
      <c r="AV8" s="564"/>
      <c r="AW8" s="564"/>
      <c r="AX8" s="564"/>
      <c r="AY8" s="564"/>
      <c r="AZ8" s="564"/>
      <c r="BA8" s="569"/>
      <c r="BB8" s="569"/>
      <c r="BC8" s="563"/>
      <c r="BD8" s="563">
        <v>22</v>
      </c>
      <c r="BE8" s="563">
        <v>19</v>
      </c>
      <c r="BF8" s="563">
        <v>25</v>
      </c>
      <c r="BG8" s="563">
        <v>24</v>
      </c>
      <c r="BH8" s="563">
        <v>57</v>
      </c>
      <c r="BI8" s="563">
        <v>81</v>
      </c>
      <c r="BJ8" s="563">
        <v>97</v>
      </c>
      <c r="BK8" s="563">
        <v>37</v>
      </c>
      <c r="BL8" s="565"/>
      <c r="BM8" s="565"/>
      <c r="BN8" s="562"/>
      <c r="BO8" s="562"/>
      <c r="BP8" s="562"/>
      <c r="BQ8" s="562"/>
      <c r="BR8" s="562"/>
      <c r="BS8" s="684">
        <f t="shared" si="0"/>
        <v>15700</v>
      </c>
      <c r="BT8" s="684">
        <f t="shared" si="1"/>
        <v>145845.5</v>
      </c>
      <c r="BU8" s="684">
        <f t="shared" si="2"/>
        <v>2281620</v>
      </c>
    </row>
    <row r="9" spans="1:73" s="566" customFormat="1" ht="72.75" customHeight="1">
      <c r="A9" s="561">
        <f t="shared" ref="A9:A21" si="3">A8+1</f>
        <v>4</v>
      </c>
      <c r="B9" s="915"/>
      <c r="C9" s="530" t="s">
        <v>221</v>
      </c>
      <c r="D9" s="668">
        <f>'TABLE RESULT '!D15</f>
        <v>38200</v>
      </c>
      <c r="E9" s="669">
        <f>'TABLE RESULT '!D16+'TABLE RESULT '!D17</f>
        <v>1023271</v>
      </c>
      <c r="F9" s="646"/>
      <c r="G9" s="562"/>
      <c r="H9" s="563"/>
      <c r="I9" s="563">
        <v>0</v>
      </c>
      <c r="J9" s="563">
        <v>54</v>
      </c>
      <c r="K9" s="563">
        <v>32</v>
      </c>
      <c r="L9" s="563">
        <v>86</v>
      </c>
      <c r="M9" s="563">
        <v>15</v>
      </c>
      <c r="N9" s="563">
        <v>56</v>
      </c>
      <c r="O9" s="563">
        <v>30</v>
      </c>
      <c r="P9" s="563">
        <v>50</v>
      </c>
      <c r="Q9" s="563"/>
      <c r="R9" s="563"/>
      <c r="S9" s="563"/>
      <c r="T9" s="563"/>
      <c r="U9" s="563"/>
      <c r="V9" s="563"/>
      <c r="W9" s="563"/>
      <c r="X9" s="563"/>
      <c r="Y9" s="563"/>
      <c r="Z9" s="563"/>
      <c r="AA9" s="563"/>
      <c r="AB9" s="563"/>
      <c r="AC9" s="563"/>
      <c r="AD9" s="563"/>
      <c r="AE9" s="563"/>
      <c r="AF9" s="563"/>
      <c r="AG9" s="563"/>
      <c r="AH9" s="563"/>
      <c r="AI9" s="563"/>
      <c r="AJ9" s="563"/>
      <c r="AK9" s="563"/>
      <c r="AL9" s="563"/>
      <c r="AM9" s="563"/>
      <c r="AN9" s="563"/>
      <c r="AO9" s="563"/>
      <c r="AP9" s="563"/>
      <c r="AQ9" s="563"/>
      <c r="AR9" s="563"/>
      <c r="AS9" s="563"/>
      <c r="AT9" s="563"/>
      <c r="AU9" s="564">
        <v>467</v>
      </c>
      <c r="AV9" s="564"/>
      <c r="AW9" s="564"/>
      <c r="AX9" s="564"/>
      <c r="AY9" s="564"/>
      <c r="AZ9" s="564"/>
      <c r="BA9" s="563"/>
      <c r="BB9" s="563"/>
      <c r="BC9" s="563">
        <v>0</v>
      </c>
      <c r="BD9" s="563">
        <v>38</v>
      </c>
      <c r="BE9" s="563">
        <v>19</v>
      </c>
      <c r="BF9" s="563">
        <v>32</v>
      </c>
      <c r="BG9" s="563">
        <v>58</v>
      </c>
      <c r="BH9" s="563">
        <v>54</v>
      </c>
      <c r="BI9" s="563">
        <v>70</v>
      </c>
      <c r="BJ9" s="563">
        <v>32</v>
      </c>
      <c r="BK9" s="563">
        <v>78</v>
      </c>
      <c r="BL9" s="565"/>
      <c r="BM9" s="565"/>
      <c r="BN9" s="562"/>
      <c r="BO9" s="565"/>
      <c r="BP9" s="565"/>
      <c r="BQ9" s="565"/>
      <c r="BR9" s="565"/>
      <c r="BS9" s="684">
        <f t="shared" si="0"/>
        <v>46700</v>
      </c>
      <c r="BT9" s="684">
        <f t="shared" si="1"/>
        <v>232571</v>
      </c>
      <c r="BU9" s="684">
        <f t="shared" si="2"/>
        <v>800100</v>
      </c>
    </row>
    <row r="10" spans="1:73" s="566" customFormat="1" ht="72.75" customHeight="1">
      <c r="A10" s="561">
        <f t="shared" si="3"/>
        <v>5</v>
      </c>
      <c r="B10" s="915"/>
      <c r="C10" s="530" t="s">
        <v>222</v>
      </c>
      <c r="D10" s="668">
        <f>'TABLE RESULT '!D18</f>
        <v>3400</v>
      </c>
      <c r="E10" s="669">
        <f>'TABLE RESULT '!D19+'TABLE RESULT '!D20</f>
        <v>1025589</v>
      </c>
      <c r="F10" s="646"/>
      <c r="G10" s="562"/>
      <c r="H10" s="563"/>
      <c r="I10" s="563">
        <v>3</v>
      </c>
      <c r="J10" s="563">
        <v>37</v>
      </c>
      <c r="K10" s="563">
        <v>40</v>
      </c>
      <c r="L10" s="563">
        <v>35</v>
      </c>
      <c r="M10" s="563">
        <v>28</v>
      </c>
      <c r="N10" s="563">
        <v>58</v>
      </c>
      <c r="O10" s="563">
        <v>40</v>
      </c>
      <c r="P10" s="563">
        <v>15</v>
      </c>
      <c r="Q10" s="563"/>
      <c r="R10" s="563"/>
      <c r="S10" s="563"/>
      <c r="T10" s="563"/>
      <c r="U10" s="563"/>
      <c r="V10" s="563"/>
      <c r="W10" s="563"/>
      <c r="X10" s="563"/>
      <c r="Y10" s="563"/>
      <c r="Z10" s="563"/>
      <c r="AA10" s="563"/>
      <c r="AB10" s="563"/>
      <c r="AC10" s="563"/>
      <c r="AD10" s="563"/>
      <c r="AE10" s="563"/>
      <c r="AF10" s="563"/>
      <c r="AG10" s="563"/>
      <c r="AH10" s="563"/>
      <c r="AI10" s="563"/>
      <c r="AJ10" s="563"/>
      <c r="AK10" s="563"/>
      <c r="AL10" s="563"/>
      <c r="AM10" s="563"/>
      <c r="AN10" s="563"/>
      <c r="AO10" s="563"/>
      <c r="AP10" s="563"/>
      <c r="AQ10" s="563"/>
      <c r="AR10" s="563"/>
      <c r="AS10" s="563"/>
      <c r="AT10" s="563"/>
      <c r="AU10" s="564">
        <v>34</v>
      </c>
      <c r="AV10" s="564"/>
      <c r="AW10" s="564"/>
      <c r="AX10" s="564"/>
      <c r="AY10" s="564"/>
      <c r="AZ10" s="564"/>
      <c r="BA10" s="569"/>
      <c r="BB10" s="563"/>
      <c r="BC10" s="563">
        <v>1</v>
      </c>
      <c r="BD10" s="563">
        <v>34</v>
      </c>
      <c r="BE10" s="563">
        <v>49</v>
      </c>
      <c r="BF10" s="563">
        <v>30</v>
      </c>
      <c r="BG10" s="563">
        <v>44</v>
      </c>
      <c r="BH10" s="563">
        <v>38</v>
      </c>
      <c r="BI10" s="563">
        <v>54</v>
      </c>
      <c r="BJ10" s="563">
        <v>48</v>
      </c>
      <c r="BK10" s="563">
        <v>92</v>
      </c>
      <c r="BL10" s="565"/>
      <c r="BM10" s="565"/>
      <c r="BN10" s="562"/>
      <c r="BO10" s="565"/>
      <c r="BP10" s="565"/>
      <c r="BQ10" s="565"/>
      <c r="BR10" s="565"/>
      <c r="BS10" s="684">
        <f t="shared" si="0"/>
        <v>3400</v>
      </c>
      <c r="BT10" s="684">
        <f t="shared" si="1"/>
        <v>249714</v>
      </c>
      <c r="BU10" s="684">
        <f t="shared" si="2"/>
        <v>775875</v>
      </c>
    </row>
    <row r="11" spans="1:73" s="566" customFormat="1" ht="72.75" customHeight="1">
      <c r="A11" s="561">
        <f t="shared" si="3"/>
        <v>6</v>
      </c>
      <c r="B11" s="915"/>
      <c r="C11" s="530" t="s">
        <v>223</v>
      </c>
      <c r="D11" s="668">
        <f>'TABLE RESULT '!D21</f>
        <v>11000</v>
      </c>
      <c r="E11" s="669">
        <f>'TABLE RESULT '!D22+'TABLE RESULT '!D23</f>
        <v>997060</v>
      </c>
      <c r="F11" s="646"/>
      <c r="G11" s="562"/>
      <c r="H11" s="563">
        <v>1</v>
      </c>
      <c r="I11" s="563"/>
      <c r="J11" s="563">
        <v>44</v>
      </c>
      <c r="K11" s="563">
        <v>41</v>
      </c>
      <c r="L11" s="563">
        <v>56</v>
      </c>
      <c r="M11" s="563">
        <v>37</v>
      </c>
      <c r="N11" s="563">
        <v>61</v>
      </c>
      <c r="O11" s="563">
        <v>22</v>
      </c>
      <c r="P11" s="563">
        <v>40</v>
      </c>
      <c r="Q11" s="563"/>
      <c r="R11" s="563"/>
      <c r="S11" s="563"/>
      <c r="T11" s="563"/>
      <c r="U11" s="563"/>
      <c r="V11" s="563"/>
      <c r="W11" s="563"/>
      <c r="X11" s="563"/>
      <c r="Y11" s="563"/>
      <c r="Z11" s="563"/>
      <c r="AA11" s="563"/>
      <c r="AB11" s="563"/>
      <c r="AC11" s="563"/>
      <c r="AD11" s="563"/>
      <c r="AE11" s="563"/>
      <c r="AF11" s="563"/>
      <c r="AG11" s="563"/>
      <c r="AH11" s="563"/>
      <c r="AI11" s="563"/>
      <c r="AJ11" s="563"/>
      <c r="AK11" s="563"/>
      <c r="AL11" s="563"/>
      <c r="AM11" s="563"/>
      <c r="AN11" s="563"/>
      <c r="AO11" s="563"/>
      <c r="AP11" s="563"/>
      <c r="AQ11" s="563"/>
      <c r="AR11" s="563"/>
      <c r="AS11" s="563"/>
      <c r="AT11" s="563"/>
      <c r="AU11" s="564">
        <v>110</v>
      </c>
      <c r="AV11" s="564"/>
      <c r="AW11" s="564"/>
      <c r="AX11" s="564"/>
      <c r="AY11" s="564"/>
      <c r="AZ11" s="564"/>
      <c r="BA11" s="569"/>
      <c r="BB11" s="563"/>
      <c r="BC11" s="563">
        <v>3</v>
      </c>
      <c r="BD11" s="563">
        <v>18</v>
      </c>
      <c r="BE11" s="563">
        <v>23</v>
      </c>
      <c r="BF11" s="563">
        <v>48</v>
      </c>
      <c r="BG11" s="563">
        <v>25</v>
      </c>
      <c r="BH11" s="563">
        <v>37</v>
      </c>
      <c r="BI11" s="563">
        <v>39</v>
      </c>
      <c r="BJ11" s="563">
        <v>65</v>
      </c>
      <c r="BK11" s="563">
        <v>50</v>
      </c>
      <c r="BL11" s="565"/>
      <c r="BM11" s="565"/>
      <c r="BN11" s="562"/>
      <c r="BO11" s="562"/>
      <c r="BP11" s="562"/>
      <c r="BQ11" s="562"/>
      <c r="BR11" s="562"/>
      <c r="BS11" s="684">
        <f t="shared" si="0"/>
        <v>11000</v>
      </c>
      <c r="BT11" s="684">
        <f t="shared" si="1"/>
        <v>170710</v>
      </c>
      <c r="BU11" s="684">
        <f t="shared" si="2"/>
        <v>826350</v>
      </c>
    </row>
    <row r="12" spans="1:73" s="566" customFormat="1" ht="72.75" customHeight="1">
      <c r="A12" s="561">
        <f t="shared" si="3"/>
        <v>7</v>
      </c>
      <c r="B12" s="915"/>
      <c r="C12" s="530" t="s">
        <v>201</v>
      </c>
      <c r="D12" s="668">
        <f>'TABLE RESULT '!D24</f>
        <v>0</v>
      </c>
      <c r="E12" s="669">
        <f>'TABLE RESULT '!D25+'TABLE RESULT '!D26</f>
        <v>973598</v>
      </c>
      <c r="F12" s="646"/>
      <c r="G12" s="562"/>
      <c r="H12" s="563"/>
      <c r="I12" s="563"/>
      <c r="J12" s="563">
        <v>63</v>
      </c>
      <c r="K12" s="563">
        <v>31</v>
      </c>
      <c r="L12" s="563">
        <v>68</v>
      </c>
      <c r="M12" s="563">
        <v>26</v>
      </c>
      <c r="N12" s="563">
        <v>67</v>
      </c>
      <c r="O12" s="563">
        <v>35</v>
      </c>
      <c r="P12" s="563">
        <v>27</v>
      </c>
      <c r="Q12" s="563"/>
      <c r="R12" s="563"/>
      <c r="S12" s="563"/>
      <c r="T12" s="563"/>
      <c r="U12" s="563"/>
      <c r="V12" s="563"/>
      <c r="W12" s="563"/>
      <c r="X12" s="563"/>
      <c r="Y12" s="563"/>
      <c r="Z12" s="563"/>
      <c r="AA12" s="563"/>
      <c r="AB12" s="563"/>
      <c r="AC12" s="563"/>
      <c r="AD12" s="563"/>
      <c r="AE12" s="563"/>
      <c r="AF12" s="563"/>
      <c r="AG12" s="563"/>
      <c r="AH12" s="563"/>
      <c r="AI12" s="563"/>
      <c r="AJ12" s="563"/>
      <c r="AK12" s="563"/>
      <c r="AL12" s="563"/>
      <c r="AM12" s="563"/>
      <c r="AN12" s="563"/>
      <c r="AO12" s="563"/>
      <c r="AP12" s="563"/>
      <c r="AQ12" s="563"/>
      <c r="AR12" s="563"/>
      <c r="AS12" s="563"/>
      <c r="AT12" s="563"/>
      <c r="AU12" s="564"/>
      <c r="AV12" s="564"/>
      <c r="AW12" s="564"/>
      <c r="AX12" s="564"/>
      <c r="AY12" s="564"/>
      <c r="AZ12" s="564"/>
      <c r="BA12" s="563"/>
      <c r="BB12" s="563"/>
      <c r="BC12" s="563"/>
      <c r="BD12" s="563">
        <v>17</v>
      </c>
      <c r="BE12" s="563">
        <v>7</v>
      </c>
      <c r="BF12" s="563">
        <v>12</v>
      </c>
      <c r="BG12" s="563">
        <v>3</v>
      </c>
      <c r="BH12" s="563">
        <v>59</v>
      </c>
      <c r="BI12" s="563">
        <v>18</v>
      </c>
      <c r="BJ12" s="563">
        <v>7</v>
      </c>
      <c r="BK12" s="563">
        <v>32</v>
      </c>
      <c r="BL12" s="565"/>
      <c r="BM12" s="565"/>
      <c r="BN12" s="562"/>
      <c r="BO12" s="562"/>
      <c r="BP12" s="562"/>
      <c r="BQ12" s="562"/>
      <c r="BR12" s="562"/>
      <c r="BS12" s="684">
        <f t="shared" si="0"/>
        <v>0</v>
      </c>
      <c r="BT12" s="684">
        <f t="shared" si="1"/>
        <v>99888</v>
      </c>
      <c r="BU12" s="684">
        <f t="shared" si="2"/>
        <v>873710</v>
      </c>
    </row>
    <row r="13" spans="1:73" s="566" customFormat="1" ht="72.75" customHeight="1">
      <c r="A13" s="561">
        <f t="shared" si="3"/>
        <v>8</v>
      </c>
      <c r="B13" s="915"/>
      <c r="C13" s="530" t="s">
        <v>155</v>
      </c>
      <c r="D13" s="668">
        <f>'TABLE RESULT '!D30</f>
        <v>0</v>
      </c>
      <c r="E13" s="669">
        <f>'TABLE RESULT '!D28+'TABLE RESULT '!D29</f>
        <v>1164279.5</v>
      </c>
      <c r="F13" s="646"/>
      <c r="G13" s="562"/>
      <c r="H13" s="563">
        <v>2</v>
      </c>
      <c r="I13" s="563"/>
      <c r="J13" s="563">
        <v>50</v>
      </c>
      <c r="K13" s="563">
        <v>34</v>
      </c>
      <c r="L13" s="563">
        <v>42</v>
      </c>
      <c r="M13" s="563">
        <v>48</v>
      </c>
      <c r="N13" s="563">
        <v>89</v>
      </c>
      <c r="O13" s="563">
        <v>34</v>
      </c>
      <c r="P13" s="563">
        <v>14</v>
      </c>
      <c r="Q13" s="563"/>
      <c r="R13" s="563"/>
      <c r="S13" s="563"/>
      <c r="T13" s="563"/>
      <c r="U13" s="563"/>
      <c r="V13" s="563"/>
      <c r="W13" s="563"/>
      <c r="X13" s="563"/>
      <c r="Y13" s="563"/>
      <c r="Z13" s="563"/>
      <c r="AA13" s="563"/>
      <c r="AB13" s="563"/>
      <c r="AC13" s="563"/>
      <c r="AD13" s="563"/>
      <c r="AE13" s="563"/>
      <c r="AF13" s="563"/>
      <c r="AG13" s="563"/>
      <c r="AH13" s="563"/>
      <c r="AI13" s="563"/>
      <c r="AJ13" s="563"/>
      <c r="AK13" s="563"/>
      <c r="AL13" s="563"/>
      <c r="AM13" s="563"/>
      <c r="AN13" s="563"/>
      <c r="AO13" s="563"/>
      <c r="AP13" s="563"/>
      <c r="AQ13" s="563"/>
      <c r="AR13" s="563"/>
      <c r="AS13" s="563"/>
      <c r="AT13" s="563"/>
      <c r="AU13" s="564"/>
      <c r="AV13" s="564"/>
      <c r="AW13" s="564"/>
      <c r="AX13" s="564"/>
      <c r="AY13" s="564"/>
      <c r="AZ13" s="564"/>
      <c r="BA13" s="563"/>
      <c r="BB13" s="563"/>
      <c r="BC13" s="563">
        <v>3</v>
      </c>
      <c r="BD13" s="563">
        <v>22</v>
      </c>
      <c r="BE13" s="563">
        <v>60</v>
      </c>
      <c r="BF13" s="563">
        <v>34</v>
      </c>
      <c r="BG13" s="563">
        <v>3</v>
      </c>
      <c r="BH13" s="563">
        <v>28</v>
      </c>
      <c r="BI13" s="563">
        <v>81</v>
      </c>
      <c r="BJ13" s="563">
        <v>38</v>
      </c>
      <c r="BK13" s="563">
        <v>33</v>
      </c>
      <c r="BL13" s="565"/>
      <c r="BM13" s="565"/>
      <c r="BN13" s="562"/>
      <c r="BO13" s="562"/>
      <c r="BP13" s="562"/>
      <c r="BQ13" s="562"/>
      <c r="BR13" s="562"/>
      <c r="BS13" s="684">
        <f t="shared" si="0"/>
        <v>0</v>
      </c>
      <c r="BT13" s="684">
        <f t="shared" si="1"/>
        <v>218459.5</v>
      </c>
      <c r="BU13" s="684">
        <f t="shared" si="2"/>
        <v>945820</v>
      </c>
    </row>
    <row r="14" spans="1:73" s="423" customFormat="1" ht="72.75" customHeight="1">
      <c r="A14" s="529">
        <f t="shared" si="3"/>
        <v>9</v>
      </c>
      <c r="B14" s="915"/>
      <c r="C14" s="530" t="s">
        <v>152</v>
      </c>
      <c r="D14" s="668">
        <v>0</v>
      </c>
      <c r="E14" s="670">
        <f>'TABLE RESULT '!D31</f>
        <v>0</v>
      </c>
      <c r="F14" s="647"/>
      <c r="G14" s="420"/>
      <c r="H14" s="523"/>
      <c r="I14" s="523"/>
      <c r="J14" s="523"/>
      <c r="K14" s="523"/>
      <c r="L14" s="523"/>
      <c r="M14" s="523"/>
      <c r="N14" s="523"/>
      <c r="O14" s="523"/>
      <c r="P14" s="523"/>
      <c r="Q14" s="523"/>
      <c r="R14" s="523"/>
      <c r="S14" s="523"/>
      <c r="T14" s="523"/>
      <c r="U14" s="523"/>
      <c r="V14" s="523"/>
      <c r="W14" s="523"/>
      <c r="X14" s="523"/>
      <c r="Y14" s="523"/>
      <c r="Z14" s="523"/>
      <c r="AA14" s="523"/>
      <c r="AB14" s="523"/>
      <c r="AC14" s="523"/>
      <c r="AD14" s="523"/>
      <c r="AE14" s="523"/>
      <c r="AF14" s="523"/>
      <c r="AG14" s="523"/>
      <c r="AH14" s="523"/>
      <c r="AI14" s="523"/>
      <c r="AJ14" s="523"/>
      <c r="AK14" s="523"/>
      <c r="AL14" s="523"/>
      <c r="AM14" s="523"/>
      <c r="AN14" s="523"/>
      <c r="AO14" s="523"/>
      <c r="AP14" s="523"/>
      <c r="AQ14" s="523"/>
      <c r="AR14" s="523"/>
      <c r="AS14" s="523"/>
      <c r="AT14" s="523"/>
      <c r="AU14" s="524"/>
      <c r="AV14" s="524"/>
      <c r="AW14" s="524"/>
      <c r="AX14" s="524"/>
      <c r="AY14" s="524"/>
      <c r="AZ14" s="524"/>
      <c r="BA14" s="526"/>
      <c r="BB14" s="526"/>
      <c r="BC14" s="526"/>
      <c r="BD14" s="523"/>
      <c r="BE14" s="523"/>
      <c r="BF14" s="523"/>
      <c r="BG14" s="523"/>
      <c r="BH14" s="523"/>
      <c r="BI14" s="523"/>
      <c r="BJ14" s="523"/>
      <c r="BK14" s="523"/>
      <c r="BL14" s="421"/>
      <c r="BM14" s="421"/>
      <c r="BN14" s="421"/>
      <c r="BO14" s="421"/>
      <c r="BP14" s="421"/>
      <c r="BQ14" s="421"/>
      <c r="BR14" s="421"/>
      <c r="BS14" s="684">
        <f t="shared" si="0"/>
        <v>0</v>
      </c>
      <c r="BT14" s="684">
        <f t="shared" si="1"/>
        <v>0</v>
      </c>
      <c r="BU14" s="684">
        <f t="shared" si="2"/>
        <v>0</v>
      </c>
    </row>
    <row r="15" spans="1:73" s="423" customFormat="1" ht="72.75" customHeight="1">
      <c r="A15" s="529">
        <f t="shared" si="3"/>
        <v>10</v>
      </c>
      <c r="B15" s="915"/>
      <c r="C15" s="530" t="s">
        <v>151</v>
      </c>
      <c r="D15" s="668">
        <v>0</v>
      </c>
      <c r="E15" s="670">
        <v>0</v>
      </c>
      <c r="F15" s="647"/>
      <c r="G15" s="420"/>
      <c r="H15" s="523"/>
      <c r="I15" s="523"/>
      <c r="J15" s="523"/>
      <c r="K15" s="523"/>
      <c r="L15" s="523"/>
      <c r="M15" s="523"/>
      <c r="N15" s="523"/>
      <c r="O15" s="523"/>
      <c r="P15" s="523"/>
      <c r="Q15" s="523"/>
      <c r="R15" s="523"/>
      <c r="S15" s="523"/>
      <c r="T15" s="523"/>
      <c r="U15" s="523"/>
      <c r="V15" s="523"/>
      <c r="W15" s="523"/>
      <c r="X15" s="523"/>
      <c r="Y15" s="523"/>
      <c r="Z15" s="523"/>
      <c r="AA15" s="523"/>
      <c r="AB15" s="523"/>
      <c r="AC15" s="523"/>
      <c r="AD15" s="523"/>
      <c r="AE15" s="523"/>
      <c r="AF15" s="523"/>
      <c r="AG15" s="523"/>
      <c r="AH15" s="523"/>
      <c r="AI15" s="523"/>
      <c r="AJ15" s="523"/>
      <c r="AK15" s="523"/>
      <c r="AL15" s="523"/>
      <c r="AM15" s="523"/>
      <c r="AN15" s="523"/>
      <c r="AO15" s="523"/>
      <c r="AP15" s="523"/>
      <c r="AQ15" s="523"/>
      <c r="AR15" s="523"/>
      <c r="AS15" s="523"/>
      <c r="AT15" s="523"/>
      <c r="AU15" s="524"/>
      <c r="AV15" s="524"/>
      <c r="AW15" s="524"/>
      <c r="AX15" s="524"/>
      <c r="AY15" s="524"/>
      <c r="AZ15" s="524"/>
      <c r="BA15" s="526"/>
      <c r="BB15" s="526"/>
      <c r="BC15" s="526"/>
      <c r="BD15" s="523"/>
      <c r="BE15" s="523"/>
      <c r="BF15" s="523"/>
      <c r="BG15" s="523"/>
      <c r="BH15" s="523"/>
      <c r="BI15" s="523"/>
      <c r="BJ15" s="523"/>
      <c r="BK15" s="523"/>
      <c r="BL15" s="421"/>
      <c r="BM15" s="421"/>
      <c r="BN15" s="421"/>
      <c r="BO15" s="421"/>
      <c r="BP15" s="421"/>
      <c r="BQ15" s="421"/>
      <c r="BR15" s="421"/>
      <c r="BS15" s="684">
        <f t="shared" si="0"/>
        <v>0</v>
      </c>
      <c r="BT15" s="684">
        <f t="shared" si="1"/>
        <v>0</v>
      </c>
      <c r="BU15" s="684">
        <f t="shared" si="2"/>
        <v>0</v>
      </c>
    </row>
    <row r="16" spans="1:73" s="423" customFormat="1" ht="72.75" customHeight="1">
      <c r="A16" s="529">
        <f t="shared" si="3"/>
        <v>11</v>
      </c>
      <c r="B16" s="915"/>
      <c r="C16" s="530" t="s">
        <v>224</v>
      </c>
      <c r="D16" s="668">
        <v>0</v>
      </c>
      <c r="E16" s="670">
        <v>0</v>
      </c>
      <c r="F16" s="647"/>
      <c r="G16" s="420"/>
      <c r="H16" s="523"/>
      <c r="I16" s="523"/>
      <c r="J16" s="523"/>
      <c r="K16" s="523"/>
      <c r="L16" s="523"/>
      <c r="M16" s="523"/>
      <c r="N16" s="523"/>
      <c r="O16" s="523"/>
      <c r="P16" s="523"/>
      <c r="Q16" s="523"/>
      <c r="R16" s="523"/>
      <c r="S16" s="523"/>
      <c r="T16" s="523"/>
      <c r="U16" s="523"/>
      <c r="V16" s="523"/>
      <c r="W16" s="523"/>
      <c r="X16" s="523"/>
      <c r="Y16" s="523"/>
      <c r="Z16" s="523"/>
      <c r="AA16" s="523"/>
      <c r="AB16" s="523"/>
      <c r="AC16" s="523"/>
      <c r="AD16" s="523"/>
      <c r="AE16" s="523"/>
      <c r="AF16" s="523"/>
      <c r="AG16" s="523"/>
      <c r="AH16" s="523"/>
      <c r="AI16" s="523"/>
      <c r="AJ16" s="523"/>
      <c r="AK16" s="523"/>
      <c r="AL16" s="523"/>
      <c r="AM16" s="523"/>
      <c r="AN16" s="523"/>
      <c r="AO16" s="523"/>
      <c r="AP16" s="523"/>
      <c r="AQ16" s="523"/>
      <c r="AR16" s="523"/>
      <c r="AS16" s="523"/>
      <c r="AT16" s="523"/>
      <c r="AU16" s="524"/>
      <c r="AV16" s="524"/>
      <c r="AW16" s="524"/>
      <c r="AX16" s="524"/>
      <c r="AY16" s="524"/>
      <c r="AZ16" s="524"/>
      <c r="BA16" s="526"/>
      <c r="BB16" s="526"/>
      <c r="BC16" s="526"/>
      <c r="BD16" s="523"/>
      <c r="BE16" s="523"/>
      <c r="BF16" s="523"/>
      <c r="BG16" s="523"/>
      <c r="BH16" s="523"/>
      <c r="BI16" s="523"/>
      <c r="BJ16" s="523"/>
      <c r="BK16" s="523"/>
      <c r="BL16" s="421"/>
      <c r="BM16" s="421"/>
      <c r="BN16" s="421"/>
      <c r="BO16" s="421"/>
      <c r="BP16" s="421"/>
      <c r="BQ16" s="421"/>
      <c r="BR16" s="421"/>
      <c r="BS16" s="684">
        <f t="shared" si="0"/>
        <v>0</v>
      </c>
      <c r="BT16" s="684">
        <f t="shared" si="1"/>
        <v>0</v>
      </c>
      <c r="BU16" s="684">
        <f t="shared" si="2"/>
        <v>0</v>
      </c>
    </row>
    <row r="17" spans="1:73" s="423" customFormat="1" ht="72.75" customHeight="1">
      <c r="A17" s="529">
        <f t="shared" si="3"/>
        <v>12</v>
      </c>
      <c r="B17" s="915"/>
      <c r="C17" s="530" t="s">
        <v>225</v>
      </c>
      <c r="D17" s="668">
        <v>0</v>
      </c>
      <c r="E17" s="670">
        <v>0</v>
      </c>
      <c r="F17" s="647"/>
      <c r="G17" s="420"/>
      <c r="H17" s="523"/>
      <c r="I17" s="523"/>
      <c r="J17" s="523"/>
      <c r="K17" s="523"/>
      <c r="L17" s="523"/>
      <c r="M17" s="523"/>
      <c r="N17" s="523"/>
      <c r="O17" s="523"/>
      <c r="P17" s="523"/>
      <c r="Q17" s="523"/>
      <c r="R17" s="523"/>
      <c r="S17" s="523"/>
      <c r="T17" s="523"/>
      <c r="U17" s="523"/>
      <c r="V17" s="523"/>
      <c r="W17" s="523"/>
      <c r="X17" s="523"/>
      <c r="Y17" s="523"/>
      <c r="Z17" s="523"/>
      <c r="AA17" s="523"/>
      <c r="AB17" s="523"/>
      <c r="AC17" s="523"/>
      <c r="AD17" s="523"/>
      <c r="AE17" s="523"/>
      <c r="AF17" s="523"/>
      <c r="AG17" s="523"/>
      <c r="AH17" s="523"/>
      <c r="AI17" s="523"/>
      <c r="AJ17" s="523"/>
      <c r="AK17" s="523"/>
      <c r="AL17" s="523"/>
      <c r="AM17" s="523"/>
      <c r="AN17" s="523"/>
      <c r="AO17" s="523"/>
      <c r="AP17" s="523"/>
      <c r="AQ17" s="523"/>
      <c r="AR17" s="523"/>
      <c r="AS17" s="523"/>
      <c r="AT17" s="524"/>
      <c r="AU17" s="524"/>
      <c r="AV17" s="524"/>
      <c r="AW17" s="524"/>
      <c r="AX17" s="524"/>
      <c r="AY17" s="524"/>
      <c r="AZ17" s="524"/>
      <c r="BA17" s="523"/>
      <c r="BB17" s="523"/>
      <c r="BC17" s="523"/>
      <c r="BD17" s="523"/>
      <c r="BE17" s="523"/>
      <c r="BF17" s="523"/>
      <c r="BG17" s="523"/>
      <c r="BH17" s="523"/>
      <c r="BI17" s="523"/>
      <c r="BJ17" s="523"/>
      <c r="BK17" s="523"/>
      <c r="BL17" s="421"/>
      <c r="BM17" s="421"/>
      <c r="BN17" s="420"/>
      <c r="BO17" s="420"/>
      <c r="BP17" s="420"/>
      <c r="BQ17" s="420"/>
      <c r="BR17" s="420"/>
      <c r="BS17" s="684">
        <f t="shared" si="0"/>
        <v>0</v>
      </c>
      <c r="BT17" s="684">
        <f t="shared" si="1"/>
        <v>0</v>
      </c>
      <c r="BU17" s="684">
        <f t="shared" si="2"/>
        <v>0</v>
      </c>
    </row>
    <row r="18" spans="1:73" s="423" customFormat="1" ht="72.75" customHeight="1">
      <c r="A18" s="529">
        <f t="shared" si="3"/>
        <v>13</v>
      </c>
      <c r="B18" s="915"/>
      <c r="C18" s="530" t="s">
        <v>332</v>
      </c>
      <c r="D18" s="668">
        <v>0</v>
      </c>
      <c r="E18" s="670">
        <v>0</v>
      </c>
      <c r="F18" s="647"/>
      <c r="G18" s="420"/>
      <c r="H18" s="523"/>
      <c r="I18" s="523"/>
      <c r="J18" s="523"/>
      <c r="K18" s="523"/>
      <c r="L18" s="523"/>
      <c r="M18" s="523"/>
      <c r="N18" s="523"/>
      <c r="O18" s="523"/>
      <c r="P18" s="523"/>
      <c r="Q18" s="523"/>
      <c r="R18" s="523"/>
      <c r="S18" s="523"/>
      <c r="T18" s="523"/>
      <c r="U18" s="523"/>
      <c r="V18" s="523"/>
      <c r="W18" s="523"/>
      <c r="X18" s="523"/>
      <c r="Y18" s="523"/>
      <c r="Z18" s="523"/>
      <c r="AA18" s="523"/>
      <c r="AB18" s="523"/>
      <c r="AC18" s="523"/>
      <c r="AD18" s="523"/>
      <c r="AE18" s="523"/>
      <c r="AF18" s="523"/>
      <c r="AG18" s="523"/>
      <c r="AH18" s="523"/>
      <c r="AI18" s="523"/>
      <c r="AJ18" s="523"/>
      <c r="AK18" s="523"/>
      <c r="AL18" s="523"/>
      <c r="AM18" s="523"/>
      <c r="AN18" s="523"/>
      <c r="AO18" s="523"/>
      <c r="AP18" s="523"/>
      <c r="AQ18" s="523"/>
      <c r="AR18" s="523"/>
      <c r="AS18" s="523"/>
      <c r="AT18" s="524"/>
      <c r="AU18" s="524"/>
      <c r="AV18" s="524"/>
      <c r="AW18" s="524"/>
      <c r="AX18" s="524"/>
      <c r="AY18" s="524"/>
      <c r="AZ18" s="524"/>
      <c r="BA18" s="523"/>
      <c r="BB18" s="523"/>
      <c r="BC18" s="523"/>
      <c r="BD18" s="523"/>
      <c r="BE18" s="523"/>
      <c r="BF18" s="523"/>
      <c r="BG18" s="523"/>
      <c r="BH18" s="523"/>
      <c r="BI18" s="523"/>
      <c r="BJ18" s="523"/>
      <c r="BK18" s="523"/>
      <c r="BL18" s="421"/>
      <c r="BM18" s="421"/>
      <c r="BN18" s="420"/>
      <c r="BO18" s="420"/>
      <c r="BP18" s="420"/>
      <c r="BQ18" s="420"/>
      <c r="BR18" s="420"/>
      <c r="BS18" s="684">
        <f t="shared" si="0"/>
        <v>0</v>
      </c>
      <c r="BT18" s="684">
        <f t="shared" si="1"/>
        <v>0</v>
      </c>
      <c r="BU18" s="684">
        <f t="shared" si="2"/>
        <v>0</v>
      </c>
    </row>
    <row r="19" spans="1:73" s="423" customFormat="1" ht="72.75" customHeight="1">
      <c r="A19" s="529">
        <v>9</v>
      </c>
      <c r="B19" s="915"/>
      <c r="C19" s="530" t="s">
        <v>333</v>
      </c>
      <c r="D19" s="668">
        <v>0</v>
      </c>
      <c r="E19" s="670">
        <v>0</v>
      </c>
      <c r="F19" s="647"/>
      <c r="G19" s="420"/>
      <c r="H19" s="523"/>
      <c r="I19" s="523"/>
      <c r="J19" s="523"/>
      <c r="K19" s="523"/>
      <c r="L19" s="523"/>
      <c r="M19" s="523"/>
      <c r="N19" s="523"/>
      <c r="O19" s="523"/>
      <c r="P19" s="523"/>
      <c r="Q19" s="523"/>
      <c r="R19" s="523"/>
      <c r="S19" s="523"/>
      <c r="T19" s="523"/>
      <c r="U19" s="523"/>
      <c r="V19" s="523"/>
      <c r="W19" s="523"/>
      <c r="X19" s="523"/>
      <c r="Y19" s="523"/>
      <c r="Z19" s="523"/>
      <c r="AA19" s="523"/>
      <c r="AB19" s="523"/>
      <c r="AC19" s="523"/>
      <c r="AD19" s="523"/>
      <c r="AE19" s="523"/>
      <c r="AF19" s="523"/>
      <c r="AG19" s="523"/>
      <c r="AH19" s="523"/>
      <c r="AI19" s="523"/>
      <c r="AJ19" s="523"/>
      <c r="AK19" s="523"/>
      <c r="AL19" s="523"/>
      <c r="AM19" s="523"/>
      <c r="AN19" s="523"/>
      <c r="AO19" s="523"/>
      <c r="AP19" s="523"/>
      <c r="AQ19" s="523"/>
      <c r="AR19" s="523"/>
      <c r="AS19" s="523"/>
      <c r="AT19" s="523"/>
      <c r="AU19" s="524"/>
      <c r="AV19" s="524"/>
      <c r="AW19" s="524"/>
      <c r="AX19" s="524"/>
      <c r="AY19" s="524"/>
      <c r="AZ19" s="524"/>
      <c r="BA19" s="526"/>
      <c r="BB19" s="526"/>
      <c r="BC19" s="526"/>
      <c r="BD19" s="523"/>
      <c r="BE19" s="523"/>
      <c r="BF19" s="523"/>
      <c r="BG19" s="523"/>
      <c r="BH19" s="523"/>
      <c r="BI19" s="523"/>
      <c r="BJ19" s="523"/>
      <c r="BK19" s="523"/>
      <c r="BL19" s="421"/>
      <c r="BM19" s="421"/>
      <c r="BN19" s="421"/>
      <c r="BO19" s="421"/>
      <c r="BP19" s="421"/>
      <c r="BQ19" s="421"/>
      <c r="BR19" s="421"/>
      <c r="BS19" s="684">
        <f t="shared" si="0"/>
        <v>0</v>
      </c>
      <c r="BT19" s="684">
        <f t="shared" si="1"/>
        <v>0</v>
      </c>
      <c r="BU19" s="684">
        <f t="shared" si="2"/>
        <v>0</v>
      </c>
    </row>
    <row r="20" spans="1:73" s="423" customFormat="1" ht="72.75" customHeight="1" thickBot="1">
      <c r="A20" s="529">
        <f t="shared" si="3"/>
        <v>10</v>
      </c>
      <c r="B20" s="915"/>
      <c r="C20" s="531" t="s">
        <v>256</v>
      </c>
      <c r="D20" s="671">
        <v>0</v>
      </c>
      <c r="E20" s="670">
        <v>0</v>
      </c>
      <c r="F20" s="647"/>
      <c r="G20" s="420"/>
      <c r="H20" s="523"/>
      <c r="I20" s="523"/>
      <c r="J20" s="523"/>
      <c r="K20" s="523"/>
      <c r="L20" s="523"/>
      <c r="M20" s="523"/>
      <c r="N20" s="523"/>
      <c r="O20" s="523"/>
      <c r="P20" s="523"/>
      <c r="Q20" s="523"/>
      <c r="R20" s="523"/>
      <c r="S20" s="523"/>
      <c r="T20" s="523"/>
      <c r="U20" s="523"/>
      <c r="V20" s="523"/>
      <c r="W20" s="523"/>
      <c r="X20" s="523"/>
      <c r="Y20" s="523"/>
      <c r="Z20" s="523"/>
      <c r="AA20" s="523"/>
      <c r="AB20" s="523"/>
      <c r="AC20" s="523"/>
      <c r="AD20" s="523"/>
      <c r="AE20" s="523"/>
      <c r="AF20" s="523"/>
      <c r="AG20" s="523"/>
      <c r="AH20" s="523"/>
      <c r="AI20" s="523"/>
      <c r="AJ20" s="523"/>
      <c r="AK20" s="523"/>
      <c r="AL20" s="523"/>
      <c r="AM20" s="523"/>
      <c r="AN20" s="523"/>
      <c r="AO20" s="523"/>
      <c r="AP20" s="523"/>
      <c r="AQ20" s="523"/>
      <c r="AR20" s="523"/>
      <c r="AS20" s="523"/>
      <c r="AT20" s="524"/>
      <c r="AU20" s="524"/>
      <c r="AV20" s="524"/>
      <c r="AW20" s="524"/>
      <c r="AX20" s="524"/>
      <c r="AY20" s="524"/>
      <c r="AZ20" s="524"/>
      <c r="BA20" s="523"/>
      <c r="BB20" s="523"/>
      <c r="BC20" s="523"/>
      <c r="BD20" s="523"/>
      <c r="BE20" s="523"/>
      <c r="BF20" s="523"/>
      <c r="BG20" s="523"/>
      <c r="BH20" s="523"/>
      <c r="BI20" s="523"/>
      <c r="BJ20" s="523"/>
      <c r="BK20" s="523"/>
      <c r="BL20" s="421"/>
      <c r="BM20" s="421"/>
      <c r="BN20" s="420"/>
      <c r="BO20" s="420"/>
      <c r="BP20" s="420"/>
      <c r="BQ20" s="420"/>
      <c r="BR20" s="420"/>
      <c r="BS20" s="684">
        <f t="shared" si="0"/>
        <v>0</v>
      </c>
      <c r="BT20" s="684">
        <f t="shared" si="1"/>
        <v>0</v>
      </c>
      <c r="BU20" s="684">
        <f t="shared" si="2"/>
        <v>0</v>
      </c>
    </row>
    <row r="21" spans="1:73" s="423" customFormat="1" ht="50.1" hidden="1" customHeight="1">
      <c r="A21" s="529">
        <f t="shared" si="3"/>
        <v>11</v>
      </c>
      <c r="B21" s="916"/>
      <c r="C21" s="532"/>
      <c r="D21" s="672"/>
      <c r="E21" s="673"/>
      <c r="F21" s="649"/>
      <c r="G21" s="425"/>
      <c r="H21" s="523"/>
      <c r="I21" s="523"/>
      <c r="J21" s="523"/>
      <c r="K21" s="523"/>
      <c r="L21" s="523"/>
      <c r="M21" s="523"/>
      <c r="N21" s="523"/>
      <c r="O21" s="523"/>
      <c r="P21" s="523"/>
      <c r="Q21" s="523"/>
      <c r="R21" s="523"/>
      <c r="S21" s="523"/>
      <c r="T21" s="523"/>
      <c r="U21" s="523"/>
      <c r="V21" s="523"/>
      <c r="W21" s="523"/>
      <c r="X21" s="523"/>
      <c r="Y21" s="523"/>
      <c r="Z21" s="523"/>
      <c r="AA21" s="523"/>
      <c r="AB21" s="523"/>
      <c r="AC21" s="523"/>
      <c r="AD21" s="523"/>
      <c r="AE21" s="523"/>
      <c r="AF21" s="523"/>
      <c r="AG21" s="523"/>
      <c r="AH21" s="523"/>
      <c r="AI21" s="523"/>
      <c r="AJ21" s="523"/>
      <c r="AK21" s="523"/>
      <c r="AL21" s="523"/>
      <c r="AM21" s="523"/>
      <c r="AN21" s="523"/>
      <c r="AO21" s="523"/>
      <c r="AP21" s="523"/>
      <c r="AQ21" s="523"/>
      <c r="AR21" s="523"/>
      <c r="AS21" s="523"/>
      <c r="AT21" s="523"/>
      <c r="AU21" s="524"/>
      <c r="AV21" s="524"/>
      <c r="AW21" s="524"/>
      <c r="AX21" s="524"/>
      <c r="AY21" s="524"/>
      <c r="AZ21" s="524"/>
      <c r="BA21" s="525"/>
      <c r="BB21" s="523"/>
      <c r="BC21" s="523"/>
      <c r="BD21" s="523"/>
      <c r="BE21" s="523"/>
      <c r="BF21" s="523"/>
      <c r="BG21" s="523"/>
      <c r="BH21" s="523"/>
      <c r="BI21" s="523"/>
      <c r="BJ21" s="523"/>
      <c r="BK21" s="523"/>
      <c r="BL21" s="426"/>
      <c r="BM21" s="426"/>
      <c r="BN21" s="426"/>
      <c r="BO21" s="426"/>
      <c r="BP21" s="426"/>
      <c r="BQ21" s="426"/>
      <c r="BR21" s="426"/>
      <c r="BS21" s="426"/>
      <c r="BT21" s="528">
        <f>$BA$5*BA21+$BB$5*BB21+$BC$5*BC21+$BD$5*BD21+$BH$5*BH21+$AU$5*AU21+$AV$5*AV21+$AW$5*AW21+$AX$5*AX21+$AY$5*AY21+$AZ$5*AZ21+$O$5*O21+$F$5*F21+$G$5*G21+$H$5*H21+$I$5*I21+$J$5*J21+$K$5*K21+$L$5*L21+$M$5*M21+$N$5*N21+$P$5*P21+$R$5*R21+$S$5*S21+$T$5*T21+$U$5*U21+$V$5*V21+$W$5*W21+$X$5*X21+$Y$5*Y21+$AA$5*AA21+$AB$5*AB21+$AC$5*AC21+$AD$5*AD21+$AE$5*AE21+$AF$5*AF21+$AG$5*AG21+$AH$5*AH21+$AI$5*AI21+$AJ$5*AJ21+$AK$5*AK21+$AL$5*AL21+$AM$5*AM21+$AN$5*AN21+$AO$5*AO21+$AP$5*AP21+$AQ$5*AQ21+$AR$5*AR21+$AS$5*AS21+$BE$5*BE21+$BF$5*BF21+$BG$5*BG21+$BI$5*$BI21+$BJ$5*BJ21+BL21*$BL$5+BM21*$BM$5+BN21*$BN$5+BO21*$BO$5+BP21*$BP$5+BQ21*$BQ$5+BR21*$BR$5+$AT$5*AT21+$Q$5*Q21+$Z$5*Z21+BK21*$BK$5</f>
        <v>0</v>
      </c>
      <c r="BU21" s="648"/>
    </row>
    <row r="22" spans="1:73" s="423" customFormat="1" ht="50.1" hidden="1" customHeight="1">
      <c r="A22" s="529">
        <f t="shared" ref="A22:A28" si="4">A21+1</f>
        <v>12</v>
      </c>
      <c r="B22" s="929" t="s">
        <v>169</v>
      </c>
      <c r="C22" s="530" t="s">
        <v>164</v>
      </c>
      <c r="D22" s="668"/>
      <c r="E22" s="674">
        <v>0</v>
      </c>
      <c r="F22" s="649"/>
      <c r="G22" s="425"/>
      <c r="H22" s="523"/>
      <c r="I22" s="523"/>
      <c r="J22" s="523"/>
      <c r="K22" s="523"/>
      <c r="L22" s="523"/>
      <c r="M22" s="523"/>
      <c r="N22" s="523"/>
      <c r="O22" s="523"/>
      <c r="P22" s="523"/>
      <c r="Q22" s="523"/>
      <c r="R22" s="523"/>
      <c r="S22" s="523"/>
      <c r="T22" s="523"/>
      <c r="U22" s="523"/>
      <c r="V22" s="523"/>
      <c r="W22" s="523"/>
      <c r="X22" s="523"/>
      <c r="Y22" s="523"/>
      <c r="Z22" s="523"/>
      <c r="AA22" s="523"/>
      <c r="AB22" s="523"/>
      <c r="AC22" s="523"/>
      <c r="AD22" s="523"/>
      <c r="AE22" s="523"/>
      <c r="AF22" s="523"/>
      <c r="AG22" s="523"/>
      <c r="AH22" s="523"/>
      <c r="AI22" s="523"/>
      <c r="AJ22" s="523"/>
      <c r="AK22" s="523"/>
      <c r="AL22" s="523"/>
      <c r="AM22" s="523"/>
      <c r="AN22" s="523"/>
      <c r="AO22" s="523"/>
      <c r="AP22" s="523"/>
      <c r="AQ22" s="523"/>
      <c r="AR22" s="523"/>
      <c r="AS22" s="523"/>
      <c r="AT22" s="523"/>
      <c r="AU22" s="524"/>
      <c r="AV22" s="524"/>
      <c r="AW22" s="524"/>
      <c r="AX22" s="524"/>
      <c r="AY22" s="524"/>
      <c r="AZ22" s="524"/>
      <c r="BA22" s="523"/>
      <c r="BB22" s="523"/>
      <c r="BC22" s="523"/>
      <c r="BD22" s="523"/>
      <c r="BE22" s="523"/>
      <c r="BF22" s="523"/>
      <c r="BG22" s="523"/>
      <c r="BH22" s="523"/>
      <c r="BI22" s="523"/>
      <c r="BJ22" s="523"/>
      <c r="BK22" s="523"/>
      <c r="BL22" s="425"/>
      <c r="BM22" s="426"/>
      <c r="BN22" s="426"/>
      <c r="BO22" s="426"/>
      <c r="BP22" s="426"/>
      <c r="BQ22" s="426"/>
      <c r="BR22" s="426"/>
      <c r="BS22" s="426"/>
      <c r="BT22" s="528">
        <f t="shared" ref="BT22:BT29" si="5">$BA$5*BA22+$BB$5*BB22+$BC$5*BC22+$BD$5*BD22+$BH$5*BH22+$AU$5*AU22+$AV$5*AV22+$AW$5*AW22+$AX$5*AX22+$AY$5*AY22+$AZ$5*AZ22+$O$5*O22+$F$5*F22+$G$5*G22+$H$5*H22+$I$5*I22+$J$5*J22+$K$5*K22+$L$5*L22+$M$5*M22+$N$5*N22+$P$5*P22+$R$5*R22+$S$5*S22+$T$5*T22+$U$5*U22+$V$5*V22+$W$5*W22+$X$5*X22+$Y$5*Y22+$AA$5*AA22+$AB$5*AB22+$AC$5*AC22+$AD$5*AD22+$AE$5*AE22+$AF$5*AF22+$AG$5*AG22+$AH$5*AH22+$AI$5*AI22+$AJ$5*AJ22+$AK$5*AK22+$AL$5*AL22+$AM$5*AM22+$AN$5*AN22+$AO$5*AO22+$AP$5*AP22+$AQ$5*AQ22+$AR$5*AR22+$AS$5*AS22+$BE$5*BE22+$BF$5*BF22+$BG$5*BG22+$BI$5*$BI22+$BJ$5*BJ22+BL22*$BL$5+BM22*$BM$5+BN22*$BN$5+BO22*$BO$5+BP22*$BP$5+BQ22*$BQ$5+BR22*$BR$5+$AT$5*AT22+$Q$5*Q22+$Z$5*Z22</f>
        <v>0</v>
      </c>
      <c r="BU22" s="648"/>
    </row>
    <row r="23" spans="1:73" s="423" customFormat="1" ht="50.1" hidden="1" customHeight="1">
      <c r="A23" s="529">
        <f t="shared" si="4"/>
        <v>13</v>
      </c>
      <c r="B23" s="929"/>
      <c r="C23" s="530" t="s">
        <v>165</v>
      </c>
      <c r="D23" s="668"/>
      <c r="E23" s="674">
        <v>0</v>
      </c>
      <c r="F23" s="649"/>
      <c r="G23" s="425"/>
      <c r="H23" s="523"/>
      <c r="I23" s="523"/>
      <c r="J23" s="523"/>
      <c r="K23" s="523"/>
      <c r="L23" s="523"/>
      <c r="M23" s="523"/>
      <c r="N23" s="523"/>
      <c r="O23" s="523"/>
      <c r="P23" s="523"/>
      <c r="Q23" s="523"/>
      <c r="R23" s="523"/>
      <c r="S23" s="523"/>
      <c r="T23" s="523"/>
      <c r="U23" s="523"/>
      <c r="V23" s="523"/>
      <c r="W23" s="523"/>
      <c r="X23" s="523"/>
      <c r="Y23" s="523"/>
      <c r="Z23" s="523"/>
      <c r="AA23" s="523"/>
      <c r="AB23" s="523"/>
      <c r="AC23" s="523"/>
      <c r="AD23" s="523"/>
      <c r="AE23" s="523"/>
      <c r="AF23" s="523"/>
      <c r="AG23" s="523"/>
      <c r="AH23" s="523"/>
      <c r="AI23" s="523"/>
      <c r="AJ23" s="523"/>
      <c r="AK23" s="523"/>
      <c r="AL23" s="523"/>
      <c r="AM23" s="523"/>
      <c r="AN23" s="523"/>
      <c r="AO23" s="523"/>
      <c r="AP23" s="523"/>
      <c r="AQ23" s="523"/>
      <c r="AR23" s="523"/>
      <c r="AS23" s="523"/>
      <c r="AT23" s="523"/>
      <c r="AU23" s="524"/>
      <c r="AV23" s="524"/>
      <c r="AW23" s="524"/>
      <c r="AX23" s="524"/>
      <c r="AY23" s="524"/>
      <c r="AZ23" s="524"/>
      <c r="BA23" s="523"/>
      <c r="BB23" s="523"/>
      <c r="BC23" s="523"/>
      <c r="BD23" s="523"/>
      <c r="BE23" s="523"/>
      <c r="BF23" s="523"/>
      <c r="BG23" s="523"/>
      <c r="BH23" s="523"/>
      <c r="BI23" s="523"/>
      <c r="BJ23" s="527"/>
      <c r="BK23" s="527"/>
      <c r="BL23" s="426"/>
      <c r="BM23" s="426"/>
      <c r="BN23" s="426"/>
      <c r="BO23" s="426"/>
      <c r="BP23" s="426"/>
      <c r="BQ23" s="426"/>
      <c r="BR23" s="426"/>
      <c r="BS23" s="426"/>
      <c r="BT23" s="528">
        <f t="shared" si="5"/>
        <v>0</v>
      </c>
      <c r="BU23" s="648"/>
    </row>
    <row r="24" spans="1:73" s="423" customFormat="1" ht="50.1" hidden="1" customHeight="1">
      <c r="A24" s="529">
        <f t="shared" si="4"/>
        <v>14</v>
      </c>
      <c r="B24" s="929"/>
      <c r="C24" s="530" t="s">
        <v>171</v>
      </c>
      <c r="D24" s="668"/>
      <c r="E24" s="674">
        <v>0</v>
      </c>
      <c r="F24" s="649"/>
      <c r="G24" s="425"/>
      <c r="H24" s="523"/>
      <c r="I24" s="523"/>
      <c r="J24" s="523"/>
      <c r="K24" s="523"/>
      <c r="L24" s="523"/>
      <c r="M24" s="523"/>
      <c r="N24" s="523"/>
      <c r="O24" s="523"/>
      <c r="P24" s="523"/>
      <c r="Q24" s="523"/>
      <c r="R24" s="523"/>
      <c r="S24" s="523"/>
      <c r="T24" s="523"/>
      <c r="U24" s="523"/>
      <c r="V24" s="523"/>
      <c r="W24" s="523"/>
      <c r="X24" s="523"/>
      <c r="Y24" s="523"/>
      <c r="Z24" s="523"/>
      <c r="AA24" s="523"/>
      <c r="AB24" s="523"/>
      <c r="AC24" s="523"/>
      <c r="AD24" s="523"/>
      <c r="AE24" s="523"/>
      <c r="AF24" s="523"/>
      <c r="AG24" s="523"/>
      <c r="AH24" s="523"/>
      <c r="AI24" s="523"/>
      <c r="AJ24" s="523"/>
      <c r="AK24" s="523"/>
      <c r="AL24" s="523"/>
      <c r="AM24" s="523"/>
      <c r="AN24" s="523"/>
      <c r="AO24" s="523"/>
      <c r="AP24" s="523"/>
      <c r="AQ24" s="523"/>
      <c r="AR24" s="523"/>
      <c r="AS24" s="523"/>
      <c r="AT24" s="523"/>
      <c r="AU24" s="524"/>
      <c r="AV24" s="524"/>
      <c r="AW24" s="524"/>
      <c r="AX24" s="524"/>
      <c r="AY24" s="524"/>
      <c r="AZ24" s="524"/>
      <c r="BA24" s="523"/>
      <c r="BB24" s="523"/>
      <c r="BC24" s="523"/>
      <c r="BD24" s="523"/>
      <c r="BE24" s="523"/>
      <c r="BF24" s="523"/>
      <c r="BG24" s="523"/>
      <c r="BH24" s="527"/>
      <c r="BI24" s="523"/>
      <c r="BJ24" s="527"/>
      <c r="BK24" s="527"/>
      <c r="BL24" s="426"/>
      <c r="BM24" s="426"/>
      <c r="BN24" s="425"/>
      <c r="BO24" s="425"/>
      <c r="BP24" s="425"/>
      <c r="BQ24" s="425"/>
      <c r="BR24" s="425"/>
      <c r="BS24" s="425"/>
      <c r="BT24" s="528">
        <f t="shared" si="5"/>
        <v>0</v>
      </c>
      <c r="BU24" s="648"/>
    </row>
    <row r="25" spans="1:73" s="423" customFormat="1" ht="50.1" hidden="1" customHeight="1">
      <c r="A25" s="529">
        <f t="shared" si="4"/>
        <v>15</v>
      </c>
      <c r="B25" s="929"/>
      <c r="C25" s="530" t="s">
        <v>172</v>
      </c>
      <c r="D25" s="668"/>
      <c r="E25" s="674">
        <v>0</v>
      </c>
      <c r="F25" s="649"/>
      <c r="G25" s="425"/>
      <c r="H25" s="523"/>
      <c r="I25" s="523"/>
      <c r="J25" s="523"/>
      <c r="K25" s="523"/>
      <c r="L25" s="523"/>
      <c r="M25" s="523"/>
      <c r="N25" s="523"/>
      <c r="O25" s="523"/>
      <c r="P25" s="523"/>
      <c r="Q25" s="523"/>
      <c r="R25" s="523"/>
      <c r="S25" s="523"/>
      <c r="T25" s="523"/>
      <c r="U25" s="523"/>
      <c r="V25" s="523"/>
      <c r="W25" s="523"/>
      <c r="X25" s="523"/>
      <c r="Y25" s="523"/>
      <c r="Z25" s="523"/>
      <c r="AA25" s="523"/>
      <c r="AB25" s="523"/>
      <c r="AC25" s="523"/>
      <c r="AD25" s="523"/>
      <c r="AE25" s="523"/>
      <c r="AF25" s="523"/>
      <c r="AG25" s="523"/>
      <c r="AH25" s="523"/>
      <c r="AI25" s="523"/>
      <c r="AJ25" s="523"/>
      <c r="AK25" s="523"/>
      <c r="AL25" s="523"/>
      <c r="AM25" s="523"/>
      <c r="AN25" s="523"/>
      <c r="AO25" s="523"/>
      <c r="AP25" s="523"/>
      <c r="AQ25" s="523"/>
      <c r="AR25" s="523"/>
      <c r="AS25" s="523"/>
      <c r="AT25" s="523"/>
      <c r="AU25" s="524"/>
      <c r="AV25" s="524"/>
      <c r="AW25" s="524"/>
      <c r="AX25" s="524"/>
      <c r="AY25" s="524"/>
      <c r="AZ25" s="524"/>
      <c r="BA25" s="523"/>
      <c r="BB25" s="523"/>
      <c r="BC25" s="523"/>
      <c r="BD25" s="523"/>
      <c r="BE25" s="523"/>
      <c r="BF25" s="523"/>
      <c r="BG25" s="523"/>
      <c r="BH25" s="523"/>
      <c r="BI25" s="523"/>
      <c r="BJ25" s="523"/>
      <c r="BK25" s="523"/>
      <c r="BL25" s="425"/>
      <c r="BM25" s="425"/>
      <c r="BN25" s="425"/>
      <c r="BO25" s="425"/>
      <c r="BP25" s="425"/>
      <c r="BQ25" s="425"/>
      <c r="BR25" s="425"/>
      <c r="BS25" s="425"/>
      <c r="BT25" s="528">
        <f t="shared" si="5"/>
        <v>0</v>
      </c>
      <c r="BU25" s="648"/>
    </row>
    <row r="26" spans="1:73" s="423" customFormat="1" ht="50.1" hidden="1" customHeight="1">
      <c r="A26" s="529">
        <f t="shared" si="4"/>
        <v>16</v>
      </c>
      <c r="B26" s="929"/>
      <c r="C26" s="530" t="s">
        <v>166</v>
      </c>
      <c r="D26" s="668"/>
      <c r="E26" s="674">
        <v>0</v>
      </c>
      <c r="F26" s="649"/>
      <c r="G26" s="425"/>
      <c r="H26" s="523"/>
      <c r="I26" s="523"/>
      <c r="J26" s="523"/>
      <c r="K26" s="523"/>
      <c r="L26" s="523"/>
      <c r="M26" s="523"/>
      <c r="N26" s="523"/>
      <c r="O26" s="523"/>
      <c r="P26" s="523"/>
      <c r="Q26" s="523"/>
      <c r="R26" s="523"/>
      <c r="S26" s="523"/>
      <c r="T26" s="523"/>
      <c r="U26" s="523"/>
      <c r="V26" s="523"/>
      <c r="W26" s="523"/>
      <c r="X26" s="523"/>
      <c r="Y26" s="523"/>
      <c r="Z26" s="523"/>
      <c r="AA26" s="523"/>
      <c r="AB26" s="523"/>
      <c r="AC26" s="523"/>
      <c r="AD26" s="523"/>
      <c r="AE26" s="523"/>
      <c r="AF26" s="523"/>
      <c r="AG26" s="523"/>
      <c r="AH26" s="523"/>
      <c r="AI26" s="523"/>
      <c r="AJ26" s="523"/>
      <c r="AK26" s="523"/>
      <c r="AL26" s="523"/>
      <c r="AM26" s="523"/>
      <c r="AN26" s="523"/>
      <c r="AO26" s="523"/>
      <c r="AP26" s="523"/>
      <c r="AQ26" s="523"/>
      <c r="AR26" s="523"/>
      <c r="AS26" s="523"/>
      <c r="AT26" s="523"/>
      <c r="AU26" s="524"/>
      <c r="AV26" s="524"/>
      <c r="AW26" s="524"/>
      <c r="AX26" s="524"/>
      <c r="AY26" s="524"/>
      <c r="AZ26" s="524"/>
      <c r="BA26" s="523"/>
      <c r="BB26" s="523"/>
      <c r="BC26" s="523"/>
      <c r="BD26" s="523"/>
      <c r="BE26" s="523"/>
      <c r="BF26" s="523"/>
      <c r="BG26" s="523"/>
      <c r="BH26" s="523"/>
      <c r="BI26" s="523"/>
      <c r="BJ26" s="523"/>
      <c r="BK26" s="523"/>
      <c r="BL26" s="425"/>
      <c r="BM26" s="425"/>
      <c r="BN26" s="425"/>
      <c r="BO26" s="425"/>
      <c r="BP26" s="425"/>
      <c r="BQ26" s="425"/>
      <c r="BR26" s="425"/>
      <c r="BS26" s="425"/>
      <c r="BT26" s="528">
        <f t="shared" si="5"/>
        <v>0</v>
      </c>
      <c r="BU26" s="648"/>
    </row>
    <row r="27" spans="1:73" s="423" customFormat="1" ht="50.1" hidden="1" customHeight="1">
      <c r="A27" s="529">
        <f t="shared" si="4"/>
        <v>17</v>
      </c>
      <c r="B27" s="929"/>
      <c r="C27" s="530" t="s">
        <v>163</v>
      </c>
      <c r="D27" s="668"/>
      <c r="E27" s="674">
        <v>0</v>
      </c>
      <c r="F27" s="649"/>
      <c r="G27" s="425"/>
      <c r="H27" s="523"/>
      <c r="I27" s="523"/>
      <c r="J27" s="523"/>
      <c r="K27" s="523"/>
      <c r="L27" s="523"/>
      <c r="M27" s="523"/>
      <c r="N27" s="523"/>
      <c r="O27" s="523"/>
      <c r="P27" s="523"/>
      <c r="Q27" s="523"/>
      <c r="R27" s="523"/>
      <c r="S27" s="523"/>
      <c r="T27" s="523"/>
      <c r="U27" s="523"/>
      <c r="V27" s="523"/>
      <c r="W27" s="523"/>
      <c r="X27" s="523"/>
      <c r="Y27" s="523"/>
      <c r="Z27" s="523"/>
      <c r="AA27" s="523"/>
      <c r="AB27" s="523"/>
      <c r="AC27" s="523"/>
      <c r="AD27" s="523"/>
      <c r="AE27" s="523"/>
      <c r="AF27" s="523"/>
      <c r="AG27" s="523"/>
      <c r="AH27" s="523"/>
      <c r="AI27" s="523"/>
      <c r="AJ27" s="523"/>
      <c r="AK27" s="523"/>
      <c r="AL27" s="523"/>
      <c r="AM27" s="523"/>
      <c r="AN27" s="523"/>
      <c r="AO27" s="523"/>
      <c r="AP27" s="523"/>
      <c r="AQ27" s="523"/>
      <c r="AR27" s="523"/>
      <c r="AS27" s="523"/>
      <c r="AT27" s="523"/>
      <c r="AU27" s="524"/>
      <c r="AV27" s="524"/>
      <c r="AW27" s="524"/>
      <c r="AX27" s="524"/>
      <c r="AY27" s="524"/>
      <c r="AZ27" s="524"/>
      <c r="BA27" s="523"/>
      <c r="BB27" s="523"/>
      <c r="BC27" s="523"/>
      <c r="BD27" s="523"/>
      <c r="BE27" s="523"/>
      <c r="BF27" s="523"/>
      <c r="BG27" s="523"/>
      <c r="BH27" s="523"/>
      <c r="BI27" s="523"/>
      <c r="BJ27" s="523"/>
      <c r="BK27" s="523"/>
      <c r="BL27" s="425"/>
      <c r="BM27" s="425"/>
      <c r="BN27" s="425"/>
      <c r="BO27" s="425"/>
      <c r="BP27" s="425"/>
      <c r="BQ27" s="425"/>
      <c r="BR27" s="425"/>
      <c r="BS27" s="425"/>
      <c r="BT27" s="528">
        <f t="shared" si="5"/>
        <v>0</v>
      </c>
      <c r="BU27" s="648"/>
    </row>
    <row r="28" spans="1:73" s="423" customFormat="1" ht="50.1" hidden="1" customHeight="1">
      <c r="A28" s="529">
        <f t="shared" si="4"/>
        <v>18</v>
      </c>
      <c r="B28" s="929"/>
      <c r="C28" s="533" t="s">
        <v>181</v>
      </c>
      <c r="D28" s="675"/>
      <c r="E28" s="676">
        <v>0</v>
      </c>
      <c r="F28" s="649"/>
      <c r="G28" s="425"/>
      <c r="H28" s="523"/>
      <c r="I28" s="523"/>
      <c r="J28" s="523"/>
      <c r="K28" s="523"/>
      <c r="L28" s="523"/>
      <c r="M28" s="523"/>
      <c r="N28" s="523"/>
      <c r="O28" s="523"/>
      <c r="P28" s="523"/>
      <c r="Q28" s="523"/>
      <c r="R28" s="523"/>
      <c r="S28" s="523"/>
      <c r="T28" s="523"/>
      <c r="U28" s="523"/>
      <c r="V28" s="523"/>
      <c r="W28" s="523"/>
      <c r="X28" s="523"/>
      <c r="Y28" s="523"/>
      <c r="Z28" s="523"/>
      <c r="AA28" s="523"/>
      <c r="AB28" s="523"/>
      <c r="AC28" s="523"/>
      <c r="AD28" s="523"/>
      <c r="AE28" s="523"/>
      <c r="AF28" s="523"/>
      <c r="AG28" s="523"/>
      <c r="AH28" s="523"/>
      <c r="AI28" s="523"/>
      <c r="AJ28" s="523"/>
      <c r="AK28" s="523"/>
      <c r="AL28" s="523"/>
      <c r="AM28" s="523"/>
      <c r="AN28" s="523"/>
      <c r="AO28" s="523"/>
      <c r="AP28" s="523"/>
      <c r="AQ28" s="523"/>
      <c r="AR28" s="523"/>
      <c r="AS28" s="523"/>
      <c r="AT28" s="523"/>
      <c r="AU28" s="524"/>
      <c r="AV28" s="524"/>
      <c r="AW28" s="524"/>
      <c r="AX28" s="524"/>
      <c r="AY28" s="524"/>
      <c r="AZ28" s="524"/>
      <c r="BA28" s="523"/>
      <c r="BB28" s="523"/>
      <c r="BC28" s="523"/>
      <c r="BD28" s="523"/>
      <c r="BE28" s="523"/>
      <c r="BF28" s="523"/>
      <c r="BG28" s="523"/>
      <c r="BH28" s="523"/>
      <c r="BI28" s="523"/>
      <c r="BJ28" s="527"/>
      <c r="BK28" s="527"/>
      <c r="BL28" s="426"/>
      <c r="BM28" s="425"/>
      <c r="BN28" s="425"/>
      <c r="BO28" s="425"/>
      <c r="BP28" s="425"/>
      <c r="BQ28" s="425"/>
      <c r="BR28" s="425"/>
      <c r="BS28" s="425"/>
      <c r="BT28" s="528">
        <f t="shared" si="5"/>
        <v>0</v>
      </c>
      <c r="BU28" s="648"/>
    </row>
    <row r="29" spans="1:73" s="423" customFormat="1" ht="50.1" hidden="1" customHeight="1">
      <c r="A29" s="529">
        <v>0</v>
      </c>
      <c r="B29" s="929"/>
      <c r="C29" s="533" t="s">
        <v>182</v>
      </c>
      <c r="D29" s="675"/>
      <c r="E29" s="676">
        <v>0</v>
      </c>
      <c r="F29" s="649"/>
      <c r="G29" s="425"/>
      <c r="H29" s="523"/>
      <c r="I29" s="523"/>
      <c r="J29" s="523"/>
      <c r="K29" s="523"/>
      <c r="L29" s="523"/>
      <c r="M29" s="523"/>
      <c r="N29" s="523"/>
      <c r="O29" s="523"/>
      <c r="P29" s="523"/>
      <c r="Q29" s="523"/>
      <c r="R29" s="523"/>
      <c r="S29" s="523"/>
      <c r="T29" s="523"/>
      <c r="U29" s="523"/>
      <c r="V29" s="523"/>
      <c r="W29" s="523"/>
      <c r="X29" s="523"/>
      <c r="Y29" s="523"/>
      <c r="Z29" s="523"/>
      <c r="AA29" s="523"/>
      <c r="AB29" s="523"/>
      <c r="AC29" s="523"/>
      <c r="AD29" s="523"/>
      <c r="AE29" s="523"/>
      <c r="AF29" s="523"/>
      <c r="AG29" s="523"/>
      <c r="AH29" s="523"/>
      <c r="AI29" s="523"/>
      <c r="AJ29" s="523"/>
      <c r="AK29" s="523"/>
      <c r="AL29" s="523"/>
      <c r="AM29" s="523"/>
      <c r="AN29" s="523"/>
      <c r="AO29" s="523"/>
      <c r="AP29" s="523"/>
      <c r="AQ29" s="523"/>
      <c r="AR29" s="523"/>
      <c r="AS29" s="523"/>
      <c r="AT29" s="523"/>
      <c r="AU29" s="524"/>
      <c r="AV29" s="524"/>
      <c r="AW29" s="524"/>
      <c r="AX29" s="524"/>
      <c r="AY29" s="524"/>
      <c r="AZ29" s="524"/>
      <c r="BA29" s="523"/>
      <c r="BB29" s="523"/>
      <c r="BC29" s="523"/>
      <c r="BD29" s="523"/>
      <c r="BE29" s="523"/>
      <c r="BF29" s="523"/>
      <c r="BG29" s="523"/>
      <c r="BH29" s="523"/>
      <c r="BI29" s="523"/>
      <c r="BJ29" s="527"/>
      <c r="BK29" s="527"/>
      <c r="BL29" s="426"/>
      <c r="BM29" s="425"/>
      <c r="BN29" s="425"/>
      <c r="BO29" s="425"/>
      <c r="BP29" s="425"/>
      <c r="BQ29" s="425"/>
      <c r="BR29" s="425"/>
      <c r="BS29" s="425"/>
      <c r="BT29" s="528">
        <f t="shared" si="5"/>
        <v>0</v>
      </c>
      <c r="BU29" s="648"/>
    </row>
    <row r="30" spans="1:73" s="423" customFormat="1" ht="50.1" hidden="1" customHeight="1" thickBot="1">
      <c r="A30" s="534"/>
      <c r="B30" s="535"/>
      <c r="C30" s="536"/>
      <c r="D30" s="677"/>
      <c r="E30" s="678"/>
      <c r="F30" s="650"/>
      <c r="G30" s="651"/>
      <c r="H30" s="652"/>
      <c r="I30" s="652"/>
      <c r="J30" s="652"/>
      <c r="K30" s="652"/>
      <c r="L30" s="652"/>
      <c r="M30" s="652"/>
      <c r="N30" s="652"/>
      <c r="O30" s="652"/>
      <c r="P30" s="652"/>
      <c r="Q30" s="652"/>
      <c r="R30" s="652"/>
      <c r="S30" s="652"/>
      <c r="T30" s="652"/>
      <c r="U30" s="652"/>
      <c r="V30" s="652"/>
      <c r="W30" s="652"/>
      <c r="X30" s="652"/>
      <c r="Y30" s="652"/>
      <c r="Z30" s="652"/>
      <c r="AA30" s="652"/>
      <c r="AB30" s="652"/>
      <c r="AC30" s="652"/>
      <c r="AD30" s="652"/>
      <c r="AE30" s="652"/>
      <c r="AF30" s="652"/>
      <c r="AG30" s="652"/>
      <c r="AH30" s="652"/>
      <c r="AI30" s="652"/>
      <c r="AJ30" s="652"/>
      <c r="AK30" s="652"/>
      <c r="AL30" s="652"/>
      <c r="AM30" s="652"/>
      <c r="AN30" s="652"/>
      <c r="AO30" s="652"/>
      <c r="AP30" s="652"/>
      <c r="AQ30" s="652"/>
      <c r="AR30" s="652"/>
      <c r="AS30" s="652"/>
      <c r="AT30" s="652"/>
      <c r="AU30" s="652" t="s">
        <v>0</v>
      </c>
      <c r="AV30" s="652"/>
      <c r="AW30" s="652"/>
      <c r="AX30" s="652"/>
      <c r="AY30" s="652"/>
      <c r="AZ30" s="652"/>
      <c r="BA30" s="652"/>
      <c r="BB30" s="652"/>
      <c r="BC30" s="652"/>
      <c r="BD30" s="652"/>
      <c r="BE30" s="652"/>
      <c r="BF30" s="652"/>
      <c r="BG30" s="652"/>
      <c r="BH30" s="652"/>
      <c r="BI30" s="652"/>
      <c r="BJ30" s="652"/>
      <c r="BK30" s="652"/>
      <c r="BL30" s="651"/>
      <c r="BM30" s="651"/>
      <c r="BN30" s="651"/>
      <c r="BO30" s="651"/>
      <c r="BP30" s="651"/>
      <c r="BQ30" s="651"/>
      <c r="BR30" s="651"/>
      <c r="BS30" s="651"/>
      <c r="BT30" s="653"/>
      <c r="BU30" s="648"/>
    </row>
    <row r="31" spans="1:73" ht="64.5" customHeight="1" thickBot="1">
      <c r="A31" s="925" t="s">
        <v>8</v>
      </c>
      <c r="B31" s="926"/>
      <c r="C31" s="927"/>
      <c r="D31" s="679">
        <f>SUM(D6:D30)</f>
        <v>106100</v>
      </c>
      <c r="E31" s="680">
        <f>SUM(E6:E29)</f>
        <v>12426864.5</v>
      </c>
      <c r="F31" s="654">
        <f t="shared" ref="F31:AM31" si="6">SUM(F6:F30)</f>
        <v>0</v>
      </c>
      <c r="G31" s="655">
        <f t="shared" si="6"/>
        <v>0</v>
      </c>
      <c r="H31" s="681">
        <f t="shared" si="6"/>
        <v>23</v>
      </c>
      <c r="I31" s="681">
        <f t="shared" si="6"/>
        <v>25</v>
      </c>
      <c r="J31" s="681">
        <f t="shared" si="6"/>
        <v>477</v>
      </c>
      <c r="K31" s="681">
        <f t="shared" si="6"/>
        <v>293</v>
      </c>
      <c r="L31" s="681">
        <f t="shared" si="6"/>
        <v>596</v>
      </c>
      <c r="M31" s="681">
        <f t="shared" si="6"/>
        <v>315</v>
      </c>
      <c r="N31" s="681">
        <f t="shared" si="6"/>
        <v>612</v>
      </c>
      <c r="O31" s="681">
        <f t="shared" si="6"/>
        <v>292</v>
      </c>
      <c r="P31" s="681">
        <f t="shared" si="6"/>
        <v>294</v>
      </c>
      <c r="Q31" s="681">
        <f>SUM(Q6:Q30)</f>
        <v>0</v>
      </c>
      <c r="R31" s="681">
        <f t="shared" si="6"/>
        <v>0</v>
      </c>
      <c r="S31" s="681">
        <f t="shared" si="6"/>
        <v>0</v>
      </c>
      <c r="T31" s="681">
        <f t="shared" si="6"/>
        <v>0</v>
      </c>
      <c r="U31" s="681">
        <f t="shared" si="6"/>
        <v>0</v>
      </c>
      <c r="V31" s="681">
        <f t="shared" si="6"/>
        <v>0</v>
      </c>
      <c r="W31" s="681">
        <f t="shared" si="6"/>
        <v>0</v>
      </c>
      <c r="X31" s="681">
        <f t="shared" si="6"/>
        <v>0</v>
      </c>
      <c r="Y31" s="681">
        <f t="shared" si="6"/>
        <v>0</v>
      </c>
      <c r="Z31" s="681">
        <f>SUM(Z6:Z30)</f>
        <v>0</v>
      </c>
      <c r="AA31" s="681">
        <f>SUM(AA6:AA30)</f>
        <v>0</v>
      </c>
      <c r="AB31" s="681">
        <f t="shared" si="6"/>
        <v>0</v>
      </c>
      <c r="AC31" s="681">
        <f t="shared" si="6"/>
        <v>0</v>
      </c>
      <c r="AD31" s="681">
        <f t="shared" si="6"/>
        <v>0</v>
      </c>
      <c r="AE31" s="681">
        <f t="shared" si="6"/>
        <v>0</v>
      </c>
      <c r="AF31" s="681">
        <f t="shared" si="6"/>
        <v>0</v>
      </c>
      <c r="AG31" s="681">
        <f t="shared" si="6"/>
        <v>0</v>
      </c>
      <c r="AH31" s="681">
        <f t="shared" si="6"/>
        <v>0</v>
      </c>
      <c r="AI31" s="681">
        <f t="shared" si="6"/>
        <v>0</v>
      </c>
      <c r="AJ31" s="681">
        <f t="shared" si="6"/>
        <v>0</v>
      </c>
      <c r="AK31" s="681">
        <f t="shared" si="6"/>
        <v>0</v>
      </c>
      <c r="AL31" s="681">
        <f t="shared" si="6"/>
        <v>0</v>
      </c>
      <c r="AM31" s="681">
        <f t="shared" si="6"/>
        <v>0</v>
      </c>
      <c r="AN31" s="681">
        <f t="shared" ref="AN31:BH31" si="7">SUM(AN6:AN30)</f>
        <v>0</v>
      </c>
      <c r="AO31" s="681">
        <f t="shared" si="7"/>
        <v>0</v>
      </c>
      <c r="AP31" s="681">
        <f t="shared" si="7"/>
        <v>0</v>
      </c>
      <c r="AQ31" s="681">
        <f t="shared" si="7"/>
        <v>0</v>
      </c>
      <c r="AR31" s="681">
        <f t="shared" si="7"/>
        <v>0</v>
      </c>
      <c r="AS31" s="681">
        <f t="shared" si="7"/>
        <v>0</v>
      </c>
      <c r="AT31" s="681">
        <f t="shared" si="7"/>
        <v>0</v>
      </c>
      <c r="AU31" s="681">
        <f t="shared" si="7"/>
        <v>1187</v>
      </c>
      <c r="AV31" s="681">
        <f t="shared" si="7"/>
        <v>0</v>
      </c>
      <c r="AW31" s="681">
        <f>SUM(AW6:AW30)</f>
        <v>0</v>
      </c>
      <c r="AX31" s="681">
        <f t="shared" si="7"/>
        <v>0</v>
      </c>
      <c r="AY31" s="681">
        <f t="shared" si="7"/>
        <v>0</v>
      </c>
      <c r="AZ31" s="681">
        <f t="shared" si="7"/>
        <v>0</v>
      </c>
      <c r="BA31" s="681">
        <f t="shared" si="7"/>
        <v>0</v>
      </c>
      <c r="BB31" s="681">
        <f t="shared" si="7"/>
        <v>0</v>
      </c>
      <c r="BC31" s="681">
        <f t="shared" si="7"/>
        <v>33</v>
      </c>
      <c r="BD31" s="681">
        <f t="shared" si="7"/>
        <v>230</v>
      </c>
      <c r="BE31" s="681">
        <f t="shared" si="7"/>
        <v>237</v>
      </c>
      <c r="BF31" s="681">
        <f t="shared" si="7"/>
        <v>210</v>
      </c>
      <c r="BG31" s="681">
        <f t="shared" si="7"/>
        <v>197</v>
      </c>
      <c r="BH31" s="681">
        <f t="shared" si="7"/>
        <v>370</v>
      </c>
      <c r="BI31" s="681">
        <f>SUM(BI6:BI29)</f>
        <v>521</v>
      </c>
      <c r="BJ31" s="681">
        <f>SUM(BJ6:BJ30)</f>
        <v>394</v>
      </c>
      <c r="BK31" s="681">
        <f>SUM(BK6:BK30)</f>
        <v>436</v>
      </c>
      <c r="BL31" s="682">
        <f t="shared" ref="BL31:BR31" si="8">SUM(BL6:BL29)</f>
        <v>0</v>
      </c>
      <c r="BM31" s="682">
        <f t="shared" si="8"/>
        <v>0</v>
      </c>
      <c r="BN31" s="682">
        <f t="shared" si="8"/>
        <v>0</v>
      </c>
      <c r="BO31" s="682">
        <f t="shared" si="8"/>
        <v>0</v>
      </c>
      <c r="BP31" s="682">
        <f t="shared" si="8"/>
        <v>0</v>
      </c>
      <c r="BQ31" s="682">
        <f t="shared" si="8"/>
        <v>0</v>
      </c>
      <c r="BR31" s="682">
        <f t="shared" si="8"/>
        <v>0</v>
      </c>
      <c r="BS31" s="683">
        <f>SUM(BS6:BS20)</f>
        <v>118700</v>
      </c>
      <c r="BT31" s="683">
        <f>SUM(BT6:BT29)</f>
        <v>1854167</v>
      </c>
      <c r="BU31" s="683">
        <f>SUM(BU6:BU29)</f>
        <v>10608470</v>
      </c>
    </row>
    <row r="32" spans="1:73" s="408" customFormat="1" ht="50.25" customHeight="1" thickBot="1">
      <c r="A32" s="409"/>
      <c r="B32" s="410"/>
      <c r="C32" s="411"/>
      <c r="D32" s="411"/>
      <c r="E32" s="412"/>
      <c r="F32" s="413"/>
      <c r="G32" s="413"/>
      <c r="H32" s="413"/>
      <c r="I32" s="413"/>
      <c r="J32" s="413"/>
      <c r="K32" s="413"/>
      <c r="L32" s="413"/>
      <c r="M32" s="413"/>
      <c r="N32" s="413"/>
      <c r="O32" s="413"/>
      <c r="P32" s="413"/>
      <c r="Q32" s="413"/>
      <c r="R32" s="413"/>
      <c r="S32" s="413"/>
      <c r="T32" s="413"/>
      <c r="U32" s="413"/>
      <c r="V32" s="413"/>
      <c r="W32" s="413"/>
      <c r="X32" s="413"/>
      <c r="Y32" s="413"/>
      <c r="Z32" s="413"/>
      <c r="AA32" s="413"/>
      <c r="AB32" s="413"/>
      <c r="AC32" s="413"/>
      <c r="AD32" s="413"/>
      <c r="AE32" s="413"/>
      <c r="AF32" s="413"/>
      <c r="AG32" s="413"/>
      <c r="AH32" s="413"/>
      <c r="AI32" s="413"/>
      <c r="AJ32" s="413"/>
      <c r="AK32" s="413"/>
      <c r="AL32" s="413"/>
      <c r="AM32" s="413"/>
      <c r="AN32" s="413"/>
      <c r="AO32" s="413"/>
      <c r="AP32" s="413"/>
      <c r="AQ32" s="413"/>
      <c r="AR32" s="639"/>
      <c r="AS32" s="640"/>
      <c r="AT32" s="640"/>
      <c r="AU32" s="414"/>
      <c r="AV32" s="414"/>
      <c r="AW32" s="414"/>
      <c r="AX32" s="414"/>
      <c r="AY32" s="414"/>
      <c r="AZ32" s="414"/>
      <c r="BA32" s="415"/>
      <c r="BB32" s="416"/>
      <c r="BC32" s="415"/>
      <c r="BD32" s="417"/>
      <c r="BE32" s="639"/>
      <c r="BF32" s="640" t="s">
        <v>142</v>
      </c>
      <c r="BG32" s="415"/>
      <c r="BH32" s="922">
        <f>AU5*AU31+AV5*AV31+AW5*AW31+AX5*AX31+AY5*AY31+AZ5*AZ31</f>
        <v>118700</v>
      </c>
      <c r="BI32" s="923"/>
      <c r="BJ32" s="923"/>
      <c r="BK32" s="923"/>
      <c r="BL32" s="923"/>
      <c r="BM32" s="923"/>
      <c r="BN32" s="923"/>
      <c r="BO32" s="923"/>
      <c r="BP32" s="923"/>
      <c r="BQ32" s="923"/>
      <c r="BR32" s="923"/>
      <c r="BS32" s="924"/>
      <c r="BT32" s="898">
        <f>BA5*BA31+BB5*BB31+BC5*BC31+BD5*BD31+BH5*BH31+AU5*AU31+AV5*AV31+AW5*AW31+AX5*AX31+AY5*AY31+AZ5*AZ31+O5*O31+BE31*BE5+BF31*BF5+BG31*BG5+BJ31*BJ5+F5*F31+G5*G31+H5*H31+I5*I31+J5*J31+K5*K31+L5*L31+M5*M31+N5*N31+P5*P31+R5*R31+S5*S31+T5*T31+U5*U31+V5*V31+W5*W31+X5*X31+Y5*Y31+AA5*AA31+AB5*AB31+AC5*AC31+AD5*AD31+AE5*AE31+AF5*AF31+AG5*AG31+AH5*AH31+AI5*AI31+AJ5*AJ31+AK5*AK31+AL5*AL31+AM5*AM31+AN5*AN31+AO5*AO31+AP5*AP31+AQ5*AQ31+AR5*AR31+AS5*AS31+BI5*BI31+BL5*BL31+BM5*BM31+BN5*BN31+BO5*BO31+BP5*BP31+BQ5*BQ31+BR5*BR31+AT5*AT31+Q5*Q31+Z5*Z31+BK31*BK5</f>
        <v>12581337</v>
      </c>
      <c r="BU32" s="899"/>
    </row>
    <row r="33" spans="1:73" s="408" customFormat="1" ht="50.25" customHeight="1" thickBot="1">
      <c r="A33" s="928"/>
      <c r="B33" s="928"/>
      <c r="C33" s="928"/>
      <c r="D33" s="658"/>
      <c r="E33" s="412"/>
      <c r="F33" s="414"/>
      <c r="G33" s="414"/>
      <c r="H33" s="414"/>
      <c r="I33" s="414"/>
      <c r="J33" s="414"/>
      <c r="K33" s="414"/>
      <c r="L33" s="414"/>
      <c r="M33" s="414"/>
      <c r="N33" s="414"/>
      <c r="O33" s="414"/>
      <c r="P33" s="414"/>
      <c r="Q33" s="414"/>
      <c r="R33" s="414"/>
      <c r="S33" s="414"/>
      <c r="T33" s="414"/>
      <c r="U33" s="414"/>
      <c r="V33" s="414"/>
      <c r="W33" s="414"/>
      <c r="X33" s="414"/>
      <c r="Y33" s="414"/>
      <c r="Z33" s="414"/>
      <c r="AA33" s="414"/>
      <c r="AB33" s="414"/>
      <c r="AC33" s="414"/>
      <c r="AD33" s="414"/>
      <c r="AE33" s="414"/>
      <c r="AF33" s="414"/>
      <c r="AG33" s="414"/>
      <c r="AH33" s="414"/>
      <c r="AI33" s="414"/>
      <c r="AJ33" s="414"/>
      <c r="AK33" s="414"/>
      <c r="AL33" s="414"/>
      <c r="AM33" s="414"/>
      <c r="AN33" s="414"/>
      <c r="AO33" s="414"/>
      <c r="AP33" s="414"/>
      <c r="AQ33" s="414"/>
      <c r="AR33" s="418"/>
      <c r="AS33" s="419"/>
      <c r="AT33" s="419"/>
      <c r="AU33" s="414"/>
      <c r="AV33" s="414"/>
      <c r="AW33" s="414"/>
      <c r="AX33" s="414"/>
      <c r="AY33" s="414"/>
      <c r="AZ33" s="414"/>
      <c r="BA33" s="415"/>
      <c r="BB33" s="416"/>
      <c r="BC33" s="415"/>
      <c r="BD33" s="417"/>
      <c r="BE33" s="418"/>
      <c r="BF33" s="419" t="s">
        <v>140</v>
      </c>
      <c r="BG33" s="415"/>
      <c r="BH33" s="919">
        <f>BT31+BU31</f>
        <v>12462637</v>
      </c>
      <c r="BI33" s="920"/>
      <c r="BJ33" s="920"/>
      <c r="BK33" s="920"/>
      <c r="BL33" s="920"/>
      <c r="BM33" s="920"/>
      <c r="BN33" s="920"/>
      <c r="BO33" s="920"/>
      <c r="BP33" s="920"/>
      <c r="BQ33" s="920"/>
      <c r="BR33" s="920"/>
      <c r="BS33" s="921"/>
      <c r="BT33" s="900">
        <f>BT31+BS31+BU31-BT32</f>
        <v>0</v>
      </c>
      <c r="BU33" s="901"/>
    </row>
    <row r="34" spans="1:73" ht="81.75" customHeight="1">
      <c r="A34" s="914" t="s">
        <v>50</v>
      </c>
      <c r="B34" s="914"/>
      <c r="C34" s="914"/>
      <c r="D34" s="914"/>
      <c r="E34" s="914"/>
      <c r="F34" s="431"/>
      <c r="G34" s="431"/>
      <c r="H34" s="431"/>
      <c r="I34" s="431"/>
      <c r="J34" s="431"/>
      <c r="K34" s="431"/>
      <c r="L34" s="414"/>
      <c r="M34" s="414"/>
      <c r="N34" s="414"/>
      <c r="O34" s="414"/>
      <c r="P34" s="427"/>
      <c r="Q34" s="427"/>
      <c r="R34" s="427"/>
      <c r="S34" s="427"/>
      <c r="T34" s="427"/>
      <c r="U34" s="427"/>
      <c r="V34" s="427"/>
      <c r="W34" s="427"/>
      <c r="X34" s="427"/>
      <c r="Y34" s="427"/>
      <c r="Z34" s="427"/>
      <c r="AA34" s="427"/>
      <c r="AB34" s="427"/>
      <c r="AC34" s="427"/>
      <c r="AD34" s="427"/>
      <c r="AE34" s="427"/>
      <c r="AF34" s="427"/>
      <c r="AG34" s="427"/>
      <c r="AH34" s="427"/>
      <c r="AI34" s="427"/>
      <c r="AJ34" s="427"/>
      <c r="AK34" s="427"/>
      <c r="AL34" s="427"/>
      <c r="AM34" s="427"/>
      <c r="AN34" s="427"/>
      <c r="AO34" s="427"/>
      <c r="AP34" s="427"/>
      <c r="AQ34" s="427"/>
      <c r="AR34" s="427"/>
      <c r="AS34" s="427"/>
      <c r="AT34" s="427"/>
      <c r="AU34" s="427"/>
      <c r="AV34" s="427"/>
      <c r="AW34" s="427"/>
      <c r="AX34" s="427"/>
      <c r="AY34" s="427"/>
      <c r="AZ34" s="427"/>
      <c r="BA34" s="428"/>
      <c r="BB34" s="429"/>
      <c r="BC34" s="428"/>
      <c r="BD34" s="430"/>
      <c r="BE34" s="428"/>
      <c r="BF34" s="429"/>
      <c r="BG34" s="428"/>
      <c r="BH34" s="428"/>
      <c r="BI34" s="428"/>
      <c r="BJ34" s="430"/>
      <c r="BK34" s="430"/>
      <c r="BL34" s="430"/>
      <c r="BM34" s="430"/>
      <c r="BN34" s="430"/>
      <c r="BO34" s="430"/>
      <c r="BP34" s="430"/>
      <c r="BQ34" s="430"/>
      <c r="BR34" s="430"/>
      <c r="BS34" s="430"/>
      <c r="BT34" s="432"/>
    </row>
    <row r="35" spans="1:73" ht="49.5" customHeight="1">
      <c r="K35" s="437"/>
      <c r="L35" s="414"/>
      <c r="M35" s="414"/>
      <c r="N35" s="414"/>
      <c r="O35" s="414"/>
      <c r="BT35" s="433"/>
    </row>
    <row r="36" spans="1:73" ht="50.1" customHeight="1">
      <c r="L36" s="414"/>
      <c r="M36" s="414"/>
      <c r="N36" s="414"/>
      <c r="O36" s="414"/>
    </row>
    <row r="37" spans="1:73" ht="50.1" customHeight="1">
      <c r="L37" s="414"/>
      <c r="M37" s="414"/>
      <c r="N37" s="414"/>
      <c r="O37" s="414"/>
    </row>
    <row r="39" spans="1:73" ht="50.1" customHeight="1">
      <c r="E39" s="438"/>
      <c r="F39" s="422"/>
      <c r="G39" s="422"/>
      <c r="H39" s="422"/>
      <c r="I39" s="422"/>
      <c r="J39" s="422"/>
      <c r="K39" s="422"/>
      <c r="L39" s="422"/>
      <c r="M39" s="422"/>
      <c r="N39" s="422"/>
      <c r="O39" s="422"/>
      <c r="P39" s="422"/>
      <c r="Q39" s="422"/>
      <c r="R39" s="422"/>
      <c r="S39" s="422"/>
      <c r="T39" s="422"/>
      <c r="U39" s="422"/>
      <c r="V39" s="422"/>
      <c r="W39" s="422"/>
      <c r="X39" s="422"/>
      <c r="Y39" s="422"/>
      <c r="Z39" s="422"/>
      <c r="AA39" s="422"/>
      <c r="AB39" s="422"/>
      <c r="AC39" s="422"/>
      <c r="AD39" s="422"/>
      <c r="AE39" s="422"/>
      <c r="AF39" s="422"/>
      <c r="AG39" s="422"/>
      <c r="AH39" s="422"/>
      <c r="AI39" s="422"/>
      <c r="AJ39" s="422"/>
      <c r="AK39" s="422"/>
      <c r="AL39" s="422"/>
      <c r="AM39" s="422"/>
      <c r="AN39" s="422"/>
      <c r="AO39" s="422"/>
      <c r="AP39" s="422"/>
      <c r="AQ39" s="422"/>
      <c r="AR39" s="422"/>
      <c r="AS39" s="422"/>
      <c r="AT39" s="422"/>
      <c r="AU39" s="422"/>
      <c r="AV39" s="422"/>
      <c r="AW39" s="422"/>
      <c r="AX39" s="422"/>
      <c r="AY39" s="422"/>
      <c r="AZ39" s="422"/>
    </row>
    <row r="40" spans="1:73" ht="50.1" customHeight="1">
      <c r="E40" s="438"/>
      <c r="F40" s="422"/>
      <c r="G40" s="422"/>
      <c r="H40" s="422"/>
      <c r="I40" s="422"/>
      <c r="J40" s="422"/>
      <c r="K40" s="422"/>
      <c r="L40" s="422"/>
      <c r="M40" s="422"/>
      <c r="N40" s="422"/>
      <c r="O40" s="422"/>
      <c r="P40" s="422"/>
      <c r="Q40" s="422"/>
      <c r="R40" s="422"/>
      <c r="S40" s="422"/>
      <c r="T40" s="422"/>
      <c r="U40" s="422"/>
      <c r="V40" s="422"/>
      <c r="W40" s="422"/>
      <c r="X40" s="422"/>
      <c r="Y40" s="422"/>
      <c r="Z40" s="422"/>
      <c r="AA40" s="422"/>
      <c r="AB40" s="422"/>
      <c r="AC40" s="422"/>
      <c r="AD40" s="422"/>
      <c r="AE40" s="422"/>
      <c r="AF40" s="422"/>
      <c r="AG40" s="422"/>
      <c r="AH40" s="422"/>
      <c r="AI40" s="422"/>
      <c r="AJ40" s="422"/>
      <c r="AK40" s="422"/>
      <c r="AL40" s="422"/>
      <c r="AM40" s="422"/>
      <c r="AN40" s="422"/>
      <c r="AO40" s="422"/>
      <c r="AP40" s="422"/>
      <c r="AQ40" s="422"/>
      <c r="AR40" s="422"/>
      <c r="AS40" s="422"/>
      <c r="AT40" s="422"/>
      <c r="AU40" s="422"/>
      <c r="AV40" s="422"/>
      <c r="AW40" s="422"/>
      <c r="AX40" s="422"/>
      <c r="AY40" s="422"/>
      <c r="AZ40" s="422"/>
    </row>
    <row r="41" spans="1:73" ht="50.1" customHeight="1">
      <c r="E41" s="438"/>
      <c r="F41" s="422"/>
      <c r="G41" s="422"/>
      <c r="H41" s="422"/>
      <c r="I41" s="422"/>
      <c r="J41" s="422"/>
      <c r="K41" s="422"/>
      <c r="L41" s="422"/>
      <c r="M41" s="422"/>
      <c r="N41" s="422"/>
      <c r="O41" s="422"/>
      <c r="P41" s="422"/>
      <c r="Q41" s="422"/>
      <c r="R41" s="422"/>
      <c r="S41" s="422"/>
      <c r="T41" s="422"/>
      <c r="U41" s="422"/>
      <c r="V41" s="422"/>
      <c r="W41" s="422"/>
      <c r="X41" s="422"/>
      <c r="Y41" s="422"/>
      <c r="Z41" s="422"/>
      <c r="AA41" s="422"/>
      <c r="AB41" s="422"/>
      <c r="AC41" s="422"/>
      <c r="AD41" s="422"/>
      <c r="AE41" s="422"/>
      <c r="AF41" s="422"/>
      <c r="AG41" s="422"/>
      <c r="AH41" s="422"/>
      <c r="AI41" s="422"/>
      <c r="AJ41" s="422"/>
      <c r="AK41" s="422"/>
      <c r="AL41" s="422"/>
      <c r="AM41" s="422"/>
      <c r="AN41" s="422"/>
      <c r="AO41" s="422"/>
      <c r="AP41" s="422"/>
      <c r="AQ41" s="422"/>
      <c r="AR41" s="422"/>
      <c r="AS41" s="422"/>
      <c r="AT41" s="422"/>
      <c r="AU41" s="422"/>
      <c r="AV41" s="422"/>
      <c r="AW41" s="422"/>
      <c r="AX41" s="422"/>
      <c r="AY41" s="422"/>
      <c r="AZ41" s="422"/>
    </row>
    <row r="42" spans="1:73" ht="50.1" customHeight="1">
      <c r="E42" s="438"/>
      <c r="F42" s="422"/>
      <c r="G42" s="422"/>
      <c r="H42" s="422"/>
      <c r="I42" s="422"/>
      <c r="J42" s="422"/>
      <c r="K42" s="422"/>
      <c r="L42" s="422"/>
      <c r="M42" s="422"/>
      <c r="N42" s="422"/>
      <c r="O42" s="422"/>
      <c r="P42" s="422"/>
      <c r="Q42" s="422"/>
      <c r="R42" s="422"/>
      <c r="S42" s="422"/>
      <c r="T42" s="422"/>
      <c r="U42" s="422"/>
      <c r="V42" s="422"/>
      <c r="W42" s="422"/>
      <c r="X42" s="422"/>
      <c r="Y42" s="422"/>
      <c r="Z42" s="422"/>
      <c r="AA42" s="422"/>
      <c r="AB42" s="422"/>
      <c r="AC42" s="422"/>
      <c r="AD42" s="422"/>
      <c r="AE42" s="422"/>
      <c r="AF42" s="422"/>
      <c r="AG42" s="422"/>
      <c r="AH42" s="422"/>
      <c r="AI42" s="422"/>
      <c r="AJ42" s="422"/>
      <c r="AK42" s="422"/>
      <c r="AL42" s="422"/>
      <c r="AM42" s="422"/>
      <c r="AN42" s="422"/>
      <c r="AO42" s="422"/>
      <c r="AP42" s="422"/>
      <c r="AQ42" s="422"/>
      <c r="AR42" s="422"/>
      <c r="AS42" s="422"/>
      <c r="AT42" s="422"/>
      <c r="AU42" s="422"/>
      <c r="AV42" s="422"/>
      <c r="AW42" s="422"/>
      <c r="AX42" s="422"/>
      <c r="AY42" s="422"/>
      <c r="AZ42" s="422"/>
    </row>
    <row r="43" spans="1:73" ht="50.1" customHeight="1">
      <c r="E43" s="438"/>
      <c r="F43" s="422"/>
      <c r="G43" s="422"/>
      <c r="H43" s="422"/>
      <c r="I43" s="422"/>
      <c r="J43" s="422"/>
      <c r="K43" s="422"/>
      <c r="L43" s="422"/>
      <c r="M43" s="422"/>
      <c r="N43" s="422"/>
      <c r="O43" s="422"/>
      <c r="P43" s="422"/>
      <c r="Q43" s="422"/>
      <c r="R43" s="422"/>
      <c r="S43" s="422"/>
      <c r="T43" s="422"/>
      <c r="U43" s="422"/>
      <c r="V43" s="422"/>
      <c r="W43" s="422"/>
      <c r="X43" s="422"/>
      <c r="Y43" s="422"/>
      <c r="Z43" s="422"/>
      <c r="AA43" s="422"/>
      <c r="AB43" s="422"/>
      <c r="AC43" s="422"/>
      <c r="AD43" s="422"/>
      <c r="AE43" s="422"/>
      <c r="AF43" s="422"/>
      <c r="AG43" s="422"/>
      <c r="AH43" s="422"/>
      <c r="AI43" s="422"/>
      <c r="AJ43" s="422"/>
      <c r="AK43" s="422"/>
      <c r="AL43" s="422"/>
      <c r="AM43" s="422"/>
      <c r="AN43" s="422"/>
      <c r="AO43" s="422"/>
      <c r="AP43" s="422"/>
      <c r="AQ43" s="422"/>
      <c r="AR43" s="422"/>
      <c r="AS43" s="422"/>
      <c r="AT43" s="422"/>
      <c r="AU43" s="422"/>
      <c r="AV43" s="422"/>
      <c r="AW43" s="422"/>
      <c r="AX43" s="422"/>
      <c r="AY43" s="422"/>
      <c r="AZ43" s="422"/>
    </row>
    <row r="44" spans="1:73" ht="50.1" customHeight="1">
      <c r="E44" s="438"/>
      <c r="F44" s="422"/>
      <c r="G44" s="422"/>
      <c r="H44" s="422"/>
      <c r="I44" s="422"/>
      <c r="J44" s="422"/>
      <c r="K44" s="422"/>
      <c r="L44" s="422"/>
      <c r="M44" s="422"/>
      <c r="N44" s="422"/>
      <c r="O44" s="422"/>
      <c r="P44" s="422"/>
      <c r="Q44" s="422"/>
      <c r="R44" s="422"/>
      <c r="S44" s="422"/>
      <c r="T44" s="422"/>
      <c r="U44" s="422"/>
      <c r="V44" s="422"/>
      <c r="W44" s="422"/>
      <c r="X44" s="422"/>
      <c r="Y44" s="422"/>
      <c r="Z44" s="422"/>
      <c r="AA44" s="422"/>
      <c r="AB44" s="422"/>
      <c r="AC44" s="422"/>
      <c r="AD44" s="422"/>
      <c r="AE44" s="422"/>
      <c r="AF44" s="422"/>
      <c r="AG44" s="422"/>
      <c r="AH44" s="422"/>
      <c r="AI44" s="422"/>
      <c r="AJ44" s="422"/>
      <c r="AK44" s="422"/>
      <c r="AL44" s="422"/>
      <c r="AM44" s="422"/>
      <c r="AN44" s="422"/>
      <c r="AO44" s="422"/>
      <c r="AP44" s="422"/>
      <c r="AQ44" s="422"/>
      <c r="AR44" s="422"/>
      <c r="AS44" s="422"/>
      <c r="AT44" s="422"/>
      <c r="AU44" s="422"/>
      <c r="AV44" s="422"/>
      <c r="AW44" s="422"/>
      <c r="AX44" s="422"/>
      <c r="AY44" s="422"/>
      <c r="AZ44" s="422"/>
    </row>
    <row r="45" spans="1:73" ht="50.1" customHeight="1">
      <c r="E45" s="438"/>
      <c r="F45" s="422"/>
      <c r="G45" s="422"/>
      <c r="H45" s="422"/>
      <c r="I45" s="422"/>
      <c r="J45" s="422"/>
      <c r="K45" s="422"/>
      <c r="L45" s="422"/>
      <c r="M45" s="422"/>
      <c r="N45" s="422"/>
      <c r="O45" s="422"/>
      <c r="P45" s="422"/>
      <c r="Q45" s="422"/>
      <c r="R45" s="422"/>
      <c r="S45" s="422"/>
      <c r="T45" s="422"/>
      <c r="U45" s="422"/>
      <c r="V45" s="422"/>
      <c r="W45" s="422"/>
      <c r="X45" s="422"/>
      <c r="Y45" s="422"/>
      <c r="Z45" s="422"/>
      <c r="AA45" s="422"/>
      <c r="AB45" s="422"/>
      <c r="AC45" s="422"/>
      <c r="AD45" s="422"/>
      <c r="AE45" s="422"/>
      <c r="AF45" s="422"/>
      <c r="AG45" s="422"/>
      <c r="AH45" s="422"/>
      <c r="AI45" s="422"/>
      <c r="AJ45" s="422"/>
      <c r="AK45" s="422"/>
      <c r="AL45" s="422"/>
      <c r="AM45" s="422"/>
      <c r="AN45" s="422"/>
      <c r="AO45" s="422"/>
      <c r="AP45" s="422"/>
      <c r="AQ45" s="422"/>
      <c r="AR45" s="422"/>
      <c r="AS45" s="422"/>
      <c r="AT45" s="422"/>
      <c r="AU45" s="422"/>
      <c r="AV45" s="422"/>
      <c r="AW45" s="422"/>
      <c r="AX45" s="422"/>
      <c r="AY45" s="422"/>
      <c r="AZ45" s="422"/>
    </row>
    <row r="46" spans="1:73" ht="50.1" customHeight="1">
      <c r="E46" s="438"/>
      <c r="F46" s="422"/>
      <c r="G46" s="422"/>
      <c r="H46" s="422"/>
      <c r="I46" s="422"/>
      <c r="J46" s="422"/>
      <c r="K46" s="422"/>
      <c r="L46" s="422"/>
      <c r="M46" s="422"/>
      <c r="N46" s="422"/>
      <c r="O46" s="422"/>
      <c r="P46" s="422"/>
      <c r="Q46" s="422"/>
      <c r="R46" s="422"/>
      <c r="S46" s="422"/>
      <c r="T46" s="422"/>
      <c r="U46" s="422"/>
      <c r="V46" s="422"/>
      <c r="W46" s="422"/>
      <c r="X46" s="422"/>
      <c r="Y46" s="422"/>
      <c r="Z46" s="422"/>
      <c r="AA46" s="422"/>
      <c r="AB46" s="422"/>
      <c r="AC46" s="422"/>
      <c r="AD46" s="422"/>
      <c r="AE46" s="422"/>
      <c r="AF46" s="422"/>
      <c r="AG46" s="422"/>
      <c r="AH46" s="422"/>
      <c r="AI46" s="422"/>
      <c r="AJ46" s="422"/>
      <c r="AK46" s="422"/>
      <c r="AL46" s="422"/>
      <c r="AM46" s="422"/>
      <c r="AN46" s="422"/>
      <c r="AO46" s="422"/>
      <c r="AP46" s="422"/>
      <c r="AQ46" s="422"/>
      <c r="AR46" s="422"/>
      <c r="AS46" s="422"/>
      <c r="AT46" s="422"/>
      <c r="AU46" s="422"/>
      <c r="AV46" s="422"/>
      <c r="AW46" s="422"/>
      <c r="AX46" s="422"/>
      <c r="AY46" s="422"/>
      <c r="AZ46" s="422"/>
    </row>
    <row r="47" spans="1:73" ht="50.1" customHeight="1">
      <c r="E47" s="438"/>
      <c r="F47" s="422"/>
      <c r="G47" s="422"/>
      <c r="H47" s="422"/>
      <c r="I47" s="422"/>
      <c r="J47" s="422"/>
      <c r="K47" s="422"/>
      <c r="L47" s="422"/>
      <c r="M47" s="422"/>
      <c r="N47" s="422"/>
      <c r="O47" s="422"/>
      <c r="P47" s="422"/>
      <c r="Q47" s="422"/>
      <c r="R47" s="422"/>
      <c r="S47" s="422"/>
      <c r="T47" s="422"/>
      <c r="U47" s="422"/>
      <c r="V47" s="422"/>
      <c r="W47" s="422"/>
      <c r="X47" s="422"/>
      <c r="Y47" s="422"/>
      <c r="Z47" s="422"/>
      <c r="AA47" s="422"/>
      <c r="AB47" s="422"/>
      <c r="AC47" s="422"/>
      <c r="AD47" s="422"/>
      <c r="AE47" s="422"/>
      <c r="AF47" s="422"/>
      <c r="AG47" s="422"/>
      <c r="AH47" s="422"/>
      <c r="AI47" s="422"/>
      <c r="AJ47" s="422"/>
      <c r="AK47" s="422"/>
      <c r="AL47" s="422"/>
      <c r="AM47" s="422"/>
      <c r="AN47" s="422"/>
      <c r="AO47" s="422"/>
      <c r="AP47" s="422"/>
      <c r="AQ47" s="422"/>
      <c r="AR47" s="422"/>
      <c r="AS47" s="422"/>
      <c r="AT47" s="422"/>
      <c r="AU47" s="422"/>
      <c r="AV47" s="422"/>
      <c r="AW47" s="422"/>
      <c r="AX47" s="422"/>
      <c r="AY47" s="422"/>
      <c r="AZ47" s="422"/>
    </row>
    <row r="48" spans="1:73" ht="50.1" customHeight="1">
      <c r="E48" s="438"/>
      <c r="F48" s="422"/>
      <c r="G48" s="422"/>
      <c r="H48" s="422" t="s">
        <v>364</v>
      </c>
      <c r="I48" s="422"/>
      <c r="J48" s="422"/>
      <c r="K48" s="422"/>
      <c r="L48" s="422"/>
      <c r="M48" s="422"/>
      <c r="N48" s="422"/>
      <c r="O48" s="422"/>
      <c r="P48" s="422"/>
      <c r="Q48" s="422"/>
      <c r="R48" s="422"/>
      <c r="S48" s="422"/>
      <c r="T48" s="422"/>
      <c r="U48" s="422"/>
      <c r="V48" s="422"/>
      <c r="W48" s="422"/>
      <c r="X48" s="422"/>
      <c r="Y48" s="422"/>
      <c r="Z48" s="422"/>
      <c r="AA48" s="422"/>
      <c r="AB48" s="422"/>
      <c r="AC48" s="422"/>
      <c r="AD48" s="422"/>
      <c r="AE48" s="422"/>
      <c r="AF48" s="422"/>
      <c r="AG48" s="422"/>
      <c r="AH48" s="422"/>
      <c r="AI48" s="422"/>
      <c r="AJ48" s="422"/>
      <c r="AK48" s="422"/>
      <c r="AL48" s="422"/>
      <c r="AM48" s="422"/>
      <c r="AN48" s="422"/>
      <c r="AO48" s="422"/>
      <c r="AP48" s="422"/>
      <c r="AQ48" s="422"/>
      <c r="AR48" s="422"/>
      <c r="AS48" s="422"/>
      <c r="AT48" s="422"/>
      <c r="AU48" s="422"/>
      <c r="AV48" s="422"/>
      <c r="AW48" s="422"/>
      <c r="AX48" s="422"/>
      <c r="AY48" s="422"/>
      <c r="AZ48" s="422"/>
    </row>
    <row r="49" spans="5:52" ht="50.1" customHeight="1">
      <c r="E49" s="438"/>
      <c r="F49" s="422"/>
      <c r="G49" s="422"/>
      <c r="H49" s="422"/>
      <c r="I49" s="422"/>
      <c r="J49" s="422"/>
      <c r="K49" s="422"/>
      <c r="L49" s="422"/>
      <c r="M49" s="422"/>
      <c r="N49" s="422"/>
      <c r="O49" s="422"/>
      <c r="P49" s="422"/>
      <c r="Q49" s="422"/>
      <c r="R49" s="422"/>
      <c r="S49" s="422"/>
      <c r="T49" s="422"/>
      <c r="U49" s="422"/>
      <c r="V49" s="422"/>
      <c r="W49" s="422"/>
      <c r="X49" s="422"/>
      <c r="Y49" s="422"/>
      <c r="Z49" s="422"/>
      <c r="AA49" s="422"/>
      <c r="AB49" s="422"/>
      <c r="AC49" s="422"/>
      <c r="AD49" s="422"/>
      <c r="AE49" s="422"/>
      <c r="AF49" s="422"/>
      <c r="AG49" s="422"/>
      <c r="AH49" s="422"/>
      <c r="AI49" s="422"/>
      <c r="AJ49" s="422"/>
      <c r="AK49" s="422"/>
      <c r="AL49" s="422"/>
      <c r="AM49" s="422"/>
      <c r="AN49" s="422"/>
      <c r="AO49" s="422"/>
      <c r="AP49" s="422"/>
      <c r="AQ49" s="422"/>
      <c r="AR49" s="422"/>
      <c r="AS49" s="422"/>
      <c r="AT49" s="422"/>
      <c r="AU49" s="422"/>
      <c r="AV49" s="422"/>
      <c r="AW49" s="422"/>
      <c r="AX49" s="422"/>
      <c r="AY49" s="422"/>
      <c r="AZ49" s="422"/>
    </row>
    <row r="50" spans="5:52" ht="50.1" customHeight="1">
      <c r="E50" s="438"/>
      <c r="F50" s="422"/>
      <c r="G50" s="422"/>
      <c r="H50" s="422"/>
      <c r="I50" s="422"/>
      <c r="J50" s="422"/>
      <c r="K50" s="422"/>
      <c r="L50" s="422"/>
      <c r="M50" s="422"/>
      <c r="N50" s="422"/>
      <c r="O50" s="422"/>
      <c r="P50" s="422"/>
      <c r="Q50" s="422"/>
      <c r="R50" s="422"/>
      <c r="S50" s="422"/>
      <c r="T50" s="422"/>
      <c r="U50" s="422"/>
      <c r="V50" s="422"/>
      <c r="W50" s="422"/>
      <c r="X50" s="422"/>
      <c r="Y50" s="422"/>
      <c r="Z50" s="422"/>
      <c r="AA50" s="422"/>
      <c r="AB50" s="422"/>
      <c r="AC50" s="422"/>
      <c r="AD50" s="422"/>
      <c r="AE50" s="422"/>
      <c r="AF50" s="422"/>
      <c r="AG50" s="422"/>
      <c r="AH50" s="422"/>
      <c r="AI50" s="422"/>
      <c r="AJ50" s="422"/>
      <c r="AK50" s="422"/>
      <c r="AL50" s="422"/>
      <c r="AM50" s="422"/>
      <c r="AN50" s="422"/>
      <c r="AO50" s="422"/>
      <c r="AP50" s="422"/>
      <c r="AQ50" s="422"/>
      <c r="AR50" s="422"/>
      <c r="AS50" s="422"/>
      <c r="AT50" s="422"/>
      <c r="AU50" s="422"/>
      <c r="AV50" s="422"/>
      <c r="AW50" s="422"/>
      <c r="AX50" s="422"/>
      <c r="AY50" s="422"/>
      <c r="AZ50" s="422"/>
    </row>
    <row r="51" spans="5:52" ht="50.1" customHeight="1">
      <c r="E51" s="438"/>
      <c r="F51" s="422"/>
      <c r="G51" s="422"/>
      <c r="H51" s="422"/>
      <c r="I51" s="913"/>
      <c r="J51" s="913"/>
      <c r="K51" s="422"/>
      <c r="L51" s="422"/>
      <c r="M51" s="422"/>
      <c r="N51" s="422"/>
      <c r="O51" s="422"/>
      <c r="P51" s="422"/>
      <c r="Q51" s="422"/>
      <c r="R51" s="422"/>
      <c r="S51" s="422"/>
      <c r="T51" s="422"/>
      <c r="U51" s="422"/>
      <c r="V51" s="422"/>
      <c r="W51" s="422"/>
      <c r="X51" s="422"/>
      <c r="Y51" s="422"/>
      <c r="Z51" s="422"/>
      <c r="AA51" s="422"/>
      <c r="AB51" s="422"/>
      <c r="AC51" s="422"/>
      <c r="AD51" s="422"/>
      <c r="AE51" s="422"/>
      <c r="AF51" s="422"/>
      <c r="AG51" s="422"/>
      <c r="AH51" s="422"/>
      <c r="AI51" s="422"/>
      <c r="AJ51" s="422"/>
      <c r="AK51" s="422"/>
      <c r="AL51" s="422"/>
      <c r="AM51" s="422"/>
      <c r="AN51" s="422"/>
      <c r="AO51" s="422"/>
      <c r="AP51" s="422"/>
      <c r="AQ51" s="422"/>
      <c r="AR51" s="422"/>
      <c r="AS51" s="422"/>
      <c r="AT51" s="422"/>
      <c r="AU51" s="422"/>
      <c r="AV51" s="422"/>
      <c r="AW51" s="422"/>
      <c r="AX51" s="422"/>
      <c r="AY51" s="422"/>
      <c r="AZ51" s="422"/>
    </row>
    <row r="52" spans="5:52" ht="50.1" customHeight="1">
      <c r="E52" s="438"/>
      <c r="F52" s="422"/>
      <c r="G52" s="422"/>
      <c r="H52" s="422"/>
      <c r="I52" s="422"/>
      <c r="J52" s="422"/>
      <c r="K52" s="422"/>
      <c r="L52" s="422"/>
      <c r="M52" s="422"/>
      <c r="N52" s="422"/>
      <c r="O52" s="422"/>
      <c r="P52" s="422"/>
      <c r="Q52" s="422"/>
      <c r="R52" s="422"/>
      <c r="S52" s="422"/>
      <c r="T52" s="422"/>
      <c r="U52" s="422"/>
      <c r="V52" s="422"/>
      <c r="W52" s="422"/>
      <c r="X52" s="422"/>
      <c r="Y52" s="422"/>
      <c r="Z52" s="422"/>
      <c r="AA52" s="422"/>
      <c r="AB52" s="422"/>
      <c r="AC52" s="422"/>
      <c r="AD52" s="422"/>
      <c r="AE52" s="422"/>
      <c r="AF52" s="422"/>
      <c r="AG52" s="422"/>
      <c r="AH52" s="422"/>
      <c r="AI52" s="422"/>
      <c r="AJ52" s="422"/>
      <c r="AK52" s="422"/>
      <c r="AL52" s="422"/>
      <c r="AM52" s="422"/>
      <c r="AN52" s="422"/>
      <c r="AO52" s="422"/>
      <c r="AP52" s="422"/>
      <c r="AQ52" s="422"/>
      <c r="AR52" s="422"/>
      <c r="AS52" s="422"/>
      <c r="AT52" s="422"/>
      <c r="AU52" s="422"/>
      <c r="AV52" s="422"/>
      <c r="AW52" s="422"/>
      <c r="AX52" s="422"/>
      <c r="AY52" s="422"/>
      <c r="AZ52" s="422"/>
    </row>
    <row r="53" spans="5:52" ht="50.1" customHeight="1">
      <c r="E53" s="438"/>
      <c r="F53" s="422"/>
      <c r="G53" s="422"/>
      <c r="H53" s="422"/>
      <c r="I53" s="422"/>
      <c r="J53" s="422"/>
      <c r="K53" s="422"/>
      <c r="L53" s="422"/>
      <c r="M53" s="422"/>
      <c r="N53" s="422"/>
      <c r="O53" s="422"/>
      <c r="P53" s="422"/>
      <c r="Q53" s="422"/>
      <c r="R53" s="422"/>
      <c r="S53" s="422"/>
      <c r="T53" s="422"/>
      <c r="U53" s="422"/>
      <c r="V53" s="422"/>
      <c r="W53" s="422"/>
      <c r="X53" s="422"/>
      <c r="Y53" s="422"/>
      <c r="Z53" s="422"/>
      <c r="AA53" s="422"/>
      <c r="AB53" s="422"/>
      <c r="AC53" s="422"/>
      <c r="AD53" s="422"/>
      <c r="AE53" s="422"/>
      <c r="AF53" s="422"/>
      <c r="AG53" s="422"/>
      <c r="AH53" s="422"/>
      <c r="AI53" s="422"/>
      <c r="AJ53" s="422"/>
      <c r="AK53" s="422"/>
      <c r="AL53" s="422"/>
      <c r="AM53" s="422"/>
      <c r="AN53" s="422"/>
      <c r="AO53" s="422"/>
      <c r="AP53" s="422"/>
      <c r="AQ53" s="422"/>
      <c r="AR53" s="422"/>
      <c r="AS53" s="422"/>
      <c r="AT53" s="422"/>
      <c r="AU53" s="422"/>
      <c r="AV53" s="422"/>
      <c r="AW53" s="422"/>
      <c r="AX53" s="422"/>
      <c r="AY53" s="422"/>
      <c r="AZ53" s="422"/>
    </row>
    <row r="54" spans="5:52" ht="50.1" customHeight="1">
      <c r="E54" s="438"/>
      <c r="F54" s="422"/>
      <c r="G54" s="422"/>
      <c r="H54" s="422"/>
      <c r="I54" s="422"/>
      <c r="J54" s="422"/>
      <c r="K54" s="422"/>
      <c r="L54" s="422"/>
      <c r="M54" s="422"/>
      <c r="N54" s="422"/>
      <c r="O54" s="422"/>
      <c r="P54" s="422"/>
      <c r="Q54" s="422"/>
      <c r="R54" s="422"/>
      <c r="S54" s="422"/>
      <c r="T54" s="422"/>
      <c r="U54" s="422"/>
      <c r="V54" s="422"/>
      <c r="W54" s="422"/>
      <c r="X54" s="422"/>
      <c r="Y54" s="422"/>
      <c r="Z54" s="422"/>
      <c r="AA54" s="422"/>
      <c r="AB54" s="422"/>
      <c r="AC54" s="422"/>
      <c r="AD54" s="422"/>
      <c r="AE54" s="422"/>
      <c r="AF54" s="422"/>
      <c r="AG54" s="422"/>
      <c r="AH54" s="422"/>
      <c r="AI54" s="422"/>
      <c r="AJ54" s="422"/>
      <c r="AK54" s="422"/>
      <c r="AL54" s="422"/>
      <c r="AM54" s="422"/>
      <c r="AN54" s="422"/>
      <c r="AO54" s="422"/>
      <c r="AP54" s="422"/>
      <c r="AQ54" s="422"/>
      <c r="AR54" s="422"/>
      <c r="AS54" s="422"/>
      <c r="AT54" s="422"/>
      <c r="AU54" s="422"/>
      <c r="AV54" s="422"/>
      <c r="AW54" s="422"/>
      <c r="AX54" s="422"/>
      <c r="AY54" s="422"/>
      <c r="AZ54" s="422"/>
    </row>
    <row r="55" spans="5:52" ht="50.1" customHeight="1">
      <c r="E55" s="438"/>
      <c r="F55" s="422"/>
      <c r="G55" s="422"/>
      <c r="H55" s="422"/>
      <c r="I55" s="422"/>
      <c r="J55" s="422"/>
      <c r="K55" s="422"/>
      <c r="L55" s="422"/>
      <c r="M55" s="422"/>
      <c r="N55" s="422"/>
      <c r="O55" s="422"/>
      <c r="P55" s="422"/>
      <c r="Q55" s="422"/>
      <c r="R55" s="422"/>
      <c r="S55" s="422"/>
      <c r="T55" s="422"/>
      <c r="U55" s="422"/>
      <c r="V55" s="422"/>
      <c r="W55" s="422"/>
      <c r="X55" s="422"/>
      <c r="Y55" s="422"/>
      <c r="Z55" s="422"/>
      <c r="AA55" s="422"/>
      <c r="AB55" s="422"/>
      <c r="AC55" s="422"/>
      <c r="AD55" s="422"/>
      <c r="AE55" s="422"/>
      <c r="AF55" s="422"/>
      <c r="AG55" s="422"/>
      <c r="AH55" s="422"/>
      <c r="AI55" s="422"/>
      <c r="AJ55" s="422"/>
      <c r="AK55" s="422"/>
      <c r="AL55" s="422"/>
      <c r="AM55" s="422"/>
      <c r="AN55" s="422"/>
      <c r="AO55" s="422"/>
      <c r="AP55" s="422"/>
      <c r="AQ55" s="422"/>
      <c r="AR55" s="422"/>
      <c r="AS55" s="422"/>
      <c r="AT55" s="422"/>
      <c r="AU55" s="422"/>
      <c r="AV55" s="422"/>
      <c r="AW55" s="422"/>
      <c r="AX55" s="422"/>
      <c r="AY55" s="422"/>
      <c r="AZ55" s="422"/>
    </row>
    <row r="56" spans="5:52" ht="50.1" customHeight="1">
      <c r="E56" s="438"/>
      <c r="F56" s="422"/>
      <c r="G56" s="422"/>
      <c r="H56" s="422"/>
      <c r="I56" s="422"/>
      <c r="J56" s="422"/>
      <c r="K56" s="422"/>
      <c r="L56" s="422"/>
      <c r="M56" s="422"/>
      <c r="N56" s="422"/>
      <c r="O56" s="422"/>
      <c r="P56" s="422"/>
      <c r="Q56" s="422"/>
      <c r="R56" s="422"/>
      <c r="S56" s="422"/>
      <c r="T56" s="422"/>
      <c r="U56" s="422"/>
      <c r="V56" s="422"/>
      <c r="W56" s="422"/>
      <c r="X56" s="422"/>
      <c r="Y56" s="422"/>
      <c r="Z56" s="422"/>
      <c r="AA56" s="422"/>
      <c r="AB56" s="422"/>
      <c r="AC56" s="422"/>
      <c r="AD56" s="422"/>
      <c r="AE56" s="422"/>
      <c r="AF56" s="422"/>
      <c r="AG56" s="422"/>
      <c r="AH56" s="422"/>
      <c r="AI56" s="422"/>
      <c r="AJ56" s="422"/>
      <c r="AK56" s="422"/>
      <c r="AL56" s="422"/>
      <c r="AM56" s="422"/>
      <c r="AN56" s="422"/>
      <c r="AO56" s="422"/>
      <c r="AP56" s="422"/>
      <c r="AQ56" s="422"/>
      <c r="AR56" s="422"/>
      <c r="AS56" s="422"/>
      <c r="AT56" s="422"/>
      <c r="AU56" s="422"/>
      <c r="AV56" s="422"/>
      <c r="AW56" s="422"/>
      <c r="AX56" s="422"/>
      <c r="AY56" s="422"/>
      <c r="AZ56" s="422"/>
    </row>
    <row r="57" spans="5:52" ht="50.1" customHeight="1">
      <c r="E57" s="438"/>
      <c r="F57" s="422"/>
      <c r="G57" s="422"/>
      <c r="H57" s="422"/>
      <c r="I57" s="422"/>
      <c r="J57" s="422"/>
      <c r="K57" s="422"/>
      <c r="L57" s="422"/>
      <c r="M57" s="422"/>
      <c r="N57" s="422"/>
      <c r="O57" s="422"/>
      <c r="P57" s="422"/>
      <c r="Q57" s="422"/>
      <c r="R57" s="422"/>
      <c r="S57" s="422"/>
      <c r="T57" s="422"/>
      <c r="U57" s="422"/>
      <c r="V57" s="422"/>
      <c r="W57" s="422"/>
      <c r="X57" s="422"/>
      <c r="Y57" s="422"/>
      <c r="Z57" s="422"/>
      <c r="AA57" s="422"/>
      <c r="AB57" s="422"/>
      <c r="AC57" s="422"/>
      <c r="AD57" s="422"/>
      <c r="AE57" s="422"/>
      <c r="AF57" s="422"/>
      <c r="AG57" s="422"/>
      <c r="AH57" s="422"/>
      <c r="AI57" s="422"/>
      <c r="AJ57" s="422"/>
      <c r="AK57" s="422"/>
      <c r="AL57" s="422"/>
      <c r="AM57" s="422"/>
      <c r="AN57" s="422"/>
      <c r="AO57" s="422"/>
      <c r="AP57" s="422"/>
      <c r="AQ57" s="422"/>
      <c r="AR57" s="422"/>
      <c r="AS57" s="422"/>
      <c r="AT57" s="422"/>
      <c r="AU57" s="422"/>
      <c r="AV57" s="422"/>
      <c r="AW57" s="422"/>
      <c r="AX57" s="422"/>
      <c r="AY57" s="422"/>
      <c r="AZ57" s="422"/>
    </row>
    <row r="58" spans="5:52" ht="50.1" customHeight="1">
      <c r="E58" s="438"/>
      <c r="F58" s="422"/>
      <c r="G58" s="422"/>
      <c r="H58" s="422"/>
      <c r="I58" s="422"/>
      <c r="J58" s="422"/>
      <c r="K58" s="422"/>
      <c r="L58" s="422"/>
      <c r="M58" s="422"/>
      <c r="N58" s="422"/>
      <c r="O58" s="422"/>
      <c r="P58" s="422"/>
      <c r="Q58" s="422"/>
      <c r="R58" s="422"/>
      <c r="S58" s="422"/>
      <c r="T58" s="422"/>
      <c r="U58" s="422"/>
      <c r="V58" s="422"/>
      <c r="W58" s="422"/>
      <c r="X58" s="422"/>
      <c r="Y58" s="422"/>
      <c r="Z58" s="422"/>
      <c r="AA58" s="422"/>
      <c r="AB58" s="422"/>
      <c r="AC58" s="422"/>
      <c r="AD58" s="422"/>
      <c r="AE58" s="422"/>
      <c r="AF58" s="422"/>
      <c r="AG58" s="422"/>
      <c r="AH58" s="422"/>
      <c r="AI58" s="422"/>
      <c r="AJ58" s="422"/>
      <c r="AK58" s="422"/>
      <c r="AL58" s="422"/>
      <c r="AM58" s="422"/>
      <c r="AN58" s="422"/>
      <c r="AO58" s="422"/>
      <c r="AP58" s="422"/>
      <c r="AQ58" s="422"/>
      <c r="AR58" s="422"/>
      <c r="AS58" s="422"/>
      <c r="AT58" s="422"/>
      <c r="AU58" s="422"/>
      <c r="AV58" s="422"/>
      <c r="AW58" s="422"/>
      <c r="AX58" s="422"/>
      <c r="AY58" s="422"/>
      <c r="AZ58" s="422"/>
    </row>
    <row r="59" spans="5:52" ht="50.1" customHeight="1">
      <c r="E59" s="438"/>
      <c r="F59" s="422"/>
      <c r="G59" s="422"/>
      <c r="H59" s="422"/>
      <c r="I59" s="422"/>
      <c r="J59" s="422"/>
      <c r="K59" s="422"/>
      <c r="L59" s="422"/>
      <c r="M59" s="422"/>
      <c r="N59" s="422"/>
      <c r="O59" s="422"/>
      <c r="P59" s="422"/>
      <c r="Q59" s="422"/>
      <c r="R59" s="422"/>
      <c r="S59" s="422"/>
      <c r="T59" s="422"/>
      <c r="U59" s="422"/>
      <c r="V59" s="422"/>
      <c r="W59" s="422"/>
      <c r="X59" s="422"/>
      <c r="Y59" s="422"/>
      <c r="Z59" s="422"/>
      <c r="AA59" s="422"/>
      <c r="AB59" s="422"/>
      <c r="AC59" s="422"/>
      <c r="AD59" s="422"/>
      <c r="AE59" s="422"/>
      <c r="AF59" s="422"/>
      <c r="AG59" s="422"/>
      <c r="AH59" s="422"/>
      <c r="AI59" s="422"/>
      <c r="AJ59" s="422"/>
      <c r="AK59" s="422"/>
      <c r="AL59" s="422"/>
      <c r="AM59" s="422"/>
      <c r="AN59" s="422"/>
      <c r="AO59" s="422"/>
      <c r="AP59" s="422"/>
      <c r="AQ59" s="422"/>
      <c r="AR59" s="422"/>
      <c r="AS59" s="422"/>
      <c r="AT59" s="422"/>
      <c r="AU59" s="422"/>
      <c r="AV59" s="422"/>
      <c r="AW59" s="422"/>
      <c r="AX59" s="422"/>
      <c r="AY59" s="422"/>
      <c r="AZ59" s="422"/>
    </row>
    <row r="60" spans="5:52" ht="50.1" customHeight="1">
      <c r="E60" s="438"/>
      <c r="F60" s="422"/>
      <c r="G60" s="422"/>
      <c r="H60" s="422"/>
      <c r="I60" s="422"/>
      <c r="J60" s="422"/>
      <c r="K60" s="422"/>
      <c r="L60" s="422"/>
      <c r="M60" s="422"/>
      <c r="N60" s="422"/>
      <c r="O60" s="422"/>
      <c r="P60" s="422"/>
      <c r="Q60" s="422"/>
      <c r="R60" s="422"/>
      <c r="S60" s="422"/>
      <c r="T60" s="422"/>
      <c r="U60" s="422"/>
      <c r="V60" s="422"/>
      <c r="W60" s="422"/>
      <c r="X60" s="422"/>
      <c r="Y60" s="422"/>
      <c r="Z60" s="422"/>
      <c r="AA60" s="422"/>
      <c r="AB60" s="422"/>
      <c r="AC60" s="422"/>
      <c r="AD60" s="422"/>
      <c r="AE60" s="422"/>
      <c r="AF60" s="422"/>
      <c r="AG60" s="422"/>
      <c r="AH60" s="422"/>
      <c r="AI60" s="422"/>
      <c r="AJ60" s="422"/>
      <c r="AK60" s="422"/>
      <c r="AL60" s="422"/>
      <c r="AM60" s="422"/>
      <c r="AN60" s="422"/>
      <c r="AO60" s="422"/>
      <c r="AP60" s="422"/>
      <c r="AQ60" s="422"/>
      <c r="AR60" s="422"/>
      <c r="AS60" s="422"/>
      <c r="AT60" s="422"/>
      <c r="AU60" s="422"/>
      <c r="AV60" s="422"/>
      <c r="AW60" s="422"/>
      <c r="AX60" s="422"/>
      <c r="AY60" s="422"/>
      <c r="AZ60" s="422"/>
    </row>
    <row r="61" spans="5:52" ht="50.1" customHeight="1">
      <c r="E61" s="438"/>
      <c r="F61" s="422"/>
      <c r="G61" s="422"/>
      <c r="H61" s="422"/>
      <c r="I61" s="422"/>
      <c r="J61" s="422"/>
      <c r="K61" s="422"/>
      <c r="L61" s="422"/>
      <c r="M61" s="422"/>
      <c r="N61" s="422"/>
      <c r="O61" s="422"/>
      <c r="P61" s="422"/>
      <c r="Q61" s="422"/>
      <c r="R61" s="422"/>
      <c r="S61" s="422"/>
      <c r="T61" s="422"/>
      <c r="U61" s="422"/>
      <c r="V61" s="422"/>
      <c r="W61" s="422"/>
      <c r="X61" s="422"/>
      <c r="Y61" s="422"/>
      <c r="Z61" s="422"/>
      <c r="AA61" s="422"/>
      <c r="AB61" s="422"/>
      <c r="AC61" s="422"/>
      <c r="AD61" s="422"/>
      <c r="AE61" s="422"/>
      <c r="AF61" s="422"/>
      <c r="AG61" s="422"/>
      <c r="AH61" s="422"/>
      <c r="AI61" s="422"/>
      <c r="AJ61" s="422"/>
      <c r="AK61" s="422"/>
      <c r="AL61" s="422"/>
      <c r="AM61" s="422"/>
      <c r="AN61" s="422"/>
      <c r="AO61" s="422"/>
      <c r="AP61" s="422"/>
      <c r="AQ61" s="422"/>
      <c r="AR61" s="422"/>
      <c r="AS61" s="422"/>
      <c r="AT61" s="422"/>
      <c r="AU61" s="422"/>
      <c r="AV61" s="422"/>
      <c r="AW61" s="422"/>
      <c r="AX61" s="422"/>
      <c r="AY61" s="422"/>
      <c r="AZ61" s="422"/>
    </row>
    <row r="62" spans="5:52" ht="50.1" customHeight="1">
      <c r="E62" s="438"/>
      <c r="F62" s="422"/>
      <c r="G62" s="422"/>
      <c r="H62" s="422"/>
      <c r="I62" s="422"/>
      <c r="J62" s="422"/>
      <c r="K62" s="422"/>
      <c r="L62" s="422"/>
      <c r="M62" s="422"/>
      <c r="N62" s="422"/>
      <c r="O62" s="422"/>
      <c r="P62" s="422"/>
      <c r="Q62" s="422"/>
      <c r="R62" s="422"/>
      <c r="S62" s="422"/>
      <c r="T62" s="422"/>
      <c r="U62" s="422"/>
      <c r="V62" s="422"/>
      <c r="W62" s="422"/>
      <c r="X62" s="422"/>
      <c r="Y62" s="422"/>
      <c r="Z62" s="422"/>
      <c r="AA62" s="422"/>
      <c r="AB62" s="422"/>
      <c r="AC62" s="422"/>
      <c r="AD62" s="422"/>
      <c r="AE62" s="422"/>
      <c r="AF62" s="422"/>
      <c r="AG62" s="422"/>
      <c r="AH62" s="422"/>
      <c r="AI62" s="422"/>
      <c r="AJ62" s="422"/>
      <c r="AK62" s="422"/>
      <c r="AL62" s="422"/>
      <c r="AM62" s="422"/>
      <c r="AN62" s="422"/>
      <c r="AO62" s="422"/>
      <c r="AP62" s="422"/>
      <c r="AQ62" s="422"/>
      <c r="AR62" s="422"/>
      <c r="AS62" s="422"/>
      <c r="AT62" s="422"/>
      <c r="AU62" s="422"/>
      <c r="AV62" s="422"/>
      <c r="AW62" s="422"/>
      <c r="AX62" s="422"/>
      <c r="AY62" s="422"/>
      <c r="AZ62" s="422"/>
    </row>
    <row r="63" spans="5:52" ht="50.1" customHeight="1">
      <c r="E63" s="438"/>
      <c r="F63" s="422"/>
      <c r="G63" s="422"/>
      <c r="H63" s="422"/>
      <c r="I63" s="422"/>
      <c r="J63" s="422"/>
      <c r="K63" s="422"/>
      <c r="L63" s="422"/>
      <c r="M63" s="422"/>
      <c r="N63" s="422"/>
      <c r="O63" s="422"/>
      <c r="P63" s="422"/>
      <c r="Q63" s="422"/>
      <c r="R63" s="422"/>
      <c r="S63" s="422"/>
      <c r="T63" s="422"/>
      <c r="U63" s="422"/>
      <c r="V63" s="422"/>
      <c r="W63" s="422"/>
      <c r="X63" s="422"/>
      <c r="Y63" s="422"/>
      <c r="Z63" s="422"/>
      <c r="AA63" s="422"/>
      <c r="AB63" s="422"/>
      <c r="AC63" s="422"/>
      <c r="AD63" s="422"/>
      <c r="AE63" s="422"/>
      <c r="AF63" s="422"/>
      <c r="AG63" s="422"/>
      <c r="AH63" s="422"/>
      <c r="AI63" s="422"/>
      <c r="AJ63" s="422"/>
      <c r="AK63" s="422"/>
      <c r="AL63" s="422"/>
      <c r="AM63" s="422"/>
      <c r="AN63" s="422"/>
      <c r="AO63" s="422"/>
      <c r="AP63" s="422"/>
      <c r="AQ63" s="422"/>
      <c r="AR63" s="422"/>
      <c r="AS63" s="422"/>
      <c r="AT63" s="422"/>
      <c r="AU63" s="422"/>
      <c r="AV63" s="422"/>
      <c r="AW63" s="422"/>
      <c r="AX63" s="422"/>
      <c r="AY63" s="422"/>
      <c r="AZ63" s="422"/>
    </row>
  </sheetData>
  <sheetProtection algorithmName="SHA-512" hashValue="F7OiDGtPVoKkQEARn2MgQx/3pPun3uCbI07RUeeTSA+YeasiEFJNNM6E7gDzo7lbcrgHFPphCVkgm+eu6cZNBw==" saltValue="GveHJajXyyQXFoBLgEouNQ==" spinCount="100000" sheet="1" selectLockedCells="1"/>
  <mergeCells count="26">
    <mergeCell ref="I51:J51"/>
    <mergeCell ref="A34:E34"/>
    <mergeCell ref="B6:B21"/>
    <mergeCell ref="BL4:BR4"/>
    <mergeCell ref="R4:AB4"/>
    <mergeCell ref="BA4:BK4"/>
    <mergeCell ref="BH33:BS33"/>
    <mergeCell ref="BH32:BS32"/>
    <mergeCell ref="A31:C31"/>
    <mergeCell ref="A33:C33"/>
    <mergeCell ref="B22:B29"/>
    <mergeCell ref="A4:A5"/>
    <mergeCell ref="B4:B5"/>
    <mergeCell ref="C4:C5"/>
    <mergeCell ref="E4:E5"/>
    <mergeCell ref="AU4:AZ4"/>
    <mergeCell ref="BU4:BU5"/>
    <mergeCell ref="BT32:BU32"/>
    <mergeCell ref="BT33:BU33"/>
    <mergeCell ref="A1:BU1"/>
    <mergeCell ref="A2:BU2"/>
    <mergeCell ref="A3:BT3"/>
    <mergeCell ref="BT4:BT5"/>
    <mergeCell ref="F4:Q4"/>
    <mergeCell ref="BS4:BS5"/>
    <mergeCell ref="D4:D5"/>
  </mergeCells>
  <phoneticPr fontId="53" type="noConversion"/>
  <conditionalFormatting sqref="CF6:CF29">
    <cfRule type="cellIs" dxfId="13" priority="2" stopIfTrue="1" operator="equal">
      <formula>0</formula>
    </cfRule>
  </conditionalFormatting>
  <printOptions horizontalCentered="1" verticalCentered="1"/>
  <pageMargins left="0" right="0" top="0" bottom="0" header="0" footer="0"/>
  <pageSetup paperSize="9" scale="23" orientation="landscape" horizontalDpi="360" verticalDpi="360" r:id="rId1"/>
  <ignoredErrors>
    <ignoredError sqref="H31:BH31 BJ31:BR31" formulaRange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00B0F0"/>
    <pageSetUpPr fitToPage="1"/>
  </sheetPr>
  <dimension ref="B1:N68"/>
  <sheetViews>
    <sheetView showGridLines="0" tabSelected="1" topLeftCell="A16" zoomScaleNormal="100" workbookViewId="0">
      <selection activeCell="R49" sqref="Q49:R51"/>
    </sheetView>
  </sheetViews>
  <sheetFormatPr defaultRowHeight="15"/>
  <cols>
    <col min="1" max="1" width="2.7109375" style="571" customWidth="1"/>
    <col min="2" max="2" width="13.42578125" style="571" customWidth="1"/>
    <col min="3" max="3" width="9.28515625" style="571" customWidth="1"/>
    <col min="4" max="4" width="17.85546875" style="572" customWidth="1"/>
    <col min="5" max="6" width="17.28515625" style="571" customWidth="1"/>
    <col min="7" max="7" width="17.28515625" style="572" customWidth="1"/>
    <col min="8" max="9" width="17" style="571" customWidth="1"/>
    <col min="10" max="10" width="0.85546875" style="571" customWidth="1"/>
    <col min="11" max="12" width="17" style="571" customWidth="1"/>
    <col min="13" max="13" width="17.85546875" style="571" customWidth="1"/>
    <col min="14" max="14" width="3" style="571" customWidth="1"/>
    <col min="15" max="15" width="14.42578125" style="571" customWidth="1"/>
    <col min="16" max="16" width="9.140625" style="571"/>
    <col min="17" max="17" width="14.7109375" style="571" customWidth="1"/>
    <col min="18" max="16384" width="9.140625" style="571"/>
  </cols>
  <sheetData>
    <row r="1" spans="2:13" ht="30">
      <c r="B1" s="985" t="s">
        <v>315</v>
      </c>
      <c r="C1" s="985"/>
      <c r="D1" s="985"/>
      <c r="E1" s="985"/>
      <c r="F1" s="985"/>
      <c r="G1" s="985"/>
      <c r="H1" s="985"/>
      <c r="I1" s="985"/>
      <c r="J1" s="602"/>
      <c r="K1" s="602"/>
      <c r="L1" s="602"/>
      <c r="M1" s="602"/>
    </row>
    <row r="2" spans="2:13" ht="23.25" customHeight="1" thickBot="1">
      <c r="B2" s="986"/>
      <c r="C2" s="986"/>
      <c r="D2" s="986"/>
      <c r="E2" s="986"/>
      <c r="F2" s="986"/>
      <c r="G2" s="986"/>
      <c r="H2" s="986"/>
      <c r="I2" s="986"/>
      <c r="J2" s="603"/>
      <c r="K2" s="603" t="s">
        <v>316</v>
      </c>
      <c r="L2" s="987">
        <f>'Table Breadown'!A2</f>
        <v>44427</v>
      </c>
      <c r="M2" s="987"/>
    </row>
    <row r="3" spans="2:13" ht="26.25" customHeight="1" thickBot="1">
      <c r="B3" s="588" t="s">
        <v>317</v>
      </c>
      <c r="C3" s="589" t="s">
        <v>318</v>
      </c>
      <c r="D3" s="590" t="s">
        <v>319</v>
      </c>
      <c r="E3" s="589" t="s">
        <v>19</v>
      </c>
      <c r="F3" s="589" t="s">
        <v>20</v>
      </c>
      <c r="G3" s="590" t="s">
        <v>320</v>
      </c>
      <c r="H3" s="589" t="s">
        <v>321</v>
      </c>
      <c r="I3" s="589" t="s">
        <v>8</v>
      </c>
      <c r="J3" s="951"/>
      <c r="K3" s="591" t="s">
        <v>322</v>
      </c>
      <c r="L3" s="591" t="s">
        <v>323</v>
      </c>
      <c r="M3" s="591" t="s">
        <v>8</v>
      </c>
    </row>
    <row r="4" spans="2:13" ht="6.75" customHeight="1" thickBot="1">
      <c r="J4" s="952"/>
      <c r="K4" s="573"/>
      <c r="L4" s="573"/>
      <c r="M4" s="573"/>
    </row>
    <row r="5" spans="2:13" ht="18.75" customHeight="1">
      <c r="B5" s="988" t="s">
        <v>52</v>
      </c>
      <c r="C5" s="989"/>
      <c r="D5" s="989"/>
      <c r="E5" s="989"/>
      <c r="F5" s="989"/>
      <c r="G5" s="989"/>
      <c r="H5" s="989"/>
      <c r="I5" s="990"/>
      <c r="J5" s="952"/>
      <c r="K5" s="988" t="s">
        <v>52</v>
      </c>
      <c r="L5" s="989"/>
      <c r="M5" s="990"/>
    </row>
    <row r="6" spans="2:13" ht="18.75" customHeight="1">
      <c r="B6" s="954" t="s">
        <v>196</v>
      </c>
      <c r="C6" s="635" t="s">
        <v>13</v>
      </c>
      <c r="D6" s="592">
        <f>'OPENING NEW DAY'!F5</f>
        <v>17200</v>
      </c>
      <c r="E6" s="592">
        <f>SUMIFS('F&amp;C Report'!$AK$8:$AK$100,'F&amp;C Report'!$N$8:$N$100,"FILL",'F&amp;C Report'!$O$8:$O$100,"CASH",'F&amp;C Report'!$L$8:$L$100,$B$6)</f>
        <v>0</v>
      </c>
      <c r="F6" s="592">
        <f>SUMIFS('F&amp;C Report'!$AK$8:$AK$100,'F&amp;C Report'!$N$8:$N$100,"CREDIT",'F&amp;C Report'!$O$8:$O$100,"CASH",'F&amp;C Report'!$L$8:$L$100,$B$6)</f>
        <v>0</v>
      </c>
      <c r="G6" s="595">
        <f>SUMIFS('Table Breadown'!$BS$6:$BS$20,'Table Breadown'!$C$6:$C$20,B6)</f>
        <v>18800</v>
      </c>
      <c r="H6" s="595">
        <f>G6+F6+E6-D6</f>
        <v>1600</v>
      </c>
      <c r="I6" s="943">
        <f>SUM(H6:H8)</f>
        <v>1842</v>
      </c>
      <c r="J6" s="952"/>
      <c r="K6" s="598">
        <f>'OPENING NEW DAY'!G5</f>
        <v>16300</v>
      </c>
      <c r="L6" s="595">
        <f>K6+H6</f>
        <v>17900</v>
      </c>
      <c r="M6" s="943">
        <f>SUM(L6:L8)</f>
        <v>17397.5</v>
      </c>
    </row>
    <row r="7" spans="2:13" ht="18.75" customHeight="1">
      <c r="B7" s="955"/>
      <c r="C7" s="635" t="s">
        <v>368</v>
      </c>
      <c r="D7" s="592">
        <f>'OPENING NEW DAY'!F6</f>
        <v>376820.5</v>
      </c>
      <c r="E7" s="592">
        <f>SUMIFS('F&amp;C Report'!$AK$8:$AK$100,'F&amp;C Report'!$N$8:$N$100,"FILL",'F&amp;C Report'!$O$8:$O$100,"CHIP",'F&amp;C Report'!$P$8:$P$100,"CC01",'F&amp;C Report'!$L$8:$L$100,$B$6)</f>
        <v>0</v>
      </c>
      <c r="F7" s="592">
        <f>SUMIFS('F&amp;C Report'!$AK$8:$AK$100,'F&amp;C Report'!$N$8:$N$100,"CREDIT",'F&amp;C Report'!$O$8:$O$100,"CHIP",'F&amp;C Report'!$P$8:$P$100,"CC01",'F&amp;C Report'!$L$8:$L$100,$B$6)</f>
        <v>0</v>
      </c>
      <c r="G7" s="595">
        <f>SUMIFS('Table Breadown'!$BT$6:$BT$20,'Table Breadown'!$C$6:$C$20,$B$6)</f>
        <v>377062.5</v>
      </c>
      <c r="H7" s="595">
        <f t="shared" ref="H7:H47" si="0">G7+F7+E7-D7</f>
        <v>242</v>
      </c>
      <c r="I7" s="944"/>
      <c r="J7" s="952"/>
      <c r="K7" s="598">
        <f>'OPENING NEW DAY'!G6</f>
        <v>-8479.5</v>
      </c>
      <c r="L7" s="595">
        <f t="shared" ref="L7:L47" si="1">K7+H7</f>
        <v>-8237.5</v>
      </c>
      <c r="M7" s="944"/>
    </row>
    <row r="8" spans="2:13" ht="18.75" customHeight="1">
      <c r="B8" s="956"/>
      <c r="C8" s="635" t="s">
        <v>369</v>
      </c>
      <c r="D8" s="592">
        <f>'OPENING NEW DAY'!F7</f>
        <v>1287725</v>
      </c>
      <c r="E8" s="592">
        <f>SUMIFS('F&amp;C Report'!$AK$8:$AK$100,'F&amp;C Report'!$N$8:$N$100,"FILL",'F&amp;C Report'!$O$8:$O$100,"CHIP",'F&amp;C Report'!$P$8:$P$100,"JCC2",'F&amp;C Report'!$L$8:$L$100,$B$6)</f>
        <v>0</v>
      </c>
      <c r="F8" s="592">
        <f>SUMIFS('F&amp;C Report'!$AK$8:$AK$100,'F&amp;C Report'!$N$8:$N$100,"CREDIT",'F&amp;C Report'!$O$8:$O$100,"CHIP",'F&amp;C Report'!$P$8:$P$100,"JCC2",'F&amp;C Report'!$L$8:$L$100,$B$6)</f>
        <v>0</v>
      </c>
      <c r="G8" s="595">
        <f>SUMIFS('Table Breadown'!$BU$6:$BU$20,'Table Breadown'!$C$6:$C$20,$B$6)</f>
        <v>1287725</v>
      </c>
      <c r="H8" s="595">
        <f t="shared" si="0"/>
        <v>0</v>
      </c>
      <c r="I8" s="945"/>
      <c r="J8" s="952"/>
      <c r="K8" s="598">
        <f>'OPENING NEW DAY'!G7</f>
        <v>7735</v>
      </c>
      <c r="L8" s="595">
        <f t="shared" si="1"/>
        <v>7735</v>
      </c>
      <c r="M8" s="945"/>
    </row>
    <row r="9" spans="2:13" ht="18.75" customHeight="1">
      <c r="B9" s="957" t="s">
        <v>156</v>
      </c>
      <c r="C9" s="636" t="s">
        <v>13</v>
      </c>
      <c r="D9" s="593">
        <f>'OPENING NEW DAY'!F8</f>
        <v>20900</v>
      </c>
      <c r="E9" s="593">
        <f>SUMIFS('F&amp;C Report'!$AK$8:$AK$100,'F&amp;C Report'!$N$8:$N$100,"FILL",'F&amp;C Report'!$O$8:$O$100,"CASH",'F&amp;C Report'!$L$8:$L$100,$B$9)</f>
        <v>0</v>
      </c>
      <c r="F9" s="593">
        <f>SUMIFS('F&amp;C Report'!$AK$8:$AK$100,'F&amp;C Report'!$N$8:$N$100,"CREDIT",'F&amp;C Report'!$O$8:$O$100,"CASH",'F&amp;C Report'!$L$8:$L$100,$B$9)</f>
        <v>0</v>
      </c>
      <c r="G9" s="596">
        <f>SUMIFS('Table Breadown'!$BS$6:$BS$20,'Table Breadown'!$C$6:$C$20,B9)</f>
        <v>23100</v>
      </c>
      <c r="H9" s="596">
        <f t="shared" si="0"/>
        <v>2200</v>
      </c>
      <c r="I9" s="937">
        <f>SUM(H9:H11)</f>
        <v>33180.5</v>
      </c>
      <c r="J9" s="952"/>
      <c r="K9" s="599">
        <f>'OPENING NEW DAY'!G8</f>
        <v>28000</v>
      </c>
      <c r="L9" s="596">
        <f t="shared" si="1"/>
        <v>30200</v>
      </c>
      <c r="M9" s="937">
        <f>SUM(L9:L11)</f>
        <v>72383</v>
      </c>
    </row>
    <row r="10" spans="2:13" ht="18.75" customHeight="1">
      <c r="B10" s="958"/>
      <c r="C10" s="636" t="s">
        <v>368</v>
      </c>
      <c r="D10" s="593">
        <f>'OPENING NEW DAY'!F9</f>
        <v>360871</v>
      </c>
      <c r="E10" s="593">
        <f>SUMIFS('F&amp;C Report'!$AK$8:$AK$100,'F&amp;C Report'!$N$8:$N$100,"FILL",'F&amp;C Report'!$O$8:$O$100,"CHIP",'F&amp;C Report'!$P$8:$P$100,"CC01",'F&amp;C Report'!$L$8:$L$100,$B$9)</f>
        <v>0</v>
      </c>
      <c r="F10" s="593">
        <f>SUMIFS('F&amp;C Report'!$AK$8:$AK$100,'F&amp;C Report'!$N$8:$N$100,"CREDIT",'F&amp;C Report'!$O$8:$O$100,"CHIP",'F&amp;C Report'!$P$8:$P$100,"CC01",'F&amp;C Report'!$L$8:$L$100,$B$9)</f>
        <v>0</v>
      </c>
      <c r="G10" s="596">
        <f>SUMIFS('Table Breadown'!$BT$6:$BT$20,'Table Breadown'!$C$6:$C$20,$B$9)</f>
        <v>359916.5</v>
      </c>
      <c r="H10" s="596">
        <f t="shared" si="0"/>
        <v>-954.5</v>
      </c>
      <c r="I10" s="938"/>
      <c r="J10" s="952"/>
      <c r="K10" s="599">
        <f>'OPENING NEW DAY'!G9</f>
        <v>-27332.5</v>
      </c>
      <c r="L10" s="596">
        <f>K10+H10</f>
        <v>-28287</v>
      </c>
      <c r="M10" s="938"/>
    </row>
    <row r="11" spans="2:13" ht="18.75" customHeight="1">
      <c r="B11" s="959"/>
      <c r="C11" s="636" t="s">
        <v>369</v>
      </c>
      <c r="D11" s="593">
        <f>'OPENING NEW DAY'!F10</f>
        <v>2785335</v>
      </c>
      <c r="E11" s="593">
        <f>SUMIFS('F&amp;C Report'!$AK$8:$AK$100,'F&amp;C Report'!$N$8:$N$100,"FILL",'F&amp;C Report'!$O$8:$O$100,"CHIP",'F&amp;C Report'!$P$8:$P$100,"JCC2",'F&amp;C Report'!$L$8:$L$100,$B$9)</f>
        <v>0</v>
      </c>
      <c r="F11" s="593">
        <f>SUMIFS('F&amp;C Report'!$AK$8:$AK$100,'F&amp;C Report'!$N$8:$N$100,"CREDIT",'F&amp;C Report'!$O$8:$O$100,"CHIP",'F&amp;C Report'!$P$8:$P$100,"JCC2",'F&amp;C Report'!$L$8:$L$100,$B$9)</f>
        <v>0</v>
      </c>
      <c r="G11" s="596">
        <f>SUMIFS('Table Breadown'!$BU$6:$BU$20,'Table Breadown'!$C$6:$C$20,$B$9)</f>
        <v>2817270</v>
      </c>
      <c r="H11" s="596">
        <f t="shared" si="0"/>
        <v>31935</v>
      </c>
      <c r="I11" s="939"/>
      <c r="J11" s="952"/>
      <c r="K11" s="599">
        <f>'OPENING NEW DAY'!G10</f>
        <v>38535</v>
      </c>
      <c r="L11" s="596">
        <f>K11+H11</f>
        <v>70470</v>
      </c>
      <c r="M11" s="939"/>
    </row>
    <row r="12" spans="2:13" ht="18.75" customHeight="1">
      <c r="B12" s="954" t="s">
        <v>199</v>
      </c>
      <c r="C12" s="635" t="s">
        <v>13</v>
      </c>
      <c r="D12" s="592">
        <f>'OPENING NEW DAY'!F11</f>
        <v>15400</v>
      </c>
      <c r="E12" s="592">
        <f>SUMIFS('F&amp;C Report'!$AK$8:$AK$100,'F&amp;C Report'!$N$8:$N$100,"FILL",'F&amp;C Report'!$O$8:$O$100,"CASH",'F&amp;C Report'!$L$8:$L$100,$B$12)</f>
        <v>0</v>
      </c>
      <c r="F12" s="592">
        <f>SUMIFS('F&amp;C Report'!$AK$8:$AK$100,'F&amp;C Report'!$N$8:$N$100,"CREDIT",'F&amp;C Report'!$O$8:$O$100,"CASH",'F&amp;C Report'!$L$8:$L$100,$B$12)</f>
        <v>0</v>
      </c>
      <c r="G12" s="595">
        <f>SUMIFS('Table Breadown'!$BS$6:$BS$20,'Table Breadown'!$C$6:$C$20,B12)</f>
        <v>15700</v>
      </c>
      <c r="H12" s="595">
        <f t="shared" si="0"/>
        <v>300</v>
      </c>
      <c r="I12" s="943">
        <f>SUM(H12:H14)</f>
        <v>-4550</v>
      </c>
      <c r="J12" s="952"/>
      <c r="K12" s="598">
        <f>'OPENING NEW DAY'!G11</f>
        <v>15100</v>
      </c>
      <c r="L12" s="595">
        <f t="shared" si="1"/>
        <v>15400</v>
      </c>
      <c r="M12" s="943">
        <f>SUM(L12:L14)</f>
        <v>52971.5</v>
      </c>
    </row>
    <row r="13" spans="2:13" ht="18.75" customHeight="1">
      <c r="B13" s="955"/>
      <c r="C13" s="635" t="s">
        <v>368</v>
      </c>
      <c r="D13" s="592">
        <f>'OPENING NEW DAY'!F12</f>
        <v>145785.5</v>
      </c>
      <c r="E13" s="592">
        <f>SUMIFS('F&amp;C Report'!$AK$8:$AK$100,'F&amp;C Report'!$N$8:$N$100,"FILL",'F&amp;C Report'!$O$8:$O$100,"CHIP",'F&amp;C Report'!$P$8:$P$100,"CC01",'F&amp;C Report'!$L$8:$L$100,$B$12)</f>
        <v>0</v>
      </c>
      <c r="F13" s="592">
        <f>SUMIFS('F&amp;C Report'!$AK$8:$AK$100,'F&amp;C Report'!$N$8:$N$100,"CREDIT",'F&amp;C Report'!$O$8:$O$100,"CHIP",'F&amp;C Report'!$P$8:$P$100,"CC01",'F&amp;C Report'!$L$8:$L$100,$B$12)</f>
        <v>0</v>
      </c>
      <c r="G13" s="595">
        <f>SUMIFS('Table Breadown'!$BT$6:$BT$20,'Table Breadown'!$C$6:$C$20,$B$12)</f>
        <v>145845.5</v>
      </c>
      <c r="H13" s="595">
        <f t="shared" si="0"/>
        <v>60</v>
      </c>
      <c r="I13" s="944"/>
      <c r="J13" s="952"/>
      <c r="K13" s="598">
        <f>'OPENING NEW DAY'!G12</f>
        <v>-7113.5</v>
      </c>
      <c r="L13" s="595">
        <f t="shared" si="1"/>
        <v>-7053.5</v>
      </c>
      <c r="M13" s="944"/>
    </row>
    <row r="14" spans="2:13" ht="18.75" customHeight="1">
      <c r="B14" s="956"/>
      <c r="C14" s="635" t="s">
        <v>369</v>
      </c>
      <c r="D14" s="592">
        <f>'OPENING NEW DAY'!F13</f>
        <v>2286530</v>
      </c>
      <c r="E14" s="592">
        <f>SUMIFS('F&amp;C Report'!$AK$8:$AK$100,'F&amp;C Report'!$N$8:$N$100,"FILL",'F&amp;C Report'!$O$8:$O$100,"CHIP",'F&amp;C Report'!$P$8:$P$100,"JCC2",'F&amp;C Report'!$L$8:$L$100,$B$12)</f>
        <v>0</v>
      </c>
      <c r="F14" s="592">
        <f>SUMIFS('F&amp;C Report'!$AK$8:$AK$100,'F&amp;C Report'!$N$8:$N$100,"CREDIT",'F&amp;C Report'!$O$8:$O$100,"CHIP",'F&amp;C Report'!$P$8:$P$100,"JCC2",'F&amp;C Report'!$L$8:$L$100,$B$12)</f>
        <v>0</v>
      </c>
      <c r="G14" s="595">
        <f>SUMIFS('Table Breadown'!$BU$6:$BU$20,'Table Breadown'!$C$6:$C$20,$B$12)</f>
        <v>2281620</v>
      </c>
      <c r="H14" s="595">
        <f t="shared" si="0"/>
        <v>-4910</v>
      </c>
      <c r="I14" s="945"/>
      <c r="J14" s="952"/>
      <c r="K14" s="598">
        <f>'OPENING NEW DAY'!G13</f>
        <v>49535</v>
      </c>
      <c r="L14" s="595">
        <f t="shared" si="1"/>
        <v>44625</v>
      </c>
      <c r="M14" s="945"/>
    </row>
    <row r="15" spans="2:13" ht="18.75" customHeight="1">
      <c r="B15" s="957" t="s">
        <v>221</v>
      </c>
      <c r="C15" s="636" t="s">
        <v>13</v>
      </c>
      <c r="D15" s="593">
        <f>'OPENING NEW DAY'!F14</f>
        <v>38200</v>
      </c>
      <c r="E15" s="593">
        <f>SUMIFS('F&amp;C Report'!$AK$8:$AK$100,'F&amp;C Report'!$N$8:$N$100,"FILL",'F&amp;C Report'!$O$8:$O$100,"CASH",'F&amp;C Report'!$L$8:$L$100,$B$15)</f>
        <v>0</v>
      </c>
      <c r="F15" s="593">
        <f>SUMIFS('F&amp;C Report'!$AK$8:$AK$100,'F&amp;C Report'!$N$8:$N$100,"CREDIT",'F&amp;C Report'!$O$8:$O$100,"CASH",'F&amp;C Report'!$L$8:$L$100,$B$15)</f>
        <v>0</v>
      </c>
      <c r="G15" s="596">
        <f>SUMIFS('Table Breadown'!$BS$6:$BS$20,'Table Breadown'!$C$6:$C$20,B15)</f>
        <v>46700</v>
      </c>
      <c r="H15" s="596">
        <f t="shared" si="0"/>
        <v>8500</v>
      </c>
      <c r="I15" s="937">
        <f>SUM(H15:H17)</f>
        <v>17900</v>
      </c>
      <c r="J15" s="952"/>
      <c r="K15" s="599">
        <f>'OPENING NEW DAY'!G14</f>
        <v>54600</v>
      </c>
      <c r="L15" s="596">
        <f t="shared" si="1"/>
        <v>63100</v>
      </c>
      <c r="M15" s="937">
        <f>SUM(L15:L17)</f>
        <v>-5853.5</v>
      </c>
    </row>
    <row r="16" spans="2:13" ht="18.75" customHeight="1">
      <c r="B16" s="958"/>
      <c r="C16" s="636" t="s">
        <v>368</v>
      </c>
      <c r="D16" s="593">
        <f>'OPENING NEW DAY'!F15</f>
        <v>232291</v>
      </c>
      <c r="E16" s="593">
        <f>SUMIFS('F&amp;C Report'!$AK$8:$AK$100,'F&amp;C Report'!$N$8:$N$100,"FILL",'F&amp;C Report'!$O$8:$O$100,"CHIP",'F&amp;C Report'!$P$8:$P$100,"CC01",'F&amp;C Report'!$L$8:$L$100,$B$15)</f>
        <v>0</v>
      </c>
      <c r="F16" s="593">
        <f>SUMIFS('F&amp;C Report'!$AK$8:$AK$100,'F&amp;C Report'!$N$8:$N$100,"CREDIT",'F&amp;C Report'!$O$8:$O$100,"CHIP",'F&amp;C Report'!$P$8:$P$100,"CC01",'F&amp;C Report'!$L$8:$L$100,$B$15)</f>
        <v>0</v>
      </c>
      <c r="G16" s="596">
        <f>SUMIFS('Table Breadown'!$BT$6:$BT$20,'Table Breadown'!$C$6:$C$20,$B$15)</f>
        <v>232571</v>
      </c>
      <c r="H16" s="596">
        <f t="shared" si="0"/>
        <v>280</v>
      </c>
      <c r="I16" s="938"/>
      <c r="J16" s="952"/>
      <c r="K16" s="599">
        <f>'OPENING NEW DAY'!G15</f>
        <v>-49503.5</v>
      </c>
      <c r="L16" s="596">
        <f t="shared" si="1"/>
        <v>-49223.5</v>
      </c>
      <c r="M16" s="938"/>
    </row>
    <row r="17" spans="2:13" ht="18.75" customHeight="1">
      <c r="B17" s="959"/>
      <c r="C17" s="636" t="s">
        <v>369</v>
      </c>
      <c r="D17" s="593">
        <f>'OPENING NEW DAY'!F16</f>
        <v>790980</v>
      </c>
      <c r="E17" s="593">
        <f>SUMIFS('F&amp;C Report'!$AK$8:$AK$100,'F&amp;C Report'!$N$8:$N$100,"FILL",'F&amp;C Report'!$O$8:$O$100,"CHIP",'F&amp;C Report'!$P$8:$P$100,"JCC2",'F&amp;C Report'!$L$8:$L$100,$B$15)</f>
        <v>0</v>
      </c>
      <c r="F17" s="593">
        <f>SUMIFS('F&amp;C Report'!$AK$8:$AK$100,'F&amp;C Report'!$N$8:$N$100,"CREDIT",'F&amp;C Report'!$O$8:$O$100,"CHIP",'F&amp;C Report'!$P$8:$P$100,"JCC2",'F&amp;C Report'!$L$8:$L$100,$B$15)</f>
        <v>0</v>
      </c>
      <c r="G17" s="596">
        <f>SUMIFS('Table Breadown'!$BU$6:$BU$20,'Table Breadown'!$C$6:$C$20,$B$15)</f>
        <v>800100</v>
      </c>
      <c r="H17" s="596">
        <f t="shared" si="0"/>
        <v>9120</v>
      </c>
      <c r="I17" s="939"/>
      <c r="J17" s="952"/>
      <c r="K17" s="599">
        <f>'OPENING NEW DAY'!G16</f>
        <v>-28850</v>
      </c>
      <c r="L17" s="596">
        <f t="shared" si="1"/>
        <v>-19730</v>
      </c>
      <c r="M17" s="939"/>
    </row>
    <row r="18" spans="2:13" ht="18.75" customHeight="1">
      <c r="B18" s="954" t="s">
        <v>222</v>
      </c>
      <c r="C18" s="635" t="s">
        <v>13</v>
      </c>
      <c r="D18" s="592">
        <f>'OPENING NEW DAY'!F17</f>
        <v>3400</v>
      </c>
      <c r="E18" s="592">
        <f>SUMIFS('F&amp;C Report'!$AK$8:$AK$100,'F&amp;C Report'!$N$8:$N$100,"FILL",'F&amp;C Report'!$O$8:$O$100,"CASH",'F&amp;C Report'!$L$8:$L$100,$B$18)</f>
        <v>0</v>
      </c>
      <c r="F18" s="592">
        <f>SUMIFS('F&amp;C Report'!$AK$8:$AK$100,'F&amp;C Report'!$N$8:$N$100,"CREDIT",'F&amp;C Report'!$O$8:$O$100,"CASH",'F&amp;C Report'!$L$8:$L$100,$B$18)</f>
        <v>0</v>
      </c>
      <c r="G18" s="595">
        <f>SUMIFS('Table Breadown'!$BS$6:$BS$20,'Table Breadown'!$C$6:$C$20,B18)</f>
        <v>3400</v>
      </c>
      <c r="H18" s="595">
        <f>G18+F18+E18-D18</f>
        <v>0</v>
      </c>
      <c r="I18" s="943">
        <f>SUM(H18:H20)</f>
        <v>0</v>
      </c>
      <c r="J18" s="952"/>
      <c r="K18" s="598">
        <f>'OPENING NEW DAY'!G17</f>
        <v>-11200</v>
      </c>
      <c r="L18" s="595">
        <f t="shared" si="1"/>
        <v>-11200</v>
      </c>
      <c r="M18" s="943">
        <f>SUM(L18:L20)</f>
        <v>-3930</v>
      </c>
    </row>
    <row r="19" spans="2:13" ht="18.75" customHeight="1">
      <c r="B19" s="955"/>
      <c r="C19" s="635" t="s">
        <v>368</v>
      </c>
      <c r="D19" s="592">
        <f>'OPENING NEW DAY'!F18</f>
        <v>249714</v>
      </c>
      <c r="E19" s="592">
        <f>SUMIFS('F&amp;C Report'!$AK$8:$AK$100,'F&amp;C Report'!$N$8:$N$100,"FILL",'F&amp;C Report'!$O$8:$O$100,"CHIP",'F&amp;C Report'!$P$8:$P$100,"CC01",'F&amp;C Report'!$L$8:$L$100,$B$18)</f>
        <v>0</v>
      </c>
      <c r="F19" s="592">
        <f>SUMIFS('F&amp;C Report'!$AK$8:$AK$100,'F&amp;C Report'!$N$8:$N$100,"CREDIT",'F&amp;C Report'!$O$8:$O$100,"CHIP",'F&amp;C Report'!$P$8:$P$100,"CC01",'F&amp;C Report'!$L$8:$L$100,$B$18)</f>
        <v>0</v>
      </c>
      <c r="G19" s="595">
        <f>SUMIFS('Table Breadown'!$BT$6:$BT$20,'Table Breadown'!$C$6:$C$20,$B$18)</f>
        <v>249714</v>
      </c>
      <c r="H19" s="595">
        <f t="shared" si="0"/>
        <v>0</v>
      </c>
      <c r="I19" s="944"/>
      <c r="J19" s="952"/>
      <c r="K19" s="598">
        <f>'OPENING NEW DAY'!G18</f>
        <v>10260</v>
      </c>
      <c r="L19" s="595">
        <f t="shared" si="1"/>
        <v>10260</v>
      </c>
      <c r="M19" s="944"/>
    </row>
    <row r="20" spans="2:13" ht="18.75" customHeight="1">
      <c r="B20" s="956"/>
      <c r="C20" s="635" t="s">
        <v>369</v>
      </c>
      <c r="D20" s="592">
        <f>'OPENING NEW DAY'!F19</f>
        <v>775875</v>
      </c>
      <c r="E20" s="592">
        <f>SUMIFS('F&amp;C Report'!$AK$8:$AK$100,'F&amp;C Report'!$N$8:$N$100,"FILL",'F&amp;C Report'!$O$8:$O$100,"CHIP",'F&amp;C Report'!$P$8:$P$100,"JCC2",'F&amp;C Report'!$L$8:$L$100,$B$18)</f>
        <v>0</v>
      </c>
      <c r="F20" s="592">
        <f>SUMIFS('F&amp;C Report'!$AK$8:$AK$100,'F&amp;C Report'!$N$8:$N$100,"CREDIT",'F&amp;C Report'!$O$8:$O$100,"CHIP",'F&amp;C Report'!$P$8:$P$100,"JCC2",'F&amp;C Report'!$L$8:$L$100,$B$18)</f>
        <v>0</v>
      </c>
      <c r="G20" s="595">
        <f>SUMIFS('Table Breadown'!$BU$6:$BU$20,'Table Breadown'!$C$6:$C$20,$B$18)</f>
        <v>775875</v>
      </c>
      <c r="H20" s="595">
        <f t="shared" si="0"/>
        <v>0</v>
      </c>
      <c r="I20" s="945"/>
      <c r="J20" s="952"/>
      <c r="K20" s="598">
        <f>'OPENING NEW DAY'!G19</f>
        <v>-2990</v>
      </c>
      <c r="L20" s="595">
        <f t="shared" si="1"/>
        <v>-2990</v>
      </c>
      <c r="M20" s="945"/>
    </row>
    <row r="21" spans="2:13" ht="18.75" customHeight="1">
      <c r="B21" s="957" t="s">
        <v>223</v>
      </c>
      <c r="C21" s="636" t="s">
        <v>13</v>
      </c>
      <c r="D21" s="593">
        <f>'OPENING NEW DAY'!F20</f>
        <v>11000</v>
      </c>
      <c r="E21" s="593">
        <f>SUMIFS('F&amp;C Report'!$AK$8:$AK$100,'F&amp;C Report'!$N$8:$N$100,"FILL",'F&amp;C Report'!$O$8:$O$100,"CASH",'F&amp;C Report'!$L$8:$L$100,$B$21)</f>
        <v>0</v>
      </c>
      <c r="F21" s="593">
        <f>SUMIFS('F&amp;C Report'!$AK$8:$AK$100,'F&amp;C Report'!$N$8:$N$100,"CREDIT",'F&amp;C Report'!$O$8:$O$100,"CASH",'F&amp;C Report'!$L$8:$L$100,$B$21)</f>
        <v>0</v>
      </c>
      <c r="G21" s="596">
        <f>SUMIFS('Table Breadown'!$BS$6:$BS$20,'Table Breadown'!$C$6:$C$20,B21)</f>
        <v>11000</v>
      </c>
      <c r="H21" s="596">
        <f t="shared" si="0"/>
        <v>0</v>
      </c>
      <c r="I21" s="937">
        <f>SUM(H21:H23)</f>
        <v>0</v>
      </c>
      <c r="J21" s="952"/>
      <c r="K21" s="599">
        <f>'OPENING NEW DAY'!G20</f>
        <v>700</v>
      </c>
      <c r="L21" s="596">
        <f t="shared" si="1"/>
        <v>700</v>
      </c>
      <c r="M21" s="937">
        <f>SUM(L21:L23)</f>
        <v>1367</v>
      </c>
    </row>
    <row r="22" spans="2:13" ht="18.75" customHeight="1">
      <c r="B22" s="958"/>
      <c r="C22" s="636" t="s">
        <v>368</v>
      </c>
      <c r="D22" s="593">
        <f>'OPENING NEW DAY'!F21</f>
        <v>170710</v>
      </c>
      <c r="E22" s="593">
        <f>SUMIFS('F&amp;C Report'!$AK$8:$AK$100,'F&amp;C Report'!$N$8:$N$100,"FILL",'F&amp;C Report'!$O$8:$O$100,"CHIP",'F&amp;C Report'!$P$8:$P$100,"CC01",'F&amp;C Report'!$L$8:$L$100,$B$21)</f>
        <v>0</v>
      </c>
      <c r="F22" s="593">
        <f>SUMIFS('F&amp;C Report'!$AK$8:$AK$100,'F&amp;C Report'!$N$8:$N$100,"CREDIT",'F&amp;C Report'!$O$8:$O$100,"CHIP",'F&amp;C Report'!$P$8:$P$100,"CC01",'F&amp;C Report'!$L$8:$L$100,$B$21)</f>
        <v>0</v>
      </c>
      <c r="G22" s="596">
        <f>SUMIFS('Table Breadown'!$BT$6:$BT$20,'Table Breadown'!$C$6:$C$20,$B$21)</f>
        <v>170710</v>
      </c>
      <c r="H22" s="596">
        <f t="shared" si="0"/>
        <v>0</v>
      </c>
      <c r="I22" s="938"/>
      <c r="J22" s="952"/>
      <c r="K22" s="599">
        <f>'OPENING NEW DAY'!G21</f>
        <v>667</v>
      </c>
      <c r="L22" s="596">
        <f t="shared" si="1"/>
        <v>667</v>
      </c>
      <c r="M22" s="938"/>
    </row>
    <row r="23" spans="2:13" ht="18.75" customHeight="1">
      <c r="B23" s="959"/>
      <c r="C23" s="636" t="s">
        <v>369</v>
      </c>
      <c r="D23" s="593">
        <f>'OPENING NEW DAY'!F22</f>
        <v>826350</v>
      </c>
      <c r="E23" s="593">
        <f>SUMIFS('F&amp;C Report'!$AK$8:$AK$100,'F&amp;C Report'!$N$8:$N$100,"FILL",'F&amp;C Report'!$O$8:$O$100,"CHIP",'F&amp;C Report'!$P$8:$P$100,"JCC2",'F&amp;C Report'!$L$8:$L$100,$B$21)</f>
        <v>0</v>
      </c>
      <c r="F23" s="593">
        <f>SUMIFS('F&amp;C Report'!$AK$8:$AK$100,'F&amp;C Report'!$N$8:$N$100,"CREDIT",'F&amp;C Report'!$O$8:$O$100,"CHIP",'F&amp;C Report'!$P$8:$P$100,"JCC2",'F&amp;C Report'!$L$8:$L$100,$B$21)</f>
        <v>0</v>
      </c>
      <c r="G23" s="596">
        <f>SUMIFS('Table Breadown'!$BU$6:$BU$20,'Table Breadown'!$C$6:$C$20,$B$21)</f>
        <v>826350</v>
      </c>
      <c r="H23" s="596">
        <f t="shared" si="0"/>
        <v>0</v>
      </c>
      <c r="I23" s="939"/>
      <c r="J23" s="952"/>
      <c r="K23" s="599">
        <f>'OPENING NEW DAY'!G22</f>
        <v>0</v>
      </c>
      <c r="L23" s="596">
        <f t="shared" si="1"/>
        <v>0</v>
      </c>
      <c r="M23" s="939"/>
    </row>
    <row r="24" spans="2:13" ht="18.75" customHeight="1">
      <c r="B24" s="954" t="s">
        <v>201</v>
      </c>
      <c r="C24" s="635" t="s">
        <v>13</v>
      </c>
      <c r="D24" s="592">
        <f>'OPENING NEW DAY'!F23</f>
        <v>0</v>
      </c>
      <c r="E24" s="592">
        <f>SUMIFS('F&amp;C Report'!$AK$8:$AK$100,'F&amp;C Report'!$N$8:$N$100,"FILL",'F&amp;C Report'!$O$8:$O$100,"CASH",'F&amp;C Report'!$L$8:$L$100,$B$24)</f>
        <v>0</v>
      </c>
      <c r="F24" s="592">
        <f>SUMIFS('F&amp;C Report'!$AK$8:$AK$100,'F&amp;C Report'!$N$8:$N$100,"CREDIT",'F&amp;C Report'!$O$8:$O$100,"CASH",'F&amp;C Report'!$L$8:$L$100,$B$24)</f>
        <v>0</v>
      </c>
      <c r="G24" s="595">
        <f>SUMIFS('Table Breadown'!$BS$6:$BS$20,'Table Breadown'!$C$6:$C$20,B24)</f>
        <v>0</v>
      </c>
      <c r="H24" s="595">
        <f t="shared" si="0"/>
        <v>0</v>
      </c>
      <c r="I24" s="943">
        <f>SUM(H24:H26)</f>
        <v>0</v>
      </c>
      <c r="J24" s="952"/>
      <c r="K24" s="598">
        <f>'OPENING NEW DAY'!G23</f>
        <v>0</v>
      </c>
      <c r="L24" s="595">
        <f t="shared" si="1"/>
        <v>0</v>
      </c>
      <c r="M24" s="943">
        <f>SUM(L24:L25)</f>
        <v>0</v>
      </c>
    </row>
    <row r="25" spans="2:13" ht="18.75" customHeight="1">
      <c r="B25" s="955"/>
      <c r="C25" s="635" t="s">
        <v>368</v>
      </c>
      <c r="D25" s="592">
        <f>'OPENING NEW DAY'!F24</f>
        <v>99888</v>
      </c>
      <c r="E25" s="592">
        <f>SUMIFS('F&amp;C Report'!$AK$8:$AK$100,'F&amp;C Report'!$N$8:$N$100,"FILL",'F&amp;C Report'!$O$8:$O$100,"CHIP",'F&amp;C Report'!$P$8:$P$100,"CC01",'F&amp;C Report'!$L$8:$L$100,$B$24)</f>
        <v>0</v>
      </c>
      <c r="F25" s="592">
        <f>SUMIFS('F&amp;C Report'!$AK$8:$AK$100,'F&amp;C Report'!$N$8:$N$100,"CREDIT",'F&amp;C Report'!$O$8:$O$100,"CHIP",'F&amp;C Report'!$P$8:$P$100,"CC01",'F&amp;C Report'!$L$8:$L$100,$B$24)</f>
        <v>0</v>
      </c>
      <c r="G25" s="595">
        <f>SUMIFS('Table Breadown'!$BT$6:$BT$20,'Table Breadown'!$C$6:$C$20,$B$24)</f>
        <v>99888</v>
      </c>
      <c r="H25" s="595">
        <f t="shared" si="0"/>
        <v>0</v>
      </c>
      <c r="I25" s="944"/>
      <c r="J25" s="952"/>
      <c r="K25" s="598">
        <f>'OPENING NEW DAY'!G24</f>
        <v>0</v>
      </c>
      <c r="L25" s="595">
        <f t="shared" si="1"/>
        <v>0</v>
      </c>
      <c r="M25" s="944"/>
    </row>
    <row r="26" spans="2:13" ht="18.75" customHeight="1">
      <c r="B26" s="956"/>
      <c r="C26" s="635" t="s">
        <v>369</v>
      </c>
      <c r="D26" s="592">
        <f>'OPENING NEW DAY'!F25</f>
        <v>873710</v>
      </c>
      <c r="E26" s="592">
        <f>SUMIFS('F&amp;C Report'!$AK$8:$AK$100,'F&amp;C Report'!$N$8:$N$100,"FILL",'F&amp;C Report'!$O$8:$O$100,"CHIP",'F&amp;C Report'!$P$8:$P$100,"JCC2",'F&amp;C Report'!$L$8:$L$100,$B$24)</f>
        <v>0</v>
      </c>
      <c r="F26" s="592">
        <f>SUMIFS('F&amp;C Report'!$AK$8:$AK$100,'F&amp;C Report'!$N$8:$N$100,"CREDIT",'F&amp;C Report'!$O$8:$O$100,"CHIP",'F&amp;C Report'!$P$8:$P$100,"JCC2",'F&amp;C Report'!$L$8:$L$100,$B$24)</f>
        <v>0</v>
      </c>
      <c r="G26" s="595">
        <f>SUMIFS('Table Breadown'!$BU$6:$BU$20,'Table Breadown'!$C$6:$C$20,$B$24)</f>
        <v>873710</v>
      </c>
      <c r="H26" s="595">
        <f t="shared" si="0"/>
        <v>0</v>
      </c>
      <c r="I26" s="945"/>
      <c r="J26" s="952"/>
      <c r="K26" s="598">
        <f>'OPENING NEW DAY'!G25</f>
        <v>0</v>
      </c>
      <c r="L26" s="595">
        <f t="shared" si="1"/>
        <v>0</v>
      </c>
      <c r="M26" s="945"/>
    </row>
    <row r="27" spans="2:13" ht="18.75" customHeight="1">
      <c r="B27" s="957" t="s">
        <v>155</v>
      </c>
      <c r="C27" s="636" t="s">
        <v>13</v>
      </c>
      <c r="D27" s="593">
        <f>'OPENING NEW DAY'!F26</f>
        <v>0</v>
      </c>
      <c r="E27" s="593">
        <f>SUMIFS('F&amp;C Report'!$AK$8:$AK$100,'F&amp;C Report'!$N$8:$N$100,"FILL",'F&amp;C Report'!$O$8:$O$100,"CASH",'F&amp;C Report'!$L$8:$L$100,$B$27)</f>
        <v>0</v>
      </c>
      <c r="F27" s="593">
        <f>SUMIFS('F&amp;C Report'!$AK$8:$AK$100,'F&amp;C Report'!$N$8:$N$100,"CREDIT",'F&amp;C Report'!$O$8:$O$100,"CASH",'F&amp;C Report'!$L$8:$L$100,$B$27)</f>
        <v>0</v>
      </c>
      <c r="G27" s="596">
        <f>SUMIFS('Table Breadown'!$BS$6:$BS$20,'Table Breadown'!$C$6:$C$20,B27)</f>
        <v>0</v>
      </c>
      <c r="H27" s="596">
        <f t="shared" si="0"/>
        <v>0</v>
      </c>
      <c r="I27" s="937">
        <f>SUM(H27:H29)</f>
        <v>0</v>
      </c>
      <c r="J27" s="952"/>
      <c r="K27" s="599">
        <f>'OPENING NEW DAY'!G26</f>
        <v>0</v>
      </c>
      <c r="L27" s="596">
        <f t="shared" si="1"/>
        <v>0</v>
      </c>
      <c r="M27" s="937">
        <f>SUM(L27:L47)</f>
        <v>0</v>
      </c>
    </row>
    <row r="28" spans="2:13" ht="18.75" customHeight="1">
      <c r="B28" s="958"/>
      <c r="C28" s="636" t="s">
        <v>368</v>
      </c>
      <c r="D28" s="593">
        <f>'OPENING NEW DAY'!F27</f>
        <v>218459.5</v>
      </c>
      <c r="E28" s="593">
        <f>SUMIFS('F&amp;C Report'!$AK$8:$AK$100,'F&amp;C Report'!$N$8:$N$100,"FILL",'F&amp;C Report'!$O$8:$O$100,"CHIP",'F&amp;C Report'!$P$8:$P$100,"CC01",'F&amp;C Report'!$L$8:$L$100,$B$27)</f>
        <v>0</v>
      </c>
      <c r="F28" s="593">
        <f>SUMIFS('F&amp;C Report'!$AK$8:$AK$100,'F&amp;C Report'!$N$8:$N$100,"CREDIT",'F&amp;C Report'!$O$8:$O$100,"CHIP",'F&amp;C Report'!$P$8:$P$100,"CC01",'F&amp;C Report'!$L$8:$L$100,$B$27)</f>
        <v>0</v>
      </c>
      <c r="G28" s="596">
        <f>SUMIFS('Table Breadown'!$BT$6:$BT$20,'Table Breadown'!$C$6:$C$20,$B$27)</f>
        <v>218459.5</v>
      </c>
      <c r="H28" s="596">
        <f t="shared" si="0"/>
        <v>0</v>
      </c>
      <c r="I28" s="938"/>
      <c r="J28" s="952"/>
      <c r="K28" s="599">
        <f>'OPENING NEW DAY'!G27</f>
        <v>0</v>
      </c>
      <c r="L28" s="596">
        <f t="shared" si="1"/>
        <v>0</v>
      </c>
      <c r="M28" s="938"/>
    </row>
    <row r="29" spans="2:13" ht="18.75" customHeight="1" thickBot="1">
      <c r="B29" s="959"/>
      <c r="C29" s="636" t="s">
        <v>369</v>
      </c>
      <c r="D29" s="593">
        <f>'OPENING NEW DAY'!F28</f>
        <v>945820</v>
      </c>
      <c r="E29" s="593">
        <f>SUMIFS('F&amp;C Report'!$AK$8:$AK$100,'F&amp;C Report'!$N$8:$N$100,"FILL",'F&amp;C Report'!$O$8:$O$100,"CHIP",'F&amp;C Report'!$P$8:$P$100,"JCC2",'F&amp;C Report'!$L$8:$L$100,$B$27)</f>
        <v>0</v>
      </c>
      <c r="F29" s="593">
        <f>SUMIFS('F&amp;C Report'!$AK$8:$AK$100,'F&amp;C Report'!$N$8:$N$100,"CREDIT",'F&amp;C Report'!$O$8:$O$100,"CHIP",'F&amp;C Report'!$P$8:$P$100,"JCC2",'F&amp;C Report'!$L$8:$L$100,$B$27)</f>
        <v>0</v>
      </c>
      <c r="G29" s="596">
        <f>SUMIFS('Table Breadown'!$BU$6:$BU$20,'Table Breadown'!$C$6:$C$20,$B$27)</f>
        <v>945820</v>
      </c>
      <c r="H29" s="596">
        <f t="shared" si="0"/>
        <v>0</v>
      </c>
      <c r="I29" s="939"/>
      <c r="J29" s="952"/>
      <c r="K29" s="599">
        <f>'OPENING NEW DAY'!G28</f>
        <v>0</v>
      </c>
      <c r="L29" s="596">
        <f t="shared" si="1"/>
        <v>0</v>
      </c>
      <c r="M29" s="939"/>
    </row>
    <row r="30" spans="2:13" ht="18.75" hidden="1" customHeight="1">
      <c r="B30" s="960" t="s">
        <v>152</v>
      </c>
      <c r="C30" s="635" t="s">
        <v>13</v>
      </c>
      <c r="D30" s="592">
        <f>'OPENING NEW DAY'!F29</f>
        <v>0</v>
      </c>
      <c r="E30" s="592">
        <f>SUMIFS('F&amp;C Report'!$AK$8:$AK$100,'F&amp;C Report'!$N$8:$N$100,"FILL",'F&amp;C Report'!$O$8:$O$100,"CASH",'F&amp;C Report'!$L$8:$L$100,$B$30)</f>
        <v>0</v>
      </c>
      <c r="F30" s="592">
        <f>SUMIFS('F&amp;C Report'!$AK$8:$AK$100,'F&amp;C Report'!$N$8:$N$100,"CREDIT",'F&amp;C Report'!$O$8:$O$100,"CASH",'F&amp;C Report'!$L$8:$L$100,$B$30)</f>
        <v>0</v>
      </c>
      <c r="G30" s="595">
        <f>SUMIFS('Table Breadown'!$BS$6:$BS$20,'Table Breadown'!$C$6:$C$20,B30)</f>
        <v>0</v>
      </c>
      <c r="H30" s="597">
        <f t="shared" si="0"/>
        <v>0</v>
      </c>
      <c r="I30" s="940">
        <f>SUM(H30:H32)</f>
        <v>0</v>
      </c>
      <c r="J30" s="952"/>
      <c r="K30" s="598">
        <f>'OPENING NEW DAY'!G29</f>
        <v>0</v>
      </c>
      <c r="L30" s="597">
        <f t="shared" si="1"/>
        <v>0</v>
      </c>
      <c r="M30" s="940">
        <f t="shared" ref="M30" si="2">SUM(L30:L31)</f>
        <v>0</v>
      </c>
    </row>
    <row r="31" spans="2:13" ht="18.75" hidden="1" customHeight="1">
      <c r="B31" s="961"/>
      <c r="C31" s="635" t="s">
        <v>368</v>
      </c>
      <c r="D31" s="592">
        <f>'OPENING NEW DAY'!F30</f>
        <v>0</v>
      </c>
      <c r="E31" s="592">
        <f>SUMIFS('F&amp;C Report'!$AK$8:$AK$100,'F&amp;C Report'!$N$8:$N$100,"FILL",'F&amp;C Report'!$O$8:$O$100,"CHIP",'F&amp;C Report'!$P$8:$P$100,"CC01",'F&amp;C Report'!$L$8:$L$100,$B$30)</f>
        <v>0</v>
      </c>
      <c r="F31" s="592">
        <f>SUMIFS('F&amp;C Report'!$AK$8:$AK$100,'F&amp;C Report'!$N$8:$N$100,"CREDIT",'F&amp;C Report'!$O$8:$O$100,"CHIP",'F&amp;C Report'!$P$8:$P$100,"CC01",'F&amp;C Report'!$L$8:$L$100,$B$30)</f>
        <v>0</v>
      </c>
      <c r="G31" s="595">
        <f>SUMIFS('Table Breadown'!$BT$6:$BT$20,'Table Breadown'!$C$6:$C$20,$B$30)</f>
        <v>0</v>
      </c>
      <c r="H31" s="597">
        <f t="shared" si="0"/>
        <v>0</v>
      </c>
      <c r="I31" s="941"/>
      <c r="J31" s="952"/>
      <c r="K31" s="598">
        <f>'OPENING NEW DAY'!G30</f>
        <v>0</v>
      </c>
      <c r="L31" s="597">
        <f t="shared" si="1"/>
        <v>0</v>
      </c>
      <c r="M31" s="942"/>
    </row>
    <row r="32" spans="2:13" ht="18.75" hidden="1" customHeight="1">
      <c r="B32" s="962"/>
      <c r="C32" s="635" t="s">
        <v>369</v>
      </c>
      <c r="D32" s="592">
        <f>'OPENING NEW DAY'!F31</f>
        <v>0</v>
      </c>
      <c r="E32" s="592">
        <f>SUMIFS('F&amp;C Report'!$AK$8:$AK$100,'F&amp;C Report'!$N$8:$N$100,"FILL",'F&amp;C Report'!$O$8:$O$100,"CHIP",'F&amp;C Report'!$P$8:$P$100,"JCC2",'F&amp;C Report'!$L$8:$L$100,$B$30)</f>
        <v>0</v>
      </c>
      <c r="F32" s="592">
        <f>SUMIFS('F&amp;C Report'!$AK$8:$AK$100,'F&amp;C Report'!$N$8:$N$100,"CREDIT",'F&amp;C Report'!$O$8:$O$100,"CHIP",'F&amp;C Report'!$P$8:$P$100,"JCC2",'F&amp;C Report'!$L$8:$L$100,$B$30)</f>
        <v>0</v>
      </c>
      <c r="G32" s="595">
        <f>SUMIFS('Table Breadown'!$BU$6:$BU$20,'Table Breadown'!$C$6:$C$20,$B$30)</f>
        <v>0</v>
      </c>
      <c r="H32" s="597">
        <f t="shared" si="0"/>
        <v>0</v>
      </c>
      <c r="I32" s="942"/>
      <c r="J32" s="952"/>
      <c r="K32" s="598">
        <f>'OPENING NEW DAY'!G31</f>
        <v>0</v>
      </c>
      <c r="L32" s="597">
        <f t="shared" si="1"/>
        <v>0</v>
      </c>
      <c r="M32" s="630"/>
    </row>
    <row r="33" spans="2:13" ht="18.75" hidden="1" customHeight="1">
      <c r="B33" s="957" t="s">
        <v>151</v>
      </c>
      <c r="C33" s="636" t="s">
        <v>13</v>
      </c>
      <c r="D33" s="593">
        <f>'OPENING NEW DAY'!F32</f>
        <v>0</v>
      </c>
      <c r="E33" s="593">
        <f>SUMIFS('F&amp;C Report'!$AK$8:$AK$100,'F&amp;C Report'!$N$8:$N$100,"FILL",'F&amp;C Report'!$O$8:$O$100,"CASH",'F&amp;C Report'!$L$8:$L$100,$B$33)</f>
        <v>0</v>
      </c>
      <c r="F33" s="593">
        <f>SUMIFS('F&amp;C Report'!$AK$8:$AK$100,'F&amp;C Report'!$N$8:$N$100,"CREDIT",'F&amp;C Report'!$O$8:$O$100,"CASH",'F&amp;C Report'!$L$8:$L$100,$B$33)</f>
        <v>0</v>
      </c>
      <c r="G33" s="596">
        <f>SUMIFS('Table Breadown'!$BS$6:$BS$20,'Table Breadown'!$C$6:$C$20,B33)</f>
        <v>0</v>
      </c>
      <c r="H33" s="596">
        <f t="shared" si="0"/>
        <v>0</v>
      </c>
      <c r="I33" s="937">
        <f>SUM(H33:H35)</f>
        <v>0</v>
      </c>
      <c r="J33" s="952"/>
      <c r="K33" s="599">
        <f>'OPENING NEW DAY'!G32</f>
        <v>0</v>
      </c>
      <c r="L33" s="596">
        <f t="shared" si="1"/>
        <v>0</v>
      </c>
      <c r="M33" s="937">
        <f t="shared" ref="M33" si="3">SUM(L33:L34)</f>
        <v>0</v>
      </c>
    </row>
    <row r="34" spans="2:13" ht="18.75" hidden="1" customHeight="1">
      <c r="B34" s="958"/>
      <c r="C34" s="636" t="s">
        <v>368</v>
      </c>
      <c r="D34" s="593">
        <f>'OPENING NEW DAY'!F33</f>
        <v>0</v>
      </c>
      <c r="E34" s="593">
        <f>SUMIFS('F&amp;C Report'!$AK$8:$AK$100,'F&amp;C Report'!$N$8:$N$100,"FILL",'F&amp;C Report'!$O$8:$O$100,"CHIP",'F&amp;C Report'!$P$8:$P$100,"CC01",'F&amp;C Report'!$L$8:$L$100,$B$33)</f>
        <v>0</v>
      </c>
      <c r="F34" s="593">
        <f>SUMIFS('F&amp;C Report'!$AK$8:$AK$100,'F&amp;C Report'!$N$8:$N$100,"CREDIT",'F&amp;C Report'!$O$8:$O$100,"CHIP",'F&amp;C Report'!$P$8:$P$100,"CC01",'F&amp;C Report'!$L$8:$L$100,$B$33)</f>
        <v>0</v>
      </c>
      <c r="G34" s="596">
        <f>SUMIFS('Table Breadown'!$BT$6:$BT$20,'Table Breadown'!$C$6:$C$20,$B$33)</f>
        <v>0</v>
      </c>
      <c r="H34" s="596">
        <f t="shared" si="0"/>
        <v>0</v>
      </c>
      <c r="I34" s="938"/>
      <c r="J34" s="952"/>
      <c r="K34" s="599">
        <f>'OPENING NEW DAY'!G33</f>
        <v>0</v>
      </c>
      <c r="L34" s="596">
        <f t="shared" si="1"/>
        <v>0</v>
      </c>
      <c r="M34" s="939"/>
    </row>
    <row r="35" spans="2:13" ht="18.75" hidden="1" customHeight="1">
      <c r="B35" s="959"/>
      <c r="C35" s="636" t="s">
        <v>369</v>
      </c>
      <c r="D35" s="593">
        <f>'OPENING NEW DAY'!F34</f>
        <v>0</v>
      </c>
      <c r="E35" s="593">
        <f>SUMIFS('F&amp;C Report'!$AK$8:$AK$100,'F&amp;C Report'!$N$8:$N$100,"FILL",'F&amp;C Report'!$O$8:$O$100,"CHIP",'F&amp;C Report'!$P$8:$P$100,"JCC2",'F&amp;C Report'!$L$8:$L$100,$B$33)</f>
        <v>0</v>
      </c>
      <c r="F35" s="593">
        <f>SUMIFS('F&amp;C Report'!$AK$8:$AK$100,'F&amp;C Report'!$N$8:$N$100,"CREDIT",'F&amp;C Report'!$O$8:$O$100,"CHIP",'F&amp;C Report'!$P$8:$P$100,"JCC2",'F&amp;C Report'!$L$8:$L$100,$B$33)</f>
        <v>0</v>
      </c>
      <c r="G35" s="596">
        <f>SUMIFS('Table Breadown'!$BU$6:$BU$20,'Table Breadown'!$C$6:$C$20,$B$33)</f>
        <v>0</v>
      </c>
      <c r="H35" s="596">
        <f t="shared" si="0"/>
        <v>0</v>
      </c>
      <c r="I35" s="939"/>
      <c r="J35" s="952"/>
      <c r="K35" s="599">
        <f>'OPENING NEW DAY'!G34</f>
        <v>0</v>
      </c>
      <c r="L35" s="596">
        <f t="shared" si="1"/>
        <v>0</v>
      </c>
      <c r="M35" s="629"/>
    </row>
    <row r="36" spans="2:13" ht="18.75" hidden="1" customHeight="1">
      <c r="B36" s="960" t="s">
        <v>224</v>
      </c>
      <c r="C36" s="635" t="s">
        <v>13</v>
      </c>
      <c r="D36" s="592">
        <f>'OPENING NEW DAY'!F35</f>
        <v>0</v>
      </c>
      <c r="E36" s="592">
        <f>SUMIFS('F&amp;C Report'!$AK$8:$AK$100,'F&amp;C Report'!$N$8:$N$100,"FILL",'F&amp;C Report'!$O$8:$O$100,"CASH",'F&amp;C Report'!$L$8:$L$100,$B$36)</f>
        <v>0</v>
      </c>
      <c r="F36" s="592">
        <f>SUMIFS('F&amp;C Report'!$AK$8:$AK$100,'F&amp;C Report'!$N$8:$N$100,"CREDIT",'F&amp;C Report'!$O$8:$O$100,"CASH",'F&amp;C Report'!$L$8:$L$100,$B$36)</f>
        <v>0</v>
      </c>
      <c r="G36" s="595">
        <f>SUMIFS('Table Breadown'!$BS$6:$BS$20,'Table Breadown'!$C$6:$C$20,B36)</f>
        <v>0</v>
      </c>
      <c r="H36" s="597">
        <f t="shared" si="0"/>
        <v>0</v>
      </c>
      <c r="I36" s="940">
        <f>SUM(H36:H38)</f>
        <v>0</v>
      </c>
      <c r="J36" s="952"/>
      <c r="K36" s="598">
        <f>'OPENING NEW DAY'!G35</f>
        <v>0</v>
      </c>
      <c r="L36" s="597">
        <f t="shared" si="1"/>
        <v>0</v>
      </c>
      <c r="M36" s="940">
        <f t="shared" ref="M36" si="4">SUM(L36:L37)</f>
        <v>0</v>
      </c>
    </row>
    <row r="37" spans="2:13" ht="18.75" hidden="1" customHeight="1">
      <c r="B37" s="961"/>
      <c r="C37" s="635" t="s">
        <v>368</v>
      </c>
      <c r="D37" s="592">
        <f>'OPENING NEW DAY'!F36</f>
        <v>0</v>
      </c>
      <c r="E37" s="592">
        <f>SUMIFS('F&amp;C Report'!$AK$8:$AK$100,'F&amp;C Report'!$N$8:$N$100,"FILL",'F&amp;C Report'!$O$8:$O$100,"CHIP",'F&amp;C Report'!$P$8:$P$100,"CC01",'F&amp;C Report'!$L$8:$L$100,$B$36)</f>
        <v>0</v>
      </c>
      <c r="F37" s="592">
        <f>SUMIFS('F&amp;C Report'!$AK$8:$AK$100,'F&amp;C Report'!$N$8:$N$100,"CREDIT",'F&amp;C Report'!$O$8:$O$100,"CHIP",'F&amp;C Report'!$P$8:$P$100,"CC01",'F&amp;C Report'!$L$8:$L$100,$B$36)</f>
        <v>0</v>
      </c>
      <c r="G37" s="595">
        <f>SUMIFS('Table Breadown'!$BT$6:$BT$20,'Table Breadown'!$C$6:$C$20,$B$36)</f>
        <v>0</v>
      </c>
      <c r="H37" s="597">
        <f t="shared" si="0"/>
        <v>0</v>
      </c>
      <c r="I37" s="941"/>
      <c r="J37" s="952"/>
      <c r="K37" s="598">
        <f>'OPENING NEW DAY'!G36</f>
        <v>0</v>
      </c>
      <c r="L37" s="597">
        <f t="shared" si="1"/>
        <v>0</v>
      </c>
      <c r="M37" s="942"/>
    </row>
    <row r="38" spans="2:13" ht="18.75" hidden="1" customHeight="1">
      <c r="B38" s="962"/>
      <c r="C38" s="635" t="s">
        <v>369</v>
      </c>
      <c r="D38" s="592">
        <f>'OPENING NEW DAY'!F37</f>
        <v>0</v>
      </c>
      <c r="E38" s="592">
        <f>SUMIFS('F&amp;C Report'!$AK$8:$AK$100,'F&amp;C Report'!$N$8:$N$100,"FILL",'F&amp;C Report'!$O$8:$O$100,"CHIP",'F&amp;C Report'!$P$8:$P$100,"JCC2",'F&amp;C Report'!$L$8:$L$100,$B$36)</f>
        <v>0</v>
      </c>
      <c r="F38" s="592">
        <f>SUMIFS('F&amp;C Report'!$AK$8:$AK$100,'F&amp;C Report'!$N$8:$N$100,"CREDIT",'F&amp;C Report'!$O$8:$O$100,"CHIP",'F&amp;C Report'!$P$8:$P$100,"JCC2",'F&amp;C Report'!$L$8:$L$100,$B$36)</f>
        <v>0</v>
      </c>
      <c r="G38" s="595">
        <f>SUMIFS('Table Breadown'!$BU$6:$BU$20,'Table Breadown'!$C$6:$C$20,$B$36)</f>
        <v>0</v>
      </c>
      <c r="H38" s="597">
        <f t="shared" si="0"/>
        <v>0</v>
      </c>
      <c r="I38" s="942"/>
      <c r="J38" s="952"/>
      <c r="K38" s="598">
        <f>'OPENING NEW DAY'!G37</f>
        <v>0</v>
      </c>
      <c r="L38" s="597">
        <f t="shared" si="1"/>
        <v>0</v>
      </c>
      <c r="M38" s="630"/>
    </row>
    <row r="39" spans="2:13" ht="18.75" hidden="1" customHeight="1">
      <c r="B39" s="957" t="s">
        <v>225</v>
      </c>
      <c r="C39" s="636" t="s">
        <v>13</v>
      </c>
      <c r="D39" s="593">
        <f>'OPENING NEW DAY'!F38</f>
        <v>0</v>
      </c>
      <c r="E39" s="593">
        <f>SUMIFS('F&amp;C Report'!$AK$8:$AK$100,'F&amp;C Report'!$N$8:$N$100,"FILL",'F&amp;C Report'!$O$8:$O$100,"CASH",'F&amp;C Report'!$L$8:$L$100,$B$39)</f>
        <v>0</v>
      </c>
      <c r="F39" s="593">
        <f>SUMIFS('F&amp;C Report'!$AK$8:$AK$100,'F&amp;C Report'!$N$8:$N$100,"CREDIT",'F&amp;C Report'!$O$8:$O$100,"CASH",'F&amp;C Report'!$L$8:$L$100,$B$39)</f>
        <v>0</v>
      </c>
      <c r="G39" s="596">
        <f>SUMIFS('Table Breadown'!$BS$6:$BS$20,'Table Breadown'!$C$6:$C$20,B39)</f>
        <v>0</v>
      </c>
      <c r="H39" s="596">
        <f t="shared" si="0"/>
        <v>0</v>
      </c>
      <c r="I39" s="937">
        <f>SUM(H39:H41)</f>
        <v>0</v>
      </c>
      <c r="J39" s="952"/>
      <c r="K39" s="599">
        <f>'OPENING NEW DAY'!G38</f>
        <v>0</v>
      </c>
      <c r="L39" s="596">
        <f t="shared" si="1"/>
        <v>0</v>
      </c>
      <c r="M39" s="937">
        <f t="shared" ref="M39" si="5">SUM(L39:L40)</f>
        <v>0</v>
      </c>
    </row>
    <row r="40" spans="2:13" ht="18.75" hidden="1" customHeight="1">
      <c r="B40" s="958"/>
      <c r="C40" s="637" t="s">
        <v>368</v>
      </c>
      <c r="D40" s="593">
        <f>'OPENING NEW DAY'!F39</f>
        <v>0</v>
      </c>
      <c r="E40" s="593">
        <f>SUMIFS('F&amp;C Report'!$AK$8:$AK$100,'F&amp;C Report'!$N$8:$N$100,"FILL",'F&amp;C Report'!$O$8:$O$100,"CHIP",'F&amp;C Report'!$P$8:$P$100,"CC01",'F&amp;C Report'!$L$8:$L$100,$B$39)</f>
        <v>0</v>
      </c>
      <c r="F40" s="593">
        <f>SUMIFS('F&amp;C Report'!$AK$8:$AK$100,'F&amp;C Report'!$N$8:$N$100,"CREDIT",'F&amp;C Report'!$O$8:$O$100,"CHIP",'F&amp;C Report'!$P$8:$P$100,"CC01",'F&amp;C Report'!$L$8:$L$100,$B$39)</f>
        <v>0</v>
      </c>
      <c r="G40" s="631">
        <f>SUMIFS('Table Breadown'!$BT$6:$BT$20,'Table Breadown'!$C$6:$C$20,$B$39)</f>
        <v>0</v>
      </c>
      <c r="H40" s="631">
        <f t="shared" si="0"/>
        <v>0</v>
      </c>
      <c r="I40" s="938"/>
      <c r="J40" s="952"/>
      <c r="K40" s="599">
        <f>'OPENING NEW DAY'!G39</f>
        <v>0</v>
      </c>
      <c r="L40" s="596">
        <f t="shared" si="1"/>
        <v>0</v>
      </c>
      <c r="M40" s="939"/>
    </row>
    <row r="41" spans="2:13" ht="18.75" hidden="1" customHeight="1">
      <c r="B41" s="959"/>
      <c r="C41" s="636" t="s">
        <v>369</v>
      </c>
      <c r="D41" s="593">
        <f>'OPENING NEW DAY'!F40</f>
        <v>0</v>
      </c>
      <c r="E41" s="593">
        <f>SUMIFS('F&amp;C Report'!$AK$8:$AK$100,'F&amp;C Report'!$N$8:$N$100,"FILL",'F&amp;C Report'!$O$8:$O$100,"CHIP",'F&amp;C Report'!$P$8:$P$100,"JCC2",'F&amp;C Report'!$L$8:$L$100,$B$39)</f>
        <v>0</v>
      </c>
      <c r="F41" s="593">
        <f>SUMIFS('F&amp;C Report'!$AK$8:$AK$100,'F&amp;C Report'!$N$8:$N$100,"CREDIT",'F&amp;C Report'!$O$8:$O$100,"CHIP",'F&amp;C Report'!$P$8:$P$100,"JCC2",'F&amp;C Report'!$L$8:$L$100,$B$39)</f>
        <v>0</v>
      </c>
      <c r="G41" s="631">
        <f>SUMIFS('Table Breadown'!$BU$6:$BU$20,'Table Breadown'!$C$6:$C$20,$B$39)</f>
        <v>0</v>
      </c>
      <c r="H41" s="631">
        <f t="shared" si="0"/>
        <v>0</v>
      </c>
      <c r="I41" s="939"/>
      <c r="J41" s="952"/>
      <c r="K41" s="599">
        <f>'OPENING NEW DAY'!G40</f>
        <v>0</v>
      </c>
      <c r="L41" s="596">
        <f t="shared" si="1"/>
        <v>0</v>
      </c>
      <c r="M41" s="629"/>
    </row>
    <row r="42" spans="2:13" ht="18.75" hidden="1" customHeight="1">
      <c r="B42" s="960" t="s">
        <v>332</v>
      </c>
      <c r="C42" s="635" t="s">
        <v>13</v>
      </c>
      <c r="D42" s="592">
        <f>'OPENING NEW DAY'!F41</f>
        <v>0</v>
      </c>
      <c r="E42" s="592">
        <f>SUMIFS('F&amp;C Report'!$AK$8:$AK$100,'F&amp;C Report'!$N$8:$N$100,"FILL",'F&amp;C Report'!$O$8:$O$100,"CASH",'F&amp;C Report'!$L$8:$L$100,$B$42)</f>
        <v>0</v>
      </c>
      <c r="F42" s="592">
        <f>SUMIFS('F&amp;C Report'!$AK$8:$AK$100,'F&amp;C Report'!$N$8:$N$100,"CREDIT",'F&amp;C Report'!$O$8:$O$100,"CASH",'F&amp;C Report'!$L$8:$L$100,$B$42)</f>
        <v>0</v>
      </c>
      <c r="G42" s="595">
        <f>SUMIFS('Table Breadown'!$BS$6:$BS$20,'Table Breadown'!$C$6:$C$20,B42)</f>
        <v>0</v>
      </c>
      <c r="H42" s="597">
        <f t="shared" si="0"/>
        <v>0</v>
      </c>
      <c r="I42" s="940">
        <f>SUM(H42:H44)</f>
        <v>0</v>
      </c>
      <c r="J42" s="952"/>
      <c r="K42" s="598">
        <f>'OPENING NEW DAY'!G41</f>
        <v>0</v>
      </c>
      <c r="L42" s="597">
        <f t="shared" si="1"/>
        <v>0</v>
      </c>
      <c r="M42" s="940">
        <f t="shared" ref="M42" si="6">SUM(L42:L43)</f>
        <v>0</v>
      </c>
    </row>
    <row r="43" spans="2:13" ht="18.75" hidden="1" customHeight="1">
      <c r="B43" s="961"/>
      <c r="C43" s="635" t="s">
        <v>368</v>
      </c>
      <c r="D43" s="592">
        <f>'OPENING NEW DAY'!F42</f>
        <v>0</v>
      </c>
      <c r="E43" s="592">
        <f>SUMIFS('F&amp;C Report'!$AK$8:$AK$100,'F&amp;C Report'!$N$8:$N$100,"FILL",'F&amp;C Report'!$O$8:$O$100,"CHIP",'F&amp;C Report'!$P$8:$P$100,"CC01",'F&amp;C Report'!$L$8:$L$100,$B$42)</f>
        <v>0</v>
      </c>
      <c r="F43" s="592">
        <f>SUMIFS('F&amp;C Report'!$AK$8:$AK$100,'F&amp;C Report'!$N$8:$N$100,"CREDIT",'F&amp;C Report'!$O$8:$O$100,"CHIP",'F&amp;C Report'!$P$8:$P$100,"CC01",'F&amp;C Report'!$L$8:$L$100,$B$42)</f>
        <v>0</v>
      </c>
      <c r="G43" s="595">
        <f>SUMIFS('Table Breadown'!$BT$6:$BT$20,'Table Breadown'!$C$6:$C$20,$B$42)</f>
        <v>0</v>
      </c>
      <c r="H43" s="597">
        <f t="shared" si="0"/>
        <v>0</v>
      </c>
      <c r="I43" s="941"/>
      <c r="J43" s="952"/>
      <c r="K43" s="598">
        <f>'OPENING NEW DAY'!G42</f>
        <v>0</v>
      </c>
      <c r="L43" s="597">
        <f t="shared" si="1"/>
        <v>0</v>
      </c>
      <c r="M43" s="942"/>
    </row>
    <row r="44" spans="2:13" ht="18.75" hidden="1" customHeight="1">
      <c r="B44" s="962"/>
      <c r="C44" s="635" t="s">
        <v>369</v>
      </c>
      <c r="D44" s="592">
        <f>'OPENING NEW DAY'!F43</f>
        <v>0</v>
      </c>
      <c r="E44" s="592">
        <f>SUMIFS('F&amp;C Report'!$AK$8:$AK$100,'F&amp;C Report'!$N$8:$N$100,"FILL",'F&amp;C Report'!$O$8:$O$100,"CHIP",'F&amp;C Report'!$P$8:$P$100,"JCC2",'F&amp;C Report'!$L$8:$L$100,$B$42)</f>
        <v>0</v>
      </c>
      <c r="F44" s="592">
        <f>SUMIFS('F&amp;C Report'!$AK$8:$AK$100,'F&amp;C Report'!$N$8:$N$100,"CREDIT",'F&amp;C Report'!$O$8:$O$100,"CHIP",'F&amp;C Report'!$P$8:$P$100,"JCC2",'F&amp;C Report'!$L$8:$L$100,$B$42)</f>
        <v>0</v>
      </c>
      <c r="G44" s="595">
        <f>SUMIFS('Table Breadown'!$BU$6:$BU$20,'Table Breadown'!$C$6:$C$20,$B$42)</f>
        <v>0</v>
      </c>
      <c r="H44" s="597">
        <f t="shared" si="0"/>
        <v>0</v>
      </c>
      <c r="I44" s="942"/>
      <c r="J44" s="952"/>
      <c r="K44" s="598">
        <f>'OPENING NEW DAY'!G43</f>
        <v>0</v>
      </c>
      <c r="L44" s="597">
        <f t="shared" si="1"/>
        <v>0</v>
      </c>
      <c r="M44" s="630"/>
    </row>
    <row r="45" spans="2:13" ht="18.75" hidden="1" customHeight="1">
      <c r="B45" s="957" t="s">
        <v>333</v>
      </c>
      <c r="C45" s="636" t="s">
        <v>13</v>
      </c>
      <c r="D45" s="593">
        <f>'OPENING NEW DAY'!F44</f>
        <v>0</v>
      </c>
      <c r="E45" s="593">
        <f>SUMIFS('F&amp;C Report'!$AK$8:$AK$100,'F&amp;C Report'!$N$8:$N$100,"FILL",'F&amp;C Report'!$O$8:$O$100,"CASH",'F&amp;C Report'!$L$8:$L$100,$B$45)</f>
        <v>0</v>
      </c>
      <c r="F45" s="593">
        <f>SUMIFS('F&amp;C Report'!$AK$8:$AK$100,'F&amp;C Report'!$N$8:$N$100,"CREDIT",'F&amp;C Report'!$O$8:$O$100,"CASH",'F&amp;C Report'!$L$8:$L$100,$B$45)</f>
        <v>0</v>
      </c>
      <c r="G45" s="596">
        <f>SUMIFS('Table Breadown'!$BS$6:$BS$20,'Table Breadown'!$C$6:$C$20,B45)</f>
        <v>0</v>
      </c>
      <c r="H45" s="596">
        <f t="shared" si="0"/>
        <v>0</v>
      </c>
      <c r="I45" s="937">
        <f>SUM(H45:H47)</f>
        <v>0</v>
      </c>
      <c r="J45" s="952"/>
      <c r="K45" s="599">
        <f>'OPENING NEW DAY'!G44</f>
        <v>0</v>
      </c>
      <c r="L45" s="596">
        <f t="shared" si="1"/>
        <v>0</v>
      </c>
      <c r="M45" s="937">
        <f>SUM(L45:L46)</f>
        <v>0</v>
      </c>
    </row>
    <row r="46" spans="2:13" ht="18.75" hidden="1" customHeight="1">
      <c r="B46" s="958"/>
      <c r="C46" s="636" t="s">
        <v>368</v>
      </c>
      <c r="D46" s="593">
        <f>'OPENING NEW DAY'!F45</f>
        <v>0</v>
      </c>
      <c r="E46" s="593">
        <f>SUMIFS('F&amp;C Report'!$AK$8:$AK$100,'F&amp;C Report'!$N$8:$N$100,"FILL",'F&amp;C Report'!$O$8:$O$100,"CHIP",'F&amp;C Report'!$P$8:$P$100,"CC01",'F&amp;C Report'!$L$8:$L$100,$B$45)</f>
        <v>0</v>
      </c>
      <c r="F46" s="593">
        <f>SUMIFS('F&amp;C Report'!$AK$8:$AK$100,'F&amp;C Report'!$N$8:$N$100,"CREDIT",'F&amp;C Report'!$O$8:$O$100,"CHIP",'F&amp;C Report'!$P$8:$P$100,"CC01",'F&amp;C Report'!$L$8:$L$100,$B$45)</f>
        <v>0</v>
      </c>
      <c r="G46" s="596">
        <f>SUMIFS('Table Breadown'!$BT$6:$BT$20,'Table Breadown'!$C$6:$C$20,$B$45)</f>
        <v>0</v>
      </c>
      <c r="H46" s="596">
        <f t="shared" si="0"/>
        <v>0</v>
      </c>
      <c r="I46" s="938"/>
      <c r="J46" s="952"/>
      <c r="K46" s="599">
        <f>'OPENING NEW DAY'!G45</f>
        <v>0</v>
      </c>
      <c r="L46" s="596">
        <f t="shared" si="1"/>
        <v>0</v>
      </c>
      <c r="M46" s="939"/>
    </row>
    <row r="47" spans="2:13" ht="18.75" hidden="1" customHeight="1" thickBot="1">
      <c r="B47" s="981"/>
      <c r="C47" s="638" t="s">
        <v>369</v>
      </c>
      <c r="D47" s="593">
        <f>'OPENING NEW DAY'!F46</f>
        <v>0</v>
      </c>
      <c r="E47" s="593">
        <f>SUMIFS('F&amp;C Report'!$AK$8:$AK$100,'F&amp;C Report'!$N$8:$N$100,"FILL",'F&amp;C Report'!$O$8:$O$100,"CHIP",'F&amp;C Report'!$P$8:$P$100,"JCC2",'F&amp;C Report'!$L$8:$L$100,$B$45)</f>
        <v>0</v>
      </c>
      <c r="F47" s="593">
        <f>SUMIFS('F&amp;C Report'!$AK$8:$AK$100,'F&amp;C Report'!$N$8:$N$100,"CREDIT",'F&amp;C Report'!$O$8:$O$100,"CHIP",'F&amp;C Report'!$P$8:$P$100,"JCC2",'F&amp;C Report'!$L$8:$L$100,$B$45)</f>
        <v>0</v>
      </c>
      <c r="G47" s="596">
        <f>SUMIFS('Table Breadown'!$BU$6:$BU$20,'Table Breadown'!$C$6:$C$20,$B$45)</f>
        <v>0</v>
      </c>
      <c r="H47" s="596">
        <f t="shared" si="0"/>
        <v>0</v>
      </c>
      <c r="I47" s="982"/>
      <c r="J47" s="952"/>
      <c r="K47" s="599">
        <f>'OPENING NEW DAY'!G46</f>
        <v>0</v>
      </c>
      <c r="L47" s="596">
        <f t="shared" si="1"/>
        <v>0</v>
      </c>
      <c r="M47" s="628"/>
    </row>
    <row r="48" spans="2:13" ht="18.75" customHeight="1">
      <c r="B48" s="948" t="s">
        <v>324</v>
      </c>
      <c r="C48" s="632" t="s">
        <v>13</v>
      </c>
      <c r="D48" s="594">
        <f>D6+D9+D12+D15+D18+D21+D24+D27+D30+D33+D36+D39+D42+D45</f>
        <v>106100</v>
      </c>
      <c r="E48" s="594">
        <f t="shared" ref="E48:F48" si="7">E6+E9+E12+E15+E18+E21+E24+E27+E30+E33+E36+E39+E42+E45</f>
        <v>0</v>
      </c>
      <c r="F48" s="594">
        <f t="shared" si="7"/>
        <v>0</v>
      </c>
      <c r="G48" s="594">
        <f>G6+G9+G12+G15+G18+G21+G24+G27+G30+G33+G36+G39+G42+G45</f>
        <v>118700</v>
      </c>
      <c r="H48" s="594">
        <f>H6+H9+H12+H15+H18+H21+H24+H27+H30+H33+H36+H39+H42+H45</f>
        <v>12600</v>
      </c>
      <c r="I48" s="983">
        <f>SUM(I6:I47)</f>
        <v>48372.5</v>
      </c>
      <c r="J48" s="952"/>
      <c r="K48" s="600">
        <f t="shared" ref="K48:L50" si="8">K6+K9+K12+K15+K18+K21+K24+K27+K30+K33+K36+K39+K42+K45</f>
        <v>103500</v>
      </c>
      <c r="L48" s="594">
        <f t="shared" si="8"/>
        <v>116100</v>
      </c>
      <c r="M48" s="983">
        <f>SUM(M6:M47)</f>
        <v>134335.5</v>
      </c>
    </row>
    <row r="49" spans="2:14" ht="18.75" customHeight="1">
      <c r="B49" s="949"/>
      <c r="C49" s="633" t="s">
        <v>368</v>
      </c>
      <c r="D49" s="592">
        <f>D7+D10+D13+D16+D19+D22+D25+D28+D31+D34+D37+D40+D43+D46</f>
        <v>1854539.5</v>
      </c>
      <c r="E49" s="592">
        <f t="shared" ref="E49:G49" si="9">E7+E10+E13+E16+E19+E22+E25+E28+E31+E34+E37+E40+E43+E46</f>
        <v>0</v>
      </c>
      <c r="F49" s="592">
        <f t="shared" si="9"/>
        <v>0</v>
      </c>
      <c r="G49" s="592">
        <f t="shared" si="9"/>
        <v>1854167</v>
      </c>
      <c r="H49" s="592">
        <f>H7+H10+H13+H16+H19+H22+H25+H28+H31+H34+H37+H40+H43+H46</f>
        <v>-372.5</v>
      </c>
      <c r="I49" s="944"/>
      <c r="J49" s="952"/>
      <c r="K49" s="598">
        <f t="shared" si="8"/>
        <v>-81502</v>
      </c>
      <c r="L49" s="592">
        <f t="shared" si="8"/>
        <v>-81874.5</v>
      </c>
      <c r="M49" s="944"/>
    </row>
    <row r="50" spans="2:14" ht="18.75" customHeight="1" thickBot="1">
      <c r="B50" s="950"/>
      <c r="C50" s="634" t="s">
        <v>369</v>
      </c>
      <c r="D50" s="592">
        <f>D8+D11+D14+D17+D20+D23+D26+D29+D32+D35+D38+D41+D44+D47</f>
        <v>10572325</v>
      </c>
      <c r="E50" s="592">
        <f>E8+E11+E14+E17+E20+E23+E26+E29+E32+E35+E38+E41+E44+E47</f>
        <v>0</v>
      </c>
      <c r="F50" s="592">
        <f>F8+F11+F14+F17+F20+F23+F26+F29+F32+F35+F38+F41+F44+F47</f>
        <v>0</v>
      </c>
      <c r="G50" s="592">
        <f>G8+G11+G14+G17+G20+G23+G26+G29+G32+G35+G38+G41+G44+G47</f>
        <v>10608470</v>
      </c>
      <c r="H50" s="592">
        <f>H8+H11+H14+H17+H20+H23+H26+H29+H32+H35+H38+H41+H44+H47</f>
        <v>36145</v>
      </c>
      <c r="I50" s="984"/>
      <c r="J50" s="953"/>
      <c r="K50" s="598">
        <f t="shared" si="8"/>
        <v>63965</v>
      </c>
      <c r="L50" s="592">
        <f t="shared" si="8"/>
        <v>100110</v>
      </c>
      <c r="M50" s="984"/>
    </row>
    <row r="51" spans="2:14" ht="4.5" customHeight="1" thickBot="1">
      <c r="B51" s="975"/>
      <c r="C51" s="975"/>
      <c r="D51" s="975"/>
      <c r="E51" s="975"/>
      <c r="F51" s="975"/>
      <c r="G51" s="975"/>
      <c r="H51" s="975"/>
      <c r="I51" s="975"/>
      <c r="J51" s="975"/>
      <c r="K51" s="975"/>
      <c r="L51" s="975"/>
      <c r="M51" s="975"/>
      <c r="N51" s="574"/>
    </row>
    <row r="52" spans="2:14" ht="22.5" customHeight="1" thickBot="1">
      <c r="B52" s="976" t="s">
        <v>325</v>
      </c>
      <c r="C52" s="977"/>
      <c r="D52" s="601">
        <f>SUM(D48:D50)</f>
        <v>12532964.5</v>
      </c>
      <c r="E52" s="601">
        <f>SUM(E48:E50)</f>
        <v>0</v>
      </c>
      <c r="F52" s="601">
        <f>SUM(F48:F50)</f>
        <v>0</v>
      </c>
      <c r="G52" s="601">
        <f>SUM(G48:G50)</f>
        <v>12581337</v>
      </c>
      <c r="H52" s="601">
        <f>SUM(H48:H50)</f>
        <v>48372.5</v>
      </c>
      <c r="I52" s="978" t="s">
        <v>323</v>
      </c>
      <c r="J52" s="979"/>
      <c r="K52" s="601">
        <f>SUM(K48:K50)</f>
        <v>85963</v>
      </c>
      <c r="L52" s="601">
        <f>SUM(L48:L50)</f>
        <v>134335.5</v>
      </c>
      <c r="M52" s="601">
        <f>M48</f>
        <v>134335.5</v>
      </c>
      <c r="N52" s="574"/>
    </row>
    <row r="53" spans="2:14" ht="7.5" customHeight="1" thickBot="1">
      <c r="B53" s="575"/>
      <c r="C53" s="576"/>
      <c r="D53" s="574"/>
      <c r="E53" s="577"/>
      <c r="F53" s="577"/>
      <c r="G53" s="577"/>
      <c r="H53" s="577"/>
      <c r="I53" s="577"/>
      <c r="J53" s="577"/>
      <c r="K53" s="578"/>
      <c r="L53" s="578"/>
      <c r="M53" s="579"/>
    </row>
    <row r="54" spans="2:14" ht="19.5" customHeight="1" thickBot="1">
      <c r="C54" s="580"/>
      <c r="D54" s="580"/>
      <c r="E54" s="980" t="s">
        <v>326</v>
      </c>
      <c r="F54" s="973"/>
      <c r="G54" s="973" t="s">
        <v>8</v>
      </c>
      <c r="H54" s="973"/>
      <c r="I54" s="980" t="s">
        <v>323</v>
      </c>
      <c r="J54" s="973"/>
      <c r="K54" s="973"/>
      <c r="L54" s="973" t="s">
        <v>8</v>
      </c>
      <c r="M54" s="974"/>
    </row>
    <row r="55" spans="2:14" ht="21.75" customHeight="1" thickBot="1">
      <c r="C55" s="946" t="s">
        <v>327</v>
      </c>
      <c r="D55" s="947"/>
      <c r="E55" s="964">
        <f>H48</f>
        <v>12600</v>
      </c>
      <c r="F55" s="965"/>
      <c r="G55" s="967">
        <f>SUM(E55:F57)</f>
        <v>48372.5</v>
      </c>
      <c r="H55" s="968"/>
      <c r="I55" s="966">
        <f>L48</f>
        <v>116100</v>
      </c>
      <c r="J55" s="966"/>
      <c r="K55" s="965"/>
      <c r="L55" s="967">
        <f>SUM(I55:K57)</f>
        <v>134335.5</v>
      </c>
      <c r="M55" s="968"/>
    </row>
    <row r="56" spans="2:14" ht="21.75" customHeight="1" thickBot="1">
      <c r="C56" s="946" t="s">
        <v>366</v>
      </c>
      <c r="D56" s="947"/>
      <c r="E56" s="964">
        <f>H49</f>
        <v>-372.5</v>
      </c>
      <c r="F56" s="965"/>
      <c r="G56" s="969"/>
      <c r="H56" s="970"/>
      <c r="I56" s="966">
        <f>L49</f>
        <v>-81874.5</v>
      </c>
      <c r="J56" s="966"/>
      <c r="K56" s="965"/>
      <c r="L56" s="969"/>
      <c r="M56" s="970"/>
    </row>
    <row r="57" spans="2:14" ht="22.5" customHeight="1" thickBot="1">
      <c r="B57" s="582"/>
      <c r="C57" s="946" t="s">
        <v>367</v>
      </c>
      <c r="D57" s="947"/>
      <c r="E57" s="964">
        <f>H50</f>
        <v>36145</v>
      </c>
      <c r="F57" s="965"/>
      <c r="G57" s="971"/>
      <c r="H57" s="972"/>
      <c r="I57" s="966">
        <f>L50</f>
        <v>100110</v>
      </c>
      <c r="J57" s="966"/>
      <c r="K57" s="965"/>
      <c r="L57" s="971"/>
      <c r="M57" s="972"/>
    </row>
    <row r="58" spans="2:14" ht="22.5" customHeight="1">
      <c r="B58" s="582"/>
      <c r="C58" s="748"/>
      <c r="D58" s="749"/>
      <c r="E58" s="750"/>
      <c r="F58" s="750"/>
      <c r="G58" s="750"/>
      <c r="H58" s="750"/>
      <c r="I58" s="750"/>
      <c r="J58" s="750"/>
      <c r="K58" s="750"/>
      <c r="L58" s="750"/>
      <c r="M58" s="750"/>
    </row>
    <row r="59" spans="2:14" ht="22.5" customHeight="1">
      <c r="B59" s="582"/>
      <c r="C59" s="748"/>
      <c r="D59" s="749"/>
      <c r="E59" s="750"/>
      <c r="F59" s="750"/>
      <c r="G59" s="750"/>
      <c r="H59" s="750"/>
      <c r="I59" s="750"/>
      <c r="J59" s="750"/>
      <c r="K59" s="750"/>
      <c r="L59" s="750"/>
      <c r="M59" s="750"/>
    </row>
    <row r="60" spans="2:14" ht="17.25" customHeight="1">
      <c r="C60" s="581"/>
      <c r="D60" s="581"/>
      <c r="E60" s="581"/>
      <c r="F60" s="581"/>
      <c r="G60" s="581"/>
      <c r="H60" s="581"/>
      <c r="K60" s="573"/>
    </row>
    <row r="61" spans="2:14" ht="17.25" customHeight="1">
      <c r="B61" s="583" t="s">
        <v>328</v>
      </c>
      <c r="C61" s="583"/>
      <c r="D61" s="584"/>
      <c r="G61" s="585" t="s">
        <v>329</v>
      </c>
      <c r="H61" s="586"/>
      <c r="I61" s="587"/>
      <c r="J61" s="587"/>
      <c r="K61" s="963" t="s">
        <v>330</v>
      </c>
      <c r="L61" s="963"/>
      <c r="M61" s="586"/>
    </row>
    <row r="62" spans="2:14" ht="17.25" customHeight="1">
      <c r="K62" s="573"/>
    </row>
    <row r="63" spans="2:14" ht="17.25" customHeight="1">
      <c r="K63" s="573"/>
    </row>
    <row r="64" spans="2:14" ht="21.75" customHeight="1">
      <c r="K64" s="573"/>
    </row>
    <row r="65" spans="8:13" ht="21.75" customHeight="1">
      <c r="K65" s="573"/>
      <c r="L65" s="573"/>
      <c r="M65" s="573"/>
    </row>
    <row r="66" spans="8:13" ht="21.75" customHeight="1">
      <c r="K66" s="573"/>
      <c r="L66" s="573"/>
      <c r="M66" s="573"/>
    </row>
    <row r="67" spans="8:13">
      <c r="H67" s="571" t="s">
        <v>0</v>
      </c>
      <c r="K67" s="573"/>
      <c r="L67" s="573"/>
      <c r="M67" s="573"/>
    </row>
    <row r="68" spans="8:13">
      <c r="K68" s="573"/>
      <c r="L68" s="573"/>
      <c r="M68" s="573"/>
    </row>
  </sheetData>
  <sheetProtection algorithmName="SHA-512" hashValue="6ft2oztLVXpea15X+lDjq/k3xkaWep7KFm/2r7IyVTk3J6F5FB2x7RPYC7YJtALy3/Jz2xL03lu8USiK0EykVg==" saltValue="Qt1Ro3XOk7oFC8PqpQlbdQ==" spinCount="100000" sheet="1" objects="1" scenarios="1"/>
  <mergeCells count="69">
    <mergeCell ref="M30:M31"/>
    <mergeCell ref="M33:M34"/>
    <mergeCell ref="M36:M37"/>
    <mergeCell ref="M39:M40"/>
    <mergeCell ref="M42:M43"/>
    <mergeCell ref="B1:I2"/>
    <mergeCell ref="L2:M2"/>
    <mergeCell ref="B5:I5"/>
    <mergeCell ref="K5:M5"/>
    <mergeCell ref="M6:M8"/>
    <mergeCell ref="I6:I8"/>
    <mergeCell ref="M9:M11"/>
    <mergeCell ref="M12:M14"/>
    <mergeCell ref="M15:M17"/>
    <mergeCell ref="M18:M20"/>
    <mergeCell ref="M21:M23"/>
    <mergeCell ref="M24:M26"/>
    <mergeCell ref="M27:M29"/>
    <mergeCell ref="L54:M54"/>
    <mergeCell ref="M45:M46"/>
    <mergeCell ref="B51:M51"/>
    <mergeCell ref="B52:C52"/>
    <mergeCell ref="I52:J52"/>
    <mergeCell ref="E54:F54"/>
    <mergeCell ref="G54:H54"/>
    <mergeCell ref="I54:K54"/>
    <mergeCell ref="B45:B47"/>
    <mergeCell ref="I45:I47"/>
    <mergeCell ref="I48:I50"/>
    <mergeCell ref="M48:M50"/>
    <mergeCell ref="B42:B44"/>
    <mergeCell ref="B39:B41"/>
    <mergeCell ref="K61:L61"/>
    <mergeCell ref="E55:F55"/>
    <mergeCell ref="I55:K55"/>
    <mergeCell ref="E56:F56"/>
    <mergeCell ref="I56:K56"/>
    <mergeCell ref="E57:F57"/>
    <mergeCell ref="G55:H57"/>
    <mergeCell ref="I57:K57"/>
    <mergeCell ref="L55:M57"/>
    <mergeCell ref="C57:D57"/>
    <mergeCell ref="C56:D56"/>
    <mergeCell ref="C55:D55"/>
    <mergeCell ref="B48:B50"/>
    <mergeCell ref="J3:J50"/>
    <mergeCell ref="B6:B8"/>
    <mergeCell ref="B9:B11"/>
    <mergeCell ref="B18:B20"/>
    <mergeCell ref="B15:B17"/>
    <mergeCell ref="B12:B14"/>
    <mergeCell ref="B24:B26"/>
    <mergeCell ref="B21:B23"/>
    <mergeCell ref="B36:B38"/>
    <mergeCell ref="B33:B35"/>
    <mergeCell ref="B30:B32"/>
    <mergeCell ref="B27:B29"/>
    <mergeCell ref="I9:I11"/>
    <mergeCell ref="I12:I14"/>
    <mergeCell ref="I15:I17"/>
    <mergeCell ref="I18:I20"/>
    <mergeCell ref="I21:I23"/>
    <mergeCell ref="I39:I41"/>
    <mergeCell ref="I42:I44"/>
    <mergeCell ref="I24:I26"/>
    <mergeCell ref="I27:I29"/>
    <mergeCell ref="I30:I32"/>
    <mergeCell ref="I33:I35"/>
    <mergeCell ref="I36:I38"/>
  </mergeCells>
  <printOptions horizontalCentered="1"/>
  <pageMargins left="0.12" right="0.13" top="0.18" bottom="0.15" header="0.13" footer="0.12"/>
  <pageSetup scale="73" orientation="landscape" horizontalDpi="360" verticalDpi="360" r:id="rId1"/>
  <ignoredErrors>
    <ignoredError sqref="G45:G46 G9:G10 G12:G13 G15:G16 G18:G19 G24:G25 G27:G28 G30 G33:G34 G36:G37 G39:G40 G42:G43 G21:G2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2" tint="-0.499984740745262"/>
    <pageSetUpPr fitToPage="1"/>
  </sheetPr>
  <dimension ref="A1:BH208"/>
  <sheetViews>
    <sheetView view="pageBreakPreview" zoomScale="68" zoomScaleNormal="70" zoomScaleSheetLayoutView="68" workbookViewId="0">
      <selection activeCell="O120" sqref="O120"/>
    </sheetView>
  </sheetViews>
  <sheetFormatPr defaultColWidth="9.140625" defaultRowHeight="30" customHeight="1"/>
  <cols>
    <col min="1" max="1" width="15.7109375" style="3" customWidth="1"/>
    <col min="2" max="2" width="11.28515625" style="3" customWidth="1"/>
    <col min="3" max="3" width="45.28515625" style="3" bestFit="1" customWidth="1"/>
    <col min="4" max="4" width="22.7109375" style="3" customWidth="1"/>
    <col min="5" max="5" width="22.7109375" style="442" customWidth="1"/>
    <col min="6" max="7" width="22.7109375" style="3" customWidth="1"/>
    <col min="8" max="8" width="28.140625" style="3" customWidth="1"/>
    <col min="9" max="9" width="22.7109375" style="3" customWidth="1"/>
    <col min="10" max="10" width="26" style="248" customWidth="1"/>
    <col min="11" max="11" width="40.28515625" style="4" customWidth="1"/>
    <col min="12" max="12" width="1.7109375" style="3" customWidth="1"/>
    <col min="13" max="15" width="25.7109375" style="149" customWidth="1"/>
    <col min="16" max="16" width="25.7109375" style="3" customWidth="1"/>
    <col min="17" max="16384" width="9.140625" style="3"/>
  </cols>
  <sheetData>
    <row r="1" spans="1:60" ht="30" customHeight="1" thickBot="1">
      <c r="K1" s="149"/>
    </row>
    <row r="2" spans="1:60" ht="39.950000000000003" customHeight="1">
      <c r="A2" s="827" t="s">
        <v>143</v>
      </c>
      <c r="B2" s="828"/>
      <c r="C2" s="828"/>
      <c r="D2" s="828"/>
      <c r="E2" s="828"/>
      <c r="F2" s="828"/>
      <c r="G2" s="828"/>
      <c r="H2" s="828"/>
      <c r="I2" s="828"/>
      <c r="J2" s="828"/>
      <c r="K2" s="829"/>
      <c r="P2" s="149"/>
    </row>
    <row r="3" spans="1:60" ht="39.950000000000003" customHeight="1" thickBot="1">
      <c r="A3" s="1006">
        <f>'VIP-DB'!B3</f>
        <v>44427</v>
      </c>
      <c r="B3" s="1007"/>
      <c r="C3" s="1007"/>
      <c r="D3" s="1007"/>
      <c r="E3" s="1007"/>
      <c r="F3" s="1007"/>
      <c r="G3" s="1007"/>
      <c r="H3" s="1007"/>
      <c r="I3" s="1007"/>
      <c r="J3" s="1007"/>
      <c r="K3" s="1008"/>
      <c r="M3" s="150" t="s">
        <v>161</v>
      </c>
    </row>
    <row r="5" spans="1:60" ht="39.950000000000003" customHeight="1">
      <c r="A5" s="995" t="s">
        <v>67</v>
      </c>
      <c r="B5" s="995"/>
      <c r="C5" s="995"/>
      <c r="D5" s="995"/>
      <c r="E5" s="995"/>
      <c r="F5" s="995"/>
      <c r="G5" s="995"/>
      <c r="H5" s="995"/>
      <c r="I5" s="995"/>
      <c r="J5" s="995"/>
      <c r="K5" s="995"/>
    </row>
    <row r="6" spans="1:60" s="5" customFormat="1" ht="33.75" customHeight="1">
      <c r="A6" s="1005" t="s">
        <v>53</v>
      </c>
      <c r="B6" s="1005"/>
      <c r="C6" s="1005"/>
      <c r="D6" s="151" t="s">
        <v>30</v>
      </c>
      <c r="E6" s="151" t="s">
        <v>27</v>
      </c>
      <c r="F6" s="151" t="s">
        <v>28</v>
      </c>
      <c r="G6" s="151" t="s">
        <v>29</v>
      </c>
      <c r="H6" s="151" t="s">
        <v>170</v>
      </c>
      <c r="I6" s="151" t="s">
        <v>31</v>
      </c>
      <c r="J6" s="249" t="s">
        <v>32</v>
      </c>
      <c r="K6" s="14" t="s">
        <v>6</v>
      </c>
      <c r="M6" s="721" t="s">
        <v>27</v>
      </c>
      <c r="N6" s="721" t="s">
        <v>28</v>
      </c>
      <c r="O6" s="721" t="s">
        <v>29</v>
      </c>
      <c r="P6" s="721" t="s">
        <v>84</v>
      </c>
    </row>
    <row r="7" spans="1:60" s="156" customFormat="1" ht="33.75" customHeight="1">
      <c r="A7" s="152" t="s">
        <v>9</v>
      </c>
      <c r="B7" s="153" t="s">
        <v>7</v>
      </c>
      <c r="C7" s="153" t="s">
        <v>5</v>
      </c>
      <c r="D7" s="154" t="s">
        <v>7</v>
      </c>
      <c r="E7" s="154" t="s">
        <v>7</v>
      </c>
      <c r="F7" s="154" t="s">
        <v>7</v>
      </c>
      <c r="G7" s="154" t="s">
        <v>7</v>
      </c>
      <c r="H7" s="154" t="s">
        <v>7</v>
      </c>
      <c r="I7" s="154" t="s">
        <v>7</v>
      </c>
      <c r="J7" s="250" t="s">
        <v>7</v>
      </c>
      <c r="K7" s="155" t="s">
        <v>5</v>
      </c>
      <c r="M7" s="173"/>
      <c r="N7" s="173"/>
      <c r="O7" s="173"/>
      <c r="P7" s="173"/>
    </row>
    <row r="8" spans="1:60" ht="33.75" hidden="1" customHeight="1">
      <c r="A8" s="722">
        <v>1000000</v>
      </c>
      <c r="B8" s="157"/>
      <c r="C8" s="179">
        <f t="shared" ref="C8:C15" si="0">A8*B8</f>
        <v>0</v>
      </c>
      <c r="D8" s="238"/>
      <c r="E8" s="168"/>
      <c r="F8" s="238"/>
      <c r="G8" s="238"/>
      <c r="H8" s="238"/>
      <c r="I8" s="238"/>
      <c r="J8" s="251">
        <f t="shared" ref="J8:J17" si="1">SUM(D8:I8)-B8</f>
        <v>0</v>
      </c>
      <c r="K8" s="6">
        <f t="shared" ref="K8:K17" si="2">A8*J8</f>
        <v>0</v>
      </c>
      <c r="M8" s="160">
        <f t="shared" ref="M8:M17" si="3">E8*A8</f>
        <v>0</v>
      </c>
      <c r="N8" s="160">
        <f>F8*A8</f>
        <v>0</v>
      </c>
      <c r="O8" s="160">
        <f>G8*A8</f>
        <v>0</v>
      </c>
      <c r="P8" s="160">
        <f>H8*B8</f>
        <v>0</v>
      </c>
      <c r="Q8" s="5"/>
      <c r="BH8" s="3">
        <v>42</v>
      </c>
    </row>
    <row r="9" spans="1:60" ht="33.75" hidden="1" customHeight="1">
      <c r="A9" s="722">
        <v>500000</v>
      </c>
      <c r="B9" s="161"/>
      <c r="C9" s="179">
        <f t="shared" si="0"/>
        <v>0</v>
      </c>
      <c r="D9" s="238"/>
      <c r="E9" s="168"/>
      <c r="F9" s="238"/>
      <c r="G9" s="238"/>
      <c r="H9" s="238"/>
      <c r="I9" s="238"/>
      <c r="J9" s="251">
        <f t="shared" si="1"/>
        <v>0</v>
      </c>
      <c r="K9" s="6">
        <f t="shared" si="2"/>
        <v>0</v>
      </c>
      <c r="M9" s="160">
        <f t="shared" si="3"/>
        <v>0</v>
      </c>
      <c r="N9" s="160">
        <f>F9*A9</f>
        <v>0</v>
      </c>
      <c r="O9" s="160">
        <f t="shared" ref="O9:O17" si="4">G9*A9</f>
        <v>0</v>
      </c>
      <c r="P9" s="160">
        <f t="shared" ref="P9:P17" si="5">H9*B9</f>
        <v>0</v>
      </c>
    </row>
    <row r="10" spans="1:60" ht="33.75" hidden="1" customHeight="1">
      <c r="A10" s="722">
        <v>100000</v>
      </c>
      <c r="B10" s="161"/>
      <c r="C10" s="179">
        <f t="shared" si="0"/>
        <v>0</v>
      </c>
      <c r="D10" s="238"/>
      <c r="E10" s="168"/>
      <c r="F10" s="238"/>
      <c r="G10" s="238"/>
      <c r="H10" s="238"/>
      <c r="I10" s="238"/>
      <c r="J10" s="251">
        <f t="shared" si="1"/>
        <v>0</v>
      </c>
      <c r="K10" s="6">
        <f t="shared" si="2"/>
        <v>0</v>
      </c>
      <c r="M10" s="160">
        <f t="shared" si="3"/>
        <v>0</v>
      </c>
      <c r="N10" s="160">
        <f t="shared" ref="N10:N17" si="6">F10*A10</f>
        <v>0</v>
      </c>
      <c r="O10" s="160">
        <f t="shared" si="4"/>
        <v>0</v>
      </c>
      <c r="P10" s="160">
        <f t="shared" si="5"/>
        <v>0</v>
      </c>
    </row>
    <row r="11" spans="1:60" ht="33.75" hidden="1" customHeight="1">
      <c r="A11" s="722">
        <v>50000</v>
      </c>
      <c r="B11" s="161"/>
      <c r="C11" s="179">
        <f t="shared" si="0"/>
        <v>0</v>
      </c>
      <c r="D11" s="238"/>
      <c r="E11" s="168"/>
      <c r="F11" s="238"/>
      <c r="G11" s="238"/>
      <c r="H11" s="238"/>
      <c r="I11" s="238"/>
      <c r="J11" s="251">
        <f t="shared" si="1"/>
        <v>0</v>
      </c>
      <c r="K11" s="6">
        <f t="shared" si="2"/>
        <v>0</v>
      </c>
      <c r="M11" s="160">
        <f t="shared" si="3"/>
        <v>0</v>
      </c>
      <c r="N11" s="160">
        <f t="shared" si="6"/>
        <v>0</v>
      </c>
      <c r="O11" s="160">
        <f t="shared" si="4"/>
        <v>0</v>
      </c>
      <c r="P11" s="160">
        <f t="shared" si="5"/>
        <v>0</v>
      </c>
    </row>
    <row r="12" spans="1:60" ht="33.75" hidden="1" customHeight="1">
      <c r="A12" s="722">
        <v>10000</v>
      </c>
      <c r="B12" s="161"/>
      <c r="C12" s="179">
        <f t="shared" si="0"/>
        <v>0</v>
      </c>
      <c r="D12" s="238"/>
      <c r="E12" s="168"/>
      <c r="F12" s="238"/>
      <c r="G12" s="238"/>
      <c r="H12" s="238"/>
      <c r="I12" s="238"/>
      <c r="J12" s="252">
        <f t="shared" si="1"/>
        <v>0</v>
      </c>
      <c r="K12" s="6">
        <f t="shared" si="2"/>
        <v>0</v>
      </c>
      <c r="M12" s="160">
        <f t="shared" si="3"/>
        <v>0</v>
      </c>
      <c r="N12" s="160">
        <f t="shared" si="6"/>
        <v>0</v>
      </c>
      <c r="O12" s="160">
        <f t="shared" si="4"/>
        <v>0</v>
      </c>
      <c r="P12" s="160">
        <f t="shared" si="5"/>
        <v>0</v>
      </c>
    </row>
    <row r="13" spans="1:60" ht="33.75" hidden="1" customHeight="1">
      <c r="A13" s="722">
        <v>5000</v>
      </c>
      <c r="B13" s="161"/>
      <c r="C13" s="179">
        <f t="shared" si="0"/>
        <v>0</v>
      </c>
      <c r="D13" s="238"/>
      <c r="E13" s="168"/>
      <c r="F13" s="238"/>
      <c r="G13" s="238"/>
      <c r="H13" s="238"/>
      <c r="I13" s="238"/>
      <c r="J13" s="257">
        <f t="shared" si="1"/>
        <v>0</v>
      </c>
      <c r="K13" s="6">
        <f t="shared" si="2"/>
        <v>0</v>
      </c>
      <c r="M13" s="160">
        <f t="shared" si="3"/>
        <v>0</v>
      </c>
      <c r="N13" s="160">
        <f t="shared" si="6"/>
        <v>0</v>
      </c>
      <c r="O13" s="160">
        <f t="shared" si="4"/>
        <v>0</v>
      </c>
      <c r="P13" s="160">
        <f t="shared" si="5"/>
        <v>0</v>
      </c>
    </row>
    <row r="14" spans="1:60" ht="33.75" hidden="1" customHeight="1">
      <c r="A14" s="722">
        <v>1000</v>
      </c>
      <c r="B14" s="161"/>
      <c r="C14" s="179">
        <f t="shared" si="0"/>
        <v>0</v>
      </c>
      <c r="D14" s="238"/>
      <c r="E14" s="168"/>
      <c r="F14" s="238"/>
      <c r="G14" s="238"/>
      <c r="H14" s="238"/>
      <c r="I14" s="238"/>
      <c r="J14" s="257">
        <f t="shared" si="1"/>
        <v>0</v>
      </c>
      <c r="K14" s="6">
        <f t="shared" si="2"/>
        <v>0</v>
      </c>
      <c r="M14" s="160">
        <f t="shared" si="3"/>
        <v>0</v>
      </c>
      <c r="N14" s="160">
        <f t="shared" si="6"/>
        <v>0</v>
      </c>
      <c r="O14" s="160">
        <f t="shared" si="4"/>
        <v>0</v>
      </c>
      <c r="P14" s="160">
        <f t="shared" si="5"/>
        <v>0</v>
      </c>
    </row>
    <row r="15" spans="1:60" ht="33.75" hidden="1" customHeight="1">
      <c r="A15" s="722">
        <v>500</v>
      </c>
      <c r="B15" s="161"/>
      <c r="C15" s="179">
        <f t="shared" si="0"/>
        <v>0</v>
      </c>
      <c r="D15" s="238"/>
      <c r="E15" s="168"/>
      <c r="F15" s="238"/>
      <c r="G15" s="238"/>
      <c r="H15" s="238"/>
      <c r="I15" s="238"/>
      <c r="J15" s="257">
        <f t="shared" si="1"/>
        <v>0</v>
      </c>
      <c r="K15" s="6">
        <f t="shared" si="2"/>
        <v>0</v>
      </c>
      <c r="M15" s="160">
        <f t="shared" si="3"/>
        <v>0</v>
      </c>
      <c r="N15" s="160">
        <f t="shared" si="6"/>
        <v>0</v>
      </c>
      <c r="O15" s="160">
        <f t="shared" si="4"/>
        <v>0</v>
      </c>
      <c r="P15" s="160">
        <f t="shared" si="5"/>
        <v>0</v>
      </c>
    </row>
    <row r="16" spans="1:60" ht="33.75" hidden="1" customHeight="1">
      <c r="A16" s="722">
        <v>100</v>
      </c>
      <c r="B16" s="161"/>
      <c r="C16" s="179">
        <f>A16*B16</f>
        <v>0</v>
      </c>
      <c r="D16" s="238"/>
      <c r="E16" s="168"/>
      <c r="F16" s="238"/>
      <c r="G16" s="238"/>
      <c r="H16" s="238"/>
      <c r="I16" s="238"/>
      <c r="J16" s="252">
        <f t="shared" si="1"/>
        <v>0</v>
      </c>
      <c r="K16" s="6">
        <f t="shared" si="2"/>
        <v>0</v>
      </c>
      <c r="M16" s="160">
        <f t="shared" si="3"/>
        <v>0</v>
      </c>
      <c r="N16" s="160">
        <f t="shared" si="6"/>
        <v>0</v>
      </c>
      <c r="O16" s="160">
        <f t="shared" si="4"/>
        <v>0</v>
      </c>
      <c r="P16" s="160">
        <f t="shared" si="5"/>
        <v>0</v>
      </c>
    </row>
    <row r="17" spans="1:18" ht="33.75" customHeight="1">
      <c r="A17" s="722">
        <v>25</v>
      </c>
      <c r="B17" s="161">
        <v>2</v>
      </c>
      <c r="C17" s="179">
        <f>A17*B17</f>
        <v>50</v>
      </c>
      <c r="D17" s="238"/>
      <c r="E17" s="168"/>
      <c r="F17" s="238"/>
      <c r="G17" s="238"/>
      <c r="H17" s="238"/>
      <c r="I17" s="238"/>
      <c r="J17" s="251">
        <f t="shared" si="1"/>
        <v>-2</v>
      </c>
      <c r="K17" s="370">
        <f t="shared" si="2"/>
        <v>-50</v>
      </c>
      <c r="M17" s="160">
        <f t="shared" si="3"/>
        <v>0</v>
      </c>
      <c r="N17" s="160">
        <f t="shared" si="6"/>
        <v>0</v>
      </c>
      <c r="O17" s="160">
        <f t="shared" si="4"/>
        <v>0</v>
      </c>
      <c r="P17" s="160">
        <f t="shared" si="5"/>
        <v>0</v>
      </c>
    </row>
    <row r="18" spans="1:18" ht="39.950000000000003" customHeight="1">
      <c r="A18" s="162"/>
      <c r="B18" s="163" t="s">
        <v>73</v>
      </c>
      <c r="C18" s="745">
        <f t="shared" ref="C18:I18" si="7">SUM(C8:C17)</f>
        <v>50</v>
      </c>
      <c r="D18" s="177">
        <f t="shared" si="7"/>
        <v>0</v>
      </c>
      <c r="E18" s="164">
        <f>SUM(E8:E17)</f>
        <v>0</v>
      </c>
      <c r="F18" s="223">
        <f>SUM(F8:F17)</f>
        <v>0</v>
      </c>
      <c r="G18" s="223">
        <f t="shared" si="7"/>
        <v>0</v>
      </c>
      <c r="H18" s="177">
        <f t="shared" si="7"/>
        <v>0</v>
      </c>
      <c r="I18" s="177">
        <f t="shared" si="7"/>
        <v>0</v>
      </c>
      <c r="J18" s="253">
        <f>SUM(J8:J17)</f>
        <v>-2</v>
      </c>
      <c r="K18" s="371">
        <f>SUM(K8:K17)</f>
        <v>-50</v>
      </c>
      <c r="M18" s="160">
        <f>SUM(M8:M17)</f>
        <v>0</v>
      </c>
      <c r="N18" s="160">
        <f>SUM(N8:N17)</f>
        <v>0</v>
      </c>
      <c r="O18" s="160">
        <f>SUM(O8:O17)</f>
        <v>0</v>
      </c>
      <c r="P18" s="160">
        <f>SUM(P8:P17)</f>
        <v>0</v>
      </c>
      <c r="Q18" s="166"/>
      <c r="R18" s="166"/>
    </row>
    <row r="19" spans="1:18" ht="18" hidden="1"/>
    <row r="20" spans="1:18" ht="45" hidden="1" customHeight="1">
      <c r="A20" s="995" t="s">
        <v>68</v>
      </c>
      <c r="B20" s="995"/>
      <c r="C20" s="995"/>
      <c r="D20" s="995"/>
      <c r="E20" s="995"/>
      <c r="F20" s="995"/>
      <c r="G20" s="995"/>
      <c r="H20" s="995"/>
      <c r="I20" s="995"/>
      <c r="J20" s="995"/>
      <c r="K20" s="995"/>
    </row>
    <row r="21" spans="1:18" s="5" customFormat="1" ht="45" hidden="1" customHeight="1">
      <c r="A21" s="1005" t="s">
        <v>53</v>
      </c>
      <c r="B21" s="1005"/>
      <c r="C21" s="1005"/>
      <c r="D21" s="151" t="s">
        <v>30</v>
      </c>
      <c r="E21" s="151" t="s">
        <v>27</v>
      </c>
      <c r="F21" s="151" t="s">
        <v>28</v>
      </c>
      <c r="G21" s="151" t="s">
        <v>29</v>
      </c>
      <c r="H21" s="151" t="s">
        <v>170</v>
      </c>
      <c r="I21" s="151" t="s">
        <v>31</v>
      </c>
      <c r="J21" s="249" t="s">
        <v>32</v>
      </c>
      <c r="K21" s="14" t="s">
        <v>6</v>
      </c>
      <c r="M21" s="721" t="s">
        <v>27</v>
      </c>
      <c r="N21" s="721" t="s">
        <v>28</v>
      </c>
      <c r="O21" s="721" t="s">
        <v>29</v>
      </c>
      <c r="P21" s="721" t="s">
        <v>84</v>
      </c>
    </row>
    <row r="22" spans="1:18" s="156" customFormat="1" ht="39.950000000000003" hidden="1" customHeight="1">
      <c r="A22" s="152" t="s">
        <v>9</v>
      </c>
      <c r="B22" s="153" t="s">
        <v>7</v>
      </c>
      <c r="C22" s="153" t="s">
        <v>5</v>
      </c>
      <c r="D22" s="154" t="s">
        <v>7</v>
      </c>
      <c r="E22" s="154" t="s">
        <v>7</v>
      </c>
      <c r="F22" s="154" t="s">
        <v>7</v>
      </c>
      <c r="G22" s="154" t="s">
        <v>7</v>
      </c>
      <c r="H22" s="154" t="s">
        <v>7</v>
      </c>
      <c r="I22" s="154" t="s">
        <v>7</v>
      </c>
      <c r="J22" s="250" t="s">
        <v>7</v>
      </c>
      <c r="K22" s="155" t="s">
        <v>5</v>
      </c>
      <c r="M22" s="173"/>
      <c r="N22" s="173"/>
      <c r="O22" s="173"/>
      <c r="P22" s="166"/>
    </row>
    <row r="23" spans="1:18" ht="39.950000000000003" hidden="1" customHeight="1">
      <c r="A23" s="722">
        <v>1000000</v>
      </c>
      <c r="B23" s="167"/>
      <c r="C23" s="179">
        <f t="shared" ref="C23:C30" si="8">A23*B23</f>
        <v>0</v>
      </c>
      <c r="D23" s="238"/>
      <c r="E23" s="168"/>
      <c r="F23" s="238"/>
      <c r="G23" s="238"/>
      <c r="H23" s="238"/>
      <c r="I23" s="238"/>
      <c r="J23" s="256">
        <f t="shared" ref="J23:J30" si="9">SUM(D23:I23)-B23</f>
        <v>0</v>
      </c>
      <c r="K23" s="6">
        <f t="shared" ref="K23:K30" si="10">A23*J23</f>
        <v>0</v>
      </c>
      <c r="M23" s="160">
        <f t="shared" ref="M23:M30" si="11">E23*A23</f>
        <v>0</v>
      </c>
      <c r="N23" s="160">
        <f t="shared" ref="N23:N30" si="12">F23*A23</f>
        <v>0</v>
      </c>
      <c r="O23" s="160">
        <f>G23*A23</f>
        <v>0</v>
      </c>
      <c r="P23" s="160">
        <f>H23*B23</f>
        <v>0</v>
      </c>
    </row>
    <row r="24" spans="1:18" ht="39.950000000000003" hidden="1" customHeight="1">
      <c r="A24" s="722">
        <v>500000</v>
      </c>
      <c r="B24" s="168"/>
      <c r="C24" s="179">
        <f t="shared" si="8"/>
        <v>0</v>
      </c>
      <c r="D24" s="238"/>
      <c r="E24" s="168"/>
      <c r="F24" s="238"/>
      <c r="G24" s="238"/>
      <c r="H24" s="238"/>
      <c r="I24" s="238"/>
      <c r="J24" s="251">
        <f t="shared" si="9"/>
        <v>0</v>
      </c>
      <c r="K24" s="6">
        <f t="shared" si="10"/>
        <v>0</v>
      </c>
      <c r="M24" s="160">
        <f t="shared" si="11"/>
        <v>0</v>
      </c>
      <c r="N24" s="160">
        <f t="shared" si="12"/>
        <v>0</v>
      </c>
      <c r="O24" s="160">
        <f t="shared" ref="O24:O30" si="13">G24*A24</f>
        <v>0</v>
      </c>
      <c r="P24" s="160">
        <f t="shared" ref="P24:P30" si="14">H24*B24</f>
        <v>0</v>
      </c>
    </row>
    <row r="25" spans="1:18" ht="39.950000000000003" hidden="1" customHeight="1">
      <c r="A25" s="722">
        <v>100000</v>
      </c>
      <c r="B25" s="168"/>
      <c r="C25" s="179">
        <f t="shared" si="8"/>
        <v>0</v>
      </c>
      <c r="D25" s="238"/>
      <c r="E25" s="168"/>
      <c r="F25" s="238"/>
      <c r="G25" s="238"/>
      <c r="H25" s="238"/>
      <c r="I25" s="238"/>
      <c r="J25" s="251">
        <f t="shared" si="9"/>
        <v>0</v>
      </c>
      <c r="K25" s="6">
        <f t="shared" si="10"/>
        <v>0</v>
      </c>
      <c r="M25" s="160">
        <f t="shared" si="11"/>
        <v>0</v>
      </c>
      <c r="N25" s="160">
        <f t="shared" si="12"/>
        <v>0</v>
      </c>
      <c r="O25" s="160">
        <f t="shared" si="13"/>
        <v>0</v>
      </c>
      <c r="P25" s="160">
        <f t="shared" si="14"/>
        <v>0</v>
      </c>
    </row>
    <row r="26" spans="1:18" ht="39.950000000000003" hidden="1" customHeight="1">
      <c r="A26" s="722">
        <v>50000</v>
      </c>
      <c r="B26" s="168"/>
      <c r="C26" s="179">
        <f t="shared" si="8"/>
        <v>0</v>
      </c>
      <c r="D26" s="238"/>
      <c r="E26" s="168"/>
      <c r="F26" s="238"/>
      <c r="G26" s="238"/>
      <c r="H26" s="238"/>
      <c r="I26" s="238"/>
      <c r="J26" s="251">
        <f t="shared" si="9"/>
        <v>0</v>
      </c>
      <c r="K26" s="6">
        <f t="shared" si="10"/>
        <v>0</v>
      </c>
      <c r="M26" s="160">
        <f t="shared" si="11"/>
        <v>0</v>
      </c>
      <c r="N26" s="160">
        <f t="shared" si="12"/>
        <v>0</v>
      </c>
      <c r="O26" s="160">
        <f t="shared" si="13"/>
        <v>0</v>
      </c>
      <c r="P26" s="160">
        <f t="shared" si="14"/>
        <v>0</v>
      </c>
    </row>
    <row r="27" spans="1:18" ht="39.950000000000003" hidden="1" customHeight="1">
      <c r="A27" s="722">
        <v>10000</v>
      </c>
      <c r="B27" s="168"/>
      <c r="C27" s="179">
        <f t="shared" si="8"/>
        <v>0</v>
      </c>
      <c r="D27" s="238"/>
      <c r="E27" s="168"/>
      <c r="F27" s="238"/>
      <c r="G27" s="238"/>
      <c r="H27" s="238"/>
      <c r="I27" s="238"/>
      <c r="J27" s="251">
        <f t="shared" si="9"/>
        <v>0</v>
      </c>
      <c r="K27" s="6">
        <f t="shared" si="10"/>
        <v>0</v>
      </c>
      <c r="M27" s="160">
        <f t="shared" si="11"/>
        <v>0</v>
      </c>
      <c r="N27" s="160">
        <f t="shared" si="12"/>
        <v>0</v>
      </c>
      <c r="O27" s="160">
        <f t="shared" si="13"/>
        <v>0</v>
      </c>
      <c r="P27" s="160">
        <f t="shared" si="14"/>
        <v>0</v>
      </c>
    </row>
    <row r="28" spans="1:18" ht="39.950000000000003" hidden="1" customHeight="1">
      <c r="A28" s="722">
        <v>5000</v>
      </c>
      <c r="B28" s="168"/>
      <c r="C28" s="179">
        <f t="shared" si="8"/>
        <v>0</v>
      </c>
      <c r="D28" s="238"/>
      <c r="E28" s="168"/>
      <c r="F28" s="238"/>
      <c r="G28" s="238"/>
      <c r="H28" s="238"/>
      <c r="I28" s="238"/>
      <c r="J28" s="251">
        <f t="shared" si="9"/>
        <v>0</v>
      </c>
      <c r="K28" s="6">
        <f t="shared" si="10"/>
        <v>0</v>
      </c>
      <c r="M28" s="160">
        <f t="shared" si="11"/>
        <v>0</v>
      </c>
      <c r="N28" s="160">
        <f t="shared" si="12"/>
        <v>0</v>
      </c>
      <c r="O28" s="160">
        <f t="shared" si="13"/>
        <v>0</v>
      </c>
      <c r="P28" s="160">
        <f t="shared" si="14"/>
        <v>0</v>
      </c>
    </row>
    <row r="29" spans="1:18" ht="39.950000000000003" hidden="1" customHeight="1">
      <c r="A29" s="722">
        <v>1000</v>
      </c>
      <c r="B29" s="168"/>
      <c r="C29" s="179">
        <f t="shared" si="8"/>
        <v>0</v>
      </c>
      <c r="D29" s="238"/>
      <c r="E29" s="168"/>
      <c r="F29" s="238"/>
      <c r="G29" s="238"/>
      <c r="H29" s="238"/>
      <c r="I29" s="238"/>
      <c r="J29" s="251">
        <f t="shared" si="9"/>
        <v>0</v>
      </c>
      <c r="K29" s="6">
        <f t="shared" si="10"/>
        <v>0</v>
      </c>
      <c r="M29" s="160">
        <f t="shared" si="11"/>
        <v>0</v>
      </c>
      <c r="N29" s="160">
        <f t="shared" si="12"/>
        <v>0</v>
      </c>
      <c r="O29" s="160">
        <f t="shared" si="13"/>
        <v>0</v>
      </c>
      <c r="P29" s="160">
        <f t="shared" si="14"/>
        <v>0</v>
      </c>
    </row>
    <row r="30" spans="1:18" ht="39.950000000000003" hidden="1" customHeight="1">
      <c r="A30" s="722">
        <v>500</v>
      </c>
      <c r="B30" s="168"/>
      <c r="C30" s="179">
        <f t="shared" si="8"/>
        <v>0</v>
      </c>
      <c r="D30" s="238"/>
      <c r="E30" s="168"/>
      <c r="F30" s="238"/>
      <c r="G30" s="238"/>
      <c r="H30" s="238"/>
      <c r="I30" s="238"/>
      <c r="J30" s="251">
        <f t="shared" si="9"/>
        <v>0</v>
      </c>
      <c r="K30" s="6">
        <f t="shared" si="10"/>
        <v>0</v>
      </c>
      <c r="M30" s="160">
        <f t="shared" si="11"/>
        <v>0</v>
      </c>
      <c r="N30" s="160">
        <f t="shared" si="12"/>
        <v>0</v>
      </c>
      <c r="O30" s="160">
        <f t="shared" si="13"/>
        <v>0</v>
      </c>
      <c r="P30" s="160">
        <f t="shared" si="14"/>
        <v>0</v>
      </c>
    </row>
    <row r="31" spans="1:18" ht="19.5" hidden="1">
      <c r="A31" s="162"/>
      <c r="B31" s="163" t="s">
        <v>73</v>
      </c>
      <c r="C31" s="745">
        <f>SUM(C23:C30)</f>
        <v>0</v>
      </c>
      <c r="D31" s="177">
        <f>SUM(D23:D30)</f>
        <v>0</v>
      </c>
      <c r="E31" s="164">
        <f>SUM(E23:E30)</f>
        <v>0</v>
      </c>
      <c r="F31" s="725"/>
      <c r="G31" s="725"/>
      <c r="H31" s="725"/>
      <c r="I31" s="725"/>
      <c r="J31" s="253">
        <f>SUM(J23:J30)</f>
        <v>0</v>
      </c>
      <c r="K31" s="165">
        <f>SUM(K23:K30)</f>
        <v>0</v>
      </c>
      <c r="M31" s="160">
        <f>SUM(M23:M30)</f>
        <v>0</v>
      </c>
      <c r="N31" s="160">
        <f>SUM(N23:N30)</f>
        <v>0</v>
      </c>
      <c r="O31" s="160">
        <f>SUM(O23:O30)</f>
        <v>0</v>
      </c>
      <c r="P31" s="160">
        <f>SUM(P23:P30)</f>
        <v>0</v>
      </c>
    </row>
    <row r="32" spans="1:18" ht="19.5" hidden="1">
      <c r="A32" s="169"/>
      <c r="B32" s="169"/>
      <c r="C32" s="169"/>
      <c r="D32" s="170"/>
      <c r="E32" s="170"/>
      <c r="F32" s="170"/>
      <c r="G32" s="170"/>
      <c r="H32" s="170"/>
      <c r="I32" s="170"/>
      <c r="J32" s="254"/>
      <c r="K32" s="171"/>
      <c r="M32" s="172"/>
      <c r="N32" s="172"/>
      <c r="O32" s="172"/>
    </row>
    <row r="33" spans="1:16" ht="22.5" hidden="1">
      <c r="A33" s="995" t="s">
        <v>69</v>
      </c>
      <c r="B33" s="995"/>
      <c r="C33" s="995"/>
      <c r="D33" s="995"/>
      <c r="E33" s="995"/>
      <c r="F33" s="995"/>
      <c r="G33" s="995"/>
      <c r="H33" s="995"/>
      <c r="I33" s="995"/>
      <c r="J33" s="995"/>
      <c r="K33" s="995"/>
      <c r="M33" s="173"/>
      <c r="N33" s="173"/>
      <c r="O33" s="173"/>
    </row>
    <row r="34" spans="1:16" s="5" customFormat="1" ht="36" hidden="1">
      <c r="A34" s="1005" t="s">
        <v>53</v>
      </c>
      <c r="B34" s="1005"/>
      <c r="C34" s="1005"/>
      <c r="D34" s="151" t="s">
        <v>30</v>
      </c>
      <c r="E34" s="151" t="s">
        <v>27</v>
      </c>
      <c r="F34" s="151" t="s">
        <v>28</v>
      </c>
      <c r="G34" s="151" t="s">
        <v>29</v>
      </c>
      <c r="H34" s="151" t="s">
        <v>170</v>
      </c>
      <c r="I34" s="151" t="s">
        <v>31</v>
      </c>
      <c r="J34" s="249" t="s">
        <v>32</v>
      </c>
      <c r="K34" s="14" t="s">
        <v>6</v>
      </c>
      <c r="M34" s="721" t="s">
        <v>27</v>
      </c>
      <c r="N34" s="721" t="s">
        <v>28</v>
      </c>
      <c r="O34" s="721" t="s">
        <v>29</v>
      </c>
      <c r="P34" s="721" t="s">
        <v>84</v>
      </c>
    </row>
    <row r="35" spans="1:16" s="156" customFormat="1" ht="18" hidden="1">
      <c r="A35" s="152" t="s">
        <v>9</v>
      </c>
      <c r="B35" s="153" t="s">
        <v>7</v>
      </c>
      <c r="C35" s="153" t="s">
        <v>5</v>
      </c>
      <c r="D35" s="154" t="s">
        <v>7</v>
      </c>
      <c r="E35" s="154" t="s">
        <v>7</v>
      </c>
      <c r="F35" s="154" t="s">
        <v>7</v>
      </c>
      <c r="G35" s="154" t="s">
        <v>7</v>
      </c>
      <c r="H35" s="154" t="s">
        <v>7</v>
      </c>
      <c r="I35" s="154" t="s">
        <v>7</v>
      </c>
      <c r="J35" s="250" t="s">
        <v>7</v>
      </c>
      <c r="K35" s="155" t="s">
        <v>5</v>
      </c>
      <c r="M35" s="173"/>
      <c r="N35" s="173"/>
      <c r="O35" s="173"/>
      <c r="P35" s="173"/>
    </row>
    <row r="36" spans="1:16" ht="18" hidden="1">
      <c r="A36" s="722">
        <v>1000000</v>
      </c>
      <c r="B36" s="167"/>
      <c r="C36" s="179">
        <f t="shared" ref="C36:C46" si="15">A36*B36</f>
        <v>0</v>
      </c>
      <c r="D36" s="238"/>
      <c r="E36" s="168"/>
      <c r="F36" s="238"/>
      <c r="G36" s="238"/>
      <c r="H36" s="238"/>
      <c r="I36" s="238"/>
      <c r="J36" s="251">
        <f t="shared" ref="J36:J41" si="16">SUM(D36:I36)-B36</f>
        <v>0</v>
      </c>
      <c r="K36" s="6">
        <f t="shared" ref="K36:K41" si="17">A36*J36</f>
        <v>0</v>
      </c>
      <c r="M36" s="160">
        <f t="shared" ref="M36:M46" si="18">E36*A36</f>
        <v>0</v>
      </c>
      <c r="N36" s="160">
        <f t="shared" ref="N36:N46" si="19">F36*A36</f>
        <v>0</v>
      </c>
      <c r="O36" s="160">
        <f>G36*A36</f>
        <v>0</v>
      </c>
      <c r="P36" s="160">
        <f>H36*B36</f>
        <v>0</v>
      </c>
    </row>
    <row r="37" spans="1:16" ht="18" hidden="1">
      <c r="A37" s="722">
        <v>500000</v>
      </c>
      <c r="B37" s="168"/>
      <c r="C37" s="179">
        <f t="shared" si="15"/>
        <v>0</v>
      </c>
      <c r="D37" s="238"/>
      <c r="E37" s="168"/>
      <c r="F37" s="238"/>
      <c r="G37" s="238"/>
      <c r="H37" s="238"/>
      <c r="I37" s="238"/>
      <c r="J37" s="251">
        <f t="shared" si="16"/>
        <v>0</v>
      </c>
      <c r="K37" s="6">
        <f t="shared" si="17"/>
        <v>0</v>
      </c>
      <c r="M37" s="160">
        <f t="shared" si="18"/>
        <v>0</v>
      </c>
      <c r="N37" s="160">
        <f t="shared" si="19"/>
        <v>0</v>
      </c>
      <c r="O37" s="160">
        <f t="shared" ref="O37:O46" si="20">G37*A37</f>
        <v>0</v>
      </c>
      <c r="P37" s="160">
        <f t="shared" ref="P37:P46" si="21">H37*B37</f>
        <v>0</v>
      </c>
    </row>
    <row r="38" spans="1:16" ht="18" hidden="1">
      <c r="A38" s="722">
        <v>100000</v>
      </c>
      <c r="B38" s="168"/>
      <c r="C38" s="179">
        <f t="shared" si="15"/>
        <v>0</v>
      </c>
      <c r="D38" s="238"/>
      <c r="E38" s="168"/>
      <c r="F38" s="238"/>
      <c r="G38" s="238"/>
      <c r="H38" s="238"/>
      <c r="I38" s="238"/>
      <c r="J38" s="251">
        <f t="shared" si="16"/>
        <v>0</v>
      </c>
      <c r="K38" s="6">
        <f t="shared" si="17"/>
        <v>0</v>
      </c>
      <c r="M38" s="160">
        <f t="shared" si="18"/>
        <v>0</v>
      </c>
      <c r="N38" s="160">
        <f t="shared" si="19"/>
        <v>0</v>
      </c>
      <c r="O38" s="160">
        <f t="shared" si="20"/>
        <v>0</v>
      </c>
      <c r="P38" s="160">
        <f t="shared" si="21"/>
        <v>0</v>
      </c>
    </row>
    <row r="39" spans="1:16" ht="18" hidden="1">
      <c r="A39" s="722">
        <v>50000</v>
      </c>
      <c r="B39" s="168"/>
      <c r="C39" s="179">
        <f t="shared" si="15"/>
        <v>0</v>
      </c>
      <c r="D39" s="238"/>
      <c r="E39" s="168"/>
      <c r="F39" s="238"/>
      <c r="G39" s="238"/>
      <c r="H39" s="238"/>
      <c r="I39" s="238"/>
      <c r="J39" s="251">
        <f t="shared" si="16"/>
        <v>0</v>
      </c>
      <c r="K39" s="6">
        <f t="shared" si="17"/>
        <v>0</v>
      </c>
      <c r="M39" s="160">
        <f t="shared" si="18"/>
        <v>0</v>
      </c>
      <c r="N39" s="160">
        <f t="shared" si="19"/>
        <v>0</v>
      </c>
      <c r="O39" s="160">
        <f t="shared" si="20"/>
        <v>0</v>
      </c>
      <c r="P39" s="160">
        <f t="shared" si="21"/>
        <v>0</v>
      </c>
    </row>
    <row r="40" spans="1:16" ht="18" hidden="1">
      <c r="A40" s="722">
        <v>10000</v>
      </c>
      <c r="B40" s="168"/>
      <c r="C40" s="179">
        <f t="shared" si="15"/>
        <v>0</v>
      </c>
      <c r="D40" s="238"/>
      <c r="E40" s="168"/>
      <c r="F40" s="238"/>
      <c r="G40" s="238"/>
      <c r="H40" s="238"/>
      <c r="I40" s="238"/>
      <c r="J40" s="251">
        <f t="shared" si="16"/>
        <v>0</v>
      </c>
      <c r="K40" s="6">
        <f t="shared" si="17"/>
        <v>0</v>
      </c>
      <c r="M40" s="160">
        <f t="shared" si="18"/>
        <v>0</v>
      </c>
      <c r="N40" s="160">
        <f t="shared" si="19"/>
        <v>0</v>
      </c>
      <c r="O40" s="160">
        <f t="shared" si="20"/>
        <v>0</v>
      </c>
      <c r="P40" s="160">
        <f t="shared" si="21"/>
        <v>0</v>
      </c>
    </row>
    <row r="41" spans="1:16" ht="18" hidden="1">
      <c r="A41" s="722">
        <v>5000</v>
      </c>
      <c r="B41" s="168"/>
      <c r="C41" s="179">
        <f t="shared" si="15"/>
        <v>0</v>
      </c>
      <c r="D41" s="238"/>
      <c r="E41" s="168"/>
      <c r="F41" s="238"/>
      <c r="G41" s="238"/>
      <c r="H41" s="238"/>
      <c r="I41" s="238"/>
      <c r="J41" s="251">
        <f t="shared" si="16"/>
        <v>0</v>
      </c>
      <c r="K41" s="6">
        <f t="shared" si="17"/>
        <v>0</v>
      </c>
      <c r="M41" s="160">
        <f t="shared" si="18"/>
        <v>0</v>
      </c>
      <c r="N41" s="160">
        <f t="shared" si="19"/>
        <v>0</v>
      </c>
      <c r="O41" s="160">
        <f t="shared" si="20"/>
        <v>0</v>
      </c>
      <c r="P41" s="160">
        <f t="shared" si="21"/>
        <v>0</v>
      </c>
    </row>
    <row r="42" spans="1:16" ht="18" hidden="1">
      <c r="A42" s="722">
        <v>1000</v>
      </c>
      <c r="B42" s="168"/>
      <c r="C42" s="179">
        <f t="shared" si="15"/>
        <v>0</v>
      </c>
      <c r="D42" s="238"/>
      <c r="E42" s="168"/>
      <c r="F42" s="238"/>
      <c r="G42" s="238"/>
      <c r="H42" s="238"/>
      <c r="I42" s="238"/>
      <c r="J42" s="723"/>
      <c r="K42" s="724"/>
      <c r="M42" s="160">
        <f t="shared" si="18"/>
        <v>0</v>
      </c>
      <c r="N42" s="160">
        <f t="shared" si="19"/>
        <v>0</v>
      </c>
      <c r="O42" s="160">
        <f t="shared" si="20"/>
        <v>0</v>
      </c>
      <c r="P42" s="160">
        <f t="shared" si="21"/>
        <v>0</v>
      </c>
    </row>
    <row r="43" spans="1:16" ht="18" hidden="1">
      <c r="A43" s="722">
        <v>500</v>
      </c>
      <c r="B43" s="168"/>
      <c r="C43" s="179">
        <f t="shared" si="15"/>
        <v>0</v>
      </c>
      <c r="D43" s="238"/>
      <c r="E43" s="168"/>
      <c r="F43" s="238"/>
      <c r="G43" s="238"/>
      <c r="H43" s="238"/>
      <c r="I43" s="238"/>
      <c r="J43" s="723"/>
      <c r="K43" s="724"/>
      <c r="M43" s="160">
        <f t="shared" si="18"/>
        <v>0</v>
      </c>
      <c r="N43" s="160">
        <f t="shared" si="19"/>
        <v>0</v>
      </c>
      <c r="O43" s="160">
        <f t="shared" si="20"/>
        <v>0</v>
      </c>
      <c r="P43" s="160">
        <f t="shared" si="21"/>
        <v>0</v>
      </c>
    </row>
    <row r="44" spans="1:16" ht="18" hidden="1">
      <c r="A44" s="722">
        <v>100</v>
      </c>
      <c r="B44" s="168"/>
      <c r="C44" s="179">
        <f t="shared" si="15"/>
        <v>0</v>
      </c>
      <c r="D44" s="238"/>
      <c r="E44" s="168"/>
      <c r="F44" s="238"/>
      <c r="G44" s="238"/>
      <c r="H44" s="238"/>
      <c r="I44" s="238"/>
      <c r="J44" s="723"/>
      <c r="K44" s="724"/>
      <c r="M44" s="160">
        <f t="shared" si="18"/>
        <v>0</v>
      </c>
      <c r="N44" s="160">
        <f t="shared" si="19"/>
        <v>0</v>
      </c>
      <c r="O44" s="160">
        <f t="shared" si="20"/>
        <v>0</v>
      </c>
      <c r="P44" s="160">
        <f t="shared" si="21"/>
        <v>0</v>
      </c>
    </row>
    <row r="45" spans="1:16" ht="18" hidden="1">
      <c r="A45" s="722">
        <v>25</v>
      </c>
      <c r="B45" s="168"/>
      <c r="C45" s="179">
        <f t="shared" si="15"/>
        <v>0</v>
      </c>
      <c r="D45" s="238"/>
      <c r="E45" s="168"/>
      <c r="F45" s="238"/>
      <c r="G45" s="238"/>
      <c r="H45" s="238"/>
      <c r="I45" s="238"/>
      <c r="J45" s="723"/>
      <c r="K45" s="724"/>
      <c r="M45" s="160">
        <f t="shared" si="18"/>
        <v>0</v>
      </c>
      <c r="N45" s="160">
        <f t="shared" si="19"/>
        <v>0</v>
      </c>
      <c r="O45" s="160">
        <f t="shared" si="20"/>
        <v>0</v>
      </c>
      <c r="P45" s="160">
        <f t="shared" si="21"/>
        <v>0</v>
      </c>
    </row>
    <row r="46" spans="1:16" ht="18" hidden="1">
      <c r="A46" s="722">
        <v>5</v>
      </c>
      <c r="B46" s="240"/>
      <c r="C46" s="179">
        <f t="shared" si="15"/>
        <v>0</v>
      </c>
      <c r="D46" s="725"/>
      <c r="E46" s="168"/>
      <c r="F46" s="238"/>
      <c r="G46" s="238"/>
      <c r="H46" s="238"/>
      <c r="I46" s="238"/>
      <c r="J46" s="723"/>
      <c r="K46" s="724"/>
      <c r="M46" s="160">
        <f t="shared" si="18"/>
        <v>0</v>
      </c>
      <c r="N46" s="160">
        <f t="shared" si="19"/>
        <v>0</v>
      </c>
      <c r="O46" s="160">
        <f t="shared" si="20"/>
        <v>0</v>
      </c>
      <c r="P46" s="160">
        <f t="shared" si="21"/>
        <v>0</v>
      </c>
    </row>
    <row r="47" spans="1:16" ht="19.5" hidden="1">
      <c r="A47" s="162"/>
      <c r="B47" s="163" t="s">
        <v>73</v>
      </c>
      <c r="C47" s="180"/>
      <c r="D47" s="725"/>
      <c r="E47" s="164">
        <f>SUM(E36:E46)</f>
        <v>0</v>
      </c>
      <c r="F47" s="725"/>
      <c r="G47" s="725"/>
      <c r="H47" s="725"/>
      <c r="I47" s="725"/>
      <c r="J47" s="726"/>
      <c r="K47" s="727"/>
      <c r="M47" s="160">
        <f>SUM(M36:M46)</f>
        <v>0</v>
      </c>
      <c r="N47" s="160">
        <f>SUM(N36:N46)</f>
        <v>0</v>
      </c>
      <c r="O47" s="160">
        <f>SUM(O36:O46)</f>
        <v>0</v>
      </c>
      <c r="P47" s="160">
        <f>SUM(P36:P46)</f>
        <v>0</v>
      </c>
    </row>
    <row r="48" spans="1:16" ht="18" hidden="1">
      <c r="H48" s="3" t="s">
        <v>364</v>
      </c>
      <c r="J48" s="248">
        <v>736</v>
      </c>
      <c r="M48" s="172"/>
      <c r="N48" s="172"/>
      <c r="O48" s="172"/>
    </row>
    <row r="49" spans="1:16" ht="22.5" hidden="1">
      <c r="A49" s="995" t="s">
        <v>70</v>
      </c>
      <c r="B49" s="995"/>
      <c r="C49" s="995"/>
      <c r="D49" s="995"/>
      <c r="E49" s="995"/>
      <c r="F49" s="995"/>
      <c r="G49" s="995"/>
      <c r="H49" s="995"/>
      <c r="I49" s="995"/>
      <c r="J49" s="995"/>
      <c r="K49" s="995"/>
      <c r="M49" s="173"/>
      <c r="N49" s="173"/>
      <c r="O49" s="173"/>
    </row>
    <row r="50" spans="1:16" s="5" customFormat="1" ht="36" hidden="1">
      <c r="A50" s="1005" t="s">
        <v>53</v>
      </c>
      <c r="B50" s="1005"/>
      <c r="C50" s="1005"/>
      <c r="D50" s="151" t="s">
        <v>30</v>
      </c>
      <c r="E50" s="151">
        <v>200000</v>
      </c>
      <c r="F50" s="151" t="s">
        <v>28</v>
      </c>
      <c r="G50" s="151" t="s">
        <v>29</v>
      </c>
      <c r="H50" s="151" t="s">
        <v>170</v>
      </c>
      <c r="I50" s="151" t="s">
        <v>31</v>
      </c>
      <c r="J50" s="249" t="s">
        <v>32</v>
      </c>
      <c r="K50" s="14" t="s">
        <v>6</v>
      </c>
      <c r="M50" s="721" t="s">
        <v>27</v>
      </c>
      <c r="N50" s="721" t="s">
        <v>28</v>
      </c>
      <c r="O50" s="721" t="s">
        <v>29</v>
      </c>
      <c r="P50" s="721" t="s">
        <v>84</v>
      </c>
    </row>
    <row r="51" spans="1:16" s="156" customFormat="1" ht="18" hidden="1">
      <c r="A51" s="152" t="s">
        <v>9</v>
      </c>
      <c r="B51" s="153" t="s">
        <v>7</v>
      </c>
      <c r="C51" s="153" t="s">
        <v>5</v>
      </c>
      <c r="D51" s="154" t="s">
        <v>7</v>
      </c>
      <c r="E51" s="154" t="s">
        <v>7</v>
      </c>
      <c r="F51" s="154" t="s">
        <v>7</v>
      </c>
      <c r="G51" s="154" t="s">
        <v>7</v>
      </c>
      <c r="H51" s="991" t="s">
        <v>273</v>
      </c>
      <c r="I51" s="992"/>
      <c r="J51" s="723">
        <v>20000</v>
      </c>
      <c r="K51" s="155" t="s">
        <v>5</v>
      </c>
      <c r="M51" s="173"/>
      <c r="N51" s="173"/>
      <c r="O51" s="173"/>
      <c r="P51" s="173"/>
    </row>
    <row r="52" spans="1:16" ht="18" hidden="1">
      <c r="A52" s="722">
        <v>1000000</v>
      </c>
      <c r="B52" s="167"/>
      <c r="C52" s="179">
        <f t="shared" ref="C52:C60" si="22">A52*B52</f>
        <v>0</v>
      </c>
      <c r="D52" s="238"/>
      <c r="E52" s="168"/>
      <c r="F52" s="238"/>
      <c r="G52" s="238"/>
      <c r="H52" s="238"/>
      <c r="I52" s="238"/>
      <c r="J52" s="251">
        <f t="shared" ref="J52:J60" si="23">SUM(D52:I52)-B52</f>
        <v>0</v>
      </c>
      <c r="K52" s="6">
        <f t="shared" ref="K52:K60" si="24">A52*J52</f>
        <v>0</v>
      </c>
      <c r="M52" s="160">
        <f t="shared" ref="M52:M60" si="25">E52*A52</f>
        <v>0</v>
      </c>
      <c r="N52" s="160">
        <f t="shared" ref="N52:N60" si="26">F52*A52</f>
        <v>0</v>
      </c>
      <c r="O52" s="160">
        <f>G52*A52</f>
        <v>0</v>
      </c>
      <c r="P52" s="160">
        <f>H52*B52</f>
        <v>0</v>
      </c>
    </row>
    <row r="53" spans="1:16" ht="18" hidden="1">
      <c r="A53" s="722">
        <v>500000</v>
      </c>
      <c r="B53" s="168"/>
      <c r="C53" s="179">
        <f t="shared" si="22"/>
        <v>0</v>
      </c>
      <c r="D53" s="238"/>
      <c r="E53" s="168"/>
      <c r="F53" s="238"/>
      <c r="G53" s="238"/>
      <c r="H53" s="238"/>
      <c r="I53" s="238"/>
      <c r="J53" s="251">
        <f t="shared" si="23"/>
        <v>0</v>
      </c>
      <c r="K53" s="6">
        <f t="shared" si="24"/>
        <v>0</v>
      </c>
      <c r="M53" s="160">
        <f t="shared" si="25"/>
        <v>0</v>
      </c>
      <c r="N53" s="160">
        <f t="shared" si="26"/>
        <v>0</v>
      </c>
      <c r="O53" s="160">
        <f t="shared" ref="O53:O60" si="27">G53*A53</f>
        <v>0</v>
      </c>
      <c r="P53" s="160">
        <f t="shared" ref="P53:P60" si="28">H53*B53</f>
        <v>0</v>
      </c>
    </row>
    <row r="54" spans="1:16" ht="18" hidden="1">
      <c r="A54" s="722">
        <v>100000</v>
      </c>
      <c r="B54" s="168"/>
      <c r="C54" s="179">
        <f t="shared" si="22"/>
        <v>0</v>
      </c>
      <c r="D54" s="238"/>
      <c r="E54" s="168"/>
      <c r="F54" s="238"/>
      <c r="G54" s="238"/>
      <c r="H54" s="238"/>
      <c r="I54" s="238"/>
      <c r="J54" s="251">
        <f t="shared" si="23"/>
        <v>0</v>
      </c>
      <c r="K54" s="6">
        <f t="shared" si="24"/>
        <v>0</v>
      </c>
      <c r="M54" s="160">
        <f t="shared" si="25"/>
        <v>0</v>
      </c>
      <c r="N54" s="160">
        <f t="shared" si="26"/>
        <v>0</v>
      </c>
      <c r="O54" s="160">
        <f t="shared" si="27"/>
        <v>0</v>
      </c>
      <c r="P54" s="160">
        <f t="shared" si="28"/>
        <v>0</v>
      </c>
    </row>
    <row r="55" spans="1:16" ht="18" hidden="1">
      <c r="A55" s="722">
        <v>50000</v>
      </c>
      <c r="B55" s="168"/>
      <c r="C55" s="179">
        <f t="shared" si="22"/>
        <v>0</v>
      </c>
      <c r="D55" s="238"/>
      <c r="E55" s="168"/>
      <c r="F55" s="238"/>
      <c r="G55" s="238"/>
      <c r="H55" s="238"/>
      <c r="I55" s="238"/>
      <c r="J55" s="251">
        <f t="shared" si="23"/>
        <v>0</v>
      </c>
      <c r="K55" s="6">
        <f t="shared" si="24"/>
        <v>0</v>
      </c>
      <c r="M55" s="160">
        <f t="shared" si="25"/>
        <v>0</v>
      </c>
      <c r="N55" s="160">
        <f t="shared" si="26"/>
        <v>0</v>
      </c>
      <c r="O55" s="160">
        <f t="shared" si="27"/>
        <v>0</v>
      </c>
      <c r="P55" s="160">
        <f t="shared" si="28"/>
        <v>0</v>
      </c>
    </row>
    <row r="56" spans="1:16" ht="18" hidden="1">
      <c r="A56" s="722">
        <v>10000</v>
      </c>
      <c r="B56" s="168"/>
      <c r="C56" s="179">
        <f t="shared" si="22"/>
        <v>0</v>
      </c>
      <c r="D56" s="238"/>
      <c r="E56" s="168"/>
      <c r="F56" s="238"/>
      <c r="G56" s="238"/>
      <c r="H56" s="238"/>
      <c r="I56" s="238"/>
      <c r="J56" s="251">
        <f t="shared" si="23"/>
        <v>0</v>
      </c>
      <c r="K56" s="6">
        <f t="shared" si="24"/>
        <v>0</v>
      </c>
      <c r="M56" s="160">
        <f t="shared" si="25"/>
        <v>0</v>
      </c>
      <c r="N56" s="160">
        <f t="shared" si="26"/>
        <v>0</v>
      </c>
      <c r="O56" s="160">
        <f t="shared" si="27"/>
        <v>0</v>
      </c>
      <c r="P56" s="160">
        <f t="shared" si="28"/>
        <v>0</v>
      </c>
    </row>
    <row r="57" spans="1:16" ht="18" hidden="1">
      <c r="A57" s="722">
        <v>5000</v>
      </c>
      <c r="B57" s="168"/>
      <c r="C57" s="179">
        <f t="shared" si="22"/>
        <v>0</v>
      </c>
      <c r="D57" s="238"/>
      <c r="E57" s="168"/>
      <c r="F57" s="238"/>
      <c r="G57" s="238"/>
      <c r="H57" s="238"/>
      <c r="I57" s="238"/>
      <c r="J57" s="256">
        <f t="shared" si="23"/>
        <v>0</v>
      </c>
      <c r="K57" s="6">
        <f t="shared" si="24"/>
        <v>0</v>
      </c>
      <c r="M57" s="160">
        <f t="shared" si="25"/>
        <v>0</v>
      </c>
      <c r="N57" s="160">
        <f t="shared" si="26"/>
        <v>0</v>
      </c>
      <c r="O57" s="160">
        <f t="shared" si="27"/>
        <v>0</v>
      </c>
      <c r="P57" s="160">
        <f t="shared" si="28"/>
        <v>0</v>
      </c>
    </row>
    <row r="58" spans="1:16" ht="18" hidden="1">
      <c r="A58" s="722">
        <v>1000</v>
      </c>
      <c r="B58" s="168"/>
      <c r="C58" s="179">
        <f t="shared" si="22"/>
        <v>0</v>
      </c>
      <c r="D58" s="238"/>
      <c r="E58" s="168"/>
      <c r="F58" s="238"/>
      <c r="G58" s="238"/>
      <c r="H58" s="238"/>
      <c r="I58" s="238"/>
      <c r="J58" s="251">
        <f t="shared" si="23"/>
        <v>0</v>
      </c>
      <c r="K58" s="6">
        <f t="shared" si="24"/>
        <v>0</v>
      </c>
      <c r="M58" s="160">
        <f t="shared" si="25"/>
        <v>0</v>
      </c>
      <c r="N58" s="160">
        <f t="shared" si="26"/>
        <v>0</v>
      </c>
      <c r="O58" s="160">
        <f t="shared" si="27"/>
        <v>0</v>
      </c>
      <c r="P58" s="160">
        <f t="shared" si="28"/>
        <v>0</v>
      </c>
    </row>
    <row r="59" spans="1:16" ht="18" hidden="1">
      <c r="A59" s="722">
        <v>500</v>
      </c>
      <c r="B59" s="168"/>
      <c r="C59" s="179">
        <f t="shared" si="22"/>
        <v>0</v>
      </c>
      <c r="D59" s="238"/>
      <c r="E59" s="168"/>
      <c r="F59" s="238"/>
      <c r="G59" s="238"/>
      <c r="H59" s="238"/>
      <c r="I59" s="238"/>
      <c r="J59" s="251">
        <f>SUM(D59:I59)-B59</f>
        <v>0</v>
      </c>
      <c r="K59" s="6">
        <f t="shared" si="24"/>
        <v>0</v>
      </c>
      <c r="M59" s="160">
        <f t="shared" si="25"/>
        <v>0</v>
      </c>
      <c r="N59" s="160">
        <f t="shared" si="26"/>
        <v>0</v>
      </c>
      <c r="O59" s="160">
        <f t="shared" si="27"/>
        <v>0</v>
      </c>
      <c r="P59" s="160">
        <f t="shared" si="28"/>
        <v>0</v>
      </c>
    </row>
    <row r="60" spans="1:16" ht="18" hidden="1">
      <c r="A60" s="728">
        <v>100</v>
      </c>
      <c r="B60" s="168"/>
      <c r="C60" s="179">
        <f t="shared" si="22"/>
        <v>0</v>
      </c>
      <c r="D60" s="725"/>
      <c r="E60" s="168"/>
      <c r="F60" s="238"/>
      <c r="G60" s="238"/>
      <c r="H60" s="725"/>
      <c r="I60" s="238"/>
      <c r="J60" s="251">
        <f t="shared" si="23"/>
        <v>0</v>
      </c>
      <c r="K60" s="6">
        <f t="shared" si="24"/>
        <v>0</v>
      </c>
      <c r="M60" s="160">
        <f t="shared" si="25"/>
        <v>0</v>
      </c>
      <c r="N60" s="160">
        <f t="shared" si="26"/>
        <v>0</v>
      </c>
      <c r="O60" s="160">
        <f t="shared" si="27"/>
        <v>0</v>
      </c>
      <c r="P60" s="160">
        <f t="shared" si="28"/>
        <v>0</v>
      </c>
    </row>
    <row r="61" spans="1:16" ht="19.5" hidden="1">
      <c r="A61" s="162"/>
      <c r="B61" s="163" t="s">
        <v>73</v>
      </c>
      <c r="C61" s="745">
        <f>SUM(C52:C60)</f>
        <v>0</v>
      </c>
      <c r="D61" s="177">
        <f>SUM(D52:D59)</f>
        <v>0</v>
      </c>
      <c r="E61" s="164">
        <f>SUM(E52:E60)</f>
        <v>0</v>
      </c>
      <c r="F61" s="725"/>
      <c r="G61" s="725"/>
      <c r="H61" s="725"/>
      <c r="I61" s="725"/>
      <c r="J61" s="253">
        <f>SUM(J52:J59)</f>
        <v>0</v>
      </c>
      <c r="K61" s="165">
        <f>SUM(K52:K60)</f>
        <v>0</v>
      </c>
      <c r="M61" s="160">
        <f>SUM(M52:M59)</f>
        <v>0</v>
      </c>
      <c r="N61" s="160">
        <f>SUM(N52:N59)</f>
        <v>0</v>
      </c>
      <c r="O61" s="160">
        <f>SUM(O52:O59)</f>
        <v>0</v>
      </c>
      <c r="P61" s="160">
        <f>SUM(P52:P60)</f>
        <v>0</v>
      </c>
    </row>
    <row r="62" spans="1:16" ht="19.5" hidden="1">
      <c r="A62" s="162"/>
      <c r="B62" s="163"/>
      <c r="C62" s="237"/>
      <c r="D62" s="170"/>
      <c r="E62" s="170"/>
      <c r="F62" s="170"/>
      <c r="G62" s="170"/>
      <c r="H62" s="170"/>
      <c r="I62" s="170"/>
      <c r="J62" s="254"/>
      <c r="K62" s="174"/>
      <c r="M62" s="166"/>
      <c r="N62" s="166"/>
      <c r="O62" s="166"/>
      <c r="P62" s="166"/>
    </row>
    <row r="63" spans="1:16" ht="39.950000000000003" hidden="1" customHeight="1">
      <c r="A63" s="995" t="s">
        <v>66</v>
      </c>
      <c r="B63" s="995"/>
      <c r="C63" s="995"/>
      <c r="D63" s="995"/>
      <c r="E63" s="995"/>
      <c r="F63" s="995"/>
      <c r="G63" s="995"/>
      <c r="H63" s="995"/>
      <c r="I63" s="995"/>
      <c r="J63" s="995"/>
      <c r="K63" s="995"/>
      <c r="M63" s="166"/>
      <c r="N63" s="166"/>
      <c r="O63" s="166"/>
      <c r="P63" s="166"/>
    </row>
    <row r="64" spans="1:16" ht="39.950000000000003" hidden="1" customHeight="1">
      <c r="A64" s="996" t="s">
        <v>53</v>
      </c>
      <c r="B64" s="997"/>
      <c r="C64" s="998"/>
      <c r="D64" s="263" t="s">
        <v>30</v>
      </c>
      <c r="E64" s="263" t="s">
        <v>27</v>
      </c>
      <c r="F64" s="263" t="s">
        <v>28</v>
      </c>
      <c r="G64" s="263" t="s">
        <v>29</v>
      </c>
      <c r="H64" s="263" t="s">
        <v>170</v>
      </c>
      <c r="I64" s="263" t="s">
        <v>31</v>
      </c>
      <c r="J64" s="264" t="s">
        <v>32</v>
      </c>
      <c r="K64" s="265" t="s">
        <v>6</v>
      </c>
      <c r="M64" s="721" t="s">
        <v>27</v>
      </c>
      <c r="N64" s="721" t="s">
        <v>28</v>
      </c>
      <c r="O64" s="721" t="s">
        <v>29</v>
      </c>
      <c r="P64" s="721" t="s">
        <v>84</v>
      </c>
    </row>
    <row r="65" spans="1:16" ht="33.75" hidden="1" customHeight="1">
      <c r="A65" s="152" t="s">
        <v>9</v>
      </c>
      <c r="B65" s="153" t="s">
        <v>7</v>
      </c>
      <c r="C65" s="153" t="s">
        <v>5</v>
      </c>
      <c r="D65" s="154" t="s">
        <v>7</v>
      </c>
      <c r="E65" s="154" t="s">
        <v>7</v>
      </c>
      <c r="F65" s="154" t="s">
        <v>7</v>
      </c>
      <c r="G65" s="154" t="s">
        <v>7</v>
      </c>
      <c r="H65" s="154" t="s">
        <v>7</v>
      </c>
      <c r="I65" s="154" t="s">
        <v>7</v>
      </c>
      <c r="J65" s="250" t="s">
        <v>7</v>
      </c>
      <c r="K65" s="155" t="s">
        <v>5</v>
      </c>
      <c r="M65" s="166"/>
      <c r="N65" s="166"/>
      <c r="O65" s="166"/>
      <c r="P65" s="166"/>
    </row>
    <row r="66" spans="1:16" ht="33.75" hidden="1" customHeight="1">
      <c r="A66" s="729">
        <v>100000</v>
      </c>
      <c r="B66" s="168"/>
      <c r="C66" s="179">
        <f t="shared" ref="C66:C75" si="29">A66*B66</f>
        <v>0</v>
      </c>
      <c r="D66" s="238"/>
      <c r="E66" s="159">
        <f>'Chip Bank'!G9</f>
        <v>0</v>
      </c>
      <c r="F66" s="282">
        <f>'[21]OB Chip'!$K$9</f>
        <v>0</v>
      </c>
      <c r="G66" s="158">
        <f>'[20]VIP (FW1)'!$G24</f>
        <v>0</v>
      </c>
      <c r="H66" s="158">
        <f>'VIP Chip Count '!K9</f>
        <v>0</v>
      </c>
      <c r="I66" s="158">
        <f>'Table Breadown'!R31</f>
        <v>0</v>
      </c>
      <c r="J66" s="255">
        <f>SUM(D66:I66)-B66</f>
        <v>0</v>
      </c>
      <c r="K66" s="372">
        <f t="shared" ref="K66:K75" si="30">A66*J66</f>
        <v>0</v>
      </c>
      <c r="M66" s="160">
        <f t="shared" ref="M66:M75" si="31">E66*A66</f>
        <v>0</v>
      </c>
      <c r="N66" s="160">
        <f t="shared" ref="N66:N75" si="32">F66*A66</f>
        <v>0</v>
      </c>
      <c r="O66" s="160">
        <f>G66*A66</f>
        <v>0</v>
      </c>
      <c r="P66" s="160">
        <f>H66*B66</f>
        <v>0</v>
      </c>
    </row>
    <row r="67" spans="1:16" ht="33.75" hidden="1" customHeight="1">
      <c r="A67" s="729">
        <v>50000</v>
      </c>
      <c r="B67" s="168"/>
      <c r="C67" s="179">
        <f t="shared" si="29"/>
        <v>0</v>
      </c>
      <c r="D67" s="238"/>
      <c r="E67" s="159">
        <f>'Chip Bank'!G10</f>
        <v>0</v>
      </c>
      <c r="F67" s="282">
        <f>'[21]OB Chip'!$K$10</f>
        <v>0</v>
      </c>
      <c r="G67" s="158">
        <f>'[20]VIP (FW1)'!$G25</f>
        <v>0</v>
      </c>
      <c r="H67" s="158">
        <f>'VIP Chip Count '!K10</f>
        <v>0</v>
      </c>
      <c r="I67" s="158">
        <f>'Table Breadown'!S31</f>
        <v>0</v>
      </c>
      <c r="J67" s="255">
        <f>SUM(D67:I67)-B67</f>
        <v>0</v>
      </c>
      <c r="K67" s="372">
        <f t="shared" si="30"/>
        <v>0</v>
      </c>
      <c r="M67" s="160">
        <f t="shared" si="31"/>
        <v>0</v>
      </c>
      <c r="N67" s="160">
        <f t="shared" si="32"/>
        <v>0</v>
      </c>
      <c r="O67" s="160">
        <f t="shared" ref="O67:O75" si="33">G67*A67</f>
        <v>0</v>
      </c>
      <c r="P67" s="160">
        <f t="shared" ref="P67:P75" si="34">H67*B67</f>
        <v>0</v>
      </c>
    </row>
    <row r="68" spans="1:16" ht="33.75" hidden="1" customHeight="1">
      <c r="A68" s="729">
        <v>10000</v>
      </c>
      <c r="B68" s="168"/>
      <c r="C68" s="179">
        <f t="shared" si="29"/>
        <v>0</v>
      </c>
      <c r="D68" s="238"/>
      <c r="E68" s="159">
        <f>'Chip Bank'!G11</f>
        <v>0</v>
      </c>
      <c r="F68" s="282">
        <f>'[21]OB Chip'!$K$11</f>
        <v>0</v>
      </c>
      <c r="G68" s="158">
        <f>'[20]VIP (FW1)'!$G26</f>
        <v>0</v>
      </c>
      <c r="H68" s="158">
        <f>'VIP Chip Count '!K11</f>
        <v>0</v>
      </c>
      <c r="I68" s="158">
        <f>'Table Breadown'!T31</f>
        <v>0</v>
      </c>
      <c r="J68" s="258">
        <f t="shared" ref="J68:J75" si="35">SUM(D68:I68)-B68</f>
        <v>0</v>
      </c>
      <c r="K68" s="372">
        <f t="shared" si="30"/>
        <v>0</v>
      </c>
      <c r="M68" s="160">
        <f t="shared" si="31"/>
        <v>0</v>
      </c>
      <c r="N68" s="160">
        <f t="shared" si="32"/>
        <v>0</v>
      </c>
      <c r="O68" s="160">
        <f t="shared" si="33"/>
        <v>0</v>
      </c>
      <c r="P68" s="160">
        <f t="shared" si="34"/>
        <v>0</v>
      </c>
    </row>
    <row r="69" spans="1:16" ht="33.75" hidden="1" customHeight="1">
      <c r="A69" s="729">
        <v>5000</v>
      </c>
      <c r="B69" s="168"/>
      <c r="C69" s="179">
        <f t="shared" si="29"/>
        <v>0</v>
      </c>
      <c r="D69" s="238"/>
      <c r="E69" s="159">
        <f>'Chip Bank'!G12</f>
        <v>0</v>
      </c>
      <c r="F69" s="282">
        <f>'[21]OB Chip'!$K$12</f>
        <v>0</v>
      </c>
      <c r="G69" s="158">
        <f>'[20]VIP (FW1)'!$G27</f>
        <v>0</v>
      </c>
      <c r="H69" s="158">
        <f>'VIP Chip Count '!K12</f>
        <v>0</v>
      </c>
      <c r="I69" s="158">
        <f>'Table Breadown'!U31</f>
        <v>0</v>
      </c>
      <c r="J69" s="255">
        <f t="shared" si="35"/>
        <v>0</v>
      </c>
      <c r="K69" s="372">
        <f t="shared" si="30"/>
        <v>0</v>
      </c>
      <c r="M69" s="160">
        <f t="shared" si="31"/>
        <v>0</v>
      </c>
      <c r="N69" s="160">
        <f t="shared" si="32"/>
        <v>0</v>
      </c>
      <c r="O69" s="160">
        <f t="shared" si="33"/>
        <v>0</v>
      </c>
      <c r="P69" s="160">
        <f t="shared" si="34"/>
        <v>0</v>
      </c>
    </row>
    <row r="70" spans="1:16" ht="33.75" hidden="1" customHeight="1">
      <c r="A70" s="729">
        <v>1000</v>
      </c>
      <c r="B70" s="168"/>
      <c r="C70" s="179">
        <f t="shared" si="29"/>
        <v>0</v>
      </c>
      <c r="D70" s="238"/>
      <c r="E70" s="159">
        <f>'Chip Bank'!G13</f>
        <v>0</v>
      </c>
      <c r="F70" s="282">
        <f>'[21]OB Chip'!$K$13</f>
        <v>0</v>
      </c>
      <c r="G70" s="158">
        <f>'[20]VIP (FW1)'!$G28</f>
        <v>0</v>
      </c>
      <c r="H70" s="158">
        <f>'VIP Chip Count '!K13</f>
        <v>0</v>
      </c>
      <c r="I70" s="158">
        <f>'Table Breadown'!V31</f>
        <v>0</v>
      </c>
      <c r="J70" s="255">
        <f t="shared" si="35"/>
        <v>0</v>
      </c>
      <c r="K70" s="372">
        <f t="shared" si="30"/>
        <v>0</v>
      </c>
      <c r="M70" s="160">
        <f t="shared" si="31"/>
        <v>0</v>
      </c>
      <c r="N70" s="160">
        <f t="shared" si="32"/>
        <v>0</v>
      </c>
      <c r="O70" s="160">
        <f t="shared" si="33"/>
        <v>0</v>
      </c>
      <c r="P70" s="160">
        <f t="shared" si="34"/>
        <v>0</v>
      </c>
    </row>
    <row r="71" spans="1:16" ht="33.75" hidden="1" customHeight="1">
      <c r="A71" s="729">
        <v>500</v>
      </c>
      <c r="B71" s="168"/>
      <c r="C71" s="179">
        <f t="shared" si="29"/>
        <v>0</v>
      </c>
      <c r="D71" s="238"/>
      <c r="E71" s="159">
        <f>'Chip Bank'!G14</f>
        <v>0</v>
      </c>
      <c r="F71" s="282">
        <f>'[21]OB Chip'!$K$14</f>
        <v>0</v>
      </c>
      <c r="G71" s="158">
        <f>'[20]VIP (FW1)'!$G29</f>
        <v>0</v>
      </c>
      <c r="H71" s="158">
        <f>'VIP Chip Count '!K14</f>
        <v>0</v>
      </c>
      <c r="I71" s="158">
        <f>'Table Breadown'!W31</f>
        <v>0</v>
      </c>
      <c r="J71" s="255">
        <f t="shared" si="35"/>
        <v>0</v>
      </c>
      <c r="K71" s="372">
        <f t="shared" si="30"/>
        <v>0</v>
      </c>
      <c r="M71" s="160">
        <f t="shared" si="31"/>
        <v>0</v>
      </c>
      <c r="N71" s="160">
        <f t="shared" si="32"/>
        <v>0</v>
      </c>
      <c r="O71" s="160">
        <f t="shared" si="33"/>
        <v>0</v>
      </c>
      <c r="P71" s="160">
        <f t="shared" si="34"/>
        <v>0</v>
      </c>
    </row>
    <row r="72" spans="1:16" ht="33.75" hidden="1" customHeight="1">
      <c r="A72" s="729">
        <v>100</v>
      </c>
      <c r="B72" s="168"/>
      <c r="C72" s="179">
        <f t="shared" si="29"/>
        <v>0</v>
      </c>
      <c r="D72" s="238"/>
      <c r="E72" s="159">
        <f>'Chip Bank'!G15</f>
        <v>0</v>
      </c>
      <c r="F72" s="282">
        <f>'[21]OB Chip'!$K$15</f>
        <v>0</v>
      </c>
      <c r="G72" s="158">
        <f>'[20]VIP (FW1)'!$G30</f>
        <v>0</v>
      </c>
      <c r="H72" s="158">
        <f>'VIP Chip Count '!K15</f>
        <v>0</v>
      </c>
      <c r="I72" s="158">
        <f>'Table Breadown'!X31</f>
        <v>0</v>
      </c>
      <c r="J72" s="255">
        <f t="shared" si="35"/>
        <v>0</v>
      </c>
      <c r="K72" s="372">
        <f t="shared" si="30"/>
        <v>0</v>
      </c>
      <c r="M72" s="160">
        <f t="shared" si="31"/>
        <v>0</v>
      </c>
      <c r="N72" s="160">
        <f t="shared" si="32"/>
        <v>0</v>
      </c>
      <c r="O72" s="160">
        <f t="shared" si="33"/>
        <v>0</v>
      </c>
      <c r="P72" s="160">
        <f t="shared" si="34"/>
        <v>0</v>
      </c>
    </row>
    <row r="73" spans="1:16" ht="33.75" hidden="1" customHeight="1">
      <c r="A73" s="729">
        <v>25</v>
      </c>
      <c r="B73" s="168"/>
      <c r="C73" s="179">
        <f t="shared" si="29"/>
        <v>0</v>
      </c>
      <c r="D73" s="238"/>
      <c r="E73" s="159">
        <f>'Chip Bank'!G16</f>
        <v>0</v>
      </c>
      <c r="F73" s="282">
        <f>'[21]OB Chip'!$K$16</f>
        <v>0</v>
      </c>
      <c r="G73" s="158">
        <f>'[20]VIP (FW1)'!$G31</f>
        <v>0</v>
      </c>
      <c r="H73" s="158">
        <f>'VIP Chip Count '!K16</f>
        <v>0</v>
      </c>
      <c r="I73" s="158">
        <f>'Table Breadown'!Y31</f>
        <v>0</v>
      </c>
      <c r="J73" s="255">
        <f t="shared" si="35"/>
        <v>0</v>
      </c>
      <c r="K73" s="372">
        <f t="shared" si="30"/>
        <v>0</v>
      </c>
      <c r="M73" s="160">
        <f t="shared" si="31"/>
        <v>0</v>
      </c>
      <c r="N73" s="160">
        <f t="shared" si="32"/>
        <v>0</v>
      </c>
      <c r="O73" s="160">
        <f t="shared" si="33"/>
        <v>0</v>
      </c>
      <c r="P73" s="160">
        <f t="shared" si="34"/>
        <v>0</v>
      </c>
    </row>
    <row r="74" spans="1:16" ht="33.75" hidden="1" customHeight="1">
      <c r="A74" s="722">
        <v>5</v>
      </c>
      <c r="B74" s="730"/>
      <c r="C74" s="179">
        <f t="shared" si="29"/>
        <v>0</v>
      </c>
      <c r="D74" s="238"/>
      <c r="E74" s="159">
        <f>'Chip Bank'!G17</f>
        <v>0</v>
      </c>
      <c r="F74" s="282">
        <f>'[21]OB Chip'!$K$17</f>
        <v>0</v>
      </c>
      <c r="G74" s="158">
        <f>'[20]VIP (FW1)'!$G32</f>
        <v>0</v>
      </c>
      <c r="H74" s="158">
        <f>'VIP Chip Count '!K17</f>
        <v>0</v>
      </c>
      <c r="I74" s="158">
        <f>'Table Breadown'!Z31</f>
        <v>0</v>
      </c>
      <c r="J74" s="255">
        <f t="shared" si="35"/>
        <v>0</v>
      </c>
      <c r="K74" s="372">
        <f t="shared" si="30"/>
        <v>0</v>
      </c>
      <c r="M74" s="160">
        <f t="shared" si="31"/>
        <v>0</v>
      </c>
      <c r="N74" s="160">
        <f t="shared" si="32"/>
        <v>0</v>
      </c>
      <c r="O74" s="160">
        <f t="shared" si="33"/>
        <v>0</v>
      </c>
      <c r="P74" s="160">
        <f t="shared" si="34"/>
        <v>0</v>
      </c>
    </row>
    <row r="75" spans="1:16" ht="33.75" hidden="1" customHeight="1">
      <c r="A75" s="722">
        <v>1</v>
      </c>
      <c r="B75" s="730"/>
      <c r="C75" s="179">
        <f t="shared" si="29"/>
        <v>0</v>
      </c>
      <c r="D75" s="238"/>
      <c r="E75" s="159">
        <f>'Chip Bank'!G18</f>
        <v>0</v>
      </c>
      <c r="F75" s="282">
        <f>'[21]OB Chip'!$K$18</f>
        <v>0</v>
      </c>
      <c r="G75" s="158">
        <f>'[20]VIP (FW1)'!$G33</f>
        <v>0</v>
      </c>
      <c r="H75" s="158">
        <f>'VIP Chip Count '!K18</f>
        <v>0</v>
      </c>
      <c r="I75" s="158">
        <f>'Table Breadown'!AA31</f>
        <v>0</v>
      </c>
      <c r="J75" s="255">
        <f t="shared" si="35"/>
        <v>0</v>
      </c>
      <c r="K75" s="372">
        <f t="shared" si="30"/>
        <v>0</v>
      </c>
      <c r="M75" s="160">
        <f t="shared" si="31"/>
        <v>0</v>
      </c>
      <c r="N75" s="160">
        <f t="shared" si="32"/>
        <v>0</v>
      </c>
      <c r="O75" s="160">
        <f t="shared" si="33"/>
        <v>0</v>
      </c>
      <c r="P75" s="160">
        <f t="shared" si="34"/>
        <v>0</v>
      </c>
    </row>
    <row r="76" spans="1:16" ht="33.75" hidden="1" customHeight="1">
      <c r="A76" s="731">
        <v>0.5</v>
      </c>
      <c r="B76" s="730"/>
      <c r="C76" s="179">
        <f>A76*B76</f>
        <v>0</v>
      </c>
      <c r="D76" s="238"/>
      <c r="E76" s="159">
        <f>'Chip Bank'!G19</f>
        <v>0</v>
      </c>
      <c r="F76" s="282">
        <f>'[21]OB Chip'!$K$18</f>
        <v>0</v>
      </c>
      <c r="G76" s="158">
        <f>'[20]VIP (FW1)'!$G34</f>
        <v>0</v>
      </c>
      <c r="H76" s="158">
        <f>'VIP Chip Count '!K19</f>
        <v>0</v>
      </c>
      <c r="I76" s="158">
        <f>'Table Breadown'!AB31</f>
        <v>0</v>
      </c>
      <c r="J76" s="255">
        <f>SUM(D76:I76)-B76</f>
        <v>0</v>
      </c>
      <c r="K76" s="372">
        <f>A76*J76</f>
        <v>0</v>
      </c>
      <c r="M76" s="160">
        <f>E76*A76</f>
        <v>0</v>
      </c>
      <c r="N76" s="160">
        <f>F76*A76</f>
        <v>0</v>
      </c>
      <c r="O76" s="160">
        <f>G76*A76</f>
        <v>0</v>
      </c>
      <c r="P76" s="160">
        <f>H76*B76</f>
        <v>0</v>
      </c>
    </row>
    <row r="77" spans="1:16" ht="39.950000000000003" hidden="1" customHeight="1">
      <c r="A77" s="239"/>
      <c r="B77" s="163" t="s">
        <v>73</v>
      </c>
      <c r="C77" s="745">
        <f>SUM(C66:C76)</f>
        <v>0</v>
      </c>
      <c r="D77" s="223">
        <f>SUM(D66:D75)</f>
        <v>0</v>
      </c>
      <c r="E77" s="158">
        <f t="shared" ref="E77:K77" si="36">SUM(E66:E76)</f>
        <v>0</v>
      </c>
      <c r="F77" s="158">
        <f t="shared" si="36"/>
        <v>0</v>
      </c>
      <c r="G77" s="158">
        <f t="shared" si="36"/>
        <v>0</v>
      </c>
      <c r="H77" s="158">
        <f t="shared" si="36"/>
        <v>0</v>
      </c>
      <c r="I77" s="158">
        <f t="shared" si="36"/>
        <v>0</v>
      </c>
      <c r="J77" s="255">
        <f>SUM(J66:J76)</f>
        <v>0</v>
      </c>
      <c r="K77" s="372">
        <f t="shared" si="36"/>
        <v>0</v>
      </c>
      <c r="M77" s="160">
        <f>SUM(M66:M75)</f>
        <v>0</v>
      </c>
      <c r="N77" s="160">
        <f>SUM(N66:N75)</f>
        <v>0</v>
      </c>
      <c r="O77" s="160">
        <f>SUM(O66:O75)</f>
        <v>0</v>
      </c>
      <c r="P77" s="160">
        <f>SUM(P66:P75)</f>
        <v>0</v>
      </c>
    </row>
    <row r="78" spans="1:16" ht="42" hidden="1" customHeight="1">
      <c r="A78" s="162"/>
      <c r="B78" s="162"/>
      <c r="C78" s="163"/>
      <c r="D78" s="170"/>
      <c r="E78" s="170"/>
      <c r="F78" s="170"/>
      <c r="G78" s="170"/>
      <c r="H78" s="170"/>
      <c r="I78" s="170"/>
      <c r="J78" s="254"/>
      <c r="K78" s="174"/>
    </row>
    <row r="79" spans="1:16" ht="39.950000000000003" hidden="1" customHeight="1">
      <c r="A79" s="999" t="s">
        <v>168</v>
      </c>
      <c r="B79" s="1000"/>
      <c r="C79" s="1000"/>
      <c r="D79" s="1000"/>
      <c r="E79" s="1000"/>
      <c r="F79" s="1000"/>
      <c r="G79" s="1000"/>
      <c r="H79" s="1000"/>
      <c r="I79" s="1000"/>
      <c r="J79" s="1000"/>
      <c r="K79" s="1001"/>
      <c r="M79" s="166"/>
      <c r="N79" s="166"/>
      <c r="O79" s="166"/>
      <c r="P79" s="166"/>
    </row>
    <row r="80" spans="1:16" ht="37.5" hidden="1" customHeight="1">
      <c r="A80" s="1002" t="s">
        <v>53</v>
      </c>
      <c r="B80" s="1003"/>
      <c r="C80" s="1004"/>
      <c r="D80" s="151" t="s">
        <v>30</v>
      </c>
      <c r="E80" s="151" t="s">
        <v>27</v>
      </c>
      <c r="F80" s="151" t="s">
        <v>28</v>
      </c>
      <c r="G80" s="151" t="s">
        <v>29</v>
      </c>
      <c r="H80" s="151" t="s">
        <v>170</v>
      </c>
      <c r="I80" s="151" t="s">
        <v>31</v>
      </c>
      <c r="J80" s="249" t="s">
        <v>32</v>
      </c>
      <c r="K80" s="14" t="s">
        <v>6</v>
      </c>
      <c r="M80" s="721" t="s">
        <v>27</v>
      </c>
      <c r="N80" s="721" t="s">
        <v>28</v>
      </c>
      <c r="O80" s="721" t="s">
        <v>29</v>
      </c>
      <c r="P80" s="721" t="s">
        <v>84</v>
      </c>
    </row>
    <row r="81" spans="1:18" ht="37.5" hidden="1" customHeight="1">
      <c r="A81" s="152" t="s">
        <v>9</v>
      </c>
      <c r="B81" s="153" t="s">
        <v>7</v>
      </c>
      <c r="C81" s="153" t="s">
        <v>5</v>
      </c>
      <c r="D81" s="154" t="s">
        <v>7</v>
      </c>
      <c r="E81" s="154" t="s">
        <v>7</v>
      </c>
      <c r="F81" s="154" t="s">
        <v>7</v>
      </c>
      <c r="G81" s="154" t="s">
        <v>7</v>
      </c>
      <c r="H81" s="154" t="s">
        <v>7</v>
      </c>
      <c r="I81" s="154" t="s">
        <v>7</v>
      </c>
      <c r="J81" s="250" t="s">
        <v>7</v>
      </c>
      <c r="K81" s="155" t="s">
        <v>5</v>
      </c>
      <c r="M81" s="166"/>
      <c r="N81" s="166"/>
      <c r="O81" s="166"/>
      <c r="P81" s="166"/>
    </row>
    <row r="82" spans="1:18" ht="33.75" hidden="1" customHeight="1">
      <c r="A82" s="729">
        <v>100000</v>
      </c>
      <c r="B82" s="168"/>
      <c r="C82" s="179">
        <f t="shared" ref="C82:C88" si="37">A82*B82</f>
        <v>0</v>
      </c>
      <c r="D82" s="238"/>
      <c r="E82" s="159"/>
      <c r="F82" s="158">
        <f>'[21]OB Chip'!$K$24</f>
        <v>0</v>
      </c>
      <c r="G82" s="158">
        <f>'[22]FW-VIP'!$K$105</f>
        <v>0</v>
      </c>
      <c r="H82" s="158">
        <f>'VIP Chip Count '!K23</f>
        <v>0</v>
      </c>
      <c r="I82" s="158">
        <f>'Table Breadown'!BL31</f>
        <v>0</v>
      </c>
      <c r="J82" s="255">
        <f t="shared" ref="J82:J88" si="38">SUM(D82:I82)-B82</f>
        <v>0</v>
      </c>
      <c r="K82" s="372">
        <f t="shared" ref="K82:K88" si="39">A82*J82</f>
        <v>0</v>
      </c>
      <c r="M82" s="160">
        <f t="shared" ref="M82:M88" si="40">E82*A82</f>
        <v>0</v>
      </c>
      <c r="N82" s="160">
        <f t="shared" ref="N82:N88" si="41">F82*A82</f>
        <v>0</v>
      </c>
      <c r="O82" s="160">
        <f>G82*A82</f>
        <v>0</v>
      </c>
      <c r="P82" s="160">
        <f>H82*B82</f>
        <v>0</v>
      </c>
    </row>
    <row r="83" spans="1:18" ht="33.75" hidden="1" customHeight="1">
      <c r="A83" s="729">
        <v>50000</v>
      </c>
      <c r="B83" s="168"/>
      <c r="C83" s="179">
        <f t="shared" si="37"/>
        <v>0</v>
      </c>
      <c r="D83" s="238"/>
      <c r="E83" s="159"/>
      <c r="F83" s="158">
        <f>'[21]OB Chip'!$K$25</f>
        <v>0</v>
      </c>
      <c r="G83" s="158">
        <f>'[22]FW-VIP'!$K$106</f>
        <v>0</v>
      </c>
      <c r="H83" s="158">
        <f>'VIP Chip Count '!K24</f>
        <v>0</v>
      </c>
      <c r="I83" s="158">
        <f>'Table Breadown'!BM31</f>
        <v>0</v>
      </c>
      <c r="J83" s="255">
        <f t="shared" si="38"/>
        <v>0</v>
      </c>
      <c r="K83" s="372">
        <f t="shared" si="39"/>
        <v>0</v>
      </c>
      <c r="M83" s="160">
        <f t="shared" si="40"/>
        <v>0</v>
      </c>
      <c r="N83" s="160">
        <f t="shared" si="41"/>
        <v>0</v>
      </c>
      <c r="O83" s="160">
        <f t="shared" ref="O83:O88" si="42">G83*A83</f>
        <v>0</v>
      </c>
      <c r="P83" s="160">
        <f t="shared" ref="P83:P88" si="43">H83*B83</f>
        <v>0</v>
      </c>
    </row>
    <row r="84" spans="1:18" ht="33.75" hidden="1" customHeight="1">
      <c r="A84" s="729">
        <v>10000</v>
      </c>
      <c r="B84" s="168"/>
      <c r="C84" s="179">
        <f t="shared" si="37"/>
        <v>0</v>
      </c>
      <c r="D84" s="238"/>
      <c r="E84" s="159"/>
      <c r="F84" s="158">
        <f>'[21]OB Chip'!$K$26</f>
        <v>0</v>
      </c>
      <c r="G84" s="158">
        <f>'[22]FW-VIP'!$K$107</f>
        <v>0</v>
      </c>
      <c r="H84" s="158">
        <f>'VIP Chip Count '!K25</f>
        <v>0</v>
      </c>
      <c r="I84" s="158">
        <f>'Table Breadown'!BN31</f>
        <v>0</v>
      </c>
      <c r="J84" s="255">
        <f t="shared" si="38"/>
        <v>0</v>
      </c>
      <c r="K84" s="372">
        <f t="shared" si="39"/>
        <v>0</v>
      </c>
      <c r="M84" s="160">
        <f t="shared" si="40"/>
        <v>0</v>
      </c>
      <c r="N84" s="160">
        <f t="shared" si="41"/>
        <v>0</v>
      </c>
      <c r="O84" s="160">
        <f t="shared" si="42"/>
        <v>0</v>
      </c>
      <c r="P84" s="160">
        <f t="shared" si="43"/>
        <v>0</v>
      </c>
    </row>
    <row r="85" spans="1:18" ht="33.75" hidden="1" customHeight="1">
      <c r="A85" s="729">
        <v>5000</v>
      </c>
      <c r="B85" s="168"/>
      <c r="C85" s="179">
        <f t="shared" si="37"/>
        <v>0</v>
      </c>
      <c r="D85" s="238"/>
      <c r="E85" s="159"/>
      <c r="F85" s="158">
        <f>'[21]OB Chip'!$K$27</f>
        <v>0</v>
      </c>
      <c r="G85" s="158">
        <f>'[22]FW-VIP'!$K$108</f>
        <v>0</v>
      </c>
      <c r="H85" s="158">
        <f>'VIP Chip Count '!K26</f>
        <v>0</v>
      </c>
      <c r="I85" s="158">
        <f>'Table Breadown'!BO31</f>
        <v>0</v>
      </c>
      <c r="J85" s="255">
        <f t="shared" si="38"/>
        <v>0</v>
      </c>
      <c r="K85" s="372">
        <f t="shared" si="39"/>
        <v>0</v>
      </c>
      <c r="M85" s="160">
        <f t="shared" si="40"/>
        <v>0</v>
      </c>
      <c r="N85" s="160">
        <f t="shared" si="41"/>
        <v>0</v>
      </c>
      <c r="O85" s="160">
        <f t="shared" si="42"/>
        <v>0</v>
      </c>
      <c r="P85" s="160">
        <f t="shared" si="43"/>
        <v>0</v>
      </c>
    </row>
    <row r="86" spans="1:18" ht="33.75" hidden="1" customHeight="1">
      <c r="A86" s="729">
        <v>1000</v>
      </c>
      <c r="B86" s="168"/>
      <c r="C86" s="179">
        <f t="shared" si="37"/>
        <v>0</v>
      </c>
      <c r="D86" s="238"/>
      <c r="E86" s="159"/>
      <c r="F86" s="158">
        <f>'[21]OB Chip'!$K$28</f>
        <v>0</v>
      </c>
      <c r="G86" s="158">
        <f>'[22]FW-VIP'!$K$109</f>
        <v>0</v>
      </c>
      <c r="H86" s="158">
        <f>'VIP Chip Count '!K27</f>
        <v>0</v>
      </c>
      <c r="I86" s="158">
        <f>'Table Breadown'!BP31</f>
        <v>0</v>
      </c>
      <c r="J86" s="255">
        <f t="shared" si="38"/>
        <v>0</v>
      </c>
      <c r="K86" s="372">
        <f t="shared" si="39"/>
        <v>0</v>
      </c>
      <c r="M86" s="160">
        <f t="shared" si="40"/>
        <v>0</v>
      </c>
      <c r="N86" s="160">
        <f t="shared" si="41"/>
        <v>0</v>
      </c>
      <c r="O86" s="160">
        <f t="shared" si="42"/>
        <v>0</v>
      </c>
      <c r="P86" s="160">
        <f t="shared" si="43"/>
        <v>0</v>
      </c>
    </row>
    <row r="87" spans="1:18" ht="33.75" hidden="1" customHeight="1">
      <c r="A87" s="729">
        <v>500</v>
      </c>
      <c r="B87" s="168"/>
      <c r="C87" s="179">
        <f t="shared" si="37"/>
        <v>0</v>
      </c>
      <c r="D87" s="238"/>
      <c r="E87" s="159"/>
      <c r="F87" s="158">
        <f>'[21]OB Chip'!$K$29</f>
        <v>0</v>
      </c>
      <c r="G87" s="158">
        <f>'[22]FW-VIP'!$K$110</f>
        <v>0</v>
      </c>
      <c r="H87" s="158">
        <f>'VIP Chip Count '!K28</f>
        <v>0</v>
      </c>
      <c r="I87" s="158">
        <f>'Table Breadown'!BQ31</f>
        <v>0</v>
      </c>
      <c r="J87" s="255">
        <f t="shared" si="38"/>
        <v>0</v>
      </c>
      <c r="K87" s="372">
        <f t="shared" si="39"/>
        <v>0</v>
      </c>
      <c r="M87" s="160">
        <f t="shared" si="40"/>
        <v>0</v>
      </c>
      <c r="N87" s="160">
        <f t="shared" si="41"/>
        <v>0</v>
      </c>
      <c r="O87" s="160">
        <f t="shared" si="42"/>
        <v>0</v>
      </c>
      <c r="P87" s="160">
        <f t="shared" si="43"/>
        <v>0</v>
      </c>
    </row>
    <row r="88" spans="1:18" ht="33.75" hidden="1" customHeight="1">
      <c r="A88" s="729">
        <v>100</v>
      </c>
      <c r="B88" s="168"/>
      <c r="C88" s="179">
        <f t="shared" si="37"/>
        <v>0</v>
      </c>
      <c r="D88" s="238"/>
      <c r="E88" s="159"/>
      <c r="F88" s="158">
        <f>'[21]OB Chip'!$K$30</f>
        <v>0</v>
      </c>
      <c r="G88" s="158">
        <f>'[22]FW-VIP'!$K$111</f>
        <v>0</v>
      </c>
      <c r="H88" s="158">
        <f>'VIP Chip Count '!K29</f>
        <v>0</v>
      </c>
      <c r="I88" s="158">
        <f>'Table Breadown'!BR31</f>
        <v>0</v>
      </c>
      <c r="J88" s="255">
        <f t="shared" si="38"/>
        <v>0</v>
      </c>
      <c r="K88" s="372">
        <f t="shared" si="39"/>
        <v>0</v>
      </c>
      <c r="M88" s="160">
        <f t="shared" si="40"/>
        <v>0</v>
      </c>
      <c r="N88" s="160">
        <f t="shared" si="41"/>
        <v>0</v>
      </c>
      <c r="O88" s="160">
        <f t="shared" si="42"/>
        <v>0</v>
      </c>
      <c r="P88" s="160">
        <f t="shared" si="43"/>
        <v>0</v>
      </c>
    </row>
    <row r="89" spans="1:18" ht="37.5" hidden="1" customHeight="1">
      <c r="A89" s="239"/>
      <c r="B89" s="163" t="s">
        <v>73</v>
      </c>
      <c r="C89" s="745">
        <f t="shared" ref="C89:K89" si="44">SUM(C82:C88)</f>
        <v>0</v>
      </c>
      <c r="D89" s="223">
        <f t="shared" si="44"/>
        <v>0</v>
      </c>
      <c r="E89" s="158">
        <f t="shared" si="44"/>
        <v>0</v>
      </c>
      <c r="F89" s="158">
        <f t="shared" si="44"/>
        <v>0</v>
      </c>
      <c r="G89" s="158">
        <f t="shared" si="44"/>
        <v>0</v>
      </c>
      <c r="H89" s="158">
        <f t="shared" si="44"/>
        <v>0</v>
      </c>
      <c r="I89" s="158">
        <f t="shared" si="44"/>
        <v>0</v>
      </c>
      <c r="J89" s="255">
        <f t="shared" si="44"/>
        <v>0</v>
      </c>
      <c r="K89" s="372">
        <f t="shared" si="44"/>
        <v>0</v>
      </c>
      <c r="M89" s="160">
        <f>SUM(M82:M88)</f>
        <v>0</v>
      </c>
      <c r="N89" s="160">
        <f>SUM(N82:N88)</f>
        <v>0</v>
      </c>
      <c r="O89" s="160">
        <f>SUM(O82:O88)</f>
        <v>0</v>
      </c>
      <c r="P89" s="160">
        <f>SUM(P82:P88)</f>
        <v>0</v>
      </c>
    </row>
    <row r="90" spans="1:18" ht="39.950000000000003" customHeight="1">
      <c r="A90" s="267"/>
      <c r="B90" s="163"/>
      <c r="C90" s="262"/>
      <c r="D90" s="732"/>
      <c r="E90" s="732"/>
      <c r="F90" s="732"/>
      <c r="G90" s="732"/>
      <c r="H90" s="732"/>
      <c r="I90" s="732"/>
      <c r="J90" s="733"/>
      <c r="K90" s="734"/>
      <c r="M90" s="166"/>
      <c r="N90" s="166"/>
      <c r="O90" s="166"/>
      <c r="P90" s="166"/>
    </row>
    <row r="91" spans="1:18" ht="39.950000000000003" customHeight="1">
      <c r="A91" s="999" t="s">
        <v>184</v>
      </c>
      <c r="B91" s="1000"/>
      <c r="C91" s="1000"/>
      <c r="D91" s="1000"/>
      <c r="E91" s="1000"/>
      <c r="F91" s="1000"/>
      <c r="G91" s="1000"/>
      <c r="H91" s="1000"/>
      <c r="I91" s="1000"/>
      <c r="J91" s="1000"/>
      <c r="K91" s="1001"/>
      <c r="M91" s="166"/>
      <c r="N91" s="166"/>
      <c r="O91" s="166"/>
      <c r="P91" s="166"/>
    </row>
    <row r="92" spans="1:18" ht="39.950000000000003" customHeight="1">
      <c r="A92" s="1002" t="s">
        <v>53</v>
      </c>
      <c r="B92" s="1003"/>
      <c r="C92" s="1004"/>
      <c r="D92" s="151" t="s">
        <v>30</v>
      </c>
      <c r="E92" s="151" t="s">
        <v>27</v>
      </c>
      <c r="F92" s="151" t="s">
        <v>28</v>
      </c>
      <c r="G92" s="151" t="s">
        <v>29</v>
      </c>
      <c r="H92" s="508" t="s">
        <v>309</v>
      </c>
      <c r="I92" s="151" t="s">
        <v>31</v>
      </c>
      <c r="J92" s="249" t="s">
        <v>32</v>
      </c>
      <c r="K92" s="14" t="s">
        <v>6</v>
      </c>
      <c r="M92" s="721" t="s">
        <v>27</v>
      </c>
      <c r="N92" s="721" t="s">
        <v>28</v>
      </c>
      <c r="O92" s="721" t="s">
        <v>29</v>
      </c>
      <c r="P92" s="166"/>
    </row>
    <row r="93" spans="1:18" ht="39.950000000000003" customHeight="1">
      <c r="A93" s="152" t="s">
        <v>9</v>
      </c>
      <c r="B93" s="153" t="s">
        <v>7</v>
      </c>
      <c r="C93" s="153" t="s">
        <v>5</v>
      </c>
      <c r="D93" s="154" t="s">
        <v>7</v>
      </c>
      <c r="E93" s="154" t="s">
        <v>7</v>
      </c>
      <c r="F93" s="154" t="s">
        <v>7</v>
      </c>
      <c r="G93" s="154" t="s">
        <v>7</v>
      </c>
      <c r="H93" s="154" t="s">
        <v>7</v>
      </c>
      <c r="I93" s="154" t="s">
        <v>7</v>
      </c>
      <c r="J93" s="250" t="s">
        <v>7</v>
      </c>
      <c r="K93" s="155" t="s">
        <v>5</v>
      </c>
      <c r="M93" s="166"/>
      <c r="N93" s="166"/>
      <c r="O93" s="166"/>
      <c r="P93" s="166"/>
    </row>
    <row r="94" spans="1:18" ht="33.75" customHeight="1">
      <c r="A94" s="729">
        <v>100000</v>
      </c>
      <c r="B94" s="168">
        <v>300</v>
      </c>
      <c r="C94" s="179">
        <f t="shared" ref="C94:C103" si="45">A94*B94</f>
        <v>30000000</v>
      </c>
      <c r="D94" s="238"/>
      <c r="E94" s="284">
        <f>'Chip Bank'!O9</f>
        <v>277</v>
      </c>
      <c r="F94" s="282">
        <f>'[21]OB Chip'!$O$9</f>
        <v>0</v>
      </c>
      <c r="G94" s="282">
        <f>[23]TORO!$C$41</f>
        <v>0</v>
      </c>
      <c r="H94" s="240">
        <v>0</v>
      </c>
      <c r="I94" s="158">
        <f>'Table Breadown'!H31</f>
        <v>23</v>
      </c>
      <c r="J94" s="255">
        <f t="shared" ref="J94:J103" si="46">SUM(D94:I94)-B94</f>
        <v>0</v>
      </c>
      <c r="K94" s="372">
        <f>A94*J94</f>
        <v>0</v>
      </c>
      <c r="M94" s="160">
        <f>E94*A94</f>
        <v>27700000</v>
      </c>
      <c r="N94" s="160">
        <f>F94*A94</f>
        <v>0</v>
      </c>
      <c r="O94" s="160">
        <f>G94*A94</f>
        <v>0</v>
      </c>
      <c r="P94" s="160">
        <f>H94*B94</f>
        <v>0</v>
      </c>
    </row>
    <row r="95" spans="1:18" s="335" customFormat="1" ht="33.75" customHeight="1">
      <c r="A95" s="735">
        <v>50000</v>
      </c>
      <c r="B95" s="240">
        <v>600</v>
      </c>
      <c r="C95" s="336">
        <f t="shared" si="45"/>
        <v>30000000</v>
      </c>
      <c r="D95" s="238"/>
      <c r="E95" s="284">
        <f>'Chip Bank'!O10</f>
        <v>575</v>
      </c>
      <c r="F95" s="282">
        <f>'[21]OB Chip'!$O$10</f>
        <v>0</v>
      </c>
      <c r="G95" s="282">
        <f>[23]TORO!$C$42</f>
        <v>0</v>
      </c>
      <c r="H95" s="240">
        <v>0</v>
      </c>
      <c r="I95" s="282">
        <f>'Table Breadown'!I31</f>
        <v>25</v>
      </c>
      <c r="J95" s="255">
        <f t="shared" si="46"/>
        <v>0</v>
      </c>
      <c r="K95" s="373">
        <f t="shared" ref="K95:K103" si="47">A95*J95</f>
        <v>0</v>
      </c>
      <c r="L95" s="3"/>
      <c r="M95" s="160">
        <f t="shared" ref="M95:M102" si="48">E95*A95</f>
        <v>28750000</v>
      </c>
      <c r="N95" s="160">
        <f t="shared" ref="N95:N103" si="49">F95*A95</f>
        <v>0</v>
      </c>
      <c r="O95" s="160">
        <f t="shared" ref="O95:O103" si="50">G95*A95</f>
        <v>0</v>
      </c>
      <c r="P95" s="160">
        <f t="shared" ref="P95:P103" si="51">H95*B95</f>
        <v>0</v>
      </c>
      <c r="Q95" s="3"/>
      <c r="R95" s="3"/>
    </row>
    <row r="96" spans="1:18" s="335" customFormat="1" ht="33.75" customHeight="1">
      <c r="A96" s="735">
        <v>10000</v>
      </c>
      <c r="B96" s="240">
        <v>1200</v>
      </c>
      <c r="C96" s="336">
        <f t="shared" si="45"/>
        <v>12000000</v>
      </c>
      <c r="D96" s="238"/>
      <c r="E96" s="284">
        <f>'Chip Bank'!O11</f>
        <v>706</v>
      </c>
      <c r="F96" s="282">
        <f>'[21]OB Chip'!$O$11</f>
        <v>0</v>
      </c>
      <c r="G96" s="282">
        <f>[23]TORO!$C$43</f>
        <v>0</v>
      </c>
      <c r="H96" s="240">
        <v>15</v>
      </c>
      <c r="I96" s="282">
        <f>'Table Breadown'!J31</f>
        <v>477</v>
      </c>
      <c r="J96" s="255">
        <f t="shared" si="46"/>
        <v>-2</v>
      </c>
      <c r="K96" s="373">
        <f t="shared" si="47"/>
        <v>-20000</v>
      </c>
      <c r="L96" s="3"/>
      <c r="M96" s="160">
        <f t="shared" si="48"/>
        <v>7060000</v>
      </c>
      <c r="N96" s="160">
        <f t="shared" si="49"/>
        <v>0</v>
      </c>
      <c r="O96" s="160">
        <f t="shared" si="50"/>
        <v>0</v>
      </c>
      <c r="P96" s="160">
        <f t="shared" si="51"/>
        <v>18000</v>
      </c>
      <c r="Q96" s="3"/>
      <c r="R96" s="3"/>
    </row>
    <row r="97" spans="1:16" ht="33.75" customHeight="1">
      <c r="A97" s="735">
        <v>5000</v>
      </c>
      <c r="B97" s="240">
        <v>1500</v>
      </c>
      <c r="C97" s="336">
        <f t="shared" si="45"/>
        <v>7500000</v>
      </c>
      <c r="D97" s="238"/>
      <c r="E97" s="284">
        <f>'Chip Bank'!O12</f>
        <v>1199</v>
      </c>
      <c r="F97" s="282">
        <f>'[21]OB Chip'!$O$12</f>
        <v>0</v>
      </c>
      <c r="G97" s="282">
        <f>[23]TORO!$C$44</f>
        <v>0</v>
      </c>
      <c r="H97" s="240">
        <v>5</v>
      </c>
      <c r="I97" s="282">
        <f>'Table Breadown'!K31</f>
        <v>293</v>
      </c>
      <c r="J97" s="258">
        <f t="shared" si="46"/>
        <v>-3</v>
      </c>
      <c r="K97" s="373">
        <f t="shared" si="47"/>
        <v>-15000</v>
      </c>
      <c r="M97" s="160">
        <f t="shared" si="48"/>
        <v>5995000</v>
      </c>
      <c r="N97" s="160">
        <f t="shared" si="49"/>
        <v>0</v>
      </c>
      <c r="O97" s="160">
        <f t="shared" si="50"/>
        <v>0</v>
      </c>
      <c r="P97" s="160">
        <f t="shared" si="51"/>
        <v>7500</v>
      </c>
    </row>
    <row r="98" spans="1:16" ht="33.75" customHeight="1">
      <c r="A98" s="729">
        <v>1000</v>
      </c>
      <c r="B98" s="168">
        <v>1500</v>
      </c>
      <c r="C98" s="179">
        <f t="shared" si="45"/>
        <v>1500000</v>
      </c>
      <c r="D98" s="238"/>
      <c r="E98" s="284">
        <f>'Chip Bank'!O13</f>
        <v>896</v>
      </c>
      <c r="F98" s="282">
        <f>'[21]OB Chip'!$O$13</f>
        <v>0</v>
      </c>
      <c r="G98" s="282">
        <f>[23]TORO!$C$45</f>
        <v>0</v>
      </c>
      <c r="H98" s="240">
        <v>1</v>
      </c>
      <c r="I98" s="158">
        <f>'Table Breadown'!L31</f>
        <v>596</v>
      </c>
      <c r="J98" s="255">
        <f t="shared" si="46"/>
        <v>-7</v>
      </c>
      <c r="K98" s="372">
        <f t="shared" si="47"/>
        <v>-7000</v>
      </c>
      <c r="M98" s="160">
        <f t="shared" si="48"/>
        <v>896000</v>
      </c>
      <c r="N98" s="160">
        <f t="shared" si="49"/>
        <v>0</v>
      </c>
      <c r="O98" s="160">
        <f t="shared" si="50"/>
        <v>0</v>
      </c>
      <c r="P98" s="160">
        <f t="shared" si="51"/>
        <v>1500</v>
      </c>
    </row>
    <row r="99" spans="1:16" ht="33.75" customHeight="1">
      <c r="A99" s="729">
        <v>500</v>
      </c>
      <c r="B99" s="168">
        <v>1500</v>
      </c>
      <c r="C99" s="179">
        <f t="shared" si="45"/>
        <v>750000</v>
      </c>
      <c r="D99" s="238"/>
      <c r="E99" s="284">
        <f>'Chip Bank'!O14</f>
        <v>1173</v>
      </c>
      <c r="F99" s="282">
        <f>'[21]OB Chip'!$O$14</f>
        <v>0</v>
      </c>
      <c r="G99" s="282">
        <f>[23]TORO!$C$46</f>
        <v>0</v>
      </c>
      <c r="H99" s="240">
        <v>10</v>
      </c>
      <c r="I99" s="158">
        <f>'Table Breadown'!M31</f>
        <v>315</v>
      </c>
      <c r="J99" s="498">
        <f>SUM(D99:I99)-B99</f>
        <v>-2</v>
      </c>
      <c r="K99" s="372">
        <f t="shared" si="47"/>
        <v>-1000</v>
      </c>
      <c r="M99" s="160">
        <f t="shared" si="48"/>
        <v>586500</v>
      </c>
      <c r="N99" s="160">
        <f t="shared" si="49"/>
        <v>0</v>
      </c>
      <c r="O99" s="160">
        <f t="shared" si="50"/>
        <v>0</v>
      </c>
      <c r="P99" s="160">
        <f t="shared" si="51"/>
        <v>15000</v>
      </c>
    </row>
    <row r="100" spans="1:16" ht="33.75" customHeight="1">
      <c r="A100" s="729">
        <v>100</v>
      </c>
      <c r="B100" s="168">
        <v>2800</v>
      </c>
      <c r="C100" s="179">
        <f t="shared" si="45"/>
        <v>280000</v>
      </c>
      <c r="D100" s="238"/>
      <c r="E100" s="284">
        <f>'Chip Bank'!O15</f>
        <v>2147</v>
      </c>
      <c r="F100" s="282">
        <f>'[21]OB Chip'!$O$15</f>
        <v>0</v>
      </c>
      <c r="G100" s="282">
        <f>[23]TORO!$C$47</f>
        <v>0</v>
      </c>
      <c r="H100" s="240">
        <v>32</v>
      </c>
      <c r="I100" s="158">
        <f>'Table Breadown'!N31</f>
        <v>612</v>
      </c>
      <c r="J100" s="498">
        <f t="shared" si="46"/>
        <v>-9</v>
      </c>
      <c r="K100" s="372">
        <f t="shared" si="47"/>
        <v>-900</v>
      </c>
      <c r="M100" s="160">
        <f t="shared" si="48"/>
        <v>214700</v>
      </c>
      <c r="N100" s="160">
        <f t="shared" si="49"/>
        <v>0</v>
      </c>
      <c r="O100" s="160">
        <f t="shared" si="50"/>
        <v>0</v>
      </c>
      <c r="P100" s="160">
        <f t="shared" si="51"/>
        <v>89600</v>
      </c>
    </row>
    <row r="101" spans="1:16" ht="33.75" customHeight="1">
      <c r="A101" s="729">
        <v>25</v>
      </c>
      <c r="B101" s="168">
        <v>1500</v>
      </c>
      <c r="C101" s="179">
        <f t="shared" si="45"/>
        <v>37500</v>
      </c>
      <c r="D101" s="238"/>
      <c r="E101" s="284">
        <f>'Chip Bank'!O16</f>
        <v>1173</v>
      </c>
      <c r="F101" s="282">
        <f>'[21]OB Chip'!$O$16</f>
        <v>0</v>
      </c>
      <c r="G101" s="282">
        <f>[23]TORO!$C$48</f>
        <v>0</v>
      </c>
      <c r="H101" s="240">
        <v>20</v>
      </c>
      <c r="I101" s="158">
        <f>'Table Breadown'!O31</f>
        <v>292</v>
      </c>
      <c r="J101" s="255">
        <f t="shared" si="46"/>
        <v>-15</v>
      </c>
      <c r="K101" s="372">
        <f t="shared" si="47"/>
        <v>-375</v>
      </c>
      <c r="M101" s="160">
        <f t="shared" si="48"/>
        <v>29325</v>
      </c>
      <c r="N101" s="160">
        <f t="shared" si="49"/>
        <v>0</v>
      </c>
      <c r="O101" s="160">
        <f t="shared" si="50"/>
        <v>0</v>
      </c>
      <c r="P101" s="160">
        <f t="shared" si="51"/>
        <v>30000</v>
      </c>
    </row>
    <row r="102" spans="1:16" ht="33.75" customHeight="1">
      <c r="A102" s="722">
        <v>5</v>
      </c>
      <c r="B102" s="730">
        <v>1800</v>
      </c>
      <c r="C102" s="179">
        <f t="shared" si="45"/>
        <v>9000</v>
      </c>
      <c r="D102" s="238"/>
      <c r="E102" s="284">
        <f>'Chip Bank'!O17</f>
        <v>1433</v>
      </c>
      <c r="F102" s="282">
        <f>'[21]OB Chip'!$O$17</f>
        <v>0</v>
      </c>
      <c r="G102" s="282">
        <f>[23]TORO!$C$49</f>
        <v>0</v>
      </c>
      <c r="H102" s="240">
        <v>4</v>
      </c>
      <c r="I102" s="158">
        <f>'Table Breadown'!P31</f>
        <v>294</v>
      </c>
      <c r="J102" s="255">
        <f t="shared" si="46"/>
        <v>-69</v>
      </c>
      <c r="K102" s="372">
        <f t="shared" si="47"/>
        <v>-345</v>
      </c>
      <c r="M102" s="160">
        <f t="shared" si="48"/>
        <v>7165</v>
      </c>
      <c r="N102" s="160">
        <f t="shared" si="49"/>
        <v>0</v>
      </c>
      <c r="O102" s="160">
        <f t="shared" si="50"/>
        <v>0</v>
      </c>
      <c r="P102" s="160">
        <f t="shared" si="51"/>
        <v>7200</v>
      </c>
    </row>
    <row r="103" spans="1:16" ht="33.75" customHeight="1">
      <c r="A103" s="722">
        <v>1</v>
      </c>
      <c r="B103" s="730">
        <v>300</v>
      </c>
      <c r="C103" s="179">
        <f t="shared" si="45"/>
        <v>300</v>
      </c>
      <c r="D103" s="238"/>
      <c r="E103" s="284">
        <f>'Chip Bank'!O18</f>
        <v>300</v>
      </c>
      <c r="F103" s="282">
        <f>'[21]OB Chip'!$O$18</f>
        <v>0</v>
      </c>
      <c r="G103" s="282">
        <f>[23]TORO!$C$50</f>
        <v>0</v>
      </c>
      <c r="H103" s="240">
        <v>0</v>
      </c>
      <c r="I103" s="158">
        <f>'Table Breadown'!Q31</f>
        <v>0</v>
      </c>
      <c r="J103" s="255">
        <f t="shared" si="46"/>
        <v>0</v>
      </c>
      <c r="K103" s="372">
        <f t="shared" si="47"/>
        <v>0</v>
      </c>
      <c r="M103" s="160">
        <f>E103*A103</f>
        <v>300</v>
      </c>
      <c r="N103" s="160">
        <f t="shared" si="49"/>
        <v>0</v>
      </c>
      <c r="O103" s="160">
        <f t="shared" si="50"/>
        <v>0</v>
      </c>
      <c r="P103" s="160">
        <f t="shared" si="51"/>
        <v>0</v>
      </c>
    </row>
    <row r="104" spans="1:16" ht="39.950000000000003" customHeight="1">
      <c r="A104" s="239"/>
      <c r="B104" s="163" t="s">
        <v>73</v>
      </c>
      <c r="C104" s="745">
        <f t="shared" ref="C104:K104" si="52">SUM(C94:C103)</f>
        <v>82076800</v>
      </c>
      <c r="D104" s="223">
        <f t="shared" si="52"/>
        <v>0</v>
      </c>
      <c r="E104" s="158">
        <f t="shared" si="52"/>
        <v>9879</v>
      </c>
      <c r="F104" s="158">
        <f t="shared" si="52"/>
        <v>0</v>
      </c>
      <c r="G104" s="158">
        <f t="shared" si="52"/>
        <v>0</v>
      </c>
      <c r="H104" s="158">
        <f>SUM(H94:H103)</f>
        <v>87</v>
      </c>
      <c r="I104" s="158">
        <f>SUM(I94:I103)</f>
        <v>2927</v>
      </c>
      <c r="J104" s="255">
        <f t="shared" si="52"/>
        <v>-107</v>
      </c>
      <c r="K104" s="372">
        <f t="shared" si="52"/>
        <v>-44620</v>
      </c>
      <c r="M104" s="160">
        <f>SUM(M94:M103)</f>
        <v>71238990</v>
      </c>
      <c r="N104" s="160">
        <f>SUM(N94:N103)</f>
        <v>0</v>
      </c>
      <c r="O104" s="160">
        <f>SUM(O94:O103)</f>
        <v>0</v>
      </c>
      <c r="P104" s="160">
        <f>SUM(P94:P103)</f>
        <v>168800</v>
      </c>
    </row>
    <row r="105" spans="1:16" ht="39.950000000000003" customHeight="1">
      <c r="A105" s="162"/>
      <c r="B105" s="163"/>
      <c r="C105" s="237"/>
      <c r="D105" s="736"/>
      <c r="E105" s="170"/>
      <c r="F105" s="170"/>
      <c r="G105" s="170"/>
      <c r="H105" s="170"/>
      <c r="I105" s="170"/>
      <c r="J105" s="737"/>
      <c r="K105" s="738"/>
      <c r="M105" s="166"/>
      <c r="N105" s="166"/>
      <c r="O105" s="166"/>
      <c r="P105" s="166"/>
    </row>
    <row r="106" spans="1:16" ht="39.950000000000003" customHeight="1">
      <c r="A106" s="999" t="s">
        <v>189</v>
      </c>
      <c r="B106" s="1000"/>
      <c r="C106" s="1000"/>
      <c r="D106" s="1000"/>
      <c r="E106" s="1000"/>
      <c r="F106" s="1000"/>
      <c r="G106" s="1000"/>
      <c r="H106" s="1000"/>
      <c r="I106" s="1000"/>
      <c r="J106" s="1000"/>
      <c r="K106" s="1001"/>
      <c r="M106" s="166"/>
      <c r="N106" s="166"/>
      <c r="O106" s="166"/>
      <c r="P106" s="166"/>
    </row>
    <row r="107" spans="1:16" ht="39.950000000000003" customHeight="1">
      <c r="A107" s="1002" t="s">
        <v>53</v>
      </c>
      <c r="B107" s="1003"/>
      <c r="C107" s="1004"/>
      <c r="D107" s="151" t="s">
        <v>30</v>
      </c>
      <c r="E107" s="151" t="s">
        <v>27</v>
      </c>
      <c r="F107" s="151" t="s">
        <v>28</v>
      </c>
      <c r="G107" s="151" t="s">
        <v>29</v>
      </c>
      <c r="H107" s="151" t="s">
        <v>170</v>
      </c>
      <c r="I107" s="151" t="s">
        <v>380</v>
      </c>
      <c r="J107" s="249" t="s">
        <v>32</v>
      </c>
      <c r="K107" s="14" t="s">
        <v>6</v>
      </c>
      <c r="M107" s="721" t="s">
        <v>27</v>
      </c>
      <c r="N107" s="721" t="s">
        <v>28</v>
      </c>
      <c r="O107" s="721" t="s">
        <v>29</v>
      </c>
      <c r="P107" s="721" t="s">
        <v>84</v>
      </c>
    </row>
    <row r="108" spans="1:16" ht="39.950000000000003" customHeight="1">
      <c r="A108" s="152" t="s">
        <v>9</v>
      </c>
      <c r="B108" s="153" t="s">
        <v>7</v>
      </c>
      <c r="C108" s="153" t="s">
        <v>5</v>
      </c>
      <c r="D108" s="154" t="s">
        <v>7</v>
      </c>
      <c r="E108" s="154" t="s">
        <v>7</v>
      </c>
      <c r="F108" s="154" t="s">
        <v>7</v>
      </c>
      <c r="G108" s="154" t="s">
        <v>7</v>
      </c>
      <c r="H108" s="154" t="s">
        <v>7</v>
      </c>
      <c r="I108" s="154" t="s">
        <v>7</v>
      </c>
      <c r="J108" s="250" t="s">
        <v>7</v>
      </c>
      <c r="K108" s="155" t="s">
        <v>5</v>
      </c>
      <c r="M108" s="166"/>
      <c r="N108" s="166"/>
      <c r="O108" s="166"/>
      <c r="P108" s="166"/>
    </row>
    <row r="109" spans="1:16" ht="33.75" hidden="1" customHeight="1">
      <c r="A109" s="729">
        <v>100000</v>
      </c>
      <c r="B109" s="168"/>
      <c r="C109" s="179">
        <f t="shared" ref="C109:C117" si="53">A109*B109</f>
        <v>0</v>
      </c>
      <c r="D109" s="238"/>
      <c r="E109" s="284">
        <f>'Chip Bank'!O24</f>
        <v>0</v>
      </c>
      <c r="F109" s="282">
        <f>'[21]OB Chip'!$O$24</f>
        <v>0</v>
      </c>
      <c r="G109" s="706">
        <v>0</v>
      </c>
      <c r="H109" s="282">
        <f>'VIP Chip Count '!G23</f>
        <v>0</v>
      </c>
      <c r="I109" s="158">
        <f>'Table Breadown'!T31</f>
        <v>0</v>
      </c>
      <c r="J109" s="255">
        <f>SUM(D109:I109)-B109</f>
        <v>0</v>
      </c>
      <c r="K109" s="372">
        <f t="shared" ref="K109:K117" si="54">A109*J109</f>
        <v>0</v>
      </c>
      <c r="M109" s="160">
        <f t="shared" ref="M109:M117" si="55">E109*A109</f>
        <v>0</v>
      </c>
      <c r="N109" s="160">
        <f t="shared" ref="N109:N117" si="56">F109*A109</f>
        <v>0</v>
      </c>
      <c r="O109" s="160">
        <f>G109*A109</f>
        <v>0</v>
      </c>
      <c r="P109" s="160">
        <f>H109*B109</f>
        <v>0</v>
      </c>
    </row>
    <row r="110" spans="1:16" ht="33.75" hidden="1" customHeight="1">
      <c r="A110" s="729">
        <v>50000</v>
      </c>
      <c r="B110" s="168"/>
      <c r="C110" s="179">
        <f t="shared" si="53"/>
        <v>0</v>
      </c>
      <c r="D110" s="238"/>
      <c r="E110" s="284">
        <f>'Chip Bank'!O25</f>
        <v>0</v>
      </c>
      <c r="F110" s="282">
        <f>'[21]OB Chip'!$O$25</f>
        <v>0</v>
      </c>
      <c r="G110" s="706">
        <v>0</v>
      </c>
      <c r="H110" s="282">
        <f>'VIP Chip Count '!G24</f>
        <v>0</v>
      </c>
      <c r="I110" s="158">
        <f>'Table Breadown'!U31</f>
        <v>0</v>
      </c>
      <c r="J110" s="255">
        <f>SUM(D110:I110)-B110</f>
        <v>0</v>
      </c>
      <c r="K110" s="372">
        <f t="shared" si="54"/>
        <v>0</v>
      </c>
      <c r="M110" s="160">
        <f t="shared" si="55"/>
        <v>0</v>
      </c>
      <c r="N110" s="160">
        <f t="shared" si="56"/>
        <v>0</v>
      </c>
      <c r="O110" s="160">
        <f t="shared" ref="O110:O117" si="57">G110*A110</f>
        <v>0</v>
      </c>
      <c r="P110" s="160">
        <f t="shared" ref="P110:P117" si="58">H110*B110</f>
        <v>0</v>
      </c>
    </row>
    <row r="111" spans="1:16" ht="33.75" hidden="1" customHeight="1">
      <c r="A111" s="729">
        <v>10000</v>
      </c>
      <c r="B111" s="168"/>
      <c r="C111" s="179">
        <f t="shared" si="53"/>
        <v>0</v>
      </c>
      <c r="D111" s="238"/>
      <c r="E111" s="284">
        <f>'Chip Bank'!O26</f>
        <v>0</v>
      </c>
      <c r="F111" s="282">
        <f>'[21]OB Chip'!$O$26</f>
        <v>0</v>
      </c>
      <c r="G111" s="706">
        <v>0</v>
      </c>
      <c r="H111" s="282">
        <f>'VIP Chip Count '!G25</f>
        <v>0</v>
      </c>
      <c r="I111" s="158">
        <f>'Table Breadown'!V31</f>
        <v>0</v>
      </c>
      <c r="J111" s="255">
        <f t="shared" ref="J111:J117" si="59">SUM(D111:I111)-B111</f>
        <v>0</v>
      </c>
      <c r="K111" s="372">
        <f t="shared" si="54"/>
        <v>0</v>
      </c>
      <c r="M111" s="160">
        <f t="shared" si="55"/>
        <v>0</v>
      </c>
      <c r="N111" s="160">
        <f t="shared" si="56"/>
        <v>0</v>
      </c>
      <c r="O111" s="160">
        <f t="shared" si="57"/>
        <v>0</v>
      </c>
      <c r="P111" s="160">
        <f t="shared" si="58"/>
        <v>0</v>
      </c>
    </row>
    <row r="112" spans="1:16" ht="33.75" hidden="1" customHeight="1">
      <c r="A112" s="735">
        <v>5000</v>
      </c>
      <c r="B112" s="240"/>
      <c r="C112" s="336">
        <f t="shared" si="53"/>
        <v>0</v>
      </c>
      <c r="D112" s="238"/>
      <c r="E112" s="284">
        <f>'Chip Bank'!O27</f>
        <v>0</v>
      </c>
      <c r="F112" s="282">
        <f>'[21]OB Chip'!$O$27</f>
        <v>0</v>
      </c>
      <c r="G112" s="706">
        <v>0</v>
      </c>
      <c r="H112" s="282">
        <f>'VIP Chip Count '!G26</f>
        <v>0</v>
      </c>
      <c r="I112" s="282">
        <f>'Table Breadown'!W31</f>
        <v>0</v>
      </c>
      <c r="J112" s="255">
        <f t="shared" si="59"/>
        <v>0</v>
      </c>
      <c r="K112" s="373">
        <f t="shared" si="54"/>
        <v>0</v>
      </c>
      <c r="M112" s="160">
        <f t="shared" si="55"/>
        <v>0</v>
      </c>
      <c r="N112" s="160">
        <f t="shared" si="56"/>
        <v>0</v>
      </c>
      <c r="O112" s="160">
        <f t="shared" si="57"/>
        <v>0</v>
      </c>
      <c r="P112" s="160">
        <f t="shared" si="58"/>
        <v>0</v>
      </c>
    </row>
    <row r="113" spans="1:23" s="335" customFormat="1" ht="33.75" hidden="1" customHeight="1">
      <c r="A113" s="735">
        <v>1000</v>
      </c>
      <c r="B113" s="240"/>
      <c r="C113" s="336">
        <f t="shared" si="53"/>
        <v>0</v>
      </c>
      <c r="D113" s="238"/>
      <c r="E113" s="284">
        <f>'Chip Bank'!O28</f>
        <v>0</v>
      </c>
      <c r="F113" s="282">
        <f>'[21]OB Chip'!$O$28</f>
        <v>0</v>
      </c>
      <c r="G113" s="706">
        <v>0</v>
      </c>
      <c r="H113" s="282">
        <f>'VIP Chip Count '!G27</f>
        <v>0</v>
      </c>
      <c r="I113" s="282">
        <f>'Table Breadown'!X31</f>
        <v>0</v>
      </c>
      <c r="J113" s="258">
        <f t="shared" si="59"/>
        <v>0</v>
      </c>
      <c r="K113" s="373">
        <f t="shared" si="54"/>
        <v>0</v>
      </c>
      <c r="L113" s="3"/>
      <c r="M113" s="160">
        <f t="shared" si="55"/>
        <v>0</v>
      </c>
      <c r="N113" s="160">
        <f t="shared" si="56"/>
        <v>0</v>
      </c>
      <c r="O113" s="160">
        <f t="shared" si="57"/>
        <v>0</v>
      </c>
      <c r="P113" s="160">
        <f t="shared" si="58"/>
        <v>0</v>
      </c>
      <c r="Q113" s="3"/>
      <c r="R113" s="3"/>
      <c r="S113" s="3"/>
      <c r="T113" s="3"/>
      <c r="U113" s="3"/>
      <c r="V113" s="3"/>
      <c r="W113" s="3"/>
    </row>
    <row r="114" spans="1:23" ht="33.75" customHeight="1">
      <c r="A114" s="735">
        <v>1000</v>
      </c>
      <c r="B114" s="240">
        <v>2500</v>
      </c>
      <c r="C114" s="336">
        <f t="shared" si="53"/>
        <v>2500000</v>
      </c>
      <c r="D114" s="706">
        <v>2100</v>
      </c>
      <c r="E114" s="284">
        <f>'Chip Bank'!O29</f>
        <v>0</v>
      </c>
      <c r="F114" s="282">
        <f>'[21]OB Chip'!$O$29</f>
        <v>0</v>
      </c>
      <c r="G114" s="706">
        <v>0</v>
      </c>
      <c r="H114" s="282">
        <f>'VIP Chip Count '!G28</f>
        <v>0</v>
      </c>
      <c r="I114" s="706">
        <v>0</v>
      </c>
      <c r="J114" s="258">
        <f t="shared" si="59"/>
        <v>-400</v>
      </c>
      <c r="K114" s="373">
        <f t="shared" si="54"/>
        <v>-400000</v>
      </c>
      <c r="M114" s="160">
        <f t="shared" si="55"/>
        <v>0</v>
      </c>
      <c r="N114" s="160">
        <f t="shared" si="56"/>
        <v>0</v>
      </c>
      <c r="O114" s="160">
        <f t="shared" si="57"/>
        <v>0</v>
      </c>
      <c r="P114" s="160">
        <f t="shared" si="58"/>
        <v>0</v>
      </c>
    </row>
    <row r="115" spans="1:23" ht="33.75" customHeight="1">
      <c r="A115" s="735">
        <v>500</v>
      </c>
      <c r="B115" s="240">
        <v>1000</v>
      </c>
      <c r="C115" s="336">
        <f t="shared" si="53"/>
        <v>500000</v>
      </c>
      <c r="D115" s="706">
        <v>1000</v>
      </c>
      <c r="E115" s="284">
        <f>'Chip Bank'!O30</f>
        <v>0</v>
      </c>
      <c r="F115" s="282">
        <f>'[21]OB Chip'!$O$30</f>
        <v>0</v>
      </c>
      <c r="G115" s="706">
        <v>0</v>
      </c>
      <c r="H115" s="282">
        <f>'VIP Chip Count '!G29</f>
        <v>0</v>
      </c>
      <c r="I115" s="706">
        <v>0</v>
      </c>
      <c r="J115" s="258">
        <f t="shared" si="59"/>
        <v>0</v>
      </c>
      <c r="K115" s="373">
        <f t="shared" si="54"/>
        <v>0</v>
      </c>
      <c r="M115" s="160">
        <f t="shared" si="55"/>
        <v>0</v>
      </c>
      <c r="N115" s="160">
        <f t="shared" si="56"/>
        <v>0</v>
      </c>
      <c r="O115" s="160">
        <f t="shared" si="57"/>
        <v>0</v>
      </c>
      <c r="P115" s="160">
        <f t="shared" si="58"/>
        <v>0</v>
      </c>
    </row>
    <row r="116" spans="1:23" ht="33.75" customHeight="1">
      <c r="A116" s="739">
        <v>100</v>
      </c>
      <c r="B116" s="367">
        <v>3000</v>
      </c>
      <c r="C116" s="336">
        <f t="shared" si="53"/>
        <v>300000</v>
      </c>
      <c r="D116" s="706">
        <v>2100</v>
      </c>
      <c r="E116" s="284">
        <f>'Chip Bank'!O31</f>
        <v>0</v>
      </c>
      <c r="F116" s="706">
        <v>0</v>
      </c>
      <c r="G116" s="706">
        <v>0</v>
      </c>
      <c r="H116" s="282">
        <f>'VIP Chip Count '!G30</f>
        <v>0</v>
      </c>
      <c r="I116" s="706">
        <v>0</v>
      </c>
      <c r="J116" s="258">
        <f t="shared" si="59"/>
        <v>-900</v>
      </c>
      <c r="K116" s="373">
        <f>A116*J116</f>
        <v>-90000</v>
      </c>
      <c r="M116" s="160">
        <f t="shared" si="55"/>
        <v>0</v>
      </c>
      <c r="N116" s="160">
        <f t="shared" si="56"/>
        <v>0</v>
      </c>
      <c r="O116" s="160">
        <f t="shared" si="57"/>
        <v>0</v>
      </c>
      <c r="P116" s="160">
        <f t="shared" si="58"/>
        <v>0</v>
      </c>
    </row>
    <row r="117" spans="1:23" ht="33.75" customHeight="1">
      <c r="A117" s="739">
        <v>10</v>
      </c>
      <c r="B117" s="368">
        <v>2000</v>
      </c>
      <c r="C117" s="336">
        <f t="shared" si="53"/>
        <v>20000</v>
      </c>
      <c r="D117" s="706">
        <v>1000</v>
      </c>
      <c r="E117" s="284">
        <f>'Chip Bank'!O32</f>
        <v>0</v>
      </c>
      <c r="F117" s="706">
        <v>0</v>
      </c>
      <c r="G117" s="706">
        <v>0</v>
      </c>
      <c r="H117" s="282">
        <f>'VIP Chip Count '!G31</f>
        <v>0</v>
      </c>
      <c r="I117" s="706">
        <v>0</v>
      </c>
      <c r="J117" s="258">
        <f t="shared" si="59"/>
        <v>-1000</v>
      </c>
      <c r="K117" s="373">
        <f t="shared" si="54"/>
        <v>-10000</v>
      </c>
      <c r="M117" s="160">
        <f t="shared" si="55"/>
        <v>0</v>
      </c>
      <c r="N117" s="160">
        <f t="shared" si="56"/>
        <v>0</v>
      </c>
      <c r="O117" s="160">
        <f t="shared" si="57"/>
        <v>0</v>
      </c>
      <c r="P117" s="160">
        <f t="shared" si="58"/>
        <v>0</v>
      </c>
    </row>
    <row r="118" spans="1:23" ht="39.950000000000003" customHeight="1">
      <c r="A118" s="239"/>
      <c r="B118" s="163" t="s">
        <v>73</v>
      </c>
      <c r="C118" s="745">
        <f>SUM(C109:C117)</f>
        <v>3320000</v>
      </c>
      <c r="D118" s="282">
        <f t="shared" ref="D118:J118" si="60">SUM(D109:D115)</f>
        <v>3100</v>
      </c>
      <c r="E118" s="158">
        <f t="shared" si="60"/>
        <v>0</v>
      </c>
      <c r="F118" s="158">
        <f t="shared" si="60"/>
        <v>0</v>
      </c>
      <c r="G118" s="158">
        <f t="shared" si="60"/>
        <v>0</v>
      </c>
      <c r="H118" s="158">
        <f t="shared" si="60"/>
        <v>0</v>
      </c>
      <c r="I118" s="158">
        <f t="shared" si="60"/>
        <v>0</v>
      </c>
      <c r="J118" s="255">
        <f t="shared" si="60"/>
        <v>-400</v>
      </c>
      <c r="K118" s="372">
        <f>SUM(K109:K117)</f>
        <v>-500000</v>
      </c>
      <c r="M118" s="160">
        <f>SUM(M109:M115)</f>
        <v>0</v>
      </c>
      <c r="N118" s="160">
        <f>SUM(N109:N115)</f>
        <v>0</v>
      </c>
      <c r="O118" s="160">
        <f>SUM(O109:O117)</f>
        <v>0</v>
      </c>
      <c r="P118" s="160">
        <f>SUM(P109:P115)</f>
        <v>0</v>
      </c>
    </row>
    <row r="119" spans="1:23" ht="39.950000000000003" customHeight="1">
      <c r="A119" s="162"/>
      <c r="B119" s="163"/>
      <c r="C119" s="237"/>
      <c r="D119" s="170"/>
      <c r="E119" s="170"/>
      <c r="F119" s="170"/>
      <c r="G119" s="170"/>
      <c r="H119" s="170"/>
      <c r="I119" s="170"/>
      <c r="J119" s="737"/>
      <c r="K119" s="740"/>
      <c r="M119" s="166"/>
      <c r="N119" s="166"/>
      <c r="O119" s="166"/>
      <c r="P119" s="166"/>
    </row>
    <row r="120" spans="1:23" ht="45" customHeight="1">
      <c r="A120" s="995" t="s">
        <v>64</v>
      </c>
      <c r="B120" s="995"/>
      <c r="C120" s="995"/>
      <c r="D120" s="995"/>
      <c r="E120" s="995"/>
      <c r="F120" s="995"/>
      <c r="G120" s="995"/>
      <c r="H120" s="995"/>
      <c r="I120" s="995"/>
      <c r="J120" s="995"/>
      <c r="K120" s="995"/>
      <c r="M120" s="361"/>
      <c r="N120" s="361"/>
      <c r="O120" s="361"/>
      <c r="P120" s="362"/>
      <c r="Q120" s="362"/>
    </row>
    <row r="121" spans="1:23" s="5" customFormat="1" ht="45" customHeight="1">
      <c r="A121" s="1005" t="s">
        <v>53</v>
      </c>
      <c r="B121" s="1005"/>
      <c r="C121" s="1005"/>
      <c r="D121" s="151" t="s">
        <v>30</v>
      </c>
      <c r="E121" s="151" t="s">
        <v>27</v>
      </c>
      <c r="F121" s="151" t="s">
        <v>302</v>
      </c>
      <c r="G121" s="508" t="s">
        <v>270</v>
      </c>
      <c r="H121" s="151" t="s">
        <v>202</v>
      </c>
      <c r="I121" s="151" t="s">
        <v>31</v>
      </c>
      <c r="J121" s="363" t="s">
        <v>32</v>
      </c>
      <c r="K121" s="14" t="s">
        <v>6</v>
      </c>
      <c r="M121" s="151" t="s">
        <v>27</v>
      </c>
      <c r="N121" s="151" t="s">
        <v>202</v>
      </c>
      <c r="O121" s="151" t="s">
        <v>29</v>
      </c>
      <c r="P121" s="151" t="s">
        <v>84</v>
      </c>
      <c r="Q121" s="361"/>
    </row>
    <row r="122" spans="1:23" s="156" customFormat="1" ht="45" customHeight="1">
      <c r="A122" s="152" t="s">
        <v>9</v>
      </c>
      <c r="B122" s="153" t="s">
        <v>7</v>
      </c>
      <c r="C122" s="153" t="s">
        <v>5</v>
      </c>
      <c r="D122" s="154" t="s">
        <v>7</v>
      </c>
      <c r="E122" s="154" t="s">
        <v>7</v>
      </c>
      <c r="F122" s="154" t="s">
        <v>7</v>
      </c>
      <c r="G122" s="154" t="s">
        <v>7</v>
      </c>
      <c r="H122" s="154" t="s">
        <v>7</v>
      </c>
      <c r="I122" s="154" t="s">
        <v>7</v>
      </c>
      <c r="J122" s="154" t="s">
        <v>7</v>
      </c>
      <c r="K122" s="155" t="s">
        <v>5</v>
      </c>
      <c r="M122" s="362"/>
      <c r="N122" s="362"/>
      <c r="O122" s="362"/>
      <c r="P122" s="362"/>
      <c r="Q122" s="364"/>
    </row>
    <row r="123" spans="1:23" s="156" customFormat="1" ht="33.75" customHeight="1">
      <c r="A123" s="729">
        <v>100000</v>
      </c>
      <c r="B123" s="440">
        <v>600</v>
      </c>
      <c r="C123" s="179">
        <f t="shared" ref="C123:C130" si="61">A123*B123</f>
        <v>60000000</v>
      </c>
      <c r="D123" s="441"/>
      <c r="E123" s="284">
        <f>'Chip Bank'!U9</f>
        <v>596</v>
      </c>
      <c r="F123" s="240"/>
      <c r="G123" s="240">
        <v>4</v>
      </c>
      <c r="H123" s="284">
        <f>'VIP Chip Count '!C9</f>
        <v>0</v>
      </c>
      <c r="I123" s="158">
        <f>'Table Breadown'!BA31</f>
        <v>0</v>
      </c>
      <c r="J123" s="256">
        <f>SUM(D123:I123)-B123</f>
        <v>0</v>
      </c>
      <c r="K123" s="469">
        <f t="shared" ref="K123:K130" si="62">J123*A123</f>
        <v>0</v>
      </c>
      <c r="M123" s="365">
        <f>F123*A123</f>
        <v>0</v>
      </c>
      <c r="N123" s="365">
        <f>H123*A123</f>
        <v>0</v>
      </c>
      <c r="O123" s="365">
        <f t="shared" ref="O123:O130" si="63">G123*A123</f>
        <v>400000</v>
      </c>
      <c r="P123" s="365">
        <f t="shared" ref="P123:P130" si="64">H123*A123</f>
        <v>0</v>
      </c>
      <c r="Q123" s="364"/>
    </row>
    <row r="124" spans="1:23" s="156" customFormat="1" ht="33.75" customHeight="1">
      <c r="A124" s="729">
        <v>50000</v>
      </c>
      <c r="B124" s="440">
        <v>600</v>
      </c>
      <c r="C124" s="179">
        <f t="shared" si="61"/>
        <v>30000000</v>
      </c>
      <c r="D124" s="441"/>
      <c r="E124" s="284">
        <f>'Chip Bank'!U10</f>
        <v>600</v>
      </c>
      <c r="F124" s="240"/>
      <c r="G124" s="240">
        <v>0</v>
      </c>
      <c r="H124" s="284">
        <f>'VIP Chip Count '!C10</f>
        <v>0</v>
      </c>
      <c r="I124" s="158">
        <f>'Table Breadown'!BB31</f>
        <v>0</v>
      </c>
      <c r="J124" s="256">
        <f>SUM(D124:I124)-B124</f>
        <v>0</v>
      </c>
      <c r="K124" s="469">
        <f t="shared" si="62"/>
        <v>0</v>
      </c>
      <c r="M124" s="365">
        <f t="shared" ref="M124:M130" si="65">F124*A124</f>
        <v>0</v>
      </c>
      <c r="N124" s="365">
        <f t="shared" ref="N124:N134" si="66">H124*A124</f>
        <v>0</v>
      </c>
      <c r="O124" s="365">
        <f t="shared" si="63"/>
        <v>0</v>
      </c>
      <c r="P124" s="365">
        <f t="shared" si="64"/>
        <v>0</v>
      </c>
      <c r="Q124" s="364"/>
    </row>
    <row r="125" spans="1:23" s="156" customFormat="1" ht="33.75" customHeight="1">
      <c r="A125" s="729">
        <v>10000</v>
      </c>
      <c r="B125" s="440">
        <v>1800</v>
      </c>
      <c r="C125" s="179">
        <f t="shared" si="61"/>
        <v>18000000</v>
      </c>
      <c r="D125" s="441"/>
      <c r="E125" s="284">
        <f>'Chip Bank'!U11</f>
        <v>1765</v>
      </c>
      <c r="F125" s="240"/>
      <c r="G125" s="240">
        <v>2</v>
      </c>
      <c r="H125" s="284">
        <f>'VIP Chip Count '!C11</f>
        <v>0</v>
      </c>
      <c r="I125" s="158">
        <f>'Table Breadown'!BC31</f>
        <v>33</v>
      </c>
      <c r="J125" s="256">
        <f t="shared" ref="J125:J130" si="67">SUM(D125:I125)-B125</f>
        <v>0</v>
      </c>
      <c r="K125" s="469">
        <f t="shared" si="62"/>
        <v>0</v>
      </c>
      <c r="M125" s="365">
        <f t="shared" si="65"/>
        <v>0</v>
      </c>
      <c r="N125" s="365">
        <f t="shared" si="66"/>
        <v>0</v>
      </c>
      <c r="O125" s="365">
        <f t="shared" si="63"/>
        <v>20000</v>
      </c>
      <c r="P125" s="365">
        <f t="shared" si="64"/>
        <v>0</v>
      </c>
      <c r="Q125" s="364"/>
    </row>
    <row r="126" spans="1:23" s="156" customFormat="1" ht="33.75" customHeight="1">
      <c r="A126" s="729">
        <v>5000</v>
      </c>
      <c r="B126" s="440">
        <v>1500</v>
      </c>
      <c r="C126" s="179">
        <f t="shared" si="61"/>
        <v>7500000</v>
      </c>
      <c r="D126" s="441"/>
      <c r="E126" s="284">
        <f>'Chip Bank'!U12</f>
        <v>1270</v>
      </c>
      <c r="F126" s="240"/>
      <c r="G126" s="240">
        <v>0</v>
      </c>
      <c r="H126" s="284">
        <f>'VIP Chip Count '!C12</f>
        <v>0</v>
      </c>
      <c r="I126" s="158">
        <f>'Table Breadown'!BD31</f>
        <v>230</v>
      </c>
      <c r="J126" s="256">
        <f t="shared" si="67"/>
        <v>0</v>
      </c>
      <c r="K126" s="469">
        <f t="shared" si="62"/>
        <v>0</v>
      </c>
      <c r="M126" s="365">
        <f t="shared" si="65"/>
        <v>0</v>
      </c>
      <c r="N126" s="365">
        <f t="shared" si="66"/>
        <v>0</v>
      </c>
      <c r="O126" s="365">
        <f t="shared" si="63"/>
        <v>0</v>
      </c>
      <c r="P126" s="365">
        <f t="shared" si="64"/>
        <v>0</v>
      </c>
      <c r="Q126" s="364"/>
    </row>
    <row r="127" spans="1:23" s="156" customFormat="1" ht="33.75" customHeight="1">
      <c r="A127" s="729">
        <v>1000</v>
      </c>
      <c r="B127" s="440">
        <v>3500</v>
      </c>
      <c r="C127" s="179">
        <f t="shared" si="61"/>
        <v>3500000</v>
      </c>
      <c r="D127" s="441"/>
      <c r="E127" s="284">
        <f>'Chip Bank'!U13</f>
        <v>3194</v>
      </c>
      <c r="F127" s="240"/>
      <c r="G127" s="240">
        <v>61</v>
      </c>
      <c r="H127" s="284">
        <f>'VIP Chip Count '!C13</f>
        <v>0</v>
      </c>
      <c r="I127" s="158">
        <f>'Table Breadown'!BE31</f>
        <v>237</v>
      </c>
      <c r="J127" s="256">
        <f t="shared" si="67"/>
        <v>-8</v>
      </c>
      <c r="K127" s="469">
        <f t="shared" si="62"/>
        <v>-8000</v>
      </c>
      <c r="M127" s="365">
        <f t="shared" si="65"/>
        <v>0</v>
      </c>
      <c r="N127" s="365">
        <f t="shared" si="66"/>
        <v>0</v>
      </c>
      <c r="O127" s="365">
        <f t="shared" si="63"/>
        <v>61000</v>
      </c>
      <c r="P127" s="365">
        <f t="shared" si="64"/>
        <v>0</v>
      </c>
      <c r="Q127" s="364"/>
    </row>
    <row r="128" spans="1:23" s="156" customFormat="1" ht="33.75" customHeight="1">
      <c r="A128" s="729">
        <v>500</v>
      </c>
      <c r="B128" s="440">
        <v>3500</v>
      </c>
      <c r="C128" s="179">
        <f t="shared" si="61"/>
        <v>1750000</v>
      </c>
      <c r="D128" s="441"/>
      <c r="E128" s="284">
        <f>'Chip Bank'!U14</f>
        <v>3258</v>
      </c>
      <c r="F128" s="240"/>
      <c r="G128" s="240">
        <v>27</v>
      </c>
      <c r="H128" s="284">
        <f>'VIP Chip Count '!C14</f>
        <v>0</v>
      </c>
      <c r="I128" s="158">
        <f>'Table Breadown'!BF31</f>
        <v>210</v>
      </c>
      <c r="J128" s="256">
        <f t="shared" si="67"/>
        <v>-5</v>
      </c>
      <c r="K128" s="469">
        <f t="shared" si="62"/>
        <v>-2500</v>
      </c>
      <c r="M128" s="365">
        <f t="shared" si="65"/>
        <v>0</v>
      </c>
      <c r="N128" s="365">
        <f t="shared" si="66"/>
        <v>0</v>
      </c>
      <c r="O128" s="365">
        <f t="shared" si="63"/>
        <v>13500</v>
      </c>
      <c r="P128" s="365">
        <f t="shared" si="64"/>
        <v>0</v>
      </c>
      <c r="Q128" s="364"/>
    </row>
    <row r="129" spans="1:17" s="156" customFormat="1" ht="33.75" customHeight="1">
      <c r="A129" s="729">
        <v>100</v>
      </c>
      <c r="B129" s="440">
        <v>4500</v>
      </c>
      <c r="C129" s="179">
        <f t="shared" si="61"/>
        <v>450000</v>
      </c>
      <c r="D129" s="441"/>
      <c r="E129" s="284">
        <f>'Chip Bank'!U15</f>
        <v>4241</v>
      </c>
      <c r="F129" s="240">
        <v>25</v>
      </c>
      <c r="G129" s="240">
        <v>28</v>
      </c>
      <c r="H129" s="284">
        <f>'VIP Chip Count '!C15</f>
        <v>0</v>
      </c>
      <c r="I129" s="158">
        <f>'Table Breadown'!BG31</f>
        <v>197</v>
      </c>
      <c r="J129" s="256">
        <f>SUM(D129:I129)-B129</f>
        <v>-9</v>
      </c>
      <c r="K129" s="469">
        <f t="shared" si="62"/>
        <v>-900</v>
      </c>
      <c r="M129" s="365">
        <f t="shared" si="65"/>
        <v>2500</v>
      </c>
      <c r="N129" s="365">
        <f t="shared" si="66"/>
        <v>0</v>
      </c>
      <c r="O129" s="365">
        <f t="shared" si="63"/>
        <v>2800</v>
      </c>
      <c r="P129" s="365">
        <f t="shared" si="64"/>
        <v>0</v>
      </c>
      <c r="Q129" s="364"/>
    </row>
    <row r="130" spans="1:17" s="156" customFormat="1" ht="33.75" customHeight="1">
      <c r="A130" s="729">
        <v>25</v>
      </c>
      <c r="B130" s="440">
        <v>3800</v>
      </c>
      <c r="C130" s="179">
        <f t="shared" si="61"/>
        <v>95000</v>
      </c>
      <c r="D130" s="441"/>
      <c r="E130" s="284">
        <f>'Chip Bank'!U16</f>
        <v>3265</v>
      </c>
      <c r="F130" s="240">
        <v>87</v>
      </c>
      <c r="G130" s="240">
        <v>39</v>
      </c>
      <c r="H130" s="284">
        <f>'VIP Chip Count '!C16</f>
        <v>0</v>
      </c>
      <c r="I130" s="158">
        <f>'Table Breadown'!BH31</f>
        <v>370</v>
      </c>
      <c r="J130" s="256">
        <f t="shared" si="67"/>
        <v>-39</v>
      </c>
      <c r="K130" s="469">
        <f t="shared" si="62"/>
        <v>-975</v>
      </c>
      <c r="M130" s="365">
        <f t="shared" si="65"/>
        <v>2175</v>
      </c>
      <c r="N130" s="365">
        <f t="shared" si="66"/>
        <v>0</v>
      </c>
      <c r="O130" s="365">
        <f t="shared" si="63"/>
        <v>975</v>
      </c>
      <c r="P130" s="365">
        <f t="shared" si="64"/>
        <v>0</v>
      </c>
      <c r="Q130" s="364"/>
    </row>
    <row r="131" spans="1:17" ht="33.75" customHeight="1">
      <c r="A131" s="722">
        <v>5</v>
      </c>
      <c r="B131" s="730">
        <v>5500</v>
      </c>
      <c r="C131" s="179">
        <f>A131*B131</f>
        <v>27500</v>
      </c>
      <c r="D131" s="238"/>
      <c r="E131" s="284">
        <f>'Chip Bank'!U17</f>
        <v>4728</v>
      </c>
      <c r="F131" s="240">
        <v>60</v>
      </c>
      <c r="G131" s="240">
        <v>55</v>
      </c>
      <c r="H131" s="284">
        <f>'VIP Chip Count '!C17</f>
        <v>0</v>
      </c>
      <c r="I131" s="158">
        <f>'Table Breadown'!BI31</f>
        <v>521</v>
      </c>
      <c r="J131" s="256">
        <f>SUM(D131:I131)-B131</f>
        <v>-136</v>
      </c>
      <c r="K131" s="469">
        <f>J131*A131</f>
        <v>-680</v>
      </c>
      <c r="M131" s="365">
        <f>F131*A131</f>
        <v>300</v>
      </c>
      <c r="N131" s="365">
        <f t="shared" si="66"/>
        <v>0</v>
      </c>
      <c r="O131" s="365">
        <f>G131*A131</f>
        <v>275</v>
      </c>
      <c r="P131" s="365">
        <f>H131*A131</f>
        <v>0</v>
      </c>
      <c r="Q131" s="362"/>
    </row>
    <row r="132" spans="1:17" ht="33.75" customHeight="1">
      <c r="A132" s="722">
        <v>1</v>
      </c>
      <c r="B132" s="730">
        <v>4000</v>
      </c>
      <c r="C132" s="179">
        <f>A132*B132</f>
        <v>4000</v>
      </c>
      <c r="D132" s="238"/>
      <c r="E132" s="284">
        <f>'Chip Bank'!U18</f>
        <v>3199</v>
      </c>
      <c r="F132" s="240">
        <v>21</v>
      </c>
      <c r="G132" s="240">
        <v>36</v>
      </c>
      <c r="H132" s="284">
        <f>'VIP Chip Count '!C18</f>
        <v>0</v>
      </c>
      <c r="I132" s="158">
        <f>'Table Breadown'!BJ31</f>
        <v>394</v>
      </c>
      <c r="J132" s="251">
        <f>SUM(D132:I132)-B132</f>
        <v>-350</v>
      </c>
      <c r="K132" s="469">
        <f>A132*J132</f>
        <v>-350</v>
      </c>
      <c r="M132" s="365">
        <f>F132*A132</f>
        <v>21</v>
      </c>
      <c r="N132" s="365">
        <f t="shared" si="66"/>
        <v>0</v>
      </c>
      <c r="O132" s="365">
        <f>G132*A132</f>
        <v>36</v>
      </c>
      <c r="P132" s="365">
        <f>H132*A132</f>
        <v>0</v>
      </c>
      <c r="Q132" s="362"/>
    </row>
    <row r="133" spans="1:17" ht="33.75" customHeight="1">
      <c r="A133" s="731">
        <v>0.5</v>
      </c>
      <c r="B133" s="730">
        <v>2500</v>
      </c>
      <c r="C133" s="179">
        <f>A133*B133</f>
        <v>1250</v>
      </c>
      <c r="D133" s="238"/>
      <c r="E133" s="284">
        <f>'Chip Bank'!U19</f>
        <v>1798</v>
      </c>
      <c r="F133" s="240">
        <v>20</v>
      </c>
      <c r="G133" s="240">
        <v>7</v>
      </c>
      <c r="H133" s="284">
        <f>'VIP Chip Count '!C19</f>
        <v>0</v>
      </c>
      <c r="I133" s="158">
        <f>'Table Breadown'!BK31</f>
        <v>436</v>
      </c>
      <c r="J133" s="251">
        <f>SUM(D133:I133)-B133</f>
        <v>-239</v>
      </c>
      <c r="K133" s="469">
        <f>A133*J133</f>
        <v>-119.5</v>
      </c>
      <c r="M133" s="365">
        <f>F133*A133</f>
        <v>10</v>
      </c>
      <c r="N133" s="365">
        <f t="shared" si="66"/>
        <v>0</v>
      </c>
      <c r="O133" s="365">
        <f>G133*A133</f>
        <v>3.5</v>
      </c>
      <c r="P133" s="365">
        <f>H133*A133</f>
        <v>0</v>
      </c>
      <c r="Q133" s="362"/>
    </row>
    <row r="134" spans="1:17" ht="45" customHeight="1">
      <c r="A134" s="162"/>
      <c r="B134" s="163" t="s">
        <v>73</v>
      </c>
      <c r="C134" s="745">
        <f t="shared" ref="C134:J134" si="68">SUM(C123:C133)</f>
        <v>121327750</v>
      </c>
      <c r="D134" s="158">
        <f t="shared" si="68"/>
        <v>0</v>
      </c>
      <c r="E134" s="158">
        <f t="shared" si="68"/>
        <v>27914</v>
      </c>
      <c r="F134" s="284">
        <f>SUM(F123:F133)</f>
        <v>213</v>
      </c>
      <c r="G134" s="158">
        <f t="shared" si="68"/>
        <v>259</v>
      </c>
      <c r="H134" s="158">
        <f t="shared" si="68"/>
        <v>0</v>
      </c>
      <c r="I134" s="158">
        <f t="shared" si="68"/>
        <v>2628</v>
      </c>
      <c r="J134" s="482">
        <f t="shared" si="68"/>
        <v>-786</v>
      </c>
      <c r="K134" s="372">
        <f>SUM(K123:L133)</f>
        <v>-13524.5</v>
      </c>
      <c r="M134" s="365">
        <f>SUM(M131:M133)</f>
        <v>331</v>
      </c>
      <c r="N134" s="365">
        <f t="shared" si="66"/>
        <v>0</v>
      </c>
      <c r="O134" s="365">
        <f>SUM(O131:O133)</f>
        <v>314.5</v>
      </c>
      <c r="P134" s="365">
        <f>SUM(P131:P133)</f>
        <v>0</v>
      </c>
      <c r="Q134" s="362"/>
    </row>
    <row r="135" spans="1:17" ht="42" customHeight="1" thickBot="1">
      <c r="A135" s="162"/>
      <c r="B135" s="162"/>
      <c r="C135" s="163"/>
      <c r="D135" s="170"/>
      <c r="E135" s="170"/>
      <c r="F135" s="170"/>
      <c r="G135" s="170"/>
      <c r="H135" s="170"/>
      <c r="I135" s="170"/>
      <c r="J135" s="254"/>
      <c r="K135" s="174"/>
    </row>
    <row r="136" spans="1:17" s="466" customFormat="1" ht="45" customHeight="1" thickBot="1">
      <c r="A136" s="993" t="s">
        <v>6</v>
      </c>
      <c r="B136" s="994"/>
      <c r="C136" s="463">
        <f>C18+C31+C47+C61+C77+C89+C104+C118+C134</f>
        <v>206724600</v>
      </c>
      <c r="D136" s="463">
        <f>D18+D31+D47+D61+D77+D89+D104+D118+D134</f>
        <v>3100</v>
      </c>
      <c r="E136" s="464">
        <f t="shared" ref="E136:J136" si="69">E18+E31+E47+E61+E77+E89+E104+E118+E134</f>
        <v>37793</v>
      </c>
      <c r="F136" s="463">
        <f t="shared" si="69"/>
        <v>213</v>
      </c>
      <c r="G136" s="463">
        <f t="shared" si="69"/>
        <v>259</v>
      </c>
      <c r="H136" s="463">
        <f>H18+H31+H61+H77+H89+H104+H118+H134</f>
        <v>87</v>
      </c>
      <c r="I136" s="463">
        <f t="shared" si="69"/>
        <v>5555</v>
      </c>
      <c r="J136" s="465">
        <f t="shared" si="69"/>
        <v>-1295</v>
      </c>
      <c r="K136" s="465">
        <f>K18+K31+K47+K61+K77+K89+K104+K118+K134</f>
        <v>-558194.5</v>
      </c>
      <c r="M136" s="467"/>
      <c r="N136" s="467"/>
      <c r="O136" s="467"/>
    </row>
    <row r="138" spans="1:17" ht="30" customHeight="1">
      <c r="B138" s="283"/>
      <c r="C138" s="283"/>
      <c r="D138" s="283"/>
      <c r="F138" s="283"/>
      <c r="G138" s="283"/>
      <c r="H138" s="283"/>
    </row>
    <row r="139" spans="1:17" ht="30" customHeight="1">
      <c r="A139" s="5"/>
      <c r="B139" s="283"/>
      <c r="C139" s="283"/>
      <c r="D139" s="283"/>
      <c r="F139" s="283"/>
      <c r="G139" s="283"/>
      <c r="H139" s="283"/>
      <c r="K139" s="175"/>
    </row>
    <row r="140" spans="1:17" ht="9.9499999999999993" customHeight="1">
      <c r="B140" s="283"/>
      <c r="C140" s="283"/>
      <c r="D140" s="283"/>
      <c r="F140" s="283"/>
      <c r="G140" s="283"/>
      <c r="H140" s="283"/>
    </row>
    <row r="141" spans="1:17" ht="30" customHeight="1">
      <c r="A141" s="176"/>
      <c r="B141" s="283"/>
      <c r="C141" s="283"/>
      <c r="D141" s="283"/>
      <c r="F141" s="283"/>
      <c r="G141" s="283"/>
      <c r="H141" s="283"/>
    </row>
    <row r="142" spans="1:17" ht="30" customHeight="1">
      <c r="B142" s="283"/>
      <c r="C142" s="283"/>
      <c r="D142" s="283"/>
      <c r="F142" s="283"/>
      <c r="G142" s="283"/>
      <c r="H142" s="283"/>
    </row>
    <row r="143" spans="1:17" ht="30" customHeight="1">
      <c r="B143" s="283"/>
      <c r="C143" s="283"/>
      <c r="D143" s="283"/>
      <c r="F143" s="283"/>
      <c r="G143" s="283"/>
      <c r="H143" s="283"/>
    </row>
    <row r="208" spans="3:3" ht="30" customHeight="1">
      <c r="C208" s="182" t="s">
        <v>85</v>
      </c>
    </row>
  </sheetData>
  <sheetProtection formatCells="0" selectLockedCells="1" selectUnlockedCells="1"/>
  <protectedRanges>
    <protectedRange sqref="A39 A9 A24 A11 A55 A26 A37 A53" name="Range1_2_1_5_1_1"/>
    <protectedRange sqref="B18 B31 B47 B61:B62 A7 A22 A35 A51 D18:E18 D47:F47 B23:E30 B36:E46 H47:K47 H18:K18 B8:E17 B52:E60 D31:K31 B32:K32 B78:K78 B135:K135 D61:K62" name="Range1_2_1_1_3_1_1_1"/>
    <protectedRange sqref="A38 A8 A23 A10 A54 A25 A36 A52" name="Range1_2_1_1_3_1_2_1"/>
    <protectedRange sqref="H23:I30 H36:I46 H8:I17 H51:I60" name="Range1_2_1_1_1_2_1_2_1"/>
    <protectedRange sqref="A27:A32 C47 C61:C62 C31 C18 A56:A62 A40:A47 A78 A135 A12:A18" name="Range1_2_1_2_3_1_1_1"/>
    <protectedRange sqref="G8:G17 G52:G60 F23:G30 F36:F46" name="Range1_2_1_1_3_1_1_1_1_1"/>
    <protectedRange sqref="F18:G18" name="Range1_2_1_1_3_1_1_1_1_1_1"/>
    <protectedRange sqref="G47" name="Range1_2_1_1_3_1_1_1_1"/>
    <protectedRange sqref="G36:G46" name="Range1_2_1_1_3_1_1_1_1_1_4"/>
    <protectedRange sqref="F52:F60" name="Range1_2_1_1_3_1_1_1_1_1_5"/>
    <protectedRange sqref="F8:F17" name="Range1_2_1_1_3_1_1_1_1_1_2_1"/>
    <protectedRange sqref="B134 C123:C130 B131:D133" name="Range1_2_1_1_3_1_1_1_2_2"/>
    <protectedRange sqref="I123:I133" name="Range1_2_1_1_1_2_1_2_1_1_1"/>
    <protectedRange sqref="A134" name="Range1_2_1_2_3_1_1_1_1_1"/>
  </protectedRanges>
  <mergeCells count="22">
    <mergeCell ref="A33:K33"/>
    <mergeCell ref="A34:C34"/>
    <mergeCell ref="A49:K49"/>
    <mergeCell ref="A50:C50"/>
    <mergeCell ref="A21:C21"/>
    <mergeCell ref="A2:K2"/>
    <mergeCell ref="A3:K3"/>
    <mergeCell ref="A5:K5"/>
    <mergeCell ref="A6:C6"/>
    <mergeCell ref="A20:K20"/>
    <mergeCell ref="H51:I51"/>
    <mergeCell ref="A136:B136"/>
    <mergeCell ref="A63:K63"/>
    <mergeCell ref="A64:C64"/>
    <mergeCell ref="A79:K79"/>
    <mergeCell ref="A80:C80"/>
    <mergeCell ref="A91:K91"/>
    <mergeCell ref="A92:C92"/>
    <mergeCell ref="A106:K106"/>
    <mergeCell ref="A107:C107"/>
    <mergeCell ref="A120:K120"/>
    <mergeCell ref="A121:C121"/>
  </mergeCells>
  <phoneticPr fontId="53" type="noConversion"/>
  <conditionalFormatting sqref="J23:J30 J8:J17 AF5 AG6:AG18 J36:J46 J52:J60 AF19:AF119 AF135 AD120:AD134">
    <cfRule type="cellIs" dxfId="12" priority="17" stopIfTrue="1" operator="equal">
      <formula>0</formula>
    </cfRule>
  </conditionalFormatting>
  <conditionalFormatting sqref="J66:J76">
    <cfRule type="cellIs" dxfId="11" priority="15" stopIfTrue="1" operator="equal">
      <formula>0</formula>
    </cfRule>
  </conditionalFormatting>
  <conditionalFormatting sqref="J82:J88">
    <cfRule type="cellIs" dxfId="10" priority="13" stopIfTrue="1" operator="equal">
      <formula>0</formula>
    </cfRule>
  </conditionalFormatting>
  <conditionalFormatting sqref="J94:J100 J102:J103">
    <cfRule type="cellIs" dxfId="9" priority="9" stopIfTrue="1" operator="equal">
      <formula>0</formula>
    </cfRule>
  </conditionalFormatting>
  <conditionalFormatting sqref="J109:J117">
    <cfRule type="cellIs" dxfId="8" priority="8" stopIfTrue="1" operator="equal">
      <formula>0</formula>
    </cfRule>
  </conditionalFormatting>
  <conditionalFormatting sqref="J123:J129 J131:J133">
    <cfRule type="cellIs" dxfId="7" priority="5" stopIfTrue="1" operator="equal">
      <formula>0</formula>
    </cfRule>
  </conditionalFormatting>
  <conditionalFormatting sqref="J77">
    <cfRule type="cellIs" dxfId="6" priority="4" stopIfTrue="1" operator="equal">
      <formula>0</formula>
    </cfRule>
  </conditionalFormatting>
  <conditionalFormatting sqref="J130">
    <cfRule type="cellIs" dxfId="5" priority="3" stopIfTrue="1" operator="equal">
      <formula>0</formula>
    </cfRule>
  </conditionalFormatting>
  <conditionalFormatting sqref="J101">
    <cfRule type="cellIs" dxfId="4" priority="2" stopIfTrue="1" operator="equal">
      <formula>0</formula>
    </cfRule>
  </conditionalFormatting>
  <conditionalFormatting sqref="J51">
    <cfRule type="cellIs" dxfId="3" priority="1" stopIfTrue="1" operator="equal">
      <formula>0</formula>
    </cfRule>
  </conditionalFormatting>
  <printOptions horizontalCentered="1"/>
  <pageMargins left="0" right="0" top="0" bottom="0" header="0" footer="0"/>
  <pageSetup paperSize="9" scale="36" orientation="portrait" horizontalDpi="360" verticalDpi="36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7" tint="0.39997558519241921"/>
    <pageSetUpPr fitToPage="1"/>
  </sheetPr>
  <dimension ref="A1:BH51"/>
  <sheetViews>
    <sheetView zoomScaleNormal="100" workbookViewId="0">
      <selection activeCell="L55" sqref="L55"/>
    </sheetView>
  </sheetViews>
  <sheetFormatPr defaultRowHeight="20.100000000000001" customHeight="1"/>
  <cols>
    <col min="1" max="1" width="16.42578125" style="12" customWidth="1"/>
    <col min="2" max="2" width="20.7109375" style="7" customWidth="1"/>
    <col min="3" max="3" width="17.140625" style="2" customWidth="1"/>
    <col min="4" max="4" width="22.7109375" style="7" customWidth="1"/>
    <col min="5" max="7" width="18.7109375" style="8" customWidth="1"/>
    <col min="8" max="8" width="2.28515625" style="2" customWidth="1"/>
    <col min="9" max="16384" width="9.140625" style="2"/>
  </cols>
  <sheetData>
    <row r="1" spans="1:60" ht="20.100000000000001" customHeight="1" thickBot="1"/>
    <row r="2" spans="1:60" ht="50.1" customHeight="1" thickBot="1">
      <c r="A2" s="1010" t="s">
        <v>287</v>
      </c>
      <c r="B2" s="1011"/>
      <c r="C2" s="1011"/>
      <c r="D2" s="1011"/>
      <c r="E2" s="1011"/>
      <c r="F2" s="1011"/>
      <c r="G2" s="1012"/>
    </row>
    <row r="3" spans="1:60" ht="20.100000000000001" customHeight="1">
      <c r="B3" s="7">
        <f>Unredeemed!A3</f>
        <v>44427</v>
      </c>
    </row>
    <row r="4" spans="1:60" s="16" customFormat="1" ht="20.100000000000001" customHeight="1">
      <c r="A4" s="15"/>
      <c r="B4" s="20"/>
      <c r="D4" s="20"/>
      <c r="E4" s="18">
        <f>SUM(E7:E41)</f>
        <v>28505000</v>
      </c>
      <c r="F4" s="18">
        <f>SUM(F7:F40)</f>
        <v>28500000</v>
      </c>
      <c r="G4" s="18">
        <f>E4-F4</f>
        <v>5000</v>
      </c>
    </row>
    <row r="5" spans="1:60" s="9" customFormat="1" ht="20.100000000000001" customHeight="1">
      <c r="A5" s="1013" t="s">
        <v>107</v>
      </c>
      <c r="B5" s="1013" t="s">
        <v>108</v>
      </c>
      <c r="C5" s="1015" t="s">
        <v>109</v>
      </c>
      <c r="D5" s="1013" t="s">
        <v>110</v>
      </c>
      <c r="E5" s="1017" t="s">
        <v>112</v>
      </c>
      <c r="F5" s="1019" t="s">
        <v>113</v>
      </c>
      <c r="G5" s="1021" t="s">
        <v>2</v>
      </c>
    </row>
    <row r="6" spans="1:60" s="9" customFormat="1" ht="20.100000000000001" customHeight="1">
      <c r="A6" s="1014"/>
      <c r="B6" s="1014"/>
      <c r="C6" s="1016"/>
      <c r="D6" s="1014"/>
      <c r="E6" s="1018"/>
      <c r="F6" s="1020"/>
      <c r="G6" s="1022"/>
    </row>
    <row r="7" spans="1:60" ht="20.100000000000001" customHeight="1">
      <c r="A7" s="259">
        <v>43714</v>
      </c>
      <c r="B7" s="247" t="s">
        <v>173</v>
      </c>
      <c r="C7" s="502" t="s">
        <v>174</v>
      </c>
      <c r="D7" s="10"/>
      <c r="E7" s="11">
        <v>10000000</v>
      </c>
      <c r="F7" s="11"/>
      <c r="G7" s="17">
        <f>E7-F7</f>
        <v>10000000</v>
      </c>
    </row>
    <row r="8" spans="1:60" ht="20.100000000000001" customHeight="1">
      <c r="A8" s="259">
        <v>43719</v>
      </c>
      <c r="B8" s="247" t="s">
        <v>175</v>
      </c>
      <c r="C8" s="500" t="s">
        <v>176</v>
      </c>
      <c r="D8" s="13"/>
      <c r="E8" s="276">
        <v>1300000</v>
      </c>
      <c r="F8" s="276">
        <v>1300000</v>
      </c>
      <c r="G8" s="17">
        <f>G7+E8-F8</f>
        <v>10000000</v>
      </c>
      <c r="BH8" s="2">
        <v>42</v>
      </c>
    </row>
    <row r="9" spans="1:60" ht="20.100000000000001" customHeight="1">
      <c r="A9" s="259">
        <v>43719</v>
      </c>
      <c r="B9" s="233" t="s">
        <v>177</v>
      </c>
      <c r="C9" s="501" t="s">
        <v>178</v>
      </c>
      <c r="D9" s="13"/>
      <c r="E9" s="276">
        <v>5000000</v>
      </c>
      <c r="F9" s="276">
        <v>5000000</v>
      </c>
      <c r="G9" s="17">
        <f>G8+E9-F9</f>
        <v>10000000</v>
      </c>
    </row>
    <row r="10" spans="1:60" ht="20.100000000000001" customHeight="1">
      <c r="A10" s="259">
        <v>43727</v>
      </c>
      <c r="B10" s="233" t="s">
        <v>179</v>
      </c>
      <c r="C10" s="500" t="s">
        <v>176</v>
      </c>
      <c r="D10" s="13"/>
      <c r="E10" s="276">
        <v>2000000</v>
      </c>
      <c r="F10" s="276">
        <v>2000000</v>
      </c>
      <c r="G10" s="17">
        <f>G9+E10-F10</f>
        <v>10000000</v>
      </c>
    </row>
    <row r="11" spans="1:60" ht="20.100000000000001" customHeight="1">
      <c r="A11" s="259">
        <v>43738</v>
      </c>
      <c r="B11" s="247" t="s">
        <v>180</v>
      </c>
      <c r="C11" s="502" t="s">
        <v>174</v>
      </c>
      <c r="D11" s="13"/>
      <c r="E11" s="276"/>
      <c r="F11" s="276">
        <v>10000000</v>
      </c>
      <c r="G11" s="17">
        <f t="shared" ref="G11:G41" si="0">G10+E11-F11</f>
        <v>0</v>
      </c>
    </row>
    <row r="12" spans="1:60" ht="20.100000000000001" customHeight="1">
      <c r="A12" s="259">
        <v>43770</v>
      </c>
      <c r="B12" s="233" t="s">
        <v>183</v>
      </c>
      <c r="C12" s="500" t="s">
        <v>176</v>
      </c>
      <c r="D12" s="13"/>
      <c r="E12" s="276">
        <v>1700000</v>
      </c>
      <c r="F12" s="276">
        <v>1700000</v>
      </c>
      <c r="G12" s="17">
        <f t="shared" si="0"/>
        <v>0</v>
      </c>
    </row>
    <row r="13" spans="1:60" ht="20.100000000000001" customHeight="1">
      <c r="A13" s="269">
        <v>43796</v>
      </c>
      <c r="B13" s="233" t="s">
        <v>188</v>
      </c>
      <c r="C13" s="501" t="s">
        <v>178</v>
      </c>
      <c r="D13" s="272"/>
      <c r="E13" s="276">
        <v>5000000</v>
      </c>
      <c r="F13" s="276">
        <v>5000000</v>
      </c>
      <c r="G13" s="274">
        <f t="shared" si="0"/>
        <v>0</v>
      </c>
    </row>
    <row r="14" spans="1:60" ht="20.100000000000001" customHeight="1">
      <c r="A14" s="269">
        <v>44166</v>
      </c>
      <c r="B14" s="270" t="s">
        <v>213</v>
      </c>
      <c r="C14" s="275" t="s">
        <v>214</v>
      </c>
      <c r="D14" s="272"/>
      <c r="E14" s="276">
        <v>5000</v>
      </c>
      <c r="F14" s="276"/>
      <c r="G14" s="17">
        <f t="shared" si="0"/>
        <v>5000</v>
      </c>
    </row>
    <row r="15" spans="1:60" ht="20.100000000000001" customHeight="1">
      <c r="A15" s="269">
        <v>44259</v>
      </c>
      <c r="B15" s="270" t="s">
        <v>263</v>
      </c>
      <c r="C15" s="501" t="s">
        <v>178</v>
      </c>
      <c r="D15" s="272"/>
      <c r="E15" s="276">
        <v>500000</v>
      </c>
      <c r="F15" s="276">
        <v>500000</v>
      </c>
      <c r="G15" s="17">
        <f t="shared" si="0"/>
        <v>5000</v>
      </c>
    </row>
    <row r="16" spans="1:60" ht="20.100000000000001" customHeight="1">
      <c r="A16" s="269">
        <v>44290</v>
      </c>
      <c r="B16" s="270" t="s">
        <v>264</v>
      </c>
      <c r="C16" s="501" t="s">
        <v>178</v>
      </c>
      <c r="D16" s="272"/>
      <c r="E16" s="276">
        <v>1000000</v>
      </c>
      <c r="F16" s="276">
        <v>1000000</v>
      </c>
      <c r="G16" s="17">
        <f t="shared" si="0"/>
        <v>5000</v>
      </c>
    </row>
    <row r="17" spans="1:10" ht="20.100000000000001" customHeight="1">
      <c r="A17" s="269">
        <v>44290</v>
      </c>
      <c r="B17" s="270" t="s">
        <v>265</v>
      </c>
      <c r="C17" s="501" t="s">
        <v>178</v>
      </c>
      <c r="D17" s="272"/>
      <c r="E17" s="276">
        <v>2000000</v>
      </c>
      <c r="F17" s="276">
        <v>2000000</v>
      </c>
      <c r="G17" s="17">
        <f t="shared" si="0"/>
        <v>5000</v>
      </c>
    </row>
    <row r="18" spans="1:10" ht="20.100000000000001" customHeight="1">
      <c r="A18" s="269"/>
      <c r="B18" s="270"/>
      <c r="C18" s="275"/>
      <c r="D18" s="272"/>
      <c r="E18" s="276"/>
      <c r="F18" s="276"/>
      <c r="G18" s="17">
        <f t="shared" si="0"/>
        <v>5000</v>
      </c>
    </row>
    <row r="19" spans="1:10" ht="20.100000000000001" customHeight="1">
      <c r="A19" s="269"/>
      <c r="B19" s="270"/>
      <c r="C19" s="275"/>
      <c r="D19" s="272"/>
      <c r="E19" s="276"/>
      <c r="F19" s="276"/>
      <c r="G19" s="17">
        <f t="shared" si="0"/>
        <v>5000</v>
      </c>
    </row>
    <row r="20" spans="1:10" ht="20.100000000000001" customHeight="1">
      <c r="A20" s="269"/>
      <c r="B20" s="270"/>
      <c r="C20" s="275"/>
      <c r="D20" s="272"/>
      <c r="E20" s="276"/>
      <c r="F20" s="276"/>
      <c r="G20" s="17">
        <f t="shared" si="0"/>
        <v>5000</v>
      </c>
    </row>
    <row r="21" spans="1:10" ht="20.100000000000001" customHeight="1">
      <c r="A21" s="269"/>
      <c r="B21" s="270"/>
      <c r="C21" s="275"/>
      <c r="D21" s="272"/>
      <c r="E21" s="276"/>
      <c r="F21" s="276"/>
      <c r="G21" s="17">
        <f t="shared" si="0"/>
        <v>5000</v>
      </c>
    </row>
    <row r="22" spans="1:10" ht="20.100000000000001" hidden="1" customHeight="1">
      <c r="A22" s="269"/>
      <c r="B22" s="270"/>
      <c r="C22" s="275"/>
      <c r="D22" s="272"/>
      <c r="E22" s="276"/>
      <c r="F22" s="276"/>
      <c r="G22" s="17">
        <f t="shared" si="0"/>
        <v>5000</v>
      </c>
    </row>
    <row r="23" spans="1:10" ht="20.100000000000001" hidden="1" customHeight="1">
      <c r="A23" s="269"/>
      <c r="B23" s="270"/>
      <c r="C23" s="275"/>
      <c r="D23" s="272"/>
      <c r="E23" s="276"/>
      <c r="F23" s="276"/>
      <c r="G23" s="17">
        <f t="shared" si="0"/>
        <v>5000</v>
      </c>
    </row>
    <row r="24" spans="1:10" ht="20.100000000000001" hidden="1" customHeight="1">
      <c r="A24" s="269"/>
      <c r="B24" s="270"/>
      <c r="C24" s="271"/>
      <c r="D24" s="272"/>
      <c r="E24" s="273"/>
      <c r="F24" s="273"/>
      <c r="G24" s="274">
        <f t="shared" si="0"/>
        <v>5000</v>
      </c>
    </row>
    <row r="25" spans="1:10" ht="20.100000000000001" hidden="1" customHeight="1">
      <c r="A25" s="269"/>
      <c r="B25" s="270"/>
      <c r="C25" s="242"/>
      <c r="D25" s="241"/>
      <c r="E25" s="243"/>
      <c r="F25" s="243"/>
      <c r="G25" s="17">
        <f t="shared" si="0"/>
        <v>5000</v>
      </c>
    </row>
    <row r="26" spans="1:10" ht="20.100000000000001" hidden="1" customHeight="1">
      <c r="A26" s="269"/>
      <c r="B26" s="270"/>
      <c r="C26" s="242"/>
      <c r="D26" s="245"/>
      <c r="E26" s="244"/>
      <c r="F26" s="244"/>
      <c r="G26" s="17">
        <f t="shared" si="0"/>
        <v>5000</v>
      </c>
    </row>
    <row r="27" spans="1:10" ht="20.100000000000001" hidden="1" customHeight="1">
      <c r="A27" s="269"/>
      <c r="B27" s="270"/>
      <c r="C27" s="242"/>
      <c r="D27" s="245"/>
      <c r="E27" s="244"/>
      <c r="F27" s="244"/>
      <c r="G27" s="17">
        <f t="shared" si="0"/>
        <v>5000</v>
      </c>
    </row>
    <row r="28" spans="1:10" ht="20.100000000000001" hidden="1" customHeight="1">
      <c r="A28" s="241"/>
      <c r="B28" s="247"/>
      <c r="C28" s="246"/>
      <c r="D28" s="245"/>
      <c r="E28" s="244"/>
      <c r="F28" s="244"/>
      <c r="G28" s="17">
        <f t="shared" si="0"/>
        <v>5000</v>
      </c>
      <c r="J28" s="185"/>
    </row>
    <row r="29" spans="1:10" ht="20.100000000000001" hidden="1" customHeight="1">
      <c r="A29" s="241"/>
      <c r="B29" s="247"/>
      <c r="C29" s="246"/>
      <c r="D29" s="245"/>
      <c r="E29" s="244"/>
      <c r="F29" s="244"/>
      <c r="G29" s="17">
        <f t="shared" si="0"/>
        <v>5000</v>
      </c>
    </row>
    <row r="30" spans="1:10" ht="20.100000000000001" hidden="1" customHeight="1">
      <c r="A30" s="241"/>
      <c r="B30" s="247"/>
      <c r="C30" s="246"/>
      <c r="D30" s="245"/>
      <c r="E30" s="244"/>
      <c r="F30" s="244"/>
      <c r="G30" s="17">
        <f t="shared" si="0"/>
        <v>5000</v>
      </c>
    </row>
    <row r="31" spans="1:10" ht="20.100000000000001" hidden="1" customHeight="1">
      <c r="A31" s="241"/>
      <c r="B31" s="247"/>
      <c r="C31" s="246"/>
      <c r="D31" s="245"/>
      <c r="E31" s="244"/>
      <c r="F31" s="244"/>
      <c r="G31" s="17">
        <f t="shared" si="0"/>
        <v>5000</v>
      </c>
    </row>
    <row r="32" spans="1:10" ht="20.100000000000001" hidden="1" customHeight="1">
      <c r="A32" s="241"/>
      <c r="B32" s="247"/>
      <c r="C32" s="246"/>
      <c r="D32" s="245"/>
      <c r="E32" s="244"/>
      <c r="F32" s="244"/>
      <c r="G32" s="17">
        <f t="shared" si="0"/>
        <v>5000</v>
      </c>
    </row>
    <row r="33" spans="1:10" ht="20.100000000000001" hidden="1" customHeight="1">
      <c r="A33" s="241"/>
      <c r="B33" s="247"/>
      <c r="C33" s="246"/>
      <c r="D33" s="245"/>
      <c r="E33" s="244"/>
      <c r="F33" s="244"/>
      <c r="G33" s="17">
        <f t="shared" si="0"/>
        <v>5000</v>
      </c>
    </row>
    <row r="34" spans="1:10" ht="20.100000000000001" hidden="1" customHeight="1">
      <c r="A34" s="241"/>
      <c r="B34" s="247"/>
      <c r="C34" s="246"/>
      <c r="D34" s="245"/>
      <c r="E34" s="244"/>
      <c r="F34" s="244"/>
      <c r="G34" s="17">
        <f t="shared" si="0"/>
        <v>5000</v>
      </c>
    </row>
    <row r="35" spans="1:10" ht="20.100000000000001" hidden="1" customHeight="1">
      <c r="A35" s="241"/>
      <c r="B35" s="247"/>
      <c r="C35" s="246"/>
      <c r="D35" s="245"/>
      <c r="E35" s="244"/>
      <c r="F35" s="244"/>
      <c r="G35" s="17">
        <f t="shared" si="0"/>
        <v>5000</v>
      </c>
    </row>
    <row r="36" spans="1:10" ht="20.100000000000001" hidden="1" customHeight="1">
      <c r="A36" s="241"/>
      <c r="B36" s="247"/>
      <c r="C36" s="246"/>
      <c r="D36" s="245"/>
      <c r="E36" s="244"/>
      <c r="F36" s="244"/>
      <c r="G36" s="17">
        <f t="shared" si="0"/>
        <v>5000</v>
      </c>
    </row>
    <row r="37" spans="1:10" ht="20.100000000000001" hidden="1" customHeight="1">
      <c r="A37" s="241"/>
      <c r="B37" s="247"/>
      <c r="C37" s="246"/>
      <c r="D37" s="245"/>
      <c r="E37" s="244"/>
      <c r="F37" s="244"/>
      <c r="G37" s="17">
        <f t="shared" si="0"/>
        <v>5000</v>
      </c>
    </row>
    <row r="38" spans="1:10" ht="20.100000000000001" hidden="1" customHeight="1">
      <c r="A38" s="241"/>
      <c r="B38" s="247"/>
      <c r="C38" s="246"/>
      <c r="D38" s="245"/>
      <c r="E38" s="244"/>
      <c r="F38" s="244"/>
      <c r="G38" s="17">
        <f t="shared" si="0"/>
        <v>5000</v>
      </c>
    </row>
    <row r="39" spans="1:10" ht="20.100000000000001" customHeight="1">
      <c r="A39" s="241"/>
      <c r="B39" s="247"/>
      <c r="C39" s="246"/>
      <c r="D39" s="245"/>
      <c r="E39" s="244"/>
      <c r="F39" s="244"/>
      <c r="G39" s="17">
        <f t="shared" si="0"/>
        <v>5000</v>
      </c>
    </row>
    <row r="40" spans="1:10" ht="20.100000000000001" customHeight="1">
      <c r="A40" s="241"/>
      <c r="B40" s="247"/>
      <c r="C40" s="246"/>
      <c r="D40" s="245"/>
      <c r="E40" s="244"/>
      <c r="F40" s="244"/>
      <c r="G40" s="17">
        <f t="shared" si="0"/>
        <v>5000</v>
      </c>
    </row>
    <row r="41" spans="1:10" ht="20.100000000000001" customHeight="1" thickBot="1">
      <c r="A41" s="13"/>
      <c r="B41" s="247"/>
      <c r="C41" s="19"/>
      <c r="D41" s="21"/>
      <c r="E41" s="277"/>
      <c r="F41" s="277"/>
      <c r="G41" s="278">
        <f t="shared" si="0"/>
        <v>5000</v>
      </c>
      <c r="H41" s="8"/>
    </row>
    <row r="42" spans="1:10" ht="20.100000000000001" customHeight="1" thickBot="1">
      <c r="A42" s="260"/>
      <c r="B42" s="260"/>
      <c r="C42" s="260"/>
      <c r="D42" s="266" t="s">
        <v>8</v>
      </c>
      <c r="E42" s="279">
        <f>SUM(E7:E41)</f>
        <v>28505000</v>
      </c>
      <c r="F42" s="280">
        <f>SUM(F7:F41)</f>
        <v>28500000</v>
      </c>
      <c r="G42" s="281">
        <f>E42-F42</f>
        <v>5000</v>
      </c>
    </row>
    <row r="43" spans="1:10" ht="20.100000000000001" customHeight="1">
      <c r="A43" s="261"/>
      <c r="B43" s="261"/>
      <c r="C43" s="261"/>
    </row>
    <row r="44" spans="1:10" ht="20.100000000000001" customHeight="1">
      <c r="A44" s="261"/>
      <c r="B44" s="261"/>
      <c r="C44" s="261"/>
    </row>
    <row r="46" spans="1:10" ht="20.100000000000001" customHeight="1">
      <c r="H46" s="2" t="s">
        <v>314</v>
      </c>
      <c r="J46" s="2">
        <v>22037</v>
      </c>
    </row>
    <row r="47" spans="1:10" ht="20.100000000000001" customHeight="1">
      <c r="H47" s="2" t="s">
        <v>307</v>
      </c>
      <c r="J47" s="2">
        <v>18977</v>
      </c>
    </row>
    <row r="48" spans="1:10" ht="20.100000000000001" customHeight="1">
      <c r="H48" s="2" t="s">
        <v>308</v>
      </c>
      <c r="J48" s="2">
        <v>736</v>
      </c>
    </row>
    <row r="49" spans="3:10" ht="20.100000000000001" customHeight="1">
      <c r="C49" s="2" t="s">
        <v>313</v>
      </c>
      <c r="E49" s="8">
        <v>52701</v>
      </c>
      <c r="J49" s="2">
        <v>13878</v>
      </c>
    </row>
    <row r="50" spans="3:10" ht="20.100000000000001" customHeight="1">
      <c r="E50" s="8">
        <v>200000</v>
      </c>
    </row>
    <row r="51" spans="3:10" ht="20.100000000000001" customHeight="1">
      <c r="H51" s="1009"/>
      <c r="I51" s="1009"/>
    </row>
  </sheetData>
  <sheetProtection selectLockedCells="1"/>
  <mergeCells count="9">
    <mergeCell ref="H51:I51"/>
    <mergeCell ref="A2:G2"/>
    <mergeCell ref="A5:A6"/>
    <mergeCell ref="B5:B6"/>
    <mergeCell ref="C5:C6"/>
    <mergeCell ref="D5:D6"/>
    <mergeCell ref="E5:E6"/>
    <mergeCell ref="F5:F6"/>
    <mergeCell ref="G5:G6"/>
  </mergeCells>
  <phoneticPr fontId="53" type="noConversion"/>
  <pageMargins left="0.11811023622047245" right="0.11811023622047245" top="0.47244094488188981" bottom="0.74803149606299213" header="0.31496062992125984" footer="0.31496062992125984"/>
  <pageSetup fitToHeight="0" orientation="landscape" r:id="rId1"/>
  <ignoredErrors>
    <ignoredError sqref="B7:B41" numberStoredAsText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0070C0"/>
    <pageSetUpPr fitToPage="1"/>
  </sheetPr>
  <dimension ref="A1:BH64"/>
  <sheetViews>
    <sheetView zoomScaleNormal="100" workbookViewId="0">
      <selection activeCell="L55" sqref="L55"/>
    </sheetView>
  </sheetViews>
  <sheetFormatPr defaultRowHeight="20.100000000000001" customHeight="1"/>
  <cols>
    <col min="1" max="1" width="12.85546875" style="462" bestFit="1" customWidth="1"/>
    <col min="2" max="2" width="6.7109375" style="456" bestFit="1" customWidth="1"/>
    <col min="3" max="3" width="10.28515625" style="455" bestFit="1" customWidth="1"/>
    <col min="4" max="4" width="6.7109375" style="455" bestFit="1" customWidth="1"/>
    <col min="5" max="5" width="16.5703125" style="444" bestFit="1" customWidth="1"/>
    <col min="6" max="6" width="11.42578125" style="455" bestFit="1" customWidth="1"/>
    <col min="7" max="7" width="18.85546875" style="459" bestFit="1" customWidth="1"/>
    <col min="8" max="8" width="11.42578125" style="455" bestFit="1" customWidth="1"/>
    <col min="9" max="9" width="7" style="459" bestFit="1" customWidth="1"/>
    <col min="10" max="10" width="21.140625" style="459" bestFit="1" customWidth="1"/>
    <col min="11" max="11" width="15.7109375" style="459" bestFit="1" customWidth="1"/>
    <col min="12" max="12" width="14.5703125" style="444" bestFit="1" customWidth="1"/>
    <col min="13" max="13" width="13.140625" style="444" bestFit="1" customWidth="1"/>
    <col min="14" max="14" width="1.5703125" style="444" customWidth="1"/>
    <col min="15" max="16384" width="9.140625" style="444"/>
  </cols>
  <sheetData>
    <row r="1" spans="1:60" ht="60" customHeight="1" thickBot="1">
      <c r="A1" s="1023" t="s">
        <v>203</v>
      </c>
      <c r="B1" s="1024"/>
      <c r="C1" s="1024"/>
      <c r="D1" s="1024"/>
      <c r="E1" s="1024"/>
      <c r="F1" s="1024"/>
      <c r="G1" s="1024"/>
      <c r="H1" s="1024"/>
      <c r="I1" s="1024"/>
      <c r="J1" s="1024"/>
      <c r="K1" s="1024"/>
      <c r="L1" s="1024"/>
      <c r="M1" s="1025"/>
    </row>
    <row r="2" spans="1:60" ht="20.100000000000001" customHeight="1" thickBot="1">
      <c r="A2" s="1026" t="s">
        <v>204</v>
      </c>
      <c r="B2" s="1026"/>
      <c r="C2" s="1026"/>
      <c r="D2" s="1026"/>
      <c r="E2" s="1026"/>
      <c r="F2" s="1026"/>
      <c r="G2" s="1027"/>
      <c r="H2" s="1028" t="s">
        <v>205</v>
      </c>
      <c r="I2" s="1029"/>
      <c r="J2" s="1029"/>
      <c r="K2" s="1029"/>
      <c r="L2" s="1029"/>
      <c r="M2" s="1029"/>
    </row>
    <row r="3" spans="1:60" s="445" customFormat="1" ht="20.100000000000001" customHeight="1" thickTop="1">
      <c r="A3" s="1030" t="s">
        <v>107</v>
      </c>
      <c r="B3" s="1032">
        <v>44332</v>
      </c>
      <c r="C3" s="1034" t="s">
        <v>108</v>
      </c>
      <c r="D3" s="1036" t="s">
        <v>206</v>
      </c>
      <c r="E3" s="1037" t="s">
        <v>109</v>
      </c>
      <c r="F3" s="1034" t="s">
        <v>110</v>
      </c>
      <c r="G3" s="1039" t="s">
        <v>207</v>
      </c>
      <c r="H3" s="1041" t="s">
        <v>107</v>
      </c>
      <c r="I3" s="1043" t="s">
        <v>208</v>
      </c>
      <c r="J3" s="1045" t="s">
        <v>209</v>
      </c>
      <c r="K3" s="1047" t="s">
        <v>210</v>
      </c>
      <c r="L3" s="1049" t="s">
        <v>54</v>
      </c>
      <c r="M3" s="1049"/>
    </row>
    <row r="4" spans="1:60" s="445" customFormat="1" ht="30" customHeight="1">
      <c r="A4" s="1031"/>
      <c r="B4" s="1033"/>
      <c r="C4" s="1035"/>
      <c r="D4" s="1034"/>
      <c r="E4" s="1038"/>
      <c r="F4" s="1035"/>
      <c r="G4" s="1040"/>
      <c r="H4" s="1042"/>
      <c r="I4" s="1044"/>
      <c r="J4" s="1046"/>
      <c r="K4" s="1048"/>
      <c r="L4" s="446" t="s">
        <v>211</v>
      </c>
      <c r="M4" s="446" t="s">
        <v>212</v>
      </c>
    </row>
    <row r="5" spans="1:60" s="479" customFormat="1" ht="14.25">
      <c r="A5" s="470">
        <v>44138</v>
      </c>
      <c r="B5" s="471"/>
      <c r="C5" s="472">
        <v>1499</v>
      </c>
      <c r="D5" s="473" t="s">
        <v>226</v>
      </c>
      <c r="E5" s="474" t="s">
        <v>227</v>
      </c>
      <c r="F5" s="474" t="s">
        <v>228</v>
      </c>
      <c r="G5" s="475">
        <v>100000</v>
      </c>
      <c r="H5" s="476">
        <v>44171</v>
      </c>
      <c r="I5" s="477"/>
      <c r="J5" s="478">
        <v>100000</v>
      </c>
      <c r="K5" s="510">
        <f>G5-J5</f>
        <v>0</v>
      </c>
      <c r="L5" s="473"/>
      <c r="M5" s="473" t="s">
        <v>229</v>
      </c>
    </row>
    <row r="6" spans="1:60" s="479" customFormat="1" ht="14.25">
      <c r="A6" s="461">
        <v>44166</v>
      </c>
      <c r="B6" s="447">
        <v>0.20833333333333334</v>
      </c>
      <c r="C6" s="454">
        <v>1500</v>
      </c>
      <c r="D6" s="450" t="s">
        <v>216</v>
      </c>
      <c r="E6" s="448" t="s">
        <v>217</v>
      </c>
      <c r="F6" s="448"/>
      <c r="G6" s="449">
        <v>5000</v>
      </c>
      <c r="H6" s="452"/>
      <c r="I6" s="453"/>
      <c r="J6" s="451"/>
      <c r="K6" s="511">
        <f>G6-J6</f>
        <v>5000</v>
      </c>
      <c r="L6" s="450"/>
      <c r="M6" s="450"/>
    </row>
    <row r="7" spans="1:60" ht="14.25">
      <c r="A7" s="461">
        <v>44171</v>
      </c>
      <c r="B7" s="447"/>
      <c r="C7" s="454">
        <v>87</v>
      </c>
      <c r="D7" s="450" t="s">
        <v>216</v>
      </c>
      <c r="E7" s="474" t="s">
        <v>227</v>
      </c>
      <c r="F7" s="474" t="s">
        <v>228</v>
      </c>
      <c r="G7" s="449">
        <v>50000</v>
      </c>
      <c r="H7" s="452">
        <v>44194</v>
      </c>
      <c r="I7" s="453">
        <v>0.71527777777777779</v>
      </c>
      <c r="J7" s="451">
        <v>50000</v>
      </c>
      <c r="K7" s="511">
        <f>G7-J7</f>
        <v>0</v>
      </c>
      <c r="L7" s="450" t="s">
        <v>229</v>
      </c>
      <c r="M7" s="450" t="s">
        <v>244</v>
      </c>
    </row>
    <row r="8" spans="1:60" ht="14.25">
      <c r="A8" s="489">
        <v>44182</v>
      </c>
      <c r="B8" s="490"/>
      <c r="C8" s="491">
        <v>88</v>
      </c>
      <c r="D8" s="492" t="s">
        <v>216</v>
      </c>
      <c r="E8" s="493" t="s">
        <v>227</v>
      </c>
      <c r="F8" s="493" t="s">
        <v>228</v>
      </c>
      <c r="G8" s="494">
        <v>100000</v>
      </c>
      <c r="H8" s="495">
        <v>44211</v>
      </c>
      <c r="I8" s="496">
        <v>0.66805555555555562</v>
      </c>
      <c r="J8" s="497">
        <v>100000</v>
      </c>
      <c r="K8" s="512">
        <f>G8-J8</f>
        <v>0</v>
      </c>
      <c r="L8" s="492"/>
      <c r="M8" s="492" t="s">
        <v>251</v>
      </c>
      <c r="BH8" s="444">
        <v>42</v>
      </c>
    </row>
    <row r="9" spans="1:60" ht="14.25">
      <c r="A9" s="495">
        <v>44211</v>
      </c>
      <c r="B9" s="496">
        <v>0.66805555555555562</v>
      </c>
      <c r="C9" s="491">
        <v>93</v>
      </c>
      <c r="D9" s="492" t="s">
        <v>216</v>
      </c>
      <c r="E9" s="493" t="s">
        <v>227</v>
      </c>
      <c r="F9" s="493" t="s">
        <v>228</v>
      </c>
      <c r="G9" s="494">
        <v>50000</v>
      </c>
      <c r="H9" s="495">
        <v>44211</v>
      </c>
      <c r="I9" s="496">
        <v>0.68333333333333324</v>
      </c>
      <c r="J9" s="497">
        <v>50000</v>
      </c>
      <c r="K9" s="512">
        <f t="shared" ref="K9:K23" si="0">G9-J9</f>
        <v>0</v>
      </c>
      <c r="L9" s="492"/>
      <c r="M9" s="492" t="s">
        <v>251</v>
      </c>
    </row>
    <row r="10" spans="1:60" ht="14.25">
      <c r="A10" s="461"/>
      <c r="B10" s="447"/>
      <c r="C10" s="454"/>
      <c r="D10" s="450"/>
      <c r="E10" s="448"/>
      <c r="F10" s="448"/>
      <c r="G10" s="449"/>
      <c r="H10" s="452"/>
      <c r="I10" s="453"/>
      <c r="J10" s="451"/>
      <c r="K10" s="511">
        <f t="shared" si="0"/>
        <v>0</v>
      </c>
      <c r="L10" s="450"/>
      <c r="M10" s="450"/>
    </row>
    <row r="11" spans="1:60" ht="14.25">
      <c r="A11" s="461"/>
      <c r="B11" s="447"/>
      <c r="C11" s="454"/>
      <c r="D11" s="450"/>
      <c r="E11" s="448"/>
      <c r="F11" s="448"/>
      <c r="G11" s="449"/>
      <c r="H11" s="452"/>
      <c r="I11" s="453"/>
      <c r="J11" s="451"/>
      <c r="K11" s="511">
        <f t="shared" si="0"/>
        <v>0</v>
      </c>
      <c r="L11" s="450"/>
      <c r="M11" s="450"/>
    </row>
    <row r="12" spans="1:60" ht="14.25">
      <c r="A12" s="461"/>
      <c r="B12" s="447"/>
      <c r="C12" s="454"/>
      <c r="D12" s="450"/>
      <c r="E12" s="448"/>
      <c r="F12" s="448"/>
      <c r="G12" s="449"/>
      <c r="H12" s="452"/>
      <c r="I12" s="453"/>
      <c r="J12" s="451"/>
      <c r="K12" s="511">
        <f t="shared" si="0"/>
        <v>0</v>
      </c>
      <c r="L12" s="450"/>
      <c r="M12" s="450"/>
    </row>
    <row r="13" spans="1:60" ht="14.25">
      <c r="A13" s="461"/>
      <c r="B13" s="447"/>
      <c r="C13" s="454"/>
      <c r="D13" s="450"/>
      <c r="E13" s="448"/>
      <c r="F13" s="448"/>
      <c r="G13" s="449"/>
      <c r="H13" s="452"/>
      <c r="I13" s="453"/>
      <c r="J13" s="451"/>
      <c r="K13" s="511">
        <f t="shared" si="0"/>
        <v>0</v>
      </c>
      <c r="L13" s="450"/>
      <c r="M13" s="450"/>
    </row>
    <row r="14" spans="1:60" ht="14.25">
      <c r="A14" s="461"/>
      <c r="B14" s="447"/>
      <c r="C14" s="454"/>
      <c r="D14" s="450"/>
      <c r="E14" s="448"/>
      <c r="F14" s="448" t="s">
        <v>230</v>
      </c>
      <c r="G14" s="449"/>
      <c r="H14" s="452"/>
      <c r="I14" s="453"/>
      <c r="J14" s="451"/>
      <c r="K14" s="511">
        <f t="shared" si="0"/>
        <v>0</v>
      </c>
      <c r="L14" s="450"/>
      <c r="M14" s="450"/>
    </row>
    <row r="15" spans="1:60" ht="14.25">
      <c r="A15" s="461"/>
      <c r="B15" s="447"/>
      <c r="C15" s="454"/>
      <c r="D15" s="450"/>
      <c r="E15" s="448"/>
      <c r="F15" s="448"/>
      <c r="G15" s="449"/>
      <c r="H15" s="452"/>
      <c r="I15" s="453"/>
      <c r="J15" s="451"/>
      <c r="K15" s="511">
        <f t="shared" si="0"/>
        <v>0</v>
      </c>
      <c r="L15" s="450"/>
      <c r="M15" s="450"/>
    </row>
    <row r="16" spans="1:60" ht="14.25">
      <c r="A16" s="461"/>
      <c r="B16" s="447"/>
      <c r="C16" s="454"/>
      <c r="D16" s="450"/>
      <c r="E16" s="448"/>
      <c r="F16" s="448"/>
      <c r="G16" s="449"/>
      <c r="H16" s="452"/>
      <c r="I16" s="453"/>
      <c r="J16" s="451"/>
      <c r="K16" s="511">
        <f t="shared" si="0"/>
        <v>0</v>
      </c>
      <c r="L16" s="450"/>
      <c r="M16" s="450"/>
    </row>
    <row r="17" spans="1:13" ht="14.25">
      <c r="A17" s="461"/>
      <c r="B17" s="447"/>
      <c r="C17" s="454"/>
      <c r="D17" s="450"/>
      <c r="E17" s="448"/>
      <c r="F17" s="448"/>
      <c r="G17" s="449"/>
      <c r="H17" s="452"/>
      <c r="I17" s="453"/>
      <c r="J17" s="451"/>
      <c r="K17" s="511">
        <f t="shared" si="0"/>
        <v>0</v>
      </c>
      <c r="L17" s="450"/>
      <c r="M17" s="450"/>
    </row>
    <row r="18" spans="1:13" ht="14.25">
      <c r="A18" s="461"/>
      <c r="B18" s="447"/>
      <c r="C18" s="454"/>
      <c r="D18" s="450"/>
      <c r="E18" s="448"/>
      <c r="F18" s="448"/>
      <c r="G18" s="449"/>
      <c r="H18" s="452"/>
      <c r="I18" s="453"/>
      <c r="J18" s="451"/>
      <c r="K18" s="511">
        <f t="shared" si="0"/>
        <v>0</v>
      </c>
      <c r="L18" s="450"/>
      <c r="M18" s="450"/>
    </row>
    <row r="19" spans="1:13" ht="14.25">
      <c r="A19" s="461"/>
      <c r="B19" s="447"/>
      <c r="C19" s="454"/>
      <c r="D19" s="450"/>
      <c r="E19" s="448"/>
      <c r="F19" s="448"/>
      <c r="G19" s="449"/>
      <c r="H19" s="452"/>
      <c r="I19" s="453"/>
      <c r="J19" s="451"/>
      <c r="K19" s="511">
        <f t="shared" si="0"/>
        <v>0</v>
      </c>
      <c r="L19" s="450"/>
      <c r="M19" s="450"/>
    </row>
    <row r="20" spans="1:13" ht="14.25">
      <c r="A20" s="461"/>
      <c r="B20" s="447"/>
      <c r="C20" s="454"/>
      <c r="D20" s="450"/>
      <c r="E20" s="448"/>
      <c r="F20" s="448"/>
      <c r="G20" s="449"/>
      <c r="H20" s="452"/>
      <c r="I20" s="453"/>
      <c r="J20" s="451"/>
      <c r="K20" s="511">
        <f t="shared" si="0"/>
        <v>0</v>
      </c>
      <c r="L20" s="450"/>
      <c r="M20" s="450"/>
    </row>
    <row r="21" spans="1:13" ht="14.25">
      <c r="A21" s="461"/>
      <c r="B21" s="447"/>
      <c r="C21" s="454"/>
      <c r="D21" s="450"/>
      <c r="E21" s="448"/>
      <c r="F21" s="448"/>
      <c r="G21" s="449"/>
      <c r="H21" s="452"/>
      <c r="I21" s="453"/>
      <c r="J21" s="451"/>
      <c r="K21" s="511">
        <f t="shared" si="0"/>
        <v>0</v>
      </c>
      <c r="L21" s="450"/>
      <c r="M21" s="450"/>
    </row>
    <row r="22" spans="1:13" ht="14.25">
      <c r="A22" s="461"/>
      <c r="B22" s="447"/>
      <c r="C22" s="454"/>
      <c r="D22" s="450"/>
      <c r="E22" s="448"/>
      <c r="F22" s="448"/>
      <c r="G22" s="449"/>
      <c r="H22" s="452"/>
      <c r="I22" s="453"/>
      <c r="J22" s="451"/>
      <c r="K22" s="511">
        <f t="shared" si="0"/>
        <v>0</v>
      </c>
      <c r="L22" s="450"/>
      <c r="M22" s="450"/>
    </row>
    <row r="23" spans="1:13" ht="14.25">
      <c r="A23" s="461"/>
      <c r="B23" s="447"/>
      <c r="C23" s="454"/>
      <c r="D23" s="450"/>
      <c r="E23" s="448"/>
      <c r="F23" s="448"/>
      <c r="G23" s="449"/>
      <c r="H23" s="452"/>
      <c r="I23" s="453"/>
      <c r="J23" s="451"/>
      <c r="K23" s="511">
        <f t="shared" si="0"/>
        <v>0</v>
      </c>
      <c r="L23" s="450"/>
      <c r="M23" s="450"/>
    </row>
    <row r="24" spans="1:13" ht="18.75" thickBot="1">
      <c r="F24" s="457" t="s">
        <v>8</v>
      </c>
      <c r="G24" s="458">
        <f>SUM(G5:G23)</f>
        <v>305000</v>
      </c>
      <c r="J24" s="458">
        <f>SUM(J5:J23)</f>
        <v>300000</v>
      </c>
      <c r="K24" s="460">
        <f>G24-J24</f>
        <v>5000</v>
      </c>
    </row>
    <row r="25" spans="1:13" ht="14.25"/>
    <row r="26" spans="1:13" ht="14.25"/>
    <row r="27" spans="1:13" ht="14.25"/>
    <row r="28" spans="1:13" ht="14.25"/>
    <row r="29" spans="1:13" ht="14.25"/>
    <row r="30" spans="1:13" ht="14.25"/>
    <row r="31" spans="1:13" ht="14.25"/>
    <row r="32" spans="1:13" ht="14.25"/>
    <row r="33" spans="8:10" ht="14.25"/>
    <row r="34" spans="8:10" ht="14.25"/>
    <row r="35" spans="8:10" ht="14.25"/>
    <row r="36" spans="8:10" ht="14.25"/>
    <row r="37" spans="8:10" ht="14.25"/>
    <row r="38" spans="8:10" ht="14.25"/>
    <row r="39" spans="8:10" ht="14.25"/>
    <row r="40" spans="8:10" ht="14.25"/>
    <row r="41" spans="8:10" ht="14.25"/>
    <row r="42" spans="8:10" ht="14.25"/>
    <row r="43" spans="8:10" ht="14.25"/>
    <row r="44" spans="8:10" ht="14.25">
      <c r="J44" s="459">
        <v>5197.5</v>
      </c>
    </row>
    <row r="45" spans="8:10" ht="14.25"/>
    <row r="46" spans="8:10" ht="14.25">
      <c r="H46" s="455" t="s">
        <v>314</v>
      </c>
      <c r="J46" s="459">
        <v>22037</v>
      </c>
    </row>
    <row r="47" spans="8:10" ht="14.25">
      <c r="H47" s="455" t="s">
        <v>307</v>
      </c>
      <c r="J47" s="459">
        <v>18977</v>
      </c>
    </row>
    <row r="48" spans="8:10" ht="14.25">
      <c r="H48" s="455" t="s">
        <v>308</v>
      </c>
      <c r="J48" s="459">
        <v>736</v>
      </c>
    </row>
    <row r="49" spans="3:10" ht="14.25">
      <c r="C49" s="455" t="s">
        <v>313</v>
      </c>
      <c r="E49" s="444">
        <v>52701</v>
      </c>
      <c r="J49" s="459">
        <v>13878</v>
      </c>
    </row>
    <row r="50" spans="3:10" ht="14.25">
      <c r="E50" s="444">
        <v>200000</v>
      </c>
    </row>
    <row r="51" spans="3:10" ht="14.25"/>
    <row r="52" spans="3:10" ht="14.25"/>
    <row r="53" spans="3:10" ht="14.25"/>
    <row r="54" spans="3:10" ht="14.25"/>
    <row r="55" spans="3:10" ht="14.25"/>
    <row r="56" spans="3:10" ht="14.25"/>
    <row r="57" spans="3:10" ht="14.25"/>
    <row r="58" spans="3:10" ht="14.25"/>
    <row r="59" spans="3:10" ht="14.25"/>
    <row r="60" spans="3:10" ht="14.25"/>
    <row r="61" spans="3:10" ht="14.25"/>
    <row r="62" spans="3:10" ht="14.25"/>
    <row r="63" spans="3:10" ht="14.25"/>
    <row r="64" spans="3:10" ht="14.25"/>
  </sheetData>
  <mergeCells count="15">
    <mergeCell ref="A1:M1"/>
    <mergeCell ref="A2:G2"/>
    <mergeCell ref="H2:M2"/>
    <mergeCell ref="A3:A4"/>
    <mergeCell ref="B3:B4"/>
    <mergeCell ref="C3:C4"/>
    <mergeCell ref="D3:D4"/>
    <mergeCell ref="E3:E4"/>
    <mergeCell ref="F3:F4"/>
    <mergeCell ref="G3:G4"/>
    <mergeCell ref="H3:H4"/>
    <mergeCell ref="I3:I4"/>
    <mergeCell ref="J3:J4"/>
    <mergeCell ref="K3:K4"/>
    <mergeCell ref="L3:M3"/>
  </mergeCells>
  <phoneticPr fontId="53" type="noConversion"/>
  <pageMargins left="0.11811023622047245" right="0.11811023622047245" top="0.47244094488188981" bottom="0.74803149606299213" header="0.31496062992125984" footer="0.31496062992125984"/>
  <pageSetup scale="82" fitToHeight="0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2"/>
    <pageSetUpPr fitToPage="1"/>
  </sheetPr>
  <dimension ref="A1:O50"/>
  <sheetViews>
    <sheetView topLeftCell="A10" zoomScale="85" zoomScaleNormal="85" zoomScaleSheetLayoutView="100" workbookViewId="0">
      <selection activeCell="R26" sqref="R26"/>
    </sheetView>
  </sheetViews>
  <sheetFormatPr defaultRowHeight="14.25"/>
  <cols>
    <col min="1" max="1" width="9.140625" style="22"/>
    <col min="2" max="2" width="13.7109375" style="22" bestFit="1" customWidth="1"/>
    <col min="3" max="3" width="10.42578125" style="22" customWidth="1"/>
    <col min="4" max="4" width="17.140625" style="387" bestFit="1" customWidth="1"/>
    <col min="5" max="5" width="2.7109375" style="22" customWidth="1"/>
    <col min="6" max="6" width="11.5703125" style="22" bestFit="1" customWidth="1"/>
    <col min="7" max="7" width="12" style="22" customWidth="1"/>
    <col min="8" max="8" width="14.85546875" style="387" bestFit="1" customWidth="1"/>
    <col min="9" max="9" width="2.7109375" style="22" customWidth="1"/>
    <col min="10" max="10" width="11.5703125" style="22" bestFit="1" customWidth="1"/>
    <col min="11" max="11" width="11.5703125" style="22" customWidth="1"/>
    <col min="12" max="12" width="14.85546875" style="387" bestFit="1" customWidth="1"/>
    <col min="13" max="15" width="9.140625" style="22"/>
    <col min="16" max="16" width="19" style="22" bestFit="1" customWidth="1"/>
    <col min="17" max="16384" width="9.140625" style="22"/>
  </cols>
  <sheetData>
    <row r="1" spans="2:14" ht="15" thickBot="1"/>
    <row r="2" spans="2:14" ht="30" customHeight="1">
      <c r="B2" s="1053" t="s">
        <v>288</v>
      </c>
      <c r="C2" s="1054"/>
      <c r="D2" s="1054"/>
      <c r="E2" s="1054"/>
      <c r="F2" s="1054"/>
      <c r="G2" s="1054"/>
      <c r="H2" s="1054"/>
      <c r="I2" s="1054"/>
      <c r="J2" s="1054"/>
      <c r="K2" s="1054"/>
      <c r="L2" s="1055"/>
      <c r="N2" s="23" t="s">
        <v>106</v>
      </c>
    </row>
    <row r="3" spans="2:14" ht="30" customHeight="1" thickBot="1">
      <c r="B3" s="1056"/>
      <c r="C3" s="1057"/>
      <c r="D3" s="1057"/>
      <c r="E3" s="1057"/>
      <c r="F3" s="1057"/>
      <c r="G3" s="1057"/>
      <c r="H3" s="1057"/>
      <c r="I3" s="1057"/>
      <c r="J3" s="1057"/>
      <c r="K3" s="1057"/>
      <c r="L3" s="1058"/>
      <c r="N3" s="24" t="s">
        <v>111</v>
      </c>
    </row>
    <row r="4" spans="2:14" ht="9.9499999999999993" customHeight="1"/>
    <row r="5" spans="2:14" ht="21.95" customHeight="1">
      <c r="B5" s="25" t="s">
        <v>102</v>
      </c>
      <c r="C5" s="1059">
        <f>Unredeemed!A3</f>
        <v>44427</v>
      </c>
      <c r="D5" s="1059"/>
      <c r="E5" s="1059"/>
      <c r="F5" s="1059"/>
      <c r="J5" s="25" t="s">
        <v>105</v>
      </c>
      <c r="K5" s="268">
        <v>0.12083333333333333</v>
      </c>
      <c r="L5" s="390"/>
      <c r="N5" s="183" t="s">
        <v>144</v>
      </c>
    </row>
    <row r="6" spans="2:14" ht="21.95" customHeight="1"/>
    <row r="7" spans="2:14" ht="21.95" customHeight="1">
      <c r="B7" s="1060" t="s">
        <v>310</v>
      </c>
      <c r="C7" s="1060"/>
      <c r="D7" s="1060"/>
      <c r="E7" s="26"/>
      <c r="F7" s="1064" t="s">
        <v>186</v>
      </c>
      <c r="G7" s="1064"/>
      <c r="H7" s="1064"/>
      <c r="J7" s="1063" t="s">
        <v>66</v>
      </c>
      <c r="K7" s="1063"/>
      <c r="L7" s="1063"/>
    </row>
    <row r="8" spans="2:14" ht="21.95" customHeight="1">
      <c r="B8" s="384" t="s">
        <v>4</v>
      </c>
      <c r="C8" s="384" t="s">
        <v>7</v>
      </c>
      <c r="D8" s="384" t="s">
        <v>3</v>
      </c>
      <c r="E8" s="26"/>
      <c r="F8" s="380" t="s">
        <v>4</v>
      </c>
      <c r="G8" s="380" t="s">
        <v>7</v>
      </c>
      <c r="H8" s="384" t="s">
        <v>3</v>
      </c>
      <c r="J8" s="383" t="s">
        <v>4</v>
      </c>
      <c r="K8" s="384" t="s">
        <v>7</v>
      </c>
      <c r="L8" s="384" t="s">
        <v>3</v>
      </c>
    </row>
    <row r="9" spans="2:14" ht="21.95" customHeight="1">
      <c r="B9" s="381">
        <v>100000</v>
      </c>
      <c r="C9" s="443"/>
      <c r="D9" s="513">
        <f>B9*C9</f>
        <v>0</v>
      </c>
      <c r="E9" s="27"/>
      <c r="F9" s="381">
        <v>100000</v>
      </c>
      <c r="G9" s="443"/>
      <c r="H9" s="515">
        <f>F9*G9</f>
        <v>0</v>
      </c>
      <c r="J9" s="383">
        <v>100000</v>
      </c>
      <c r="K9" s="382"/>
      <c r="L9" s="515">
        <f>J9*K9</f>
        <v>0</v>
      </c>
    </row>
    <row r="10" spans="2:14" ht="21.95" customHeight="1">
      <c r="B10" s="381">
        <v>50000</v>
      </c>
      <c r="C10" s="443"/>
      <c r="D10" s="513">
        <f t="shared" ref="D10:D19" si="0">B10*C10</f>
        <v>0</v>
      </c>
      <c r="E10" s="27"/>
      <c r="F10" s="381">
        <v>50000</v>
      </c>
      <c r="G10" s="443"/>
      <c r="H10" s="515">
        <f t="shared" ref="H10:H18" si="1">F10*G10</f>
        <v>0</v>
      </c>
      <c r="J10" s="383">
        <v>50000</v>
      </c>
      <c r="K10" s="382"/>
      <c r="L10" s="515">
        <f t="shared" ref="L10:L19" si="2">J10*K10</f>
        <v>0</v>
      </c>
    </row>
    <row r="11" spans="2:14" ht="21.95" customHeight="1">
      <c r="B11" s="381">
        <v>10000</v>
      </c>
      <c r="C11" s="443"/>
      <c r="D11" s="513">
        <f t="shared" si="0"/>
        <v>0</v>
      </c>
      <c r="E11" s="26"/>
      <c r="F11" s="381">
        <v>10000</v>
      </c>
      <c r="G11" s="443"/>
      <c r="H11" s="515">
        <f t="shared" si="1"/>
        <v>0</v>
      </c>
      <c r="J11" s="383">
        <v>10000</v>
      </c>
      <c r="K11" s="382"/>
      <c r="L11" s="515">
        <f t="shared" si="2"/>
        <v>0</v>
      </c>
    </row>
    <row r="12" spans="2:14" ht="21.95" customHeight="1">
      <c r="B12" s="381">
        <v>5000</v>
      </c>
      <c r="C12" s="443"/>
      <c r="D12" s="513">
        <f t="shared" si="0"/>
        <v>0</v>
      </c>
      <c r="E12" s="26"/>
      <c r="F12" s="381">
        <v>5000</v>
      </c>
      <c r="G12" s="443"/>
      <c r="H12" s="515">
        <f t="shared" si="1"/>
        <v>0</v>
      </c>
      <c r="J12" s="383">
        <v>5000</v>
      </c>
      <c r="K12" s="382"/>
      <c r="L12" s="515">
        <f>J12*K12</f>
        <v>0</v>
      </c>
    </row>
    <row r="13" spans="2:14" ht="21.95" customHeight="1">
      <c r="B13" s="381">
        <v>1000</v>
      </c>
      <c r="C13" s="443"/>
      <c r="D13" s="513">
        <f t="shared" si="0"/>
        <v>0</v>
      </c>
      <c r="E13" s="26"/>
      <c r="F13" s="381">
        <v>1000</v>
      </c>
      <c r="G13" s="443"/>
      <c r="H13" s="515">
        <f t="shared" si="1"/>
        <v>0</v>
      </c>
      <c r="J13" s="383">
        <v>1000</v>
      </c>
      <c r="K13" s="382"/>
      <c r="L13" s="515">
        <f t="shared" si="2"/>
        <v>0</v>
      </c>
    </row>
    <row r="14" spans="2:14" ht="21.95" customHeight="1">
      <c r="B14" s="381">
        <v>500</v>
      </c>
      <c r="C14" s="443"/>
      <c r="D14" s="513">
        <f t="shared" si="0"/>
        <v>0</v>
      </c>
      <c r="E14" s="28"/>
      <c r="F14" s="381">
        <v>500</v>
      </c>
      <c r="G14" s="443"/>
      <c r="H14" s="515">
        <f t="shared" si="1"/>
        <v>0</v>
      </c>
      <c r="J14" s="383">
        <v>500</v>
      </c>
      <c r="K14" s="382"/>
      <c r="L14" s="515">
        <f t="shared" si="2"/>
        <v>0</v>
      </c>
    </row>
    <row r="15" spans="2:14" ht="21.95" customHeight="1">
      <c r="B15" s="381">
        <v>100</v>
      </c>
      <c r="C15" s="443"/>
      <c r="D15" s="513">
        <f t="shared" si="0"/>
        <v>0</v>
      </c>
      <c r="E15" s="28"/>
      <c r="F15" s="381">
        <v>100</v>
      </c>
      <c r="G15" s="443"/>
      <c r="H15" s="515">
        <f t="shared" si="1"/>
        <v>0</v>
      </c>
      <c r="J15" s="383">
        <v>100</v>
      </c>
      <c r="K15" s="382"/>
      <c r="L15" s="515">
        <f t="shared" si="2"/>
        <v>0</v>
      </c>
    </row>
    <row r="16" spans="2:14" ht="21.95" customHeight="1">
      <c r="B16" s="381">
        <v>25</v>
      </c>
      <c r="C16" s="443"/>
      <c r="D16" s="513">
        <f t="shared" si="0"/>
        <v>0</v>
      </c>
      <c r="E16" s="28"/>
      <c r="F16" s="381">
        <v>25</v>
      </c>
      <c r="G16" s="443"/>
      <c r="H16" s="515">
        <f t="shared" si="1"/>
        <v>0</v>
      </c>
      <c r="J16" s="383">
        <v>25</v>
      </c>
      <c r="K16" s="382"/>
      <c r="L16" s="515">
        <f t="shared" si="2"/>
        <v>0</v>
      </c>
    </row>
    <row r="17" spans="2:15" ht="21.95" customHeight="1">
      <c r="B17" s="381">
        <v>5</v>
      </c>
      <c r="C17" s="443"/>
      <c r="D17" s="513">
        <f t="shared" si="0"/>
        <v>0</v>
      </c>
      <c r="E17" s="28"/>
      <c r="F17" s="381">
        <v>5</v>
      </c>
      <c r="G17" s="443"/>
      <c r="H17" s="515">
        <f t="shared" si="1"/>
        <v>0</v>
      </c>
      <c r="J17" s="383">
        <v>5</v>
      </c>
      <c r="K17" s="382"/>
      <c r="L17" s="515">
        <f t="shared" si="2"/>
        <v>0</v>
      </c>
      <c r="N17" s="29"/>
      <c r="O17" s="30"/>
    </row>
    <row r="18" spans="2:15" ht="21.95" customHeight="1">
      <c r="B18" s="381">
        <v>1</v>
      </c>
      <c r="C18" s="443"/>
      <c r="D18" s="513">
        <f t="shared" si="0"/>
        <v>0</v>
      </c>
      <c r="E18" s="28"/>
      <c r="F18" s="381">
        <v>1</v>
      </c>
      <c r="G18" s="443"/>
      <c r="H18" s="515">
        <f t="shared" si="1"/>
        <v>0</v>
      </c>
      <c r="I18" s="33"/>
      <c r="J18" s="383">
        <v>1</v>
      </c>
      <c r="K18" s="382"/>
      <c r="L18" s="515">
        <f t="shared" si="2"/>
        <v>0</v>
      </c>
      <c r="N18" s="31"/>
      <c r="O18" s="32"/>
    </row>
    <row r="19" spans="2:15" ht="21.95" customHeight="1">
      <c r="B19" s="468">
        <v>0.5</v>
      </c>
      <c r="C19" s="443"/>
      <c r="D19" s="513">
        <f t="shared" si="0"/>
        <v>0</v>
      </c>
      <c r="E19" s="28"/>
      <c r="H19" s="516">
        <f>SUM(H9:H18)</f>
        <v>0</v>
      </c>
      <c r="J19" s="385">
        <v>0.5</v>
      </c>
      <c r="K19" s="382"/>
      <c r="L19" s="515">
        <f t="shared" si="2"/>
        <v>0</v>
      </c>
    </row>
    <row r="20" spans="2:15" ht="21.95" customHeight="1">
      <c r="B20" s="353"/>
      <c r="C20" s="354"/>
      <c r="D20" s="514">
        <f>SUM(D9:D19)</f>
        <v>0</v>
      </c>
      <c r="L20" s="516">
        <f>SUM(L9:L19)</f>
        <v>0</v>
      </c>
    </row>
    <row r="21" spans="2:15" ht="21.95" customHeight="1">
      <c r="B21" s="1060" t="s">
        <v>311</v>
      </c>
      <c r="C21" s="1060"/>
      <c r="D21" s="1060"/>
      <c r="E21" s="28"/>
      <c r="F21" s="1061" t="s">
        <v>187</v>
      </c>
      <c r="G21" s="1061"/>
      <c r="H21" s="1061"/>
      <c r="J21" s="1062" t="s">
        <v>168</v>
      </c>
      <c r="K21" s="1062"/>
      <c r="L21" s="1062"/>
    </row>
    <row r="22" spans="2:15" ht="21.95" customHeight="1">
      <c r="B22" s="384" t="s">
        <v>4</v>
      </c>
      <c r="C22" s="384" t="s">
        <v>7</v>
      </c>
      <c r="D22" s="384" t="s">
        <v>3</v>
      </c>
      <c r="E22" s="28"/>
      <c r="F22" s="380" t="s">
        <v>4</v>
      </c>
      <c r="G22" s="380" t="s">
        <v>7</v>
      </c>
      <c r="H22" s="384" t="s">
        <v>3</v>
      </c>
      <c r="J22" s="380" t="s">
        <v>4</v>
      </c>
      <c r="K22" s="380" t="s">
        <v>7</v>
      </c>
      <c r="L22" s="384" t="s">
        <v>3</v>
      </c>
    </row>
    <row r="23" spans="2:15" ht="21.95" customHeight="1">
      <c r="B23" s="381">
        <v>100000</v>
      </c>
      <c r="C23" s="443"/>
      <c r="D23" s="513">
        <f>B23*C23</f>
        <v>0</v>
      </c>
      <c r="E23" s="27"/>
      <c r="F23" s="383">
        <v>100000</v>
      </c>
      <c r="G23" s="386"/>
      <c r="H23" s="515">
        <f>F23*G23</f>
        <v>0</v>
      </c>
      <c r="J23" s="383">
        <v>100000</v>
      </c>
      <c r="K23" s="386"/>
      <c r="L23" s="515">
        <f>J23*K23</f>
        <v>0</v>
      </c>
    </row>
    <row r="24" spans="2:15" ht="21.95" customHeight="1">
      <c r="B24" s="381">
        <v>50000</v>
      </c>
      <c r="C24" s="443"/>
      <c r="D24" s="513">
        <f t="shared" ref="D24:D33" si="3">B24*C24</f>
        <v>0</v>
      </c>
      <c r="E24" s="27"/>
      <c r="F24" s="383">
        <v>50000</v>
      </c>
      <c r="G24" s="386"/>
      <c r="H24" s="515">
        <f t="shared" ref="H24:H31" si="4">F24*G24</f>
        <v>0</v>
      </c>
      <c r="J24" s="383">
        <v>50000</v>
      </c>
      <c r="K24" s="386"/>
      <c r="L24" s="515">
        <f t="shared" ref="L24:L29" si="5">J24*K24</f>
        <v>0</v>
      </c>
      <c r="M24" s="186"/>
    </row>
    <row r="25" spans="2:15" ht="21.95" customHeight="1">
      <c r="B25" s="381">
        <v>10000</v>
      </c>
      <c r="C25" s="443"/>
      <c r="D25" s="513">
        <f t="shared" si="3"/>
        <v>0</v>
      </c>
      <c r="E25" s="27"/>
      <c r="F25" s="383">
        <v>10000</v>
      </c>
      <c r="G25" s="386"/>
      <c r="H25" s="515">
        <f t="shared" si="4"/>
        <v>0</v>
      </c>
      <c r="J25" s="383">
        <v>10000</v>
      </c>
      <c r="K25" s="386"/>
      <c r="L25" s="515">
        <f t="shared" si="5"/>
        <v>0</v>
      </c>
    </row>
    <row r="26" spans="2:15" ht="21.95" customHeight="1">
      <c r="B26" s="381">
        <v>5000</v>
      </c>
      <c r="C26" s="443"/>
      <c r="D26" s="513">
        <f t="shared" si="3"/>
        <v>0</v>
      </c>
      <c r="E26" s="27"/>
      <c r="F26" s="383">
        <v>5000</v>
      </c>
      <c r="G26" s="386"/>
      <c r="H26" s="515">
        <f t="shared" si="4"/>
        <v>0</v>
      </c>
      <c r="J26" s="383">
        <v>5000</v>
      </c>
      <c r="K26" s="386"/>
      <c r="L26" s="515">
        <f t="shared" si="5"/>
        <v>0</v>
      </c>
    </row>
    <row r="27" spans="2:15" ht="21.95" customHeight="1">
      <c r="B27" s="381">
        <v>1000</v>
      </c>
      <c r="C27" s="443"/>
      <c r="D27" s="513">
        <f t="shared" si="3"/>
        <v>0</v>
      </c>
      <c r="E27" s="28"/>
      <c r="F27" s="383">
        <v>1000</v>
      </c>
      <c r="G27" s="386"/>
      <c r="H27" s="515">
        <f t="shared" si="4"/>
        <v>0</v>
      </c>
      <c r="J27" s="383">
        <v>1000</v>
      </c>
      <c r="K27" s="386"/>
      <c r="L27" s="515">
        <f t="shared" si="5"/>
        <v>0</v>
      </c>
    </row>
    <row r="28" spans="2:15" ht="21.95" customHeight="1">
      <c r="B28" s="381">
        <v>500</v>
      </c>
      <c r="C28" s="443"/>
      <c r="D28" s="513">
        <f t="shared" si="3"/>
        <v>0</v>
      </c>
      <c r="E28" s="28"/>
      <c r="F28" s="383">
        <v>500</v>
      </c>
      <c r="G28" s="386"/>
      <c r="H28" s="515">
        <f t="shared" si="4"/>
        <v>0</v>
      </c>
      <c r="J28" s="383">
        <v>500</v>
      </c>
      <c r="K28" s="386"/>
      <c r="L28" s="515">
        <f t="shared" si="5"/>
        <v>0</v>
      </c>
    </row>
    <row r="29" spans="2:15" ht="21.95" customHeight="1">
      <c r="B29" s="381">
        <v>100</v>
      </c>
      <c r="C29" s="443"/>
      <c r="D29" s="513">
        <f t="shared" si="3"/>
        <v>0</v>
      </c>
      <c r="E29" s="28"/>
      <c r="F29" s="383">
        <v>100</v>
      </c>
      <c r="G29" s="386"/>
      <c r="H29" s="515">
        <f t="shared" si="4"/>
        <v>0</v>
      </c>
      <c r="J29" s="383">
        <v>100</v>
      </c>
      <c r="K29" s="386"/>
      <c r="L29" s="515">
        <f t="shared" si="5"/>
        <v>0</v>
      </c>
    </row>
    <row r="30" spans="2:15" ht="21.95" customHeight="1">
      <c r="B30" s="381">
        <v>25</v>
      </c>
      <c r="C30" s="443"/>
      <c r="D30" s="513">
        <f t="shared" si="3"/>
        <v>0</v>
      </c>
      <c r="E30" s="28"/>
      <c r="F30" s="383">
        <v>25</v>
      </c>
      <c r="G30" s="386"/>
      <c r="H30" s="515">
        <f t="shared" si="4"/>
        <v>0</v>
      </c>
      <c r="L30" s="516">
        <f>SUM(L23:L29)</f>
        <v>0</v>
      </c>
    </row>
    <row r="31" spans="2:15" ht="21.95" customHeight="1">
      <c r="B31" s="381">
        <v>5</v>
      </c>
      <c r="C31" s="443"/>
      <c r="D31" s="513">
        <f t="shared" si="3"/>
        <v>0</v>
      </c>
      <c r="E31" s="28"/>
      <c r="F31" s="383">
        <v>5</v>
      </c>
      <c r="G31" s="386"/>
      <c r="H31" s="515">
        <f t="shared" si="4"/>
        <v>0</v>
      </c>
      <c r="I31" s="34"/>
    </row>
    <row r="32" spans="2:15" ht="21.95" customHeight="1">
      <c r="B32" s="381">
        <v>1</v>
      </c>
      <c r="C32" s="443"/>
      <c r="D32" s="513">
        <f t="shared" si="3"/>
        <v>0</v>
      </c>
      <c r="H32" s="516">
        <f>SUM(H23:H31)</f>
        <v>0</v>
      </c>
      <c r="J32" s="1050" t="s">
        <v>104</v>
      </c>
      <c r="K32" s="1051"/>
      <c r="L32" s="1052"/>
    </row>
    <row r="33" spans="1:13" ht="21.95" customHeight="1">
      <c r="B33" s="468">
        <v>0.5</v>
      </c>
      <c r="C33" s="443"/>
      <c r="D33" s="513">
        <f t="shared" si="3"/>
        <v>0</v>
      </c>
      <c r="J33" s="219"/>
      <c r="K33" s="34"/>
      <c r="L33" s="486"/>
    </row>
    <row r="34" spans="1:13" ht="21.95" customHeight="1">
      <c r="B34" s="353"/>
      <c r="C34" s="354"/>
      <c r="D34" s="514">
        <f>SUM(D23:D33)</f>
        <v>0</v>
      </c>
      <c r="J34" s="220"/>
      <c r="K34" s="485"/>
      <c r="L34" s="487"/>
      <c r="M34" s="22" t="s">
        <v>261</v>
      </c>
    </row>
    <row r="35" spans="1:13" ht="21.95" customHeight="1">
      <c r="B35" s="28"/>
      <c r="D35" s="517"/>
      <c r="E35" s="34"/>
      <c r="G35" s="483"/>
    </row>
    <row r="36" spans="1:13" ht="21.95" customHeight="1">
      <c r="B36" s="28"/>
      <c r="D36" s="517">
        <f>D20+H19+L20+D34+H32+L30</f>
        <v>0</v>
      </c>
    </row>
    <row r="37" spans="1:13" ht="21.95" customHeight="1">
      <c r="B37" s="28"/>
    </row>
    <row r="38" spans="1:13" ht="21.95" customHeight="1">
      <c r="B38" s="34"/>
    </row>
    <row r="39" spans="1:13" ht="24.95" customHeight="1">
      <c r="E39" s="34"/>
      <c r="F39" s="38"/>
      <c r="G39" s="39"/>
      <c r="H39" s="389"/>
      <c r="I39" s="34"/>
    </row>
    <row r="40" spans="1:13" ht="24.95" customHeight="1">
      <c r="A40" s="34"/>
      <c r="E40" s="34"/>
      <c r="F40" s="34"/>
      <c r="G40" s="34"/>
      <c r="H40" s="388"/>
      <c r="I40" s="34"/>
    </row>
    <row r="41" spans="1:13">
      <c r="A41" s="34"/>
      <c r="E41" s="34"/>
      <c r="F41" s="34"/>
      <c r="G41" s="34"/>
      <c r="H41" s="388"/>
      <c r="I41" s="34"/>
    </row>
    <row r="42" spans="1:13">
      <c r="A42" s="34"/>
      <c r="E42" s="34"/>
      <c r="F42" s="34"/>
      <c r="G42" s="34"/>
      <c r="H42" s="388"/>
      <c r="I42" s="34"/>
    </row>
    <row r="43" spans="1:13">
      <c r="A43" s="34"/>
      <c r="E43" s="34"/>
      <c r="F43" s="34"/>
      <c r="G43" s="34"/>
      <c r="H43" s="388"/>
      <c r="I43" s="34"/>
    </row>
    <row r="44" spans="1:13">
      <c r="A44" s="34"/>
      <c r="B44" s="34"/>
      <c r="C44" s="34"/>
      <c r="D44" s="388"/>
      <c r="E44" s="34"/>
      <c r="F44" s="34"/>
      <c r="G44" s="34"/>
      <c r="H44" s="388"/>
      <c r="I44" s="34"/>
    </row>
    <row r="45" spans="1:13">
      <c r="A45" s="34"/>
      <c r="B45" s="34"/>
      <c r="C45" s="34"/>
      <c r="D45" s="388"/>
      <c r="E45" s="34"/>
      <c r="F45" s="34"/>
      <c r="G45" s="34"/>
      <c r="H45" s="388"/>
      <c r="I45" s="34"/>
    </row>
    <row r="46" spans="1:13">
      <c r="A46" s="34"/>
      <c r="B46" s="34"/>
      <c r="C46" s="34"/>
      <c r="D46" s="388"/>
      <c r="E46" s="34"/>
      <c r="F46" s="34"/>
      <c r="G46" s="34"/>
      <c r="H46" s="388"/>
      <c r="I46" s="34"/>
    </row>
    <row r="47" spans="1:13">
      <c r="A47" s="34"/>
      <c r="B47" s="34"/>
      <c r="C47" s="34"/>
      <c r="D47" s="388"/>
      <c r="E47" s="34"/>
      <c r="F47" s="34"/>
      <c r="G47" s="34"/>
      <c r="H47" s="388"/>
      <c r="I47" s="34"/>
    </row>
    <row r="48" spans="1:13">
      <c r="A48" s="34"/>
      <c r="B48" s="34"/>
      <c r="C48" s="34"/>
      <c r="D48" s="388"/>
      <c r="E48" s="34"/>
      <c r="F48" s="34"/>
      <c r="G48" s="34"/>
      <c r="H48" s="388"/>
      <c r="I48" s="34"/>
    </row>
    <row r="49" spans="1:9">
      <c r="A49" s="34"/>
      <c r="B49" s="34"/>
      <c r="C49" s="34"/>
      <c r="D49" s="388"/>
      <c r="E49" s="34"/>
      <c r="F49" s="34"/>
      <c r="G49" s="34"/>
      <c r="H49" s="388"/>
      <c r="I49" s="34"/>
    </row>
    <row r="50" spans="1:9">
      <c r="B50" s="34"/>
      <c r="C50" s="34"/>
      <c r="D50" s="388"/>
    </row>
  </sheetData>
  <sheetProtection selectLockedCells="1"/>
  <mergeCells count="9">
    <mergeCell ref="J32:L32"/>
    <mergeCell ref="B2:L3"/>
    <mergeCell ref="C5:F5"/>
    <mergeCell ref="B21:D21"/>
    <mergeCell ref="F21:H21"/>
    <mergeCell ref="J21:L21"/>
    <mergeCell ref="J7:L7"/>
    <mergeCell ref="F7:H7"/>
    <mergeCell ref="B7:D7"/>
  </mergeCells>
  <phoneticPr fontId="53" type="noConversion"/>
  <conditionalFormatting sqref="K39:L39">
    <cfRule type="cellIs" dxfId="2" priority="4" stopIfTrue="1" operator="greaterThan">
      <formula>0</formula>
    </cfRule>
  </conditionalFormatting>
  <conditionalFormatting sqref="G39:H39">
    <cfRule type="cellIs" dxfId="1" priority="3" stopIfTrue="1" operator="greaterThan">
      <formula>0</formula>
    </cfRule>
  </conditionalFormatting>
  <conditionalFormatting sqref="K40:L40">
    <cfRule type="cellIs" dxfId="0" priority="2" stopIfTrue="1" operator="greaterThan">
      <formula>0</formula>
    </cfRule>
  </conditionalFormatting>
  <printOptions horizontalCentered="1" verticalCentered="1"/>
  <pageMargins left="0" right="0" top="0" bottom="0" header="0" footer="0"/>
  <pageSetup scale="85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O66"/>
  <sheetViews>
    <sheetView workbookViewId="0">
      <selection activeCell="B4" sqref="B4:G56"/>
    </sheetView>
  </sheetViews>
  <sheetFormatPr defaultRowHeight="15"/>
  <cols>
    <col min="1" max="1" width="4.42578125" style="685" customWidth="1"/>
    <col min="2" max="7" width="17.42578125" style="685" customWidth="1"/>
    <col min="8" max="8" width="4.28515625" style="685" customWidth="1"/>
    <col min="9" max="14" width="17.42578125" style="685" customWidth="1"/>
    <col min="15" max="16384" width="9.140625" style="685"/>
  </cols>
  <sheetData>
    <row r="1" spans="2:14">
      <c r="B1" s="1065" t="s">
        <v>336</v>
      </c>
      <c r="C1" s="1065"/>
      <c r="D1" s="1065"/>
      <c r="E1" s="1065"/>
      <c r="F1" s="1065"/>
      <c r="G1" s="1065"/>
      <c r="I1" s="1065" t="s">
        <v>337</v>
      </c>
      <c r="J1" s="1065"/>
      <c r="K1" s="1065"/>
      <c r="L1" s="1065"/>
      <c r="M1" s="1065"/>
      <c r="N1" s="1065"/>
    </row>
    <row r="2" spans="2:14">
      <c r="B2" s="1065"/>
      <c r="C2" s="1065"/>
      <c r="D2" s="1065"/>
      <c r="E2" s="1065"/>
      <c r="F2" s="1065"/>
      <c r="G2" s="1065"/>
      <c r="I2" s="1065"/>
      <c r="J2" s="1065"/>
      <c r="K2" s="1065"/>
      <c r="L2" s="1065"/>
      <c r="M2" s="1065"/>
      <c r="N2" s="1065"/>
    </row>
    <row r="3" spans="2:14">
      <c r="B3" s="1065"/>
      <c r="C3" s="1065"/>
      <c r="D3" s="1065"/>
      <c r="E3" s="1065"/>
      <c r="F3" s="1065"/>
      <c r="G3" s="1065"/>
      <c r="I3" s="1065"/>
      <c r="J3" s="1065"/>
      <c r="K3" s="1065"/>
      <c r="L3" s="1065"/>
      <c r="M3" s="1065"/>
      <c r="N3" s="1065"/>
    </row>
    <row r="4" spans="2:14">
      <c r="B4" s="689" t="s">
        <v>361</v>
      </c>
      <c r="C4" s="690" t="s">
        <v>362</v>
      </c>
      <c r="D4" s="691" t="s">
        <v>347</v>
      </c>
      <c r="E4" s="691" t="s">
        <v>356</v>
      </c>
      <c r="F4" s="692" t="s">
        <v>336</v>
      </c>
      <c r="G4" s="692" t="s">
        <v>323</v>
      </c>
      <c r="I4" s="689" t="s">
        <v>361</v>
      </c>
      <c r="J4" s="690" t="s">
        <v>362</v>
      </c>
      <c r="K4" s="691" t="s">
        <v>347</v>
      </c>
      <c r="L4" s="691" t="s">
        <v>356</v>
      </c>
      <c r="M4" s="692" t="s">
        <v>336</v>
      </c>
      <c r="N4" s="692" t="s">
        <v>323</v>
      </c>
    </row>
    <row r="5" spans="2:14" ht="15" customHeight="1">
      <c r="B5" s="693">
        <v>364758.67499999999</v>
      </c>
      <c r="C5" s="693">
        <v>3582</v>
      </c>
      <c r="D5" s="693">
        <v>0</v>
      </c>
      <c r="E5" s="693">
        <v>0</v>
      </c>
      <c r="F5" s="693">
        <v>17200</v>
      </c>
      <c r="G5" s="693">
        <v>16300</v>
      </c>
      <c r="I5" s="688">
        <f>'VIP-DB'!J8</f>
        <v>376758.67499999999</v>
      </c>
      <c r="J5" s="688">
        <f>'Main Bank'!G7</f>
        <v>3582</v>
      </c>
      <c r="K5" s="688">
        <f>'Chip Bank'!H9</f>
        <v>0</v>
      </c>
      <c r="L5" s="688">
        <f>'Chip Bank'!G9</f>
        <v>0</v>
      </c>
      <c r="M5" s="688">
        <f>'TABLE RESULT '!G6</f>
        <v>18800</v>
      </c>
      <c r="N5" s="688">
        <f>'TABLE RESULT '!L6</f>
        <v>17900</v>
      </c>
    </row>
    <row r="6" spans="2:14" ht="15" customHeight="1">
      <c r="B6" s="693">
        <v>0</v>
      </c>
      <c r="C6" s="693">
        <v>11</v>
      </c>
      <c r="D6" s="693">
        <v>0</v>
      </c>
      <c r="E6" s="693">
        <v>0</v>
      </c>
      <c r="F6" s="693">
        <v>376820.5</v>
      </c>
      <c r="G6" s="693">
        <v>-8479.5</v>
      </c>
      <c r="I6" s="688">
        <f>'VIP-DB'!J9</f>
        <v>0</v>
      </c>
      <c r="J6" s="688">
        <f>'Main Bank'!G8</f>
        <v>11</v>
      </c>
      <c r="K6" s="688">
        <f>'Chip Bank'!H10</f>
        <v>0</v>
      </c>
      <c r="L6" s="688">
        <f>'Chip Bank'!G10</f>
        <v>0</v>
      </c>
      <c r="M6" s="688">
        <f>'TABLE RESULT '!G7</f>
        <v>377062.5</v>
      </c>
      <c r="N6" s="688">
        <f>'TABLE RESULT '!L7</f>
        <v>-8237.5</v>
      </c>
    </row>
    <row r="7" spans="2:14" ht="15" customHeight="1">
      <c r="B7" s="693">
        <v>106100</v>
      </c>
      <c r="C7" s="693">
        <v>18</v>
      </c>
      <c r="D7" s="693">
        <v>0</v>
      </c>
      <c r="E7" s="693">
        <v>0</v>
      </c>
      <c r="F7" s="693">
        <v>1287725</v>
      </c>
      <c r="G7" s="693">
        <v>7735</v>
      </c>
      <c r="I7" s="688">
        <f>'VIP-DB'!J10</f>
        <v>118700</v>
      </c>
      <c r="J7" s="688">
        <f>'Main Bank'!G9</f>
        <v>316</v>
      </c>
      <c r="K7" s="688">
        <f>'Chip Bank'!H11</f>
        <v>0</v>
      </c>
      <c r="L7" s="688">
        <f>'Chip Bank'!G11</f>
        <v>0</v>
      </c>
      <c r="M7" s="688">
        <f>'TABLE RESULT '!G8</f>
        <v>1287725</v>
      </c>
      <c r="N7" s="688">
        <f>'TABLE RESULT '!L8</f>
        <v>7735</v>
      </c>
    </row>
    <row r="8" spans="2:14" ht="15" customHeight="1">
      <c r="B8" s="693">
        <v>0</v>
      </c>
      <c r="C8" s="693">
        <v>3</v>
      </c>
      <c r="D8" s="693">
        <v>0</v>
      </c>
      <c r="E8" s="693">
        <v>0</v>
      </c>
      <c r="F8" s="693">
        <v>20900</v>
      </c>
      <c r="G8" s="693">
        <v>28000</v>
      </c>
      <c r="I8" s="688">
        <f>'VIP-DB'!J11</f>
        <v>0</v>
      </c>
      <c r="J8" s="688">
        <f>'Main Bank'!G10</f>
        <v>307</v>
      </c>
      <c r="K8" s="688">
        <f>'Chip Bank'!H12</f>
        <v>0</v>
      </c>
      <c r="L8" s="688">
        <f>'Chip Bank'!G12</f>
        <v>0</v>
      </c>
      <c r="M8" s="688">
        <f>'TABLE RESULT '!G9</f>
        <v>23100</v>
      </c>
      <c r="N8" s="688">
        <f>'TABLE RESULT '!L9</f>
        <v>30200</v>
      </c>
    </row>
    <row r="9" spans="2:14" ht="15" customHeight="1">
      <c r="B9" s="693">
        <v>0</v>
      </c>
      <c r="C9" s="693">
        <v>23</v>
      </c>
      <c r="D9" s="693">
        <v>0</v>
      </c>
      <c r="E9" s="693">
        <v>0</v>
      </c>
      <c r="F9" s="693">
        <v>360871</v>
      </c>
      <c r="G9" s="693">
        <v>-27332.5</v>
      </c>
      <c r="I9" s="688">
        <f>'VIP-DB'!J12</f>
        <v>0</v>
      </c>
      <c r="J9" s="688">
        <f>'Main Bank'!G11</f>
        <v>23</v>
      </c>
      <c r="K9" s="688">
        <f>'Chip Bank'!H13</f>
        <v>0</v>
      </c>
      <c r="L9" s="688">
        <f>'Chip Bank'!G13</f>
        <v>0</v>
      </c>
      <c r="M9" s="688">
        <f>'TABLE RESULT '!G10</f>
        <v>359916.5</v>
      </c>
      <c r="N9" s="688">
        <f>'TABLE RESULT '!L10</f>
        <v>-28287</v>
      </c>
    </row>
    <row r="10" spans="2:14" ht="15" customHeight="1">
      <c r="B10" s="693">
        <v>34167.5</v>
      </c>
      <c r="C10" s="693">
        <v>0</v>
      </c>
      <c r="D10" s="693">
        <v>0</v>
      </c>
      <c r="E10" s="693">
        <v>0</v>
      </c>
      <c r="F10" s="693">
        <v>2785335</v>
      </c>
      <c r="G10" s="693">
        <v>38535</v>
      </c>
      <c r="I10" s="688">
        <f>'VIP-DB'!J13</f>
        <v>41087.5</v>
      </c>
      <c r="J10" s="688">
        <f>'Main Bank'!G12</f>
        <v>0</v>
      </c>
      <c r="K10" s="688">
        <f>'Chip Bank'!H14</f>
        <v>0</v>
      </c>
      <c r="L10" s="688">
        <f>'Chip Bank'!G14</f>
        <v>0</v>
      </c>
      <c r="M10" s="688">
        <f>'TABLE RESULT '!G11</f>
        <v>2817270</v>
      </c>
      <c r="N10" s="688">
        <f>'TABLE RESULT '!L11</f>
        <v>70470</v>
      </c>
    </row>
    <row r="11" spans="2:14" ht="15" customHeight="1">
      <c r="B11" s="693">
        <v>0</v>
      </c>
      <c r="C11" s="693">
        <v>7</v>
      </c>
      <c r="D11" s="693">
        <v>0</v>
      </c>
      <c r="E11" s="693">
        <v>0</v>
      </c>
      <c r="F11" s="693">
        <v>15400</v>
      </c>
      <c r="G11" s="693">
        <v>15100</v>
      </c>
      <c r="I11" s="688">
        <f>'VIP-DB'!J14</f>
        <v>0</v>
      </c>
      <c r="J11" s="688">
        <f>'Main Bank'!G13</f>
        <v>7</v>
      </c>
      <c r="K11" s="688">
        <f>'Chip Bank'!H15</f>
        <v>0</v>
      </c>
      <c r="L11" s="688">
        <f>'Chip Bank'!G15</f>
        <v>0</v>
      </c>
      <c r="M11" s="688">
        <f>'TABLE RESULT '!G12</f>
        <v>15700</v>
      </c>
      <c r="N11" s="688">
        <f>'TABLE RESULT '!L12</f>
        <v>15400</v>
      </c>
    </row>
    <row r="12" spans="2:14" ht="15" customHeight="1">
      <c r="B12" s="693">
        <v>0</v>
      </c>
      <c r="C12" s="693">
        <v>11</v>
      </c>
      <c r="D12" s="693">
        <v>0</v>
      </c>
      <c r="E12" s="693">
        <v>0</v>
      </c>
      <c r="F12" s="693">
        <v>145785.5</v>
      </c>
      <c r="G12" s="693">
        <v>-7113.5</v>
      </c>
      <c r="I12" s="688">
        <f>'VIP-DB'!J15</f>
        <v>0</v>
      </c>
      <c r="J12" s="688">
        <f>'Main Bank'!G18</f>
        <v>11</v>
      </c>
      <c r="K12" s="688">
        <f>'Chip Bank'!H16</f>
        <v>0</v>
      </c>
      <c r="L12" s="688">
        <f>'Chip Bank'!G16</f>
        <v>0</v>
      </c>
      <c r="M12" s="688">
        <f>'TABLE RESULT '!G13</f>
        <v>145845.5</v>
      </c>
      <c r="N12" s="688">
        <f>'TABLE RESULT '!L13</f>
        <v>-7053.5</v>
      </c>
    </row>
    <row r="13" spans="2:14" ht="15" customHeight="1">
      <c r="B13" s="693">
        <v>212602.5</v>
      </c>
      <c r="C13" s="693">
        <v>85</v>
      </c>
      <c r="D13" s="693">
        <v>0</v>
      </c>
      <c r="E13" s="693">
        <v>0</v>
      </c>
      <c r="F13" s="693">
        <v>2286530</v>
      </c>
      <c r="G13" s="693">
        <v>49535</v>
      </c>
      <c r="I13" s="688">
        <f>'VIP-DB'!J16</f>
        <v>77118.5</v>
      </c>
      <c r="J13" s="688">
        <f>'Main Bank'!G19</f>
        <v>85</v>
      </c>
      <c r="K13" s="688">
        <f>'Chip Bank'!H17</f>
        <v>0</v>
      </c>
      <c r="L13" s="688">
        <f>'Chip Bank'!G17</f>
        <v>0</v>
      </c>
      <c r="M13" s="688">
        <f>'TABLE RESULT '!G14</f>
        <v>2281620</v>
      </c>
      <c r="N13" s="688">
        <f>'TABLE RESULT '!L14</f>
        <v>44625</v>
      </c>
    </row>
    <row r="14" spans="2:14" ht="15" customHeight="1">
      <c r="B14" s="693">
        <v>0</v>
      </c>
      <c r="C14" s="693">
        <v>484</v>
      </c>
      <c r="D14" s="693">
        <v>0</v>
      </c>
      <c r="E14" s="693">
        <v>0</v>
      </c>
      <c r="F14" s="693">
        <v>38200</v>
      </c>
      <c r="G14" s="693">
        <v>54600</v>
      </c>
      <c r="I14" s="688">
        <f>'VIP-DB'!J17</f>
        <v>0</v>
      </c>
      <c r="J14" s="688">
        <f>'Main Bank'!G20</f>
        <v>884</v>
      </c>
      <c r="K14" s="688">
        <f>'Chip Bank'!H18</f>
        <v>0</v>
      </c>
      <c r="L14" s="688">
        <f>'Chip Bank'!G18</f>
        <v>0</v>
      </c>
      <c r="M14" s="688">
        <f>'TABLE RESULT '!G15</f>
        <v>46700</v>
      </c>
      <c r="N14" s="688">
        <f>'TABLE RESULT '!L15</f>
        <v>63100</v>
      </c>
    </row>
    <row r="15" spans="2:14" ht="15" customHeight="1">
      <c r="B15" s="693">
        <v>0</v>
      </c>
      <c r="C15" s="693">
        <v>603</v>
      </c>
      <c r="D15" s="694">
        <v>0</v>
      </c>
      <c r="E15" s="695">
        <v>0</v>
      </c>
      <c r="F15" s="693">
        <v>232291</v>
      </c>
      <c r="G15" s="693">
        <v>-49503.5</v>
      </c>
      <c r="I15" s="688">
        <f>'VIP-DB'!J18</f>
        <v>0</v>
      </c>
      <c r="J15" s="688">
        <f>'Main Bank'!G21</f>
        <v>603</v>
      </c>
      <c r="K15" s="688">
        <f>'Chip Bank'!H19</f>
        <v>0</v>
      </c>
      <c r="L15" s="688">
        <f>'Chip Bank'!G19</f>
        <v>0</v>
      </c>
      <c r="M15" s="688">
        <f>'TABLE RESULT '!G16</f>
        <v>232571</v>
      </c>
      <c r="N15" s="688">
        <f>'TABLE RESULT '!L16</f>
        <v>-49223.5</v>
      </c>
    </row>
    <row r="16" spans="2:14" ht="15" customHeight="1">
      <c r="B16" s="693">
        <v>0</v>
      </c>
      <c r="C16" s="693">
        <v>2</v>
      </c>
      <c r="D16" s="696" t="s">
        <v>348</v>
      </c>
      <c r="E16" s="696" t="s">
        <v>351</v>
      </c>
      <c r="F16" s="693">
        <v>790980</v>
      </c>
      <c r="G16" s="693">
        <v>-28850</v>
      </c>
      <c r="I16" s="688">
        <f>'VIP-DB'!J19</f>
        <v>0</v>
      </c>
      <c r="J16" s="688">
        <f>'Main Bank'!G22</f>
        <v>2</v>
      </c>
      <c r="K16" s="696" t="s">
        <v>348</v>
      </c>
      <c r="L16" s="696" t="s">
        <v>351</v>
      </c>
      <c r="M16" s="688">
        <f>'TABLE RESULT '!G17</f>
        <v>800100</v>
      </c>
      <c r="N16" s="688">
        <f>'TABLE RESULT '!L17</f>
        <v>-19730</v>
      </c>
    </row>
    <row r="17" spans="2:14" ht="15" customHeight="1">
      <c r="B17" s="693">
        <v>193007453</v>
      </c>
      <c r="C17" s="693">
        <v>0</v>
      </c>
      <c r="D17" s="693">
        <v>67</v>
      </c>
      <c r="E17" s="693">
        <v>210</v>
      </c>
      <c r="F17" s="693">
        <v>3400</v>
      </c>
      <c r="G17" s="693">
        <v>-11200</v>
      </c>
      <c r="I17" s="688">
        <f>'VIP-DB'!J23</f>
        <v>193015453</v>
      </c>
      <c r="J17" s="688">
        <f>'Main Bank'!G23</f>
        <v>0</v>
      </c>
      <c r="K17" s="688">
        <f>'Chip Bank'!N9</f>
        <v>67</v>
      </c>
      <c r="L17" s="688">
        <f>'Chip Bank'!M9</f>
        <v>210</v>
      </c>
      <c r="M17" s="688">
        <f>'TABLE RESULT '!G18</f>
        <v>3400</v>
      </c>
      <c r="N17" s="688">
        <f>'TABLE RESULT '!L18</f>
        <v>-11200</v>
      </c>
    </row>
    <row r="18" spans="2:14" ht="15" customHeight="1">
      <c r="B18" s="693">
        <v>0</v>
      </c>
      <c r="C18" s="693">
        <v>916</v>
      </c>
      <c r="D18" s="693">
        <v>29</v>
      </c>
      <c r="E18" s="693">
        <v>546</v>
      </c>
      <c r="F18" s="693">
        <v>249714</v>
      </c>
      <c r="G18" s="693">
        <v>10260</v>
      </c>
      <c r="I18" s="688">
        <f>'VIP-DB'!J24</f>
        <v>0</v>
      </c>
      <c r="J18" s="688">
        <f>'Main Bank'!G24</f>
        <v>4916</v>
      </c>
      <c r="K18" s="688">
        <f>'Chip Bank'!N10</f>
        <v>29</v>
      </c>
      <c r="L18" s="688">
        <f>'Chip Bank'!M10</f>
        <v>546</v>
      </c>
      <c r="M18" s="688">
        <f>'TABLE RESULT '!G19</f>
        <v>249714</v>
      </c>
      <c r="N18" s="688">
        <f>'TABLE RESULT '!L19</f>
        <v>10260</v>
      </c>
    </row>
    <row r="19" spans="2:14" ht="15" customHeight="1">
      <c r="B19" s="693">
        <v>0</v>
      </c>
      <c r="C19" s="693">
        <v>1</v>
      </c>
      <c r="D19" s="693">
        <v>126</v>
      </c>
      <c r="E19" s="693">
        <v>580</v>
      </c>
      <c r="F19" s="693">
        <v>775875</v>
      </c>
      <c r="G19" s="693">
        <v>-2990</v>
      </c>
      <c r="I19" s="688">
        <f>'VIP-DB'!J25</f>
        <v>0</v>
      </c>
      <c r="J19" s="688">
        <f>'Main Bank'!G25</f>
        <v>1</v>
      </c>
      <c r="K19" s="688">
        <f>'Chip Bank'!N11</f>
        <v>126</v>
      </c>
      <c r="L19" s="688">
        <f>'Chip Bank'!M11</f>
        <v>580</v>
      </c>
      <c r="M19" s="688">
        <f>'TABLE RESULT '!G20</f>
        <v>775875</v>
      </c>
      <c r="N19" s="688">
        <f>'TABLE RESULT '!L20</f>
        <v>-2990</v>
      </c>
    </row>
    <row r="20" spans="2:14" ht="15" customHeight="1">
      <c r="B20" s="693">
        <v>12426864.5</v>
      </c>
      <c r="C20" s="693">
        <v>2</v>
      </c>
      <c r="D20" s="693">
        <v>156</v>
      </c>
      <c r="E20" s="693">
        <v>1043</v>
      </c>
      <c r="F20" s="693">
        <v>11000</v>
      </c>
      <c r="G20" s="693">
        <v>700</v>
      </c>
      <c r="I20" s="688">
        <f>'VIP-DB'!J26</f>
        <v>12462637</v>
      </c>
      <c r="J20" s="688">
        <f>'Main Bank'!G26</f>
        <v>2</v>
      </c>
      <c r="K20" s="688">
        <f>'Chip Bank'!N12</f>
        <v>156</v>
      </c>
      <c r="L20" s="688">
        <f>'Chip Bank'!M12</f>
        <v>1043</v>
      </c>
      <c r="M20" s="688">
        <f>'TABLE RESULT '!G21</f>
        <v>11000</v>
      </c>
      <c r="N20" s="688">
        <f>'TABLE RESULT '!L21</f>
        <v>700</v>
      </c>
    </row>
    <row r="21" spans="2:14" ht="15" customHeight="1">
      <c r="B21" s="693">
        <v>0</v>
      </c>
      <c r="C21" s="693"/>
      <c r="D21" s="693">
        <v>212</v>
      </c>
      <c r="E21" s="693">
        <v>684</v>
      </c>
      <c r="F21" s="693">
        <v>170710</v>
      </c>
      <c r="G21" s="693">
        <v>667</v>
      </c>
      <c r="I21" s="688">
        <f>'VIP-DB'!J27</f>
        <v>0</v>
      </c>
      <c r="J21" s="693"/>
      <c r="K21" s="688">
        <f>'Chip Bank'!N13</f>
        <v>212</v>
      </c>
      <c r="L21" s="688">
        <f>'Chip Bank'!M13</f>
        <v>684</v>
      </c>
      <c r="M21" s="688">
        <f>'TABLE RESULT '!G22</f>
        <v>170710</v>
      </c>
      <c r="N21" s="688">
        <f>'TABLE RESULT '!L22</f>
        <v>667</v>
      </c>
    </row>
    <row r="22" spans="2:14" ht="15" customHeight="1">
      <c r="B22" s="693">
        <v>5006</v>
      </c>
      <c r="C22" s="693">
        <v>364758.67499999999</v>
      </c>
      <c r="D22" s="693">
        <v>221</v>
      </c>
      <c r="E22" s="693">
        <v>952</v>
      </c>
      <c r="F22" s="693">
        <v>826350</v>
      </c>
      <c r="G22" s="693">
        <v>0</v>
      </c>
      <c r="I22" s="688">
        <f>'VIP-DB'!J28</f>
        <v>5006</v>
      </c>
      <c r="J22" s="688">
        <f>'Main Bank'!H29</f>
        <v>376758.67499999999</v>
      </c>
      <c r="K22" s="688">
        <f>'Chip Bank'!N14</f>
        <v>221</v>
      </c>
      <c r="L22" s="688">
        <f>'Chip Bank'!M14</f>
        <v>952</v>
      </c>
      <c r="M22" s="688">
        <f>'TABLE RESULT '!G23</f>
        <v>826350</v>
      </c>
      <c r="N22" s="688">
        <f>'TABLE RESULT '!L23</f>
        <v>0</v>
      </c>
    </row>
    <row r="23" spans="2:14" ht="15" customHeight="1">
      <c r="B23" s="693">
        <v>465832.5</v>
      </c>
      <c r="C23" s="693">
        <v>193007453</v>
      </c>
      <c r="D23" s="693">
        <v>266</v>
      </c>
      <c r="E23" s="693">
        <v>1881</v>
      </c>
      <c r="F23" s="693">
        <v>0</v>
      </c>
      <c r="G23" s="693">
        <v>0</v>
      </c>
      <c r="I23" s="688">
        <f>'VIP-DB'!J29</f>
        <v>458912.5</v>
      </c>
      <c r="J23" s="688">
        <f>'Chip Bank'!I35</f>
        <v>193015453</v>
      </c>
      <c r="K23" s="688">
        <f>'Chip Bank'!N15</f>
        <v>266</v>
      </c>
      <c r="L23" s="688">
        <f>'Chip Bank'!M15</f>
        <v>1881</v>
      </c>
      <c r="M23" s="688">
        <f>'TABLE RESULT '!G24</f>
        <v>0</v>
      </c>
      <c r="N23" s="688">
        <f>'TABLE RESULT '!L24</f>
        <v>0</v>
      </c>
    </row>
    <row r="24" spans="2:14" ht="15" customHeight="1">
      <c r="B24" s="693">
        <v>264522</v>
      </c>
      <c r="C24" s="693"/>
      <c r="D24" s="693">
        <v>154</v>
      </c>
      <c r="E24" s="693">
        <v>1019</v>
      </c>
      <c r="F24" s="693">
        <v>99888</v>
      </c>
      <c r="G24" s="693">
        <v>0</v>
      </c>
      <c r="I24" s="688">
        <f>'VIP-DB'!J30</f>
        <v>224397</v>
      </c>
      <c r="J24" s="693"/>
      <c r="K24" s="688">
        <f>'Chip Bank'!N16</f>
        <v>154</v>
      </c>
      <c r="L24" s="688">
        <f>'Chip Bank'!M16</f>
        <v>1019</v>
      </c>
      <c r="M24" s="688">
        <f>'TABLE RESULT '!G25</f>
        <v>99888</v>
      </c>
      <c r="N24" s="688">
        <f>'TABLE RESULT '!L25</f>
        <v>0</v>
      </c>
    </row>
    <row r="25" spans="2:14" ht="15" customHeight="1">
      <c r="B25" s="693">
        <v>0</v>
      </c>
      <c r="C25" s="693"/>
      <c r="D25" s="693">
        <v>145</v>
      </c>
      <c r="E25" s="693">
        <v>1288</v>
      </c>
      <c r="F25" s="693">
        <v>873710</v>
      </c>
      <c r="G25" s="693">
        <v>0</v>
      </c>
      <c r="I25" s="688">
        <f>'VIP-DB'!J31</f>
        <v>0</v>
      </c>
      <c r="J25" s="693"/>
      <c r="K25" s="688">
        <f>'Chip Bank'!N17</f>
        <v>145</v>
      </c>
      <c r="L25" s="688">
        <f>'Chip Bank'!M17</f>
        <v>1288</v>
      </c>
      <c r="M25" s="688">
        <f>'TABLE RESULT '!G26</f>
        <v>873710</v>
      </c>
      <c r="N25" s="688">
        <f>'TABLE RESULT '!L26</f>
        <v>0</v>
      </c>
    </row>
    <row r="26" spans="2:14" ht="15" customHeight="1">
      <c r="B26" s="693">
        <v>0</v>
      </c>
      <c r="C26" s="693"/>
      <c r="D26" s="693">
        <v>10</v>
      </c>
      <c r="E26" s="693">
        <v>290</v>
      </c>
      <c r="F26" s="693">
        <v>0</v>
      </c>
      <c r="G26" s="693">
        <v>0</v>
      </c>
      <c r="I26" s="688">
        <f>'VIP-DB'!J32</f>
        <v>0</v>
      </c>
      <c r="J26" s="693"/>
      <c r="K26" s="688">
        <f>'Chip Bank'!N18</f>
        <v>10</v>
      </c>
      <c r="L26" s="688">
        <f>'Chip Bank'!M18</f>
        <v>290</v>
      </c>
      <c r="M26" s="688">
        <f>'TABLE RESULT '!G27</f>
        <v>0</v>
      </c>
      <c r="N26" s="688">
        <f>'TABLE RESULT '!L27</f>
        <v>0</v>
      </c>
    </row>
    <row r="27" spans="2:14" ht="15" customHeight="1">
      <c r="B27" s="693">
        <v>0</v>
      </c>
      <c r="C27" s="693"/>
      <c r="D27" s="696" t="s">
        <v>349</v>
      </c>
      <c r="E27" s="696" t="s">
        <v>350</v>
      </c>
      <c r="F27" s="693">
        <v>218459.5</v>
      </c>
      <c r="G27" s="693">
        <v>0</v>
      </c>
      <c r="I27" s="688">
        <f>'VIP-DB'!J33</f>
        <v>0</v>
      </c>
      <c r="J27" s="693"/>
      <c r="K27" s="696" t="s">
        <v>349</v>
      </c>
      <c r="L27" s="696" t="s">
        <v>350</v>
      </c>
      <c r="M27" s="688">
        <f>'TABLE RESULT '!G28</f>
        <v>218459.5</v>
      </c>
      <c r="N27" s="688">
        <f>'TABLE RESULT '!L28</f>
        <v>0</v>
      </c>
    </row>
    <row r="28" spans="2:14" ht="15" customHeight="1">
      <c r="B28" s="693">
        <v>0</v>
      </c>
      <c r="C28" s="693"/>
      <c r="D28" s="693">
        <v>76</v>
      </c>
      <c r="E28" s="693">
        <v>520</v>
      </c>
      <c r="F28" s="693">
        <v>945820</v>
      </c>
      <c r="G28" s="693">
        <v>0</v>
      </c>
      <c r="I28" s="688">
        <f>'VIP-DB'!J34</f>
        <v>0</v>
      </c>
      <c r="J28" s="693"/>
      <c r="K28" s="688">
        <f>'Chip Bank'!T9</f>
        <v>76</v>
      </c>
      <c r="L28" s="688">
        <f>'Chip Bank'!S9</f>
        <v>520</v>
      </c>
      <c r="M28" s="688">
        <f>'TABLE RESULT '!G29</f>
        <v>945820</v>
      </c>
      <c r="N28" s="688">
        <f>'TABLE RESULT '!L29</f>
        <v>0</v>
      </c>
    </row>
    <row r="29" spans="2:14" ht="15" customHeight="1">
      <c r="B29" s="693"/>
      <c r="C29" s="693"/>
      <c r="D29" s="693">
        <v>24</v>
      </c>
      <c r="E29" s="693">
        <v>576</v>
      </c>
      <c r="F29" s="693">
        <v>0</v>
      </c>
      <c r="G29" s="693">
        <v>0</v>
      </c>
      <c r="I29" s="693"/>
      <c r="J29" s="693"/>
      <c r="K29" s="688">
        <f>'Chip Bank'!T10</f>
        <v>24</v>
      </c>
      <c r="L29" s="688">
        <f>'Chip Bank'!S10</f>
        <v>576</v>
      </c>
      <c r="M29" s="688">
        <f>'TABLE RESULT '!G30</f>
        <v>0</v>
      </c>
      <c r="N29" s="688">
        <f>'TABLE RESULT '!L30</f>
        <v>0</v>
      </c>
    </row>
    <row r="30" spans="2:14" ht="15" customHeight="1">
      <c r="B30" s="693"/>
      <c r="C30" s="693"/>
      <c r="D30" s="693">
        <v>16</v>
      </c>
      <c r="E30" s="693">
        <v>1749</v>
      </c>
      <c r="F30" s="693">
        <v>0</v>
      </c>
      <c r="G30" s="693">
        <v>0</v>
      </c>
      <c r="I30" s="693"/>
      <c r="J30" s="693"/>
      <c r="K30" s="688">
        <f>'Chip Bank'!T11</f>
        <v>16</v>
      </c>
      <c r="L30" s="688">
        <f>'Chip Bank'!S11</f>
        <v>1749</v>
      </c>
      <c r="M30" s="688">
        <f>'TABLE RESULT '!G31</f>
        <v>0</v>
      </c>
      <c r="N30" s="688">
        <f>'TABLE RESULT '!L31</f>
        <v>0</v>
      </c>
    </row>
    <row r="31" spans="2:14" ht="15" customHeight="1">
      <c r="B31" s="693"/>
      <c r="C31" s="693"/>
      <c r="D31" s="697">
        <v>70</v>
      </c>
      <c r="E31" s="697">
        <v>1200</v>
      </c>
      <c r="F31" s="693">
        <v>0</v>
      </c>
      <c r="G31" s="693">
        <v>0</v>
      </c>
      <c r="I31" s="693"/>
      <c r="J31" s="693"/>
      <c r="K31" s="688">
        <f>'Chip Bank'!T12</f>
        <v>70</v>
      </c>
      <c r="L31" s="688">
        <f>'Chip Bank'!S12</f>
        <v>1200</v>
      </c>
      <c r="M31" s="688">
        <f>'TABLE RESULT '!G32</f>
        <v>0</v>
      </c>
      <c r="N31" s="688">
        <f>'TABLE RESULT '!L32</f>
        <v>0</v>
      </c>
    </row>
    <row r="32" spans="2:14" ht="15" customHeight="1">
      <c r="B32" s="693"/>
      <c r="C32" s="693"/>
      <c r="D32" s="697">
        <v>343</v>
      </c>
      <c r="E32" s="697">
        <v>2851</v>
      </c>
      <c r="F32" s="693">
        <v>0</v>
      </c>
      <c r="G32" s="693">
        <v>0</v>
      </c>
      <c r="I32" s="693"/>
      <c r="J32" s="693"/>
      <c r="K32" s="688">
        <f>'Chip Bank'!T13</f>
        <v>343</v>
      </c>
      <c r="L32" s="688">
        <f>'Chip Bank'!S13</f>
        <v>2851</v>
      </c>
      <c r="M32" s="688">
        <f>'TABLE RESULT '!G33</f>
        <v>0</v>
      </c>
      <c r="N32" s="688">
        <f>'TABLE RESULT '!L33</f>
        <v>0</v>
      </c>
    </row>
    <row r="33" spans="2:14" ht="15" customHeight="1">
      <c r="B33" s="693"/>
      <c r="C33" s="693"/>
      <c r="D33" s="697">
        <v>352</v>
      </c>
      <c r="E33" s="697">
        <v>2906</v>
      </c>
      <c r="F33" s="693">
        <v>0</v>
      </c>
      <c r="G33" s="693">
        <v>0</v>
      </c>
      <c r="I33" s="693"/>
      <c r="J33" s="693"/>
      <c r="K33" s="688">
        <f>'Chip Bank'!T14</f>
        <v>352</v>
      </c>
      <c r="L33" s="688">
        <f>'Chip Bank'!S14</f>
        <v>2906</v>
      </c>
      <c r="M33" s="688">
        <f>'TABLE RESULT '!G34</f>
        <v>0</v>
      </c>
      <c r="N33" s="688">
        <f>'TABLE RESULT '!L34</f>
        <v>0</v>
      </c>
    </row>
    <row r="34" spans="2:14" ht="15" customHeight="1">
      <c r="B34" s="698"/>
      <c r="C34" s="698"/>
      <c r="D34" s="697">
        <v>1060</v>
      </c>
      <c r="E34" s="697">
        <v>3101</v>
      </c>
      <c r="F34" s="693">
        <v>0</v>
      </c>
      <c r="G34" s="693">
        <v>0</v>
      </c>
      <c r="I34" s="698"/>
      <c r="J34" s="698"/>
      <c r="K34" s="688">
        <f>'Chip Bank'!T15</f>
        <v>1140</v>
      </c>
      <c r="L34" s="688">
        <f>'Chip Bank'!S15</f>
        <v>3101</v>
      </c>
      <c r="M34" s="688">
        <f>'TABLE RESULT '!G35</f>
        <v>0</v>
      </c>
      <c r="N34" s="688">
        <f>'TABLE RESULT '!L35</f>
        <v>0</v>
      </c>
    </row>
    <row r="35" spans="2:14" ht="15" customHeight="1">
      <c r="B35" s="698"/>
      <c r="C35" s="698"/>
      <c r="D35" s="697">
        <v>947</v>
      </c>
      <c r="E35" s="697">
        <v>2318</v>
      </c>
      <c r="F35" s="693">
        <v>0</v>
      </c>
      <c r="G35" s="693">
        <v>0</v>
      </c>
      <c r="I35" s="698"/>
      <c r="J35" s="698"/>
      <c r="K35" s="688">
        <f>'Chip Bank'!T16</f>
        <v>947</v>
      </c>
      <c r="L35" s="688">
        <f>'Chip Bank'!S16</f>
        <v>2318</v>
      </c>
      <c r="M35" s="688">
        <f>'TABLE RESULT '!G36</f>
        <v>0</v>
      </c>
      <c r="N35" s="688">
        <f>'TABLE RESULT '!L36</f>
        <v>0</v>
      </c>
    </row>
    <row r="36" spans="2:14" ht="15" customHeight="1">
      <c r="B36" s="698"/>
      <c r="C36" s="698"/>
      <c r="D36" s="697">
        <v>1148</v>
      </c>
      <c r="E36" s="697">
        <v>3580</v>
      </c>
      <c r="F36" s="693">
        <v>0</v>
      </c>
      <c r="G36" s="693">
        <v>0</v>
      </c>
      <c r="I36" s="698"/>
      <c r="J36" s="698"/>
      <c r="K36" s="688">
        <f>'Chip Bank'!T17</f>
        <v>1148</v>
      </c>
      <c r="L36" s="688">
        <f>'Chip Bank'!S17</f>
        <v>3580</v>
      </c>
      <c r="M36" s="688">
        <f>'TABLE RESULT '!G37</f>
        <v>0</v>
      </c>
      <c r="N36" s="688">
        <f>'TABLE RESULT '!L37</f>
        <v>0</v>
      </c>
    </row>
    <row r="37" spans="2:14" ht="15" customHeight="1">
      <c r="B37" s="698"/>
      <c r="C37" s="698"/>
      <c r="D37" s="697">
        <v>806</v>
      </c>
      <c r="E37" s="697">
        <v>2393</v>
      </c>
      <c r="F37" s="693">
        <v>0</v>
      </c>
      <c r="G37" s="693">
        <v>0</v>
      </c>
      <c r="I37" s="698"/>
      <c r="J37" s="698"/>
      <c r="K37" s="688">
        <f>'Chip Bank'!T18</f>
        <v>806</v>
      </c>
      <c r="L37" s="688">
        <f>'Chip Bank'!S18</f>
        <v>2393</v>
      </c>
      <c r="M37" s="688">
        <f>'TABLE RESULT '!G38</f>
        <v>0</v>
      </c>
      <c r="N37" s="688">
        <f>'TABLE RESULT '!L38</f>
        <v>0</v>
      </c>
    </row>
    <row r="38" spans="2:14" ht="15" customHeight="1">
      <c r="B38" s="698"/>
      <c r="C38" s="698"/>
      <c r="D38" s="699">
        <v>704</v>
      </c>
      <c r="E38" s="699">
        <v>1094</v>
      </c>
      <c r="F38" s="693">
        <v>0</v>
      </c>
      <c r="G38" s="693">
        <v>0</v>
      </c>
      <c r="I38" s="698"/>
      <c r="J38" s="698"/>
      <c r="K38" s="688">
        <f>'Chip Bank'!T19</f>
        <v>704</v>
      </c>
      <c r="L38" s="688">
        <f>'Chip Bank'!S19</f>
        <v>1094</v>
      </c>
      <c r="M38" s="688">
        <f>'TABLE RESULT '!G39</f>
        <v>0</v>
      </c>
      <c r="N38" s="688">
        <f>'TABLE RESULT '!L39</f>
        <v>0</v>
      </c>
    </row>
    <row r="39" spans="2:14" ht="15" customHeight="1">
      <c r="B39" s="698"/>
      <c r="C39" s="698"/>
      <c r="D39" s="700" t="s">
        <v>352</v>
      </c>
      <c r="E39" s="700" t="s">
        <v>353</v>
      </c>
      <c r="F39" s="693">
        <v>0</v>
      </c>
      <c r="G39" s="693">
        <v>0</v>
      </c>
      <c r="I39" s="698"/>
      <c r="J39" s="698"/>
      <c r="K39" s="700" t="s">
        <v>352</v>
      </c>
      <c r="L39" s="700" t="s">
        <v>353</v>
      </c>
      <c r="M39" s="688">
        <f>'TABLE RESULT '!G40</f>
        <v>0</v>
      </c>
      <c r="N39" s="688">
        <f>'TABLE RESULT '!L40</f>
        <v>0</v>
      </c>
    </row>
    <row r="40" spans="2:14">
      <c r="B40" s="698"/>
      <c r="C40" s="698"/>
      <c r="D40" s="701">
        <v>0</v>
      </c>
      <c r="E40" s="701">
        <v>0</v>
      </c>
      <c r="F40" s="693">
        <v>0</v>
      </c>
      <c r="G40" s="693">
        <v>0</v>
      </c>
      <c r="I40" s="698"/>
      <c r="J40" s="698"/>
      <c r="K40" s="688">
        <f>'Chip Bank'!H24</f>
        <v>0</v>
      </c>
      <c r="L40" s="688">
        <f>'Chip Bank'!G24</f>
        <v>0</v>
      </c>
      <c r="M40" s="688">
        <f>'TABLE RESULT '!G41</f>
        <v>0</v>
      </c>
      <c r="N40" s="688">
        <f>'TABLE RESULT '!L41</f>
        <v>0</v>
      </c>
    </row>
    <row r="41" spans="2:14">
      <c r="B41" s="698"/>
      <c r="C41" s="698"/>
      <c r="D41" s="701">
        <v>0</v>
      </c>
      <c r="E41" s="701">
        <v>0</v>
      </c>
      <c r="F41" s="693">
        <v>0</v>
      </c>
      <c r="G41" s="693">
        <v>0</v>
      </c>
      <c r="I41" s="698"/>
      <c r="J41" s="698"/>
      <c r="K41" s="688">
        <f>'Chip Bank'!H25</f>
        <v>0</v>
      </c>
      <c r="L41" s="688">
        <f>'Chip Bank'!G25</f>
        <v>0</v>
      </c>
      <c r="M41" s="688">
        <f>'TABLE RESULT '!G42</f>
        <v>0</v>
      </c>
      <c r="N41" s="688">
        <f>'TABLE RESULT '!L42</f>
        <v>0</v>
      </c>
    </row>
    <row r="42" spans="2:14">
      <c r="B42" s="698"/>
      <c r="C42" s="698"/>
      <c r="D42" s="701">
        <v>0</v>
      </c>
      <c r="E42" s="701">
        <v>0</v>
      </c>
      <c r="F42" s="693">
        <v>0</v>
      </c>
      <c r="G42" s="693">
        <v>0</v>
      </c>
      <c r="I42" s="698"/>
      <c r="J42" s="698"/>
      <c r="K42" s="688">
        <f>'Chip Bank'!H26</f>
        <v>0</v>
      </c>
      <c r="L42" s="688">
        <f>'Chip Bank'!G26</f>
        <v>0</v>
      </c>
      <c r="M42" s="688">
        <f>'TABLE RESULT '!G43</f>
        <v>0</v>
      </c>
      <c r="N42" s="688">
        <f>'TABLE RESULT '!L43</f>
        <v>0</v>
      </c>
    </row>
    <row r="43" spans="2:14">
      <c r="B43" s="698"/>
      <c r="C43" s="698"/>
      <c r="D43" s="701">
        <v>0</v>
      </c>
      <c r="E43" s="701">
        <v>2100</v>
      </c>
      <c r="F43" s="693">
        <v>0</v>
      </c>
      <c r="G43" s="693">
        <v>0</v>
      </c>
      <c r="I43" s="698"/>
      <c r="J43" s="698"/>
      <c r="K43" s="688">
        <f>'Chip Bank'!H27</f>
        <v>0</v>
      </c>
      <c r="L43" s="688">
        <f>'Chip Bank'!G27</f>
        <v>2100</v>
      </c>
      <c r="M43" s="688">
        <f>'TABLE RESULT '!G44</f>
        <v>0</v>
      </c>
      <c r="N43" s="688">
        <f>'TABLE RESULT '!L44</f>
        <v>0</v>
      </c>
    </row>
    <row r="44" spans="2:14">
      <c r="B44" s="698"/>
      <c r="C44" s="698"/>
      <c r="D44" s="701">
        <v>0</v>
      </c>
      <c r="E44" s="701">
        <v>1000</v>
      </c>
      <c r="F44" s="693">
        <v>0</v>
      </c>
      <c r="G44" s="693">
        <v>0</v>
      </c>
      <c r="I44" s="698"/>
      <c r="J44" s="698"/>
      <c r="K44" s="688">
        <f>'Chip Bank'!H28</f>
        <v>0</v>
      </c>
      <c r="L44" s="688">
        <f>'Chip Bank'!G28</f>
        <v>1000</v>
      </c>
      <c r="M44" s="688">
        <f>'TABLE RESULT '!G45</f>
        <v>0</v>
      </c>
      <c r="N44" s="688">
        <f>'TABLE RESULT '!L45</f>
        <v>0</v>
      </c>
    </row>
    <row r="45" spans="2:14">
      <c r="B45" s="698"/>
      <c r="C45" s="698"/>
      <c r="D45" s="701">
        <v>0</v>
      </c>
      <c r="E45" s="701">
        <v>2100</v>
      </c>
      <c r="F45" s="693">
        <v>0</v>
      </c>
      <c r="G45" s="693">
        <v>0</v>
      </c>
      <c r="I45" s="698"/>
      <c r="J45" s="698"/>
      <c r="K45" s="688">
        <f>'Chip Bank'!H29</f>
        <v>0</v>
      </c>
      <c r="L45" s="688">
        <f>'Chip Bank'!G29</f>
        <v>2100</v>
      </c>
      <c r="M45" s="688">
        <f>'TABLE RESULT '!G46</f>
        <v>0</v>
      </c>
      <c r="N45" s="688">
        <f>'TABLE RESULT '!L46</f>
        <v>0</v>
      </c>
    </row>
    <row r="46" spans="2:14">
      <c r="B46" s="698"/>
      <c r="C46" s="698"/>
      <c r="D46" s="701">
        <v>0</v>
      </c>
      <c r="E46" s="701">
        <v>1000</v>
      </c>
      <c r="F46" s="693"/>
      <c r="G46" s="693"/>
      <c r="I46" s="698"/>
      <c r="J46" s="698"/>
      <c r="K46" s="688">
        <f>'Chip Bank'!H30</f>
        <v>0</v>
      </c>
      <c r="L46" s="688">
        <f>'Chip Bank'!G30</f>
        <v>1000</v>
      </c>
      <c r="M46" s="698"/>
      <c r="N46" s="698"/>
    </row>
    <row r="47" spans="2:14">
      <c r="B47" s="698"/>
      <c r="C47" s="698"/>
      <c r="D47" s="702" t="s">
        <v>354</v>
      </c>
      <c r="E47" s="702" t="s">
        <v>355</v>
      </c>
      <c r="F47" s="693"/>
      <c r="G47" s="693"/>
      <c r="I47" s="698"/>
      <c r="J47" s="698"/>
      <c r="K47" s="702" t="s">
        <v>354</v>
      </c>
      <c r="L47" s="702" t="s">
        <v>355</v>
      </c>
      <c r="M47" s="698"/>
      <c r="N47" s="698"/>
    </row>
    <row r="48" spans="2:14">
      <c r="B48" s="698"/>
      <c r="C48" s="698"/>
      <c r="D48" s="703">
        <v>0</v>
      </c>
      <c r="E48" s="704">
        <v>0</v>
      </c>
      <c r="F48" s="698"/>
      <c r="G48" s="693"/>
      <c r="I48" s="698"/>
      <c r="J48" s="698"/>
      <c r="K48" s="688">
        <f>'Chip Bank'!N24</f>
        <v>0</v>
      </c>
      <c r="L48" s="688">
        <f>'Chip Bank'!M24</f>
        <v>0</v>
      </c>
      <c r="M48" s="698"/>
      <c r="N48" s="698"/>
    </row>
    <row r="49" spans="1:15">
      <c r="B49" s="698"/>
      <c r="C49" s="698"/>
      <c r="D49" s="703">
        <v>0</v>
      </c>
      <c r="E49" s="704">
        <v>0</v>
      </c>
      <c r="F49" s="698"/>
      <c r="G49" s="693"/>
      <c r="I49" s="698"/>
      <c r="J49" s="698"/>
      <c r="K49" s="688">
        <f>'Chip Bank'!N25</f>
        <v>0</v>
      </c>
      <c r="L49" s="688">
        <f>'Chip Bank'!M25</f>
        <v>0</v>
      </c>
      <c r="M49" s="698"/>
      <c r="N49" s="698"/>
    </row>
    <row r="50" spans="1:15">
      <c r="B50" s="698"/>
      <c r="C50" s="698"/>
      <c r="D50" s="703">
        <v>0</v>
      </c>
      <c r="E50" s="704">
        <v>0</v>
      </c>
      <c r="F50" s="698"/>
      <c r="G50" s="698"/>
      <c r="I50" s="698"/>
      <c r="J50" s="698"/>
      <c r="K50" s="688">
        <f>'Chip Bank'!N26</f>
        <v>0</v>
      </c>
      <c r="L50" s="688">
        <f>'Chip Bank'!M26</f>
        <v>0</v>
      </c>
      <c r="M50" s="698"/>
      <c r="N50" s="698"/>
    </row>
    <row r="51" spans="1:15">
      <c r="B51" s="698"/>
      <c r="C51" s="698"/>
      <c r="D51" s="703">
        <v>0</v>
      </c>
      <c r="E51" s="704">
        <v>0</v>
      </c>
      <c r="F51" s="698"/>
      <c r="G51" s="698"/>
      <c r="I51" s="698"/>
      <c r="J51" s="698"/>
      <c r="K51" s="688">
        <f>'Chip Bank'!N27</f>
        <v>0</v>
      </c>
      <c r="L51" s="688">
        <f>'Chip Bank'!M27</f>
        <v>0</v>
      </c>
      <c r="M51" s="698"/>
      <c r="N51" s="698"/>
    </row>
    <row r="52" spans="1:15">
      <c r="B52" s="698"/>
      <c r="C52" s="698"/>
      <c r="D52" s="701">
        <v>0</v>
      </c>
      <c r="E52" s="693">
        <v>0</v>
      </c>
      <c r="F52" s="698"/>
      <c r="G52" s="698"/>
      <c r="I52" s="698"/>
      <c r="J52" s="698"/>
      <c r="K52" s="688">
        <f>'Chip Bank'!N28</f>
        <v>0</v>
      </c>
      <c r="L52" s="688">
        <f>'Chip Bank'!M28</f>
        <v>0</v>
      </c>
      <c r="M52" s="698"/>
      <c r="N52" s="698"/>
    </row>
    <row r="53" spans="1:15">
      <c r="B53" s="698"/>
      <c r="C53" s="698"/>
      <c r="D53" s="701">
        <v>0</v>
      </c>
      <c r="E53" s="693">
        <v>0</v>
      </c>
      <c r="F53" s="698"/>
      <c r="G53" s="698"/>
      <c r="I53" s="698"/>
      <c r="J53" s="698"/>
      <c r="K53" s="688">
        <f>'Chip Bank'!N29</f>
        <v>0</v>
      </c>
      <c r="L53" s="688">
        <f>'Chip Bank'!M29</f>
        <v>0</v>
      </c>
      <c r="M53" s="698"/>
      <c r="N53" s="698"/>
    </row>
    <row r="54" spans="1:15">
      <c r="B54" s="698"/>
      <c r="C54" s="698"/>
      <c r="D54" s="701">
        <v>0</v>
      </c>
      <c r="E54" s="693">
        <v>0</v>
      </c>
      <c r="F54" s="698"/>
      <c r="G54" s="698"/>
      <c r="I54" s="698"/>
      <c r="J54" s="698"/>
      <c r="K54" s="688">
        <f>'Chip Bank'!N30</f>
        <v>0</v>
      </c>
      <c r="L54" s="688">
        <f>'Chip Bank'!M30</f>
        <v>0</v>
      </c>
      <c r="M54" s="698"/>
      <c r="N54" s="698"/>
    </row>
    <row r="55" spans="1:15">
      <c r="B55" s="698"/>
      <c r="C55" s="698"/>
      <c r="D55" s="701">
        <v>0</v>
      </c>
      <c r="E55" s="693">
        <v>0</v>
      </c>
      <c r="F55" s="698"/>
      <c r="G55" s="698"/>
      <c r="I55" s="698"/>
      <c r="J55" s="698"/>
      <c r="K55" s="688">
        <f>'Chip Bank'!N31</f>
        <v>0</v>
      </c>
      <c r="L55" s="688">
        <f>'Chip Bank'!M31</f>
        <v>0</v>
      </c>
      <c r="M55" s="698"/>
      <c r="N55" s="698"/>
    </row>
    <row r="56" spans="1:15">
      <c r="B56" s="698"/>
      <c r="C56" s="698"/>
      <c r="D56" s="701">
        <v>0</v>
      </c>
      <c r="E56" s="693">
        <v>0</v>
      </c>
      <c r="F56" s="698"/>
      <c r="G56" s="698"/>
      <c r="I56" s="698"/>
      <c r="J56" s="698"/>
      <c r="K56" s="688">
        <f>'Chip Bank'!N32</f>
        <v>0</v>
      </c>
      <c r="L56" s="688">
        <f>'Chip Bank'!M32</f>
        <v>0</v>
      </c>
      <c r="M56" s="698"/>
      <c r="N56" s="698"/>
    </row>
    <row r="57" spans="1:15">
      <c r="A57" s="686"/>
      <c r="B57" s="686"/>
      <c r="C57" s="686"/>
      <c r="D57" s="686"/>
      <c r="E57" s="686"/>
      <c r="F57" s="686"/>
      <c r="G57" s="686"/>
      <c r="H57" s="686"/>
      <c r="I57" s="686"/>
      <c r="J57" s="686"/>
      <c r="K57" s="687"/>
      <c r="L57" s="687"/>
      <c r="M57" s="686"/>
      <c r="N57" s="686"/>
      <c r="O57" s="686"/>
    </row>
    <row r="58" spans="1:15">
      <c r="A58" s="686"/>
      <c r="B58" s="686"/>
      <c r="C58" s="686"/>
      <c r="D58" s="686"/>
      <c r="E58" s="686"/>
      <c r="F58" s="686"/>
      <c r="G58" s="686"/>
      <c r="H58" s="686"/>
      <c r="I58" s="686"/>
      <c r="J58" s="686"/>
      <c r="K58" s="687"/>
      <c r="L58" s="687"/>
      <c r="M58" s="686"/>
      <c r="N58" s="686"/>
      <c r="O58" s="686"/>
    </row>
    <row r="59" spans="1:15">
      <c r="A59" s="686"/>
      <c r="B59" s="686"/>
      <c r="C59" s="686"/>
      <c r="D59" s="686"/>
      <c r="E59" s="686"/>
      <c r="F59" s="686"/>
      <c r="G59" s="686"/>
      <c r="H59" s="686"/>
      <c r="I59" s="686"/>
      <c r="J59" s="686"/>
      <c r="K59" s="686"/>
      <c r="L59" s="686"/>
      <c r="M59" s="686"/>
      <c r="N59" s="686"/>
      <c r="O59" s="686"/>
    </row>
    <row r="60" spans="1:15">
      <c r="A60" s="686"/>
      <c r="B60" s="686"/>
      <c r="C60" s="686"/>
      <c r="D60" s="686"/>
      <c r="E60" s="686"/>
      <c r="F60" s="686"/>
      <c r="G60" s="686"/>
      <c r="H60" s="686"/>
      <c r="I60" s="686"/>
      <c r="J60" s="686"/>
      <c r="K60" s="686"/>
      <c r="L60" s="686"/>
      <c r="M60" s="686"/>
      <c r="N60" s="686"/>
      <c r="O60" s="686"/>
    </row>
    <row r="61" spans="1:15">
      <c r="A61" s="686"/>
      <c r="B61" s="686"/>
      <c r="C61" s="686"/>
      <c r="D61" s="686"/>
      <c r="E61" s="686"/>
      <c r="F61" s="686"/>
      <c r="G61" s="686"/>
      <c r="H61" s="686"/>
      <c r="I61" s="686"/>
      <c r="J61" s="686"/>
      <c r="K61" s="686"/>
      <c r="L61" s="686"/>
      <c r="M61" s="686"/>
      <c r="N61" s="686"/>
      <c r="O61" s="686"/>
    </row>
    <row r="62" spans="1:15">
      <c r="A62" s="686"/>
      <c r="B62" s="686"/>
      <c r="C62" s="686"/>
      <c r="D62" s="686"/>
      <c r="E62" s="686"/>
      <c r="F62" s="686"/>
      <c r="G62" s="686"/>
      <c r="H62" s="686"/>
      <c r="I62" s="686"/>
      <c r="J62" s="686"/>
      <c r="K62" s="686"/>
      <c r="L62" s="686"/>
      <c r="M62" s="686"/>
      <c r="N62" s="686"/>
      <c r="O62" s="686"/>
    </row>
    <row r="63" spans="1:15">
      <c r="A63" s="686"/>
      <c r="B63" s="686"/>
      <c r="C63" s="686"/>
      <c r="D63" s="686"/>
      <c r="E63" s="686"/>
      <c r="F63" s="686"/>
      <c r="G63" s="686"/>
      <c r="H63" s="686"/>
      <c r="I63" s="686"/>
      <c r="J63" s="686"/>
      <c r="K63" s="686"/>
      <c r="L63" s="686"/>
      <c r="M63" s="686"/>
      <c r="N63" s="686"/>
      <c r="O63" s="686"/>
    </row>
    <row r="64" spans="1:15">
      <c r="A64" s="686"/>
      <c r="B64" s="686"/>
      <c r="C64" s="686"/>
      <c r="D64" s="686"/>
      <c r="E64" s="686"/>
      <c r="F64" s="686"/>
      <c r="G64" s="686"/>
      <c r="H64" s="686"/>
      <c r="I64" s="686"/>
      <c r="J64" s="686"/>
      <c r="K64" s="686"/>
      <c r="L64" s="686"/>
      <c r="M64" s="686"/>
      <c r="N64" s="686"/>
      <c r="O64" s="686"/>
    </row>
    <row r="65" spans="1:15">
      <c r="A65" s="686"/>
      <c r="B65" s="686"/>
      <c r="C65" s="686"/>
      <c r="D65" s="686"/>
      <c r="E65" s="686"/>
      <c r="F65" s="686"/>
      <c r="G65" s="686"/>
      <c r="H65" s="686"/>
      <c r="I65" s="686"/>
      <c r="J65" s="686"/>
      <c r="K65" s="686"/>
      <c r="L65" s="686"/>
      <c r="M65" s="686"/>
      <c r="N65" s="686"/>
      <c r="O65" s="686"/>
    </row>
    <row r="66" spans="1:15">
      <c r="A66" s="686"/>
      <c r="B66" s="686"/>
      <c r="C66" s="686"/>
      <c r="D66" s="686"/>
      <c r="E66" s="686"/>
      <c r="F66" s="686"/>
      <c r="G66" s="686"/>
      <c r="H66" s="686"/>
      <c r="I66" s="686"/>
      <c r="J66" s="686"/>
      <c r="K66" s="686"/>
      <c r="L66" s="686"/>
      <c r="M66" s="686"/>
      <c r="N66" s="686"/>
      <c r="O66" s="686"/>
    </row>
  </sheetData>
  <sheetProtection algorithmName="SHA-512" hashValue="m7O6fSEct1WZILdl5LuypVPQOs/EEmff1K5kPVTdPZRxdgqZbR5c45XXv4iTLUmLWLsF3UpPj/IVAT0GumT+bQ==" saltValue="23XYIUePT++DKCbCtJwHOw==" spinCount="100000" sheet="1" objects="1" scenarios="1"/>
  <mergeCells count="2">
    <mergeCell ref="I1:N3"/>
    <mergeCell ref="B1:G3"/>
  </mergeCells>
  <pageMargins left="0.7" right="0.7" top="0.75" bottom="0.75" header="0.3" footer="0.3"/>
  <pageSetup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10</vt:i4>
      </vt:variant>
    </vt:vector>
  </HeadingPairs>
  <TitlesOfParts>
    <vt:vector size="22" baseType="lpstr">
      <vt:lpstr>MENU</vt:lpstr>
      <vt:lpstr>VIP-DB</vt:lpstr>
      <vt:lpstr>Main Bank</vt:lpstr>
      <vt:lpstr>Chip Bank</vt:lpstr>
      <vt:lpstr>F&amp;C Report</vt:lpstr>
      <vt:lpstr>Table Breadown</vt:lpstr>
      <vt:lpstr>TABLE RESULT </vt:lpstr>
      <vt:lpstr>Unredeemed</vt:lpstr>
      <vt:lpstr>Marker Daily Log</vt:lpstr>
      <vt:lpstr>Dep Daliy Log</vt:lpstr>
      <vt:lpstr>VIP Chip Count </vt:lpstr>
      <vt:lpstr>OPENING NEW DAY</vt:lpstr>
      <vt:lpstr>'Chip Bank'!Print_Area</vt:lpstr>
      <vt:lpstr>'Dep Daliy Log'!Print_Area</vt:lpstr>
      <vt:lpstr>'F&amp;C Report'!Print_Area</vt:lpstr>
      <vt:lpstr>'Main Bank'!Print_Area</vt:lpstr>
      <vt:lpstr>'Marker Daily Log'!Print_Area</vt:lpstr>
      <vt:lpstr>'Table Breadown'!Print_Area</vt:lpstr>
      <vt:lpstr>'TABLE RESULT '!Print_Area</vt:lpstr>
      <vt:lpstr>Unredeemed!Print_Area</vt:lpstr>
      <vt:lpstr>'VIP Chip Count '!Print_Area</vt:lpstr>
      <vt:lpstr>'VIP-DB'!Print_Area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LGN CAGE02</cp:lastModifiedBy>
  <cp:lastPrinted>2021-08-19T17:55:36Z</cp:lastPrinted>
  <dcterms:created xsi:type="dcterms:W3CDTF">2010-08-27T13:25:51Z</dcterms:created>
  <dcterms:modified xsi:type="dcterms:W3CDTF">2021-08-20T02:04:31Z</dcterms:modified>
</cp:coreProperties>
</file>