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R:\Audit\Monthly Agent JV 2022\FEB 2022\"/>
    </mc:Choice>
  </mc:AlternateContent>
  <xr:revisionPtr revIDLastSave="0" documentId="13_ncr:1_{51505B79-A0E5-4F2B-B7ED-E936E41FAB0A}" xr6:coauthVersionLast="47" xr6:coauthVersionMax="47" xr10:uidLastSave="{00000000-0000-0000-0000-000000000000}"/>
  <bookViews>
    <workbookView xWindow="-120" yWindow="-120" windowWidth="21840" windowHeight="13140" tabRatio="789" firstSheet="4" activeTab="11" xr2:uid="{00000000-000D-0000-FFFF-FFFF00000000}"/>
  </bookViews>
  <sheets>
    <sheet name="Sheet1" sheetId="1" state="hidden" r:id="rId1"/>
    <sheet name="Summary" sheetId="15" state="hidden" r:id="rId2"/>
    <sheet name="AE黄兰芳（0.3%）" sheetId="13" state="hidden" r:id="rId3"/>
    <sheet name="MK2(0.1%)" sheetId="18" state="hidden" r:id="rId4"/>
    <sheet name="REPORT MTD" sheetId="41" r:id="rId5"/>
    <sheet name="PZ50%" sheetId="50" r:id="rId6"/>
    <sheet name="TG50%" sheetId="58" r:id="rId7"/>
    <sheet name="KK50%" sheetId="59" r:id="rId8"/>
    <sheet name="AA50%" sheetId="61" state="hidden" r:id="rId9"/>
    <sheet name="DS50%" sheetId="60" r:id="rId10"/>
    <sheet name="XU80%" sheetId="62" r:id="rId11"/>
    <sheet name="QI50%" sheetId="65" r:id="rId12"/>
    <sheet name="EO50%" sheetId="66" state="hidden" r:id="rId13"/>
    <sheet name="ZZ50% " sheetId="76" r:id="rId14"/>
    <sheet name="DG50%" sheetId="74" r:id="rId15"/>
    <sheet name="AD100%" sheetId="75" r:id="rId16"/>
    <sheet name="DH80% " sheetId="68" r:id="rId17"/>
    <sheet name="ZG50%" sheetId="71" r:id="rId18"/>
    <sheet name="AL50%" sheetId="72" r:id="rId19"/>
    <sheet name="SS50%" sheetId="73" r:id="rId20"/>
    <sheet name="LH" sheetId="28" state="hidden" r:id="rId21"/>
    <sheet name="MK" sheetId="27" state="hidden" r:id="rId22"/>
  </sheets>
  <definedNames>
    <definedName name="_xlnm.Print_Area" localSheetId="8">'AA50%'!$A$1:$W$59</definedName>
    <definedName name="_xlnm.Print_Area" localSheetId="15">'AD100%'!$A$1:$Y$63</definedName>
    <definedName name="_xlnm.Print_Area" localSheetId="18">'AL50%'!$A$1:$Y$63</definedName>
    <definedName name="_xlnm.Print_Area" localSheetId="14">'DG50%'!$A$1:$Y$63</definedName>
    <definedName name="_xlnm.Print_Area" localSheetId="16">'DH80% '!$A$1:$Y$63</definedName>
    <definedName name="_xlnm.Print_Area" localSheetId="9">'DS50%'!$A$1:$Y$63</definedName>
    <definedName name="_xlnm.Print_Area" localSheetId="12">'EO50%'!$A$1:$Y$63</definedName>
    <definedName name="_xlnm.Print_Area" localSheetId="7">'KK50%'!$A$1:$Z$58</definedName>
    <definedName name="_xlnm.Print_Area" localSheetId="5">'PZ50%'!$A$1:$Y$64</definedName>
    <definedName name="_xlnm.Print_Area" localSheetId="11">'QI50%'!$A$1:$Y$63</definedName>
    <definedName name="_xlnm.Print_Area" localSheetId="4">'REPORT MTD'!$A$1:$AE$29</definedName>
    <definedName name="_xlnm.Print_Area" localSheetId="19">'SS50%'!$A$1:$Y$63</definedName>
    <definedName name="_xlnm.Print_Area" localSheetId="6">'TG50%'!$A$1:$Y$58</definedName>
    <definedName name="_xlnm.Print_Area" localSheetId="10">'XU80%'!$A$1:$Y$63</definedName>
    <definedName name="_xlnm.Print_Area" localSheetId="17">'ZG50%'!$A$1:$Y$63</definedName>
    <definedName name="_xlnm.Print_Area" localSheetId="13">'ZZ50% '!$A$1:$Y$63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7" i="59" l="1"/>
  <c r="L19" i="58" l="1"/>
  <c r="L18" i="58"/>
  <c r="K4" i="62" l="1"/>
  <c r="L14" i="74" l="1"/>
  <c r="H14" i="75" l="1"/>
  <c r="H13" i="74"/>
  <c r="L13" i="74" l="1"/>
  <c r="J7" i="65" l="1"/>
  <c r="J8" i="65" l="1"/>
  <c r="J9" i="65"/>
  <c r="J10" i="65"/>
  <c r="J11" i="65"/>
  <c r="J12" i="65"/>
  <c r="J13" i="65"/>
  <c r="J14" i="65"/>
  <c r="J15" i="65"/>
  <c r="J16" i="65"/>
  <c r="J17" i="65"/>
  <c r="J18" i="65"/>
  <c r="J19" i="65"/>
  <c r="J20" i="65"/>
  <c r="J21" i="65"/>
  <c r="J22" i="65"/>
  <c r="H7" i="65"/>
  <c r="H8" i="65"/>
  <c r="H9" i="65"/>
  <c r="H10" i="65"/>
  <c r="H11" i="65"/>
  <c r="H12" i="65"/>
  <c r="H13" i="65"/>
  <c r="H14" i="65"/>
  <c r="H15" i="65"/>
  <c r="H16" i="65"/>
  <c r="H17" i="65"/>
  <c r="H18" i="65"/>
  <c r="H19" i="65"/>
  <c r="H20" i="65"/>
  <c r="H21" i="65"/>
  <c r="H22" i="65"/>
  <c r="H23" i="65"/>
  <c r="H24" i="65"/>
  <c r="H25" i="65"/>
  <c r="H26" i="65"/>
  <c r="H27" i="65"/>
  <c r="H28" i="65"/>
  <c r="H29" i="65"/>
  <c r="H30" i="65"/>
  <c r="H31" i="65"/>
  <c r="H32" i="65"/>
  <c r="H33" i="65"/>
  <c r="H34" i="65"/>
  <c r="H6" i="65"/>
  <c r="H7" i="60" l="1"/>
  <c r="H6" i="60"/>
  <c r="H8" i="60"/>
  <c r="H9" i="60"/>
  <c r="H10" i="60"/>
  <c r="H11" i="60"/>
  <c r="H12" i="60"/>
  <c r="H13" i="60"/>
  <c r="H14" i="60"/>
  <c r="H15" i="60"/>
  <c r="H16" i="60"/>
  <c r="H17" i="60"/>
  <c r="H18" i="60"/>
  <c r="H19" i="60"/>
  <c r="H20" i="60"/>
  <c r="H21" i="60"/>
  <c r="H22" i="60"/>
  <c r="H23" i="60"/>
  <c r="H24" i="60"/>
  <c r="H25" i="60"/>
  <c r="H26" i="60"/>
  <c r="H27" i="60"/>
  <c r="H28" i="60"/>
  <c r="H29" i="60"/>
  <c r="H30" i="60"/>
  <c r="H31" i="60"/>
  <c r="H32" i="60"/>
  <c r="H33" i="60"/>
  <c r="H34" i="60"/>
  <c r="H35" i="60"/>
  <c r="H5" i="60"/>
  <c r="H4" i="60"/>
  <c r="L5" i="58"/>
  <c r="L6" i="58"/>
  <c r="L7" i="58"/>
  <c r="L8" i="58"/>
  <c r="L9" i="58"/>
  <c r="L10" i="58"/>
  <c r="L11" i="58"/>
  <c r="L12" i="58"/>
  <c r="L13" i="58"/>
  <c r="L14" i="58"/>
  <c r="L15" i="58"/>
  <c r="L16" i="58"/>
  <c r="L17" i="58"/>
  <c r="L20" i="58"/>
  <c r="L21" i="58"/>
  <c r="L22" i="58"/>
  <c r="L23" i="58"/>
  <c r="L24" i="58"/>
  <c r="L25" i="58"/>
  <c r="L26" i="58"/>
  <c r="L27" i="58"/>
  <c r="L28" i="58"/>
  <c r="L29" i="58"/>
  <c r="L30" i="58"/>
  <c r="L31" i="58"/>
  <c r="L32" i="58"/>
  <c r="L33" i="58"/>
  <c r="L34" i="58"/>
  <c r="L4" i="58"/>
  <c r="L7" i="59" l="1"/>
  <c r="L8" i="59"/>
  <c r="L9" i="59"/>
  <c r="L10" i="59"/>
  <c r="L11" i="59"/>
  <c r="L12" i="59"/>
  <c r="L13" i="59"/>
  <c r="L14" i="59"/>
  <c r="L15" i="59"/>
  <c r="L16" i="59"/>
  <c r="L17" i="59"/>
  <c r="L18" i="59"/>
  <c r="L19" i="59"/>
  <c r="L20" i="59"/>
  <c r="L21" i="59"/>
  <c r="L22" i="59"/>
  <c r="L23" i="59"/>
  <c r="L24" i="59"/>
  <c r="L25" i="59"/>
  <c r="L26" i="59"/>
  <c r="L27" i="59"/>
  <c r="L28" i="59"/>
  <c r="L29" i="59"/>
  <c r="L30" i="59"/>
  <c r="L31" i="59"/>
  <c r="L32" i="59"/>
  <c r="L33" i="59"/>
  <c r="L34" i="59"/>
  <c r="L6" i="59"/>
  <c r="L5" i="59"/>
  <c r="L5" i="74" l="1"/>
  <c r="L4" i="74"/>
  <c r="N4" i="74" s="1"/>
  <c r="H6" i="74"/>
  <c r="J37" i="74"/>
  <c r="L6" i="74"/>
  <c r="N6" i="74" s="1"/>
  <c r="L7" i="74"/>
  <c r="L8" i="74"/>
  <c r="L9" i="74"/>
  <c r="L10" i="74"/>
  <c r="L11" i="74"/>
  <c r="L12" i="74"/>
  <c r="L15" i="74"/>
  <c r="L16" i="74"/>
  <c r="L17" i="74"/>
  <c r="L18" i="74"/>
  <c r="L19" i="74"/>
  <c r="L20" i="74"/>
  <c r="L21" i="74"/>
  <c r="L22" i="74"/>
  <c r="L23" i="74"/>
  <c r="L24" i="74"/>
  <c r="L25" i="74"/>
  <c r="L26" i="74"/>
  <c r="L27" i="74"/>
  <c r="L28" i="74"/>
  <c r="L29" i="74"/>
  <c r="L30" i="74"/>
  <c r="L31" i="74"/>
  <c r="L32" i="74"/>
  <c r="L33" i="74"/>
  <c r="L34" i="74"/>
  <c r="L6" i="75"/>
  <c r="H32" i="74"/>
  <c r="H33" i="74"/>
  <c r="H34" i="74"/>
  <c r="H7" i="74"/>
  <c r="H8" i="74"/>
  <c r="H9" i="74"/>
  <c r="H10" i="74"/>
  <c r="H11" i="74"/>
  <c r="H12" i="74"/>
  <c r="H14" i="74"/>
  <c r="H15" i="74"/>
  <c r="H16" i="74"/>
  <c r="H17" i="74"/>
  <c r="H18" i="74"/>
  <c r="H19" i="74"/>
  <c r="H20" i="74"/>
  <c r="H21" i="74"/>
  <c r="H22" i="74"/>
  <c r="H23" i="74"/>
  <c r="H24" i="74"/>
  <c r="H25" i="74"/>
  <c r="H26" i="74"/>
  <c r="H27" i="74"/>
  <c r="H28" i="74"/>
  <c r="H29" i="74"/>
  <c r="H30" i="74"/>
  <c r="H31" i="74"/>
  <c r="O6" i="74" l="1"/>
  <c r="H6" i="58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27" i="58"/>
  <c r="H28" i="58"/>
  <c r="H29" i="58"/>
  <c r="H30" i="58"/>
  <c r="H31" i="58"/>
  <c r="H32" i="58"/>
  <c r="H33" i="58"/>
  <c r="H34" i="58"/>
  <c r="H35" i="58"/>
  <c r="H5" i="58"/>
  <c r="H4" i="58"/>
  <c r="S37" i="76" l="1"/>
  <c r="H47" i="76" s="1"/>
  <c r="Q37" i="76"/>
  <c r="M37" i="76"/>
  <c r="K37" i="76"/>
  <c r="I37" i="76"/>
  <c r="G37" i="76"/>
  <c r="F37" i="76"/>
  <c r="E37" i="76"/>
  <c r="D37" i="76"/>
  <c r="C37" i="76"/>
  <c r="J35" i="76"/>
  <c r="H35" i="76"/>
  <c r="T34" i="76"/>
  <c r="R34" i="76"/>
  <c r="U34" i="76" s="1"/>
  <c r="L34" i="76"/>
  <c r="N34" i="76" s="1"/>
  <c r="O34" i="76" s="1"/>
  <c r="J34" i="76"/>
  <c r="H34" i="76"/>
  <c r="T33" i="76"/>
  <c r="R33" i="76"/>
  <c r="U33" i="76" s="1"/>
  <c r="L33" i="76"/>
  <c r="N33" i="76" s="1"/>
  <c r="J33" i="76"/>
  <c r="H33" i="76"/>
  <c r="T32" i="76"/>
  <c r="R32" i="76"/>
  <c r="U32" i="76" s="1"/>
  <c r="L32" i="76"/>
  <c r="N32" i="76" s="1"/>
  <c r="J32" i="76"/>
  <c r="H32" i="76"/>
  <c r="T31" i="76"/>
  <c r="R31" i="76"/>
  <c r="U31" i="76" s="1"/>
  <c r="L31" i="76"/>
  <c r="N31" i="76" s="1"/>
  <c r="O31" i="76" s="1"/>
  <c r="J31" i="76"/>
  <c r="H31" i="76"/>
  <c r="T30" i="76"/>
  <c r="R30" i="76"/>
  <c r="U30" i="76" s="1"/>
  <c r="L30" i="76"/>
  <c r="N30" i="76" s="1"/>
  <c r="J30" i="76"/>
  <c r="H30" i="76"/>
  <c r="T29" i="76"/>
  <c r="R29" i="76"/>
  <c r="U29" i="76" s="1"/>
  <c r="L29" i="76"/>
  <c r="N29" i="76" s="1"/>
  <c r="J29" i="76"/>
  <c r="H29" i="76"/>
  <c r="T28" i="76"/>
  <c r="R28" i="76"/>
  <c r="U28" i="76" s="1"/>
  <c r="L28" i="76"/>
  <c r="N28" i="76" s="1"/>
  <c r="J28" i="76"/>
  <c r="H28" i="76"/>
  <c r="T27" i="76"/>
  <c r="R27" i="76"/>
  <c r="U27" i="76" s="1"/>
  <c r="L27" i="76"/>
  <c r="N27" i="76" s="1"/>
  <c r="J27" i="76"/>
  <c r="H27" i="76"/>
  <c r="T26" i="76"/>
  <c r="R26" i="76"/>
  <c r="L26" i="76"/>
  <c r="N26" i="76" s="1"/>
  <c r="J26" i="76"/>
  <c r="H26" i="76"/>
  <c r="T25" i="76"/>
  <c r="R25" i="76"/>
  <c r="U25" i="76" s="1"/>
  <c r="L25" i="76"/>
  <c r="N25" i="76" s="1"/>
  <c r="O25" i="76" s="1"/>
  <c r="J25" i="76"/>
  <c r="H25" i="76"/>
  <c r="T24" i="76"/>
  <c r="R24" i="76"/>
  <c r="L24" i="76"/>
  <c r="N24" i="76" s="1"/>
  <c r="J24" i="76"/>
  <c r="H24" i="76"/>
  <c r="T23" i="76"/>
  <c r="R23" i="76"/>
  <c r="U23" i="76" s="1"/>
  <c r="L23" i="76"/>
  <c r="N23" i="76" s="1"/>
  <c r="J23" i="76"/>
  <c r="H23" i="76"/>
  <c r="T22" i="76"/>
  <c r="R22" i="76"/>
  <c r="U22" i="76" s="1"/>
  <c r="L22" i="76"/>
  <c r="N22" i="76" s="1"/>
  <c r="O22" i="76" s="1"/>
  <c r="J22" i="76"/>
  <c r="H22" i="76"/>
  <c r="T21" i="76"/>
  <c r="R21" i="76"/>
  <c r="U21" i="76" s="1"/>
  <c r="L21" i="76"/>
  <c r="N21" i="76" s="1"/>
  <c r="J21" i="76"/>
  <c r="H21" i="76"/>
  <c r="T20" i="76"/>
  <c r="R20" i="76"/>
  <c r="U20" i="76" s="1"/>
  <c r="L20" i="76"/>
  <c r="N20" i="76" s="1"/>
  <c r="J20" i="76"/>
  <c r="H20" i="76"/>
  <c r="T19" i="76"/>
  <c r="R19" i="76"/>
  <c r="U19" i="76" s="1"/>
  <c r="L19" i="76"/>
  <c r="N19" i="76" s="1"/>
  <c r="J19" i="76"/>
  <c r="H19" i="76"/>
  <c r="T18" i="76"/>
  <c r="R18" i="76"/>
  <c r="U18" i="76" s="1"/>
  <c r="L18" i="76"/>
  <c r="N18" i="76" s="1"/>
  <c r="J18" i="76"/>
  <c r="H18" i="76"/>
  <c r="T17" i="76"/>
  <c r="R17" i="76"/>
  <c r="U17" i="76" s="1"/>
  <c r="L17" i="76"/>
  <c r="N17" i="76" s="1"/>
  <c r="J17" i="76"/>
  <c r="H17" i="76"/>
  <c r="T16" i="76"/>
  <c r="R16" i="76"/>
  <c r="U16" i="76" s="1"/>
  <c r="L16" i="76"/>
  <c r="N16" i="76" s="1"/>
  <c r="J16" i="76"/>
  <c r="H16" i="76"/>
  <c r="T15" i="76"/>
  <c r="R15" i="76"/>
  <c r="U15" i="76" s="1"/>
  <c r="L15" i="76"/>
  <c r="N15" i="76" s="1"/>
  <c r="J15" i="76"/>
  <c r="H15" i="76"/>
  <c r="T14" i="76"/>
  <c r="R14" i="76"/>
  <c r="U14" i="76" s="1"/>
  <c r="V14" i="76" s="1"/>
  <c r="W14" i="76" s="1"/>
  <c r="L14" i="76"/>
  <c r="N14" i="76" s="1"/>
  <c r="J14" i="76"/>
  <c r="H14" i="76"/>
  <c r="T13" i="76"/>
  <c r="R13" i="76"/>
  <c r="L13" i="76"/>
  <c r="N13" i="76" s="1"/>
  <c r="O13" i="76" s="1"/>
  <c r="J13" i="76"/>
  <c r="H13" i="76"/>
  <c r="T12" i="76"/>
  <c r="R12" i="76"/>
  <c r="U12" i="76" s="1"/>
  <c r="L12" i="76"/>
  <c r="N12" i="76" s="1"/>
  <c r="J12" i="76"/>
  <c r="H12" i="76"/>
  <c r="T11" i="76"/>
  <c r="R11" i="76"/>
  <c r="U11" i="76" s="1"/>
  <c r="L11" i="76"/>
  <c r="N11" i="76" s="1"/>
  <c r="J11" i="76"/>
  <c r="H11" i="76"/>
  <c r="T10" i="76"/>
  <c r="R10" i="76"/>
  <c r="U10" i="76" s="1"/>
  <c r="L10" i="76"/>
  <c r="N10" i="76" s="1"/>
  <c r="J10" i="76"/>
  <c r="H10" i="76"/>
  <c r="T9" i="76"/>
  <c r="R9" i="76"/>
  <c r="U9" i="76" s="1"/>
  <c r="L9" i="76"/>
  <c r="N9" i="76" s="1"/>
  <c r="J9" i="76"/>
  <c r="H9" i="76"/>
  <c r="T8" i="76"/>
  <c r="R8" i="76"/>
  <c r="U8" i="76" s="1"/>
  <c r="L8" i="76"/>
  <c r="N8" i="76" s="1"/>
  <c r="J8" i="76"/>
  <c r="H8" i="76"/>
  <c r="T7" i="76"/>
  <c r="R7" i="76"/>
  <c r="U7" i="76" s="1"/>
  <c r="L7" i="76"/>
  <c r="N7" i="76" s="1"/>
  <c r="J7" i="76"/>
  <c r="H7" i="76"/>
  <c r="T6" i="76"/>
  <c r="R6" i="76"/>
  <c r="U6" i="76" s="1"/>
  <c r="L6" i="76"/>
  <c r="N6" i="76" s="1"/>
  <c r="J6" i="76"/>
  <c r="H6" i="76"/>
  <c r="T5" i="76"/>
  <c r="R5" i="76"/>
  <c r="U5" i="76" s="1"/>
  <c r="L5" i="76"/>
  <c r="N5" i="76" s="1"/>
  <c r="J5" i="76"/>
  <c r="H5" i="76"/>
  <c r="B5" i="76"/>
  <c r="B6" i="76" s="1"/>
  <c r="B7" i="76" s="1"/>
  <c r="B8" i="76" s="1"/>
  <c r="B9" i="76" s="1"/>
  <c r="B10" i="76" s="1"/>
  <c r="B11" i="76" s="1"/>
  <c r="B12" i="76" s="1"/>
  <c r="B13" i="76" s="1"/>
  <c r="B14" i="76" s="1"/>
  <c r="B15" i="76" s="1"/>
  <c r="B16" i="76" s="1"/>
  <c r="B17" i="76" s="1"/>
  <c r="B18" i="76" s="1"/>
  <c r="B19" i="76" s="1"/>
  <c r="B20" i="76" s="1"/>
  <c r="B21" i="76" s="1"/>
  <c r="B22" i="76" s="1"/>
  <c r="B23" i="76" s="1"/>
  <c r="B24" i="76" s="1"/>
  <c r="B25" i="76" s="1"/>
  <c r="B26" i="76" s="1"/>
  <c r="B27" i="76" s="1"/>
  <c r="B28" i="76" s="1"/>
  <c r="B29" i="76" s="1"/>
  <c r="B30" i="76" s="1"/>
  <c r="B31" i="76" s="1"/>
  <c r="B32" i="76" s="1"/>
  <c r="B33" i="76" s="1"/>
  <c r="B34" i="76" s="1"/>
  <c r="AH4" i="76"/>
  <c r="AH5" i="76" s="1"/>
  <c r="AH6" i="76" s="1"/>
  <c r="AH7" i="76" s="1"/>
  <c r="AH8" i="76" s="1"/>
  <c r="AH9" i="76" s="1"/>
  <c r="AH10" i="76" s="1"/>
  <c r="AH11" i="76" s="1"/>
  <c r="AH12" i="76" s="1"/>
  <c r="AH13" i="76" s="1"/>
  <c r="AH14" i="76" s="1"/>
  <c r="AH15" i="76" s="1"/>
  <c r="AH16" i="76" s="1"/>
  <c r="AH17" i="76" s="1"/>
  <c r="AH18" i="76" s="1"/>
  <c r="AH19" i="76" s="1"/>
  <c r="AH20" i="76" s="1"/>
  <c r="AH21" i="76" s="1"/>
  <c r="AH22" i="76" s="1"/>
  <c r="AH23" i="76" s="1"/>
  <c r="AH24" i="76" s="1"/>
  <c r="AH25" i="76" s="1"/>
  <c r="AH26" i="76" s="1"/>
  <c r="AH27" i="76" s="1"/>
  <c r="AH28" i="76" s="1"/>
  <c r="AH29" i="76" s="1"/>
  <c r="AH30" i="76" s="1"/>
  <c r="AH31" i="76" s="1"/>
  <c r="AH32" i="76" s="1"/>
  <c r="AH33" i="76" s="1"/>
  <c r="AH34" i="76" s="1"/>
  <c r="AF4" i="76"/>
  <c r="AF5" i="76" s="1"/>
  <c r="AF6" i="76" s="1"/>
  <c r="AF7" i="76" s="1"/>
  <c r="AF8" i="76" s="1"/>
  <c r="AF9" i="76" s="1"/>
  <c r="AF10" i="76" s="1"/>
  <c r="AF11" i="76" s="1"/>
  <c r="AF12" i="76" s="1"/>
  <c r="AF13" i="76" s="1"/>
  <c r="AF14" i="76" s="1"/>
  <c r="AF15" i="76" s="1"/>
  <c r="AF16" i="76" s="1"/>
  <c r="AF17" i="76" s="1"/>
  <c r="AF18" i="76" s="1"/>
  <c r="AF19" i="76" s="1"/>
  <c r="AF20" i="76" s="1"/>
  <c r="AF21" i="76" s="1"/>
  <c r="AF22" i="76" s="1"/>
  <c r="AF23" i="76" s="1"/>
  <c r="AF24" i="76" s="1"/>
  <c r="AF25" i="76" s="1"/>
  <c r="AF26" i="76" s="1"/>
  <c r="AF27" i="76" s="1"/>
  <c r="AF28" i="76" s="1"/>
  <c r="AF29" i="76" s="1"/>
  <c r="AF30" i="76" s="1"/>
  <c r="AF31" i="76" s="1"/>
  <c r="AF32" i="76" s="1"/>
  <c r="AF33" i="76" s="1"/>
  <c r="AF34" i="76" s="1"/>
  <c r="AB4" i="76"/>
  <c r="AB5" i="76" s="1"/>
  <c r="AB6" i="76" s="1"/>
  <c r="AB7" i="76" s="1"/>
  <c r="AB8" i="76" s="1"/>
  <c r="AB9" i="76" s="1"/>
  <c r="AB10" i="76" s="1"/>
  <c r="AB11" i="76" s="1"/>
  <c r="AB12" i="76" s="1"/>
  <c r="AB13" i="76" s="1"/>
  <c r="AB14" i="76" s="1"/>
  <c r="AB15" i="76" s="1"/>
  <c r="AB16" i="76" s="1"/>
  <c r="AB17" i="76" s="1"/>
  <c r="AB18" i="76" s="1"/>
  <c r="AB19" i="76" s="1"/>
  <c r="AB20" i="76" s="1"/>
  <c r="AB21" i="76" s="1"/>
  <c r="AB22" i="76" s="1"/>
  <c r="AB23" i="76" s="1"/>
  <c r="AB24" i="76" s="1"/>
  <c r="AB25" i="76" s="1"/>
  <c r="AB26" i="76" s="1"/>
  <c r="AB27" i="76" s="1"/>
  <c r="AB28" i="76" s="1"/>
  <c r="AB29" i="76" s="1"/>
  <c r="AB30" i="76" s="1"/>
  <c r="AB31" i="76" s="1"/>
  <c r="AB32" i="76" s="1"/>
  <c r="AB33" i="76" s="1"/>
  <c r="AB34" i="76" s="1"/>
  <c r="T4" i="76"/>
  <c r="R4" i="76"/>
  <c r="AC4" i="76" s="1"/>
  <c r="L4" i="76"/>
  <c r="J4" i="76"/>
  <c r="H4" i="76"/>
  <c r="AA4" i="76" s="1"/>
  <c r="P3" i="76"/>
  <c r="K5" i="62"/>
  <c r="V20" i="76" l="1"/>
  <c r="W20" i="76" s="1"/>
  <c r="V25" i="76"/>
  <c r="W25" i="76" s="1"/>
  <c r="X25" i="76" s="1"/>
  <c r="V19" i="76"/>
  <c r="W19" i="76" s="1"/>
  <c r="V31" i="76"/>
  <c r="W31" i="76" s="1"/>
  <c r="X31" i="76" s="1"/>
  <c r="V10" i="76"/>
  <c r="W10" i="76" s="1"/>
  <c r="V16" i="76"/>
  <c r="W16" i="76" s="1"/>
  <c r="V34" i="76"/>
  <c r="W34" i="76" s="1"/>
  <c r="X34" i="76" s="1"/>
  <c r="V29" i="76"/>
  <c r="W29" i="76" s="1"/>
  <c r="P15" i="76"/>
  <c r="P21" i="76"/>
  <c r="P8" i="76"/>
  <c r="P20" i="76"/>
  <c r="P29" i="76"/>
  <c r="J37" i="76"/>
  <c r="P19" i="76"/>
  <c r="P6" i="76"/>
  <c r="V7" i="76"/>
  <c r="W7" i="76" s="1"/>
  <c r="P12" i="76"/>
  <c r="P17" i="76"/>
  <c r="P10" i="76"/>
  <c r="V11" i="76"/>
  <c r="W11" i="76" s="1"/>
  <c r="V23" i="76"/>
  <c r="W23" i="76" s="1"/>
  <c r="V28" i="76"/>
  <c r="W28" i="76" s="1"/>
  <c r="V32" i="76"/>
  <c r="W32" i="76" s="1"/>
  <c r="P13" i="76"/>
  <c r="V5" i="76"/>
  <c r="W5" i="76" s="1"/>
  <c r="T37" i="76"/>
  <c r="H48" i="76" s="1"/>
  <c r="H49" i="76" s="1"/>
  <c r="V8" i="76"/>
  <c r="W8" i="76" s="1"/>
  <c r="V17" i="76"/>
  <c r="W17" i="76" s="1"/>
  <c r="V22" i="76"/>
  <c r="W22" i="76" s="1"/>
  <c r="X22" i="76" s="1"/>
  <c r="P22" i="76"/>
  <c r="P28" i="76"/>
  <c r="P30" i="76"/>
  <c r="P27" i="76"/>
  <c r="P31" i="76"/>
  <c r="U4" i="76"/>
  <c r="V4" i="76" s="1"/>
  <c r="AA5" i="76"/>
  <c r="AA6" i="76" s="1"/>
  <c r="AA7" i="76" s="1"/>
  <c r="AA8" i="76" s="1"/>
  <c r="AA9" i="76" s="1"/>
  <c r="AA10" i="76" s="1"/>
  <c r="AA11" i="76" s="1"/>
  <c r="AA12" i="76" s="1"/>
  <c r="AA13" i="76" s="1"/>
  <c r="AA14" i="76" s="1"/>
  <c r="AA15" i="76" s="1"/>
  <c r="AA16" i="76" s="1"/>
  <c r="AA17" i="76" s="1"/>
  <c r="AA18" i="76" s="1"/>
  <c r="AA19" i="76" s="1"/>
  <c r="AA20" i="76" s="1"/>
  <c r="AA21" i="76" s="1"/>
  <c r="AA22" i="76" s="1"/>
  <c r="AA23" i="76" s="1"/>
  <c r="AA24" i="76" s="1"/>
  <c r="AA25" i="76" s="1"/>
  <c r="AA26" i="76" s="1"/>
  <c r="AA27" i="76" s="1"/>
  <c r="AA28" i="76" s="1"/>
  <c r="AA29" i="76" s="1"/>
  <c r="AA30" i="76" s="1"/>
  <c r="AA31" i="76" s="1"/>
  <c r="AA32" i="76" s="1"/>
  <c r="AA33" i="76" s="1"/>
  <c r="AA34" i="76" s="1"/>
  <c r="P14" i="76"/>
  <c r="O14" i="76"/>
  <c r="X14" i="76" s="1"/>
  <c r="O16" i="76"/>
  <c r="P16" i="76"/>
  <c r="P32" i="76"/>
  <c r="O32" i="76"/>
  <c r="P9" i="76"/>
  <c r="O9" i="76"/>
  <c r="P5" i="76"/>
  <c r="O5" i="76"/>
  <c r="L37" i="76"/>
  <c r="N4" i="76"/>
  <c r="AC5" i="76"/>
  <c r="AC6" i="76" s="1"/>
  <c r="AC7" i="76" s="1"/>
  <c r="AC8" i="76" s="1"/>
  <c r="AC9" i="76" s="1"/>
  <c r="AC10" i="76" s="1"/>
  <c r="AC11" i="76" s="1"/>
  <c r="AC12" i="76" s="1"/>
  <c r="AC13" i="76" s="1"/>
  <c r="AC14" i="76" s="1"/>
  <c r="AC15" i="76" s="1"/>
  <c r="AC16" i="76" s="1"/>
  <c r="AC17" i="76" s="1"/>
  <c r="AC18" i="76" s="1"/>
  <c r="AC19" i="76" s="1"/>
  <c r="AC20" i="76" s="1"/>
  <c r="AC21" i="76" s="1"/>
  <c r="AC22" i="76" s="1"/>
  <c r="AC23" i="76" s="1"/>
  <c r="AC24" i="76" s="1"/>
  <c r="AC25" i="76" s="1"/>
  <c r="AC26" i="76" s="1"/>
  <c r="AC27" i="76" s="1"/>
  <c r="AC28" i="76" s="1"/>
  <c r="AC29" i="76" s="1"/>
  <c r="AC30" i="76" s="1"/>
  <c r="AC31" i="76" s="1"/>
  <c r="AC32" i="76" s="1"/>
  <c r="AC33" i="76" s="1"/>
  <c r="AC34" i="76" s="1"/>
  <c r="P11" i="76"/>
  <c r="O11" i="76"/>
  <c r="P18" i="76"/>
  <c r="O18" i="76"/>
  <c r="P23" i="76"/>
  <c r="O23" i="76"/>
  <c r="R37" i="76"/>
  <c r="H44" i="76" s="1"/>
  <c r="H45" i="76" s="1"/>
  <c r="P7" i="76"/>
  <c r="O7" i="76"/>
  <c r="O27" i="76"/>
  <c r="O29" i="76"/>
  <c r="U24" i="76"/>
  <c r="P25" i="76"/>
  <c r="U26" i="76"/>
  <c r="V26" i="76" s="1"/>
  <c r="W26" i="76" s="1"/>
  <c r="P34" i="76"/>
  <c r="H37" i="76"/>
  <c r="H40" i="76" s="1"/>
  <c r="V9" i="76"/>
  <c r="W9" i="76" s="1"/>
  <c r="O10" i="76"/>
  <c r="O12" i="76"/>
  <c r="U13" i="76"/>
  <c r="V13" i="76" s="1"/>
  <c r="W13" i="76" s="1"/>
  <c r="X13" i="76" s="1"/>
  <c r="V18" i="76"/>
  <c r="W18" i="76" s="1"/>
  <c r="O19" i="76"/>
  <c r="O21" i="76"/>
  <c r="V27" i="76"/>
  <c r="W27" i="76" s="1"/>
  <c r="O28" i="76"/>
  <c r="O30" i="76"/>
  <c r="O20" i="76"/>
  <c r="X20" i="76" s="1"/>
  <c r="P24" i="76"/>
  <c r="P26" i="76"/>
  <c r="P33" i="76"/>
  <c r="V6" i="76"/>
  <c r="W6" i="76" s="1"/>
  <c r="V15" i="76"/>
  <c r="W15" i="76" s="1"/>
  <c r="V33" i="76"/>
  <c r="W33" i="76" s="1"/>
  <c r="O6" i="76"/>
  <c r="O8" i="76"/>
  <c r="V12" i="76"/>
  <c r="W12" i="76" s="1"/>
  <c r="O15" i="76"/>
  <c r="O17" i="76"/>
  <c r="V21" i="76"/>
  <c r="W21" i="76" s="1"/>
  <c r="O24" i="76"/>
  <c r="O26" i="76"/>
  <c r="V30" i="76"/>
  <c r="W30" i="76" s="1"/>
  <c r="O33" i="76"/>
  <c r="X16" i="76" l="1"/>
  <c r="X19" i="76"/>
  <c r="X29" i="76"/>
  <c r="X10" i="76"/>
  <c r="X32" i="76"/>
  <c r="X7" i="76"/>
  <c r="X11" i="76"/>
  <c r="X26" i="76"/>
  <c r="X8" i="76"/>
  <c r="X21" i="76"/>
  <c r="X23" i="76"/>
  <c r="X15" i="76"/>
  <c r="X28" i="76"/>
  <c r="X5" i="76"/>
  <c r="X17" i="76"/>
  <c r="X33" i="76"/>
  <c r="U37" i="76"/>
  <c r="V24" i="76"/>
  <c r="W24" i="76" s="1"/>
  <c r="X9" i="76"/>
  <c r="H46" i="76"/>
  <c r="H51" i="76" s="1"/>
  <c r="W4" i="76"/>
  <c r="X30" i="76"/>
  <c r="X6" i="76"/>
  <c r="X12" i="76"/>
  <c r="X18" i="76"/>
  <c r="AE4" i="76"/>
  <c r="AE5" i="76" s="1"/>
  <c r="AE6" i="76" s="1"/>
  <c r="AE7" i="76" s="1"/>
  <c r="AE8" i="76" s="1"/>
  <c r="AE9" i="76" s="1"/>
  <c r="AE10" i="76" s="1"/>
  <c r="AE11" i="76" s="1"/>
  <c r="AE12" i="76" s="1"/>
  <c r="AE13" i="76" s="1"/>
  <c r="AE14" i="76" s="1"/>
  <c r="AE15" i="76" s="1"/>
  <c r="AE16" i="76" s="1"/>
  <c r="AE17" i="76" s="1"/>
  <c r="AE18" i="76" s="1"/>
  <c r="AE19" i="76" s="1"/>
  <c r="AE20" i="76" s="1"/>
  <c r="AE21" i="76" s="1"/>
  <c r="AE22" i="76" s="1"/>
  <c r="AE23" i="76" s="1"/>
  <c r="AE24" i="76" s="1"/>
  <c r="AE25" i="76" s="1"/>
  <c r="AE26" i="76" s="1"/>
  <c r="AE27" i="76" s="1"/>
  <c r="AE28" i="76" s="1"/>
  <c r="AE29" i="76" s="1"/>
  <c r="AE30" i="76" s="1"/>
  <c r="AE31" i="76" s="1"/>
  <c r="AE32" i="76" s="1"/>
  <c r="AE33" i="76" s="1"/>
  <c r="AE34" i="76" s="1"/>
  <c r="P4" i="76"/>
  <c r="P37" i="76" s="1"/>
  <c r="N37" i="76"/>
  <c r="H41" i="76" s="1"/>
  <c r="H42" i="76" s="1"/>
  <c r="O4" i="76"/>
  <c r="X27" i="76"/>
  <c r="H53" i="76" l="1"/>
  <c r="H55" i="76" s="1"/>
  <c r="V37" i="76"/>
  <c r="AD4" i="76"/>
  <c r="AD5" i="76" s="1"/>
  <c r="AD6" i="76" s="1"/>
  <c r="AD7" i="76" s="1"/>
  <c r="AD8" i="76" s="1"/>
  <c r="AD9" i="76" s="1"/>
  <c r="AD10" i="76" s="1"/>
  <c r="AD11" i="76" s="1"/>
  <c r="AD12" i="76" s="1"/>
  <c r="AD13" i="76" s="1"/>
  <c r="AD14" i="76" s="1"/>
  <c r="AD15" i="76" s="1"/>
  <c r="AD16" i="76" s="1"/>
  <c r="AD17" i="76" s="1"/>
  <c r="AD18" i="76" s="1"/>
  <c r="AD19" i="76" s="1"/>
  <c r="AD20" i="76" s="1"/>
  <c r="AD21" i="76" s="1"/>
  <c r="AD22" i="76" s="1"/>
  <c r="AD23" i="76" s="1"/>
  <c r="AD24" i="76" s="1"/>
  <c r="AD25" i="76" s="1"/>
  <c r="AD26" i="76" s="1"/>
  <c r="AD27" i="76" s="1"/>
  <c r="AD28" i="76" s="1"/>
  <c r="AD29" i="76" s="1"/>
  <c r="AD30" i="76" s="1"/>
  <c r="AD31" i="76" s="1"/>
  <c r="AD32" i="76" s="1"/>
  <c r="AD33" i="76" s="1"/>
  <c r="AD34" i="76" s="1"/>
  <c r="W37" i="76"/>
  <c r="O37" i="76"/>
  <c r="X4" i="76"/>
  <c r="X24" i="76"/>
  <c r="X37" i="76" l="1"/>
  <c r="H5" i="59" l="1"/>
  <c r="K6" i="62" l="1"/>
  <c r="K7" i="62"/>
  <c r="K8" i="62"/>
  <c r="K9" i="62"/>
  <c r="K10" i="62"/>
  <c r="K11" i="62"/>
  <c r="K12" i="62"/>
  <c r="K13" i="62"/>
  <c r="K14" i="62"/>
  <c r="K15" i="62"/>
  <c r="K16" i="62"/>
  <c r="K17" i="62"/>
  <c r="K18" i="62"/>
  <c r="K19" i="62"/>
  <c r="K20" i="62"/>
  <c r="K21" i="62"/>
  <c r="K22" i="62"/>
  <c r="K23" i="62"/>
  <c r="K24" i="62"/>
  <c r="K25" i="62"/>
  <c r="K26" i="62"/>
  <c r="K27" i="62"/>
  <c r="K28" i="62"/>
  <c r="K29" i="62"/>
  <c r="K30" i="62"/>
  <c r="K31" i="62"/>
  <c r="K32" i="62"/>
  <c r="K33" i="62"/>
  <c r="K34" i="62"/>
  <c r="H5" i="65" l="1"/>
  <c r="V13" i="41" l="1"/>
  <c r="AB13" i="41"/>
  <c r="U13" i="41"/>
  <c r="L4" i="59"/>
  <c r="N4" i="59" s="1"/>
  <c r="W13" i="41" l="1"/>
  <c r="X13" i="41" s="1"/>
  <c r="Y13" i="41"/>
  <c r="O4" i="59" l="1"/>
  <c r="H25" i="62"/>
  <c r="H26" i="62"/>
  <c r="H27" i="62"/>
  <c r="H28" i="62"/>
  <c r="H29" i="62"/>
  <c r="H30" i="62"/>
  <c r="H31" i="62"/>
  <c r="H32" i="62"/>
  <c r="H33" i="62"/>
  <c r="H34" i="62"/>
  <c r="H5" i="62"/>
  <c r="H6" i="62"/>
  <c r="H7" i="62"/>
  <c r="H8" i="62"/>
  <c r="H9" i="62"/>
  <c r="H10" i="62"/>
  <c r="H11" i="62"/>
  <c r="H12" i="62"/>
  <c r="H13" i="62"/>
  <c r="H14" i="62"/>
  <c r="H15" i="62"/>
  <c r="H16" i="62"/>
  <c r="H17" i="62"/>
  <c r="H18" i="62"/>
  <c r="H19" i="62"/>
  <c r="H20" i="62"/>
  <c r="H21" i="62"/>
  <c r="H22" i="62"/>
  <c r="H23" i="62"/>
  <c r="H24" i="62"/>
  <c r="H4" i="62"/>
  <c r="H4" i="65" l="1"/>
  <c r="G17" i="41" l="1"/>
  <c r="H34" i="59" l="1"/>
  <c r="L33" i="75" l="1"/>
  <c r="H33" i="75"/>
  <c r="L32" i="75"/>
  <c r="V35" i="75" l="1"/>
  <c r="H30" i="50" l="1"/>
  <c r="L30" i="50"/>
  <c r="N30" i="50" s="1"/>
  <c r="H10" i="59"/>
  <c r="N10" i="59"/>
  <c r="H29" i="50"/>
  <c r="S37" i="75" l="1"/>
  <c r="H45" i="75" s="1"/>
  <c r="Q37" i="75"/>
  <c r="M37" i="75"/>
  <c r="K37" i="75"/>
  <c r="I37" i="75"/>
  <c r="G37" i="75"/>
  <c r="F37" i="75"/>
  <c r="E37" i="75"/>
  <c r="D37" i="75"/>
  <c r="C37" i="75"/>
  <c r="J35" i="75"/>
  <c r="H35" i="75"/>
  <c r="T34" i="75"/>
  <c r="V34" i="75" s="1"/>
  <c r="R34" i="75"/>
  <c r="L34" i="75"/>
  <c r="N34" i="75" s="1"/>
  <c r="J34" i="75"/>
  <c r="H34" i="75"/>
  <c r="T33" i="75"/>
  <c r="V33" i="75" s="1"/>
  <c r="R33" i="75"/>
  <c r="N33" i="75"/>
  <c r="J33" i="75"/>
  <c r="T32" i="75"/>
  <c r="V32" i="75" s="1"/>
  <c r="R32" i="75"/>
  <c r="N32" i="75"/>
  <c r="J32" i="75"/>
  <c r="H32" i="75"/>
  <c r="T31" i="75"/>
  <c r="V31" i="75" s="1"/>
  <c r="R31" i="75"/>
  <c r="L31" i="75"/>
  <c r="N31" i="75" s="1"/>
  <c r="J31" i="75"/>
  <c r="H31" i="75"/>
  <c r="T30" i="75"/>
  <c r="R30" i="75"/>
  <c r="L30" i="75"/>
  <c r="N30" i="75" s="1"/>
  <c r="J30" i="75"/>
  <c r="H30" i="75"/>
  <c r="T29" i="75"/>
  <c r="R29" i="75"/>
  <c r="U29" i="75" s="1"/>
  <c r="L29" i="75"/>
  <c r="N29" i="75" s="1"/>
  <c r="J29" i="75"/>
  <c r="H29" i="75"/>
  <c r="T28" i="75"/>
  <c r="R28" i="75"/>
  <c r="L28" i="75"/>
  <c r="N28" i="75" s="1"/>
  <c r="J28" i="75"/>
  <c r="H28" i="75"/>
  <c r="T27" i="75"/>
  <c r="R27" i="75"/>
  <c r="L27" i="75"/>
  <c r="N27" i="75" s="1"/>
  <c r="J27" i="75"/>
  <c r="H27" i="75"/>
  <c r="T26" i="75"/>
  <c r="R26" i="75"/>
  <c r="U26" i="75" s="1"/>
  <c r="L26" i="75"/>
  <c r="N26" i="75" s="1"/>
  <c r="J26" i="75"/>
  <c r="H26" i="75"/>
  <c r="T25" i="75"/>
  <c r="R25" i="75"/>
  <c r="L25" i="75"/>
  <c r="N25" i="75" s="1"/>
  <c r="J25" i="75"/>
  <c r="H25" i="75"/>
  <c r="T24" i="75"/>
  <c r="R24" i="75"/>
  <c r="L24" i="75"/>
  <c r="N24" i="75" s="1"/>
  <c r="J24" i="75"/>
  <c r="H24" i="75"/>
  <c r="T23" i="75"/>
  <c r="R23" i="75"/>
  <c r="U23" i="75" s="1"/>
  <c r="L23" i="75"/>
  <c r="N23" i="75" s="1"/>
  <c r="J23" i="75"/>
  <c r="H23" i="75"/>
  <c r="T22" i="75"/>
  <c r="R22" i="75"/>
  <c r="L22" i="75"/>
  <c r="N22" i="75" s="1"/>
  <c r="J22" i="75"/>
  <c r="H22" i="75"/>
  <c r="T21" i="75"/>
  <c r="R21" i="75"/>
  <c r="L21" i="75"/>
  <c r="N21" i="75" s="1"/>
  <c r="J21" i="75"/>
  <c r="H21" i="75"/>
  <c r="T20" i="75"/>
  <c r="R20" i="75"/>
  <c r="U20" i="75" s="1"/>
  <c r="L20" i="75"/>
  <c r="N20" i="75" s="1"/>
  <c r="J20" i="75"/>
  <c r="H20" i="75"/>
  <c r="T19" i="75"/>
  <c r="R19" i="75"/>
  <c r="L19" i="75"/>
  <c r="N19" i="75" s="1"/>
  <c r="J19" i="75"/>
  <c r="H19" i="75"/>
  <c r="T18" i="75"/>
  <c r="R18" i="75"/>
  <c r="L18" i="75"/>
  <c r="N18" i="75" s="1"/>
  <c r="J18" i="75"/>
  <c r="H18" i="75"/>
  <c r="T17" i="75"/>
  <c r="R17" i="75"/>
  <c r="U17" i="75" s="1"/>
  <c r="L17" i="75"/>
  <c r="N17" i="75" s="1"/>
  <c r="J17" i="75"/>
  <c r="H17" i="75"/>
  <c r="T16" i="75"/>
  <c r="R16" i="75"/>
  <c r="L16" i="75"/>
  <c r="N16" i="75" s="1"/>
  <c r="J16" i="75"/>
  <c r="H16" i="75"/>
  <c r="T15" i="75"/>
  <c r="R15" i="75"/>
  <c r="L15" i="75"/>
  <c r="N15" i="75" s="1"/>
  <c r="J15" i="75"/>
  <c r="H15" i="75"/>
  <c r="T14" i="75"/>
  <c r="R14" i="75"/>
  <c r="U14" i="75" s="1"/>
  <c r="L14" i="75"/>
  <c r="N14" i="75" s="1"/>
  <c r="J14" i="75"/>
  <c r="T13" i="75"/>
  <c r="R13" i="75"/>
  <c r="L13" i="75"/>
  <c r="N13" i="75" s="1"/>
  <c r="J13" i="75"/>
  <c r="H13" i="75"/>
  <c r="T12" i="75"/>
  <c r="R12" i="75"/>
  <c r="L12" i="75"/>
  <c r="N12" i="75" s="1"/>
  <c r="J12" i="75"/>
  <c r="H12" i="75"/>
  <c r="T11" i="75"/>
  <c r="R11" i="75"/>
  <c r="U11" i="75" s="1"/>
  <c r="L11" i="75"/>
  <c r="N11" i="75" s="1"/>
  <c r="J11" i="75"/>
  <c r="H11" i="75"/>
  <c r="T10" i="75"/>
  <c r="R10" i="75"/>
  <c r="L10" i="75"/>
  <c r="N10" i="75" s="1"/>
  <c r="J10" i="75"/>
  <c r="H10" i="75"/>
  <c r="T9" i="75"/>
  <c r="R9" i="75"/>
  <c r="L9" i="75"/>
  <c r="N9" i="75" s="1"/>
  <c r="J9" i="75"/>
  <c r="H9" i="75"/>
  <c r="T8" i="75"/>
  <c r="R8" i="75"/>
  <c r="U8" i="75" s="1"/>
  <c r="L8" i="75"/>
  <c r="N8" i="75" s="1"/>
  <c r="J8" i="75"/>
  <c r="H8" i="75"/>
  <c r="T7" i="75"/>
  <c r="R7" i="75"/>
  <c r="N7" i="75"/>
  <c r="J7" i="75"/>
  <c r="H7" i="75"/>
  <c r="T6" i="75"/>
  <c r="R6" i="75"/>
  <c r="U6" i="75" s="1"/>
  <c r="N6" i="75"/>
  <c r="J6" i="75"/>
  <c r="H6" i="75"/>
  <c r="T5" i="75"/>
  <c r="R5" i="75"/>
  <c r="L5" i="75"/>
  <c r="N5" i="75" s="1"/>
  <c r="J5" i="75"/>
  <c r="H5" i="75"/>
  <c r="B5" i="75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B18" i="75" s="1"/>
  <c r="B19" i="75" s="1"/>
  <c r="B20" i="75" s="1"/>
  <c r="B21" i="75" s="1"/>
  <c r="B22" i="75" s="1"/>
  <c r="B23" i="75" s="1"/>
  <c r="B24" i="75" s="1"/>
  <c r="B25" i="75" s="1"/>
  <c r="B26" i="75" s="1"/>
  <c r="B27" i="75" s="1"/>
  <c r="B28" i="75" s="1"/>
  <c r="B29" i="75" s="1"/>
  <c r="B30" i="75" s="1"/>
  <c r="B31" i="75" s="1"/>
  <c r="B32" i="75" s="1"/>
  <c r="B33" i="75" s="1"/>
  <c r="B34" i="75" s="1"/>
  <c r="AH4" i="75"/>
  <c r="AH5" i="75" s="1"/>
  <c r="AH6" i="75" s="1"/>
  <c r="AH7" i="75" s="1"/>
  <c r="AH8" i="75" s="1"/>
  <c r="AH9" i="75" s="1"/>
  <c r="AH10" i="75" s="1"/>
  <c r="AH11" i="75" s="1"/>
  <c r="AH12" i="75" s="1"/>
  <c r="AH13" i="75" s="1"/>
  <c r="AH14" i="75" s="1"/>
  <c r="AH15" i="75" s="1"/>
  <c r="AH16" i="75" s="1"/>
  <c r="AH17" i="75" s="1"/>
  <c r="AH18" i="75" s="1"/>
  <c r="AH19" i="75" s="1"/>
  <c r="AH20" i="75" s="1"/>
  <c r="AH21" i="75" s="1"/>
  <c r="AH22" i="75" s="1"/>
  <c r="AH23" i="75" s="1"/>
  <c r="AH24" i="75" s="1"/>
  <c r="AH25" i="75" s="1"/>
  <c r="AH26" i="75" s="1"/>
  <c r="AH27" i="75" s="1"/>
  <c r="AH28" i="75" s="1"/>
  <c r="AH29" i="75" s="1"/>
  <c r="AH30" i="75" s="1"/>
  <c r="AH31" i="75" s="1"/>
  <c r="AH32" i="75" s="1"/>
  <c r="AH33" i="75" s="1"/>
  <c r="AH34" i="75" s="1"/>
  <c r="AF4" i="75"/>
  <c r="AF5" i="75" s="1"/>
  <c r="AF6" i="75" s="1"/>
  <c r="AF7" i="75" s="1"/>
  <c r="AF8" i="75" s="1"/>
  <c r="AF9" i="75" s="1"/>
  <c r="AF10" i="75" s="1"/>
  <c r="AF11" i="75" s="1"/>
  <c r="AF12" i="75" s="1"/>
  <c r="AF13" i="75" s="1"/>
  <c r="AF14" i="75" s="1"/>
  <c r="AF15" i="75" s="1"/>
  <c r="AF16" i="75" s="1"/>
  <c r="AF17" i="75" s="1"/>
  <c r="AF18" i="75" s="1"/>
  <c r="AF19" i="75" s="1"/>
  <c r="AF20" i="75" s="1"/>
  <c r="AF21" i="75" s="1"/>
  <c r="AF22" i="75" s="1"/>
  <c r="AF23" i="75" s="1"/>
  <c r="AF24" i="75" s="1"/>
  <c r="AF25" i="75" s="1"/>
  <c r="AF26" i="75" s="1"/>
  <c r="AF27" i="75" s="1"/>
  <c r="AF28" i="75" s="1"/>
  <c r="AF29" i="75" s="1"/>
  <c r="AF30" i="75" s="1"/>
  <c r="AF31" i="75" s="1"/>
  <c r="AF32" i="75" s="1"/>
  <c r="AF33" i="75" s="1"/>
  <c r="AF34" i="75" s="1"/>
  <c r="AB4" i="75"/>
  <c r="AB5" i="75" s="1"/>
  <c r="AB6" i="75" s="1"/>
  <c r="AB7" i="75" s="1"/>
  <c r="AB8" i="75" s="1"/>
  <c r="AB9" i="75" s="1"/>
  <c r="AB10" i="75" s="1"/>
  <c r="AB11" i="75" s="1"/>
  <c r="AB12" i="75" s="1"/>
  <c r="AB13" i="75" s="1"/>
  <c r="AB14" i="75" s="1"/>
  <c r="AB15" i="75" s="1"/>
  <c r="AB16" i="75" s="1"/>
  <c r="AB17" i="75" s="1"/>
  <c r="AB18" i="75" s="1"/>
  <c r="AB19" i="75" s="1"/>
  <c r="AB20" i="75" s="1"/>
  <c r="AB21" i="75" s="1"/>
  <c r="AB22" i="75" s="1"/>
  <c r="AB23" i="75" s="1"/>
  <c r="AB24" i="75" s="1"/>
  <c r="AB25" i="75" s="1"/>
  <c r="AB26" i="75" s="1"/>
  <c r="AB27" i="75" s="1"/>
  <c r="AB28" i="75" s="1"/>
  <c r="AB29" i="75" s="1"/>
  <c r="AB30" i="75" s="1"/>
  <c r="AB31" i="75" s="1"/>
  <c r="AB32" i="75" s="1"/>
  <c r="AB33" i="75" s="1"/>
  <c r="AB34" i="75" s="1"/>
  <c r="T4" i="75"/>
  <c r="R4" i="75"/>
  <c r="AC4" i="75" s="1"/>
  <c r="L4" i="75"/>
  <c r="J4" i="75"/>
  <c r="H4" i="75"/>
  <c r="AA4" i="75" s="1"/>
  <c r="P3" i="75"/>
  <c r="U4" i="75" l="1"/>
  <c r="V4" i="75" s="1"/>
  <c r="V17" i="75"/>
  <c r="V26" i="75"/>
  <c r="V11" i="75"/>
  <c r="V20" i="75"/>
  <c r="V14" i="75"/>
  <c r="V23" i="75"/>
  <c r="X32" i="75"/>
  <c r="X26" i="75"/>
  <c r="V6" i="75"/>
  <c r="V8" i="75"/>
  <c r="AA5" i="75"/>
  <c r="AA6" i="75" s="1"/>
  <c r="AA7" i="75" s="1"/>
  <c r="AA8" i="75" s="1"/>
  <c r="AA9" i="75" s="1"/>
  <c r="AA10" i="75" s="1"/>
  <c r="AA11" i="75" s="1"/>
  <c r="AA12" i="75" s="1"/>
  <c r="AA13" i="75" s="1"/>
  <c r="AA14" i="75" s="1"/>
  <c r="AA15" i="75" s="1"/>
  <c r="AA16" i="75" s="1"/>
  <c r="AA17" i="75" s="1"/>
  <c r="AA18" i="75" s="1"/>
  <c r="AA19" i="75" s="1"/>
  <c r="AA20" i="75" s="1"/>
  <c r="AA21" i="75" s="1"/>
  <c r="AA22" i="75" s="1"/>
  <c r="AA23" i="75" s="1"/>
  <c r="AA24" i="75" s="1"/>
  <c r="AA25" i="75" s="1"/>
  <c r="AA26" i="75" s="1"/>
  <c r="AA27" i="75" s="1"/>
  <c r="AA28" i="75" s="1"/>
  <c r="AA29" i="75" s="1"/>
  <c r="AA30" i="75" s="1"/>
  <c r="AA31" i="75" s="1"/>
  <c r="AA32" i="75" s="1"/>
  <c r="AA33" i="75" s="1"/>
  <c r="AA34" i="75" s="1"/>
  <c r="X11" i="75"/>
  <c r="V29" i="75"/>
  <c r="X29" i="75" s="1"/>
  <c r="X17" i="75"/>
  <c r="AC5" i="75"/>
  <c r="AC6" i="75" s="1"/>
  <c r="AC7" i="75" s="1"/>
  <c r="AC8" i="75" s="1"/>
  <c r="AC9" i="75" s="1"/>
  <c r="AC10" i="75" s="1"/>
  <c r="AC11" i="75" s="1"/>
  <c r="AC12" i="75" s="1"/>
  <c r="AC13" i="75" s="1"/>
  <c r="AC14" i="75" s="1"/>
  <c r="AC15" i="75" s="1"/>
  <c r="AC16" i="75" s="1"/>
  <c r="AC17" i="75" s="1"/>
  <c r="AC18" i="75" s="1"/>
  <c r="AC19" i="75" s="1"/>
  <c r="AC20" i="75" s="1"/>
  <c r="AC21" i="75" s="1"/>
  <c r="AC22" i="75" s="1"/>
  <c r="AC23" i="75" s="1"/>
  <c r="AC24" i="75" s="1"/>
  <c r="AC25" i="75" s="1"/>
  <c r="AC26" i="75" s="1"/>
  <c r="AC27" i="75" s="1"/>
  <c r="AC28" i="75" s="1"/>
  <c r="AC29" i="75" s="1"/>
  <c r="AC30" i="75" s="1"/>
  <c r="AC31" i="75" s="1"/>
  <c r="AC32" i="75" s="1"/>
  <c r="AC33" i="75" s="1"/>
  <c r="AC34" i="75" s="1"/>
  <c r="U5" i="75"/>
  <c r="X23" i="75"/>
  <c r="T37" i="75"/>
  <c r="H46" i="75" s="1"/>
  <c r="X14" i="75"/>
  <c r="J37" i="75"/>
  <c r="L37" i="75"/>
  <c r="N4" i="75"/>
  <c r="X9" i="75"/>
  <c r="X20" i="75"/>
  <c r="R37" i="75"/>
  <c r="H44" i="75" s="1"/>
  <c r="X6" i="75"/>
  <c r="X8" i="75"/>
  <c r="H37" i="75"/>
  <c r="H40" i="75" s="1"/>
  <c r="X7" i="75"/>
  <c r="U7" i="75"/>
  <c r="V7" i="75" s="1"/>
  <c r="U10" i="75"/>
  <c r="V10" i="75" s="1"/>
  <c r="U13" i="75"/>
  <c r="V13" i="75" s="1"/>
  <c r="U16" i="75"/>
  <c r="V16" i="75" s="1"/>
  <c r="U19" i="75"/>
  <c r="V19" i="75" s="1"/>
  <c r="U22" i="75"/>
  <c r="V22" i="75" s="1"/>
  <c r="U25" i="75"/>
  <c r="V25" i="75" s="1"/>
  <c r="U28" i="75"/>
  <c r="V28" i="75" s="1"/>
  <c r="X33" i="75"/>
  <c r="X34" i="75"/>
  <c r="U9" i="75"/>
  <c r="V9" i="75" s="1"/>
  <c r="U12" i="75"/>
  <c r="V12" i="75" s="1"/>
  <c r="U15" i="75"/>
  <c r="V15" i="75" s="1"/>
  <c r="U18" i="75"/>
  <c r="V18" i="75" s="1"/>
  <c r="U21" i="75"/>
  <c r="V21" i="75" s="1"/>
  <c r="U24" i="75"/>
  <c r="V24" i="75" s="1"/>
  <c r="U27" i="75"/>
  <c r="V27" i="75" s="1"/>
  <c r="V30" i="75"/>
  <c r="S37" i="74"/>
  <c r="H47" i="74" s="1"/>
  <c r="Q37" i="74"/>
  <c r="M37" i="74"/>
  <c r="K37" i="74"/>
  <c r="I37" i="74"/>
  <c r="G37" i="74"/>
  <c r="F37" i="74"/>
  <c r="E37" i="74"/>
  <c r="D37" i="74"/>
  <c r="C37" i="74"/>
  <c r="H35" i="74"/>
  <c r="T34" i="74"/>
  <c r="R34" i="74"/>
  <c r="U34" i="74" s="1"/>
  <c r="N34" i="74"/>
  <c r="T33" i="74"/>
  <c r="R33" i="74"/>
  <c r="N33" i="74"/>
  <c r="T32" i="74"/>
  <c r="R32" i="74"/>
  <c r="N32" i="74"/>
  <c r="T31" i="74"/>
  <c r="R31" i="74"/>
  <c r="U31" i="74" s="1"/>
  <c r="N31" i="74"/>
  <c r="T30" i="74"/>
  <c r="R30" i="74"/>
  <c r="N30" i="74"/>
  <c r="T29" i="74"/>
  <c r="R29" i="74"/>
  <c r="N29" i="74"/>
  <c r="T28" i="74"/>
  <c r="R28" i="74"/>
  <c r="U28" i="74" s="1"/>
  <c r="N28" i="74"/>
  <c r="T27" i="74"/>
  <c r="R27" i="74"/>
  <c r="N27" i="74"/>
  <c r="T26" i="74"/>
  <c r="R26" i="74"/>
  <c r="N26" i="74"/>
  <c r="T25" i="74"/>
  <c r="R25" i="74"/>
  <c r="U25" i="74" s="1"/>
  <c r="N25" i="74"/>
  <c r="T24" i="74"/>
  <c r="R24" i="74"/>
  <c r="N24" i="74"/>
  <c r="T23" i="74"/>
  <c r="R23" i="74"/>
  <c r="N23" i="74"/>
  <c r="T22" i="74"/>
  <c r="R22" i="74"/>
  <c r="U22" i="74" s="1"/>
  <c r="N22" i="74"/>
  <c r="T21" i="74"/>
  <c r="R21" i="74"/>
  <c r="N21" i="74"/>
  <c r="T20" i="74"/>
  <c r="R20" i="74"/>
  <c r="U20" i="74" s="1"/>
  <c r="N20" i="74"/>
  <c r="T19" i="74"/>
  <c r="R19" i="74"/>
  <c r="U19" i="74" s="1"/>
  <c r="N19" i="74"/>
  <c r="T18" i="74"/>
  <c r="R18" i="74"/>
  <c r="N18" i="74"/>
  <c r="T17" i="74"/>
  <c r="R17" i="74"/>
  <c r="U17" i="74" s="1"/>
  <c r="N17" i="74"/>
  <c r="T16" i="74"/>
  <c r="R16" i="74"/>
  <c r="U16" i="74" s="1"/>
  <c r="N16" i="74"/>
  <c r="T15" i="74"/>
  <c r="R15" i="74"/>
  <c r="N15" i="74"/>
  <c r="T14" i="74"/>
  <c r="R14" i="74"/>
  <c r="N14" i="74"/>
  <c r="T13" i="74"/>
  <c r="R13" i="74"/>
  <c r="U13" i="74" s="1"/>
  <c r="N13" i="74"/>
  <c r="T12" i="74"/>
  <c r="R12" i="74"/>
  <c r="N12" i="74"/>
  <c r="T11" i="74"/>
  <c r="R11" i="74"/>
  <c r="U11" i="74" s="1"/>
  <c r="N11" i="74"/>
  <c r="T10" i="74"/>
  <c r="R10" i="74"/>
  <c r="U10" i="74" s="1"/>
  <c r="N10" i="74"/>
  <c r="T9" i="74"/>
  <c r="R9" i="74"/>
  <c r="N9" i="74"/>
  <c r="T8" i="74"/>
  <c r="R8" i="74"/>
  <c r="U8" i="74" s="1"/>
  <c r="N8" i="74"/>
  <c r="T7" i="74"/>
  <c r="R7" i="74"/>
  <c r="U7" i="74" s="1"/>
  <c r="N7" i="74"/>
  <c r="T6" i="74"/>
  <c r="R6" i="74"/>
  <c r="T5" i="74"/>
  <c r="R5" i="74"/>
  <c r="U5" i="74" s="1"/>
  <c r="N5" i="74"/>
  <c r="H5" i="74"/>
  <c r="B5" i="74"/>
  <c r="AH4" i="74"/>
  <c r="AH5" i="74" s="1"/>
  <c r="AH6" i="74" s="1"/>
  <c r="AH7" i="74" s="1"/>
  <c r="AH8" i="74" s="1"/>
  <c r="AH9" i="74" s="1"/>
  <c r="AH10" i="74" s="1"/>
  <c r="AH11" i="74" s="1"/>
  <c r="AH12" i="74" s="1"/>
  <c r="AH13" i="74" s="1"/>
  <c r="AH14" i="74" s="1"/>
  <c r="AH15" i="74" s="1"/>
  <c r="AH16" i="74" s="1"/>
  <c r="AH17" i="74" s="1"/>
  <c r="AH18" i="74" s="1"/>
  <c r="AH19" i="74" s="1"/>
  <c r="AH20" i="74" s="1"/>
  <c r="AH21" i="74" s="1"/>
  <c r="AH22" i="74" s="1"/>
  <c r="AH23" i="74" s="1"/>
  <c r="AH24" i="74" s="1"/>
  <c r="AH25" i="74" s="1"/>
  <c r="AH26" i="74" s="1"/>
  <c r="AH27" i="74" s="1"/>
  <c r="AH28" i="74" s="1"/>
  <c r="AH29" i="74" s="1"/>
  <c r="AH30" i="74" s="1"/>
  <c r="AH31" i="74" s="1"/>
  <c r="AH32" i="74" s="1"/>
  <c r="AH33" i="74" s="1"/>
  <c r="AH34" i="74" s="1"/>
  <c r="AF4" i="74"/>
  <c r="AF5" i="74" s="1"/>
  <c r="AF6" i="74" s="1"/>
  <c r="AF7" i="74" s="1"/>
  <c r="AF8" i="74" s="1"/>
  <c r="AF9" i="74" s="1"/>
  <c r="AF10" i="74" s="1"/>
  <c r="AF11" i="74" s="1"/>
  <c r="AF12" i="74" s="1"/>
  <c r="AF13" i="74" s="1"/>
  <c r="AF14" i="74" s="1"/>
  <c r="AF15" i="74" s="1"/>
  <c r="AF16" i="74" s="1"/>
  <c r="AF17" i="74" s="1"/>
  <c r="AF18" i="74" s="1"/>
  <c r="AF19" i="74" s="1"/>
  <c r="AF20" i="74" s="1"/>
  <c r="AF21" i="74" s="1"/>
  <c r="AF22" i="74" s="1"/>
  <c r="AF23" i="74" s="1"/>
  <c r="AF24" i="74" s="1"/>
  <c r="AF25" i="74" s="1"/>
  <c r="AF26" i="74" s="1"/>
  <c r="AF27" i="74" s="1"/>
  <c r="AF28" i="74" s="1"/>
  <c r="AF29" i="74" s="1"/>
  <c r="AF30" i="74" s="1"/>
  <c r="AF31" i="74" s="1"/>
  <c r="AF32" i="74" s="1"/>
  <c r="AF33" i="74" s="1"/>
  <c r="AF34" i="74" s="1"/>
  <c r="AB4" i="74"/>
  <c r="AB5" i="74" s="1"/>
  <c r="AB6" i="74" s="1"/>
  <c r="AB7" i="74" s="1"/>
  <c r="AB8" i="74" s="1"/>
  <c r="AB9" i="74" s="1"/>
  <c r="AB10" i="74" s="1"/>
  <c r="AB11" i="74" s="1"/>
  <c r="AB12" i="74" s="1"/>
  <c r="AB13" i="74" s="1"/>
  <c r="AB14" i="74" s="1"/>
  <c r="AB15" i="74" s="1"/>
  <c r="AB16" i="74" s="1"/>
  <c r="AB17" i="74" s="1"/>
  <c r="AB18" i="74" s="1"/>
  <c r="AB19" i="74" s="1"/>
  <c r="AB20" i="74" s="1"/>
  <c r="AB21" i="74" s="1"/>
  <c r="AB22" i="74" s="1"/>
  <c r="AB23" i="74" s="1"/>
  <c r="AB24" i="74" s="1"/>
  <c r="AB25" i="74" s="1"/>
  <c r="AB26" i="74" s="1"/>
  <c r="AB27" i="74" s="1"/>
  <c r="AB28" i="74" s="1"/>
  <c r="AB29" i="74" s="1"/>
  <c r="AB30" i="74" s="1"/>
  <c r="AB31" i="74" s="1"/>
  <c r="AB32" i="74" s="1"/>
  <c r="AB33" i="74" s="1"/>
  <c r="AB34" i="74" s="1"/>
  <c r="T4" i="74"/>
  <c r="R4" i="74"/>
  <c r="U4" i="74" s="1"/>
  <c r="H4" i="74"/>
  <c r="AA4" i="74" s="1"/>
  <c r="P3" i="74"/>
  <c r="P6" i="74" s="1"/>
  <c r="V13" i="74" l="1"/>
  <c r="W13" i="74" s="1"/>
  <c r="V19" i="74"/>
  <c r="W19" i="74" s="1"/>
  <c r="O7" i="74"/>
  <c r="P7" i="74"/>
  <c r="P9" i="74"/>
  <c r="O9" i="74"/>
  <c r="O11" i="74"/>
  <c r="P11" i="74"/>
  <c r="O13" i="74"/>
  <c r="X13" i="74" s="1"/>
  <c r="P13" i="74"/>
  <c r="P15" i="74"/>
  <c r="O15" i="74"/>
  <c r="O17" i="74"/>
  <c r="P17" i="74"/>
  <c r="O19" i="74"/>
  <c r="X19" i="74" s="1"/>
  <c r="P19" i="74"/>
  <c r="P21" i="74"/>
  <c r="O21" i="74"/>
  <c r="O23" i="74"/>
  <c r="P23" i="74"/>
  <c r="O25" i="74"/>
  <c r="P25" i="74"/>
  <c r="P27" i="74"/>
  <c r="O27" i="74"/>
  <c r="O29" i="74"/>
  <c r="P29" i="74"/>
  <c r="O31" i="74"/>
  <c r="P31" i="74"/>
  <c r="P33" i="74"/>
  <c r="O33" i="74"/>
  <c r="O8" i="74"/>
  <c r="P8" i="74"/>
  <c r="P10" i="74"/>
  <c r="O10" i="74"/>
  <c r="O12" i="74"/>
  <c r="P12" i="74"/>
  <c r="P14" i="74"/>
  <c r="O14" i="74"/>
  <c r="P16" i="74"/>
  <c r="O16" i="74"/>
  <c r="O18" i="74"/>
  <c r="P18" i="74"/>
  <c r="P20" i="74"/>
  <c r="O20" i="74"/>
  <c r="P22" i="74"/>
  <c r="O22" i="74"/>
  <c r="O24" i="74"/>
  <c r="P24" i="74"/>
  <c r="P26" i="74"/>
  <c r="O26" i="74"/>
  <c r="P28" i="74"/>
  <c r="O28" i="74"/>
  <c r="O30" i="74"/>
  <c r="P30" i="74"/>
  <c r="O32" i="74"/>
  <c r="P32" i="74"/>
  <c r="O34" i="74"/>
  <c r="P34" i="74"/>
  <c r="P5" i="74"/>
  <c r="O5" i="74"/>
  <c r="AE4" i="74"/>
  <c r="AE5" i="74" s="1"/>
  <c r="AE6" i="74" s="1"/>
  <c r="AE7" i="74" s="1"/>
  <c r="AE8" i="74" s="1"/>
  <c r="AE9" i="74" s="1"/>
  <c r="AE10" i="74" s="1"/>
  <c r="AE11" i="74" s="1"/>
  <c r="AE12" i="74" s="1"/>
  <c r="AE13" i="74" s="1"/>
  <c r="AE14" i="74" s="1"/>
  <c r="AE15" i="74" s="1"/>
  <c r="AE16" i="74" s="1"/>
  <c r="AE17" i="74" s="1"/>
  <c r="AE18" i="74" s="1"/>
  <c r="AE19" i="74" s="1"/>
  <c r="AE20" i="74" s="1"/>
  <c r="AE21" i="74" s="1"/>
  <c r="AE22" i="74" s="1"/>
  <c r="AE23" i="74" s="1"/>
  <c r="AE24" i="74" s="1"/>
  <c r="AE25" i="74" s="1"/>
  <c r="AE26" i="74" s="1"/>
  <c r="AE27" i="74" s="1"/>
  <c r="AE28" i="74" s="1"/>
  <c r="AE29" i="74" s="1"/>
  <c r="AE30" i="74" s="1"/>
  <c r="AE31" i="74" s="1"/>
  <c r="P4" i="74"/>
  <c r="O4" i="74"/>
  <c r="V10" i="74"/>
  <c r="W10" i="74" s="1"/>
  <c r="V7" i="74"/>
  <c r="W7" i="74" s="1"/>
  <c r="V5" i="74"/>
  <c r="W5" i="74" s="1"/>
  <c r="V11" i="74"/>
  <c r="W11" i="74" s="1"/>
  <c r="V25" i="74"/>
  <c r="W25" i="74" s="1"/>
  <c r="V31" i="74"/>
  <c r="W31" i="74" s="1"/>
  <c r="AA5" i="74"/>
  <c r="AA6" i="74" s="1"/>
  <c r="AA7" i="74" s="1"/>
  <c r="AA8" i="74" s="1"/>
  <c r="AA9" i="74" s="1"/>
  <c r="AA10" i="74" s="1"/>
  <c r="AA11" i="74" s="1"/>
  <c r="AA12" i="74" s="1"/>
  <c r="AA13" i="74" s="1"/>
  <c r="AA14" i="74" s="1"/>
  <c r="AA15" i="74" s="1"/>
  <c r="AA16" i="74" s="1"/>
  <c r="AA17" i="74" s="1"/>
  <c r="AA18" i="74" s="1"/>
  <c r="AA19" i="74" s="1"/>
  <c r="AA20" i="74" s="1"/>
  <c r="AA21" i="74" s="1"/>
  <c r="AA22" i="74" s="1"/>
  <c r="AA23" i="74" s="1"/>
  <c r="AA24" i="74" s="1"/>
  <c r="AA25" i="74" s="1"/>
  <c r="AA26" i="74" s="1"/>
  <c r="AA27" i="74" s="1"/>
  <c r="AA28" i="74" s="1"/>
  <c r="AA29" i="74" s="1"/>
  <c r="AA30" i="74" s="1"/>
  <c r="AA31" i="74" s="1"/>
  <c r="AC4" i="74"/>
  <c r="AC5" i="74" s="1"/>
  <c r="AC6" i="74" s="1"/>
  <c r="AC7" i="74" s="1"/>
  <c r="AC8" i="74" s="1"/>
  <c r="AC9" i="74" s="1"/>
  <c r="AC10" i="74" s="1"/>
  <c r="AC11" i="74" s="1"/>
  <c r="AC12" i="74" s="1"/>
  <c r="AC13" i="74" s="1"/>
  <c r="AC14" i="74" s="1"/>
  <c r="AC15" i="74" s="1"/>
  <c r="AC16" i="74" s="1"/>
  <c r="AC17" i="74" s="1"/>
  <c r="AC18" i="74" s="1"/>
  <c r="AC19" i="74" s="1"/>
  <c r="AC20" i="74" s="1"/>
  <c r="AC21" i="74" s="1"/>
  <c r="AC22" i="74" s="1"/>
  <c r="AC23" i="74" s="1"/>
  <c r="AC24" i="74" s="1"/>
  <c r="AC25" i="74" s="1"/>
  <c r="AC26" i="74" s="1"/>
  <c r="AC27" i="74" s="1"/>
  <c r="AC28" i="74" s="1"/>
  <c r="AC29" i="74" s="1"/>
  <c r="V22" i="74"/>
  <c r="W22" i="74" s="1"/>
  <c r="V28" i="74"/>
  <c r="W28" i="74" s="1"/>
  <c r="V34" i="74"/>
  <c r="W34" i="74" s="1"/>
  <c r="H48" i="75"/>
  <c r="V16" i="74"/>
  <c r="W16" i="74" s="1"/>
  <c r="V4" i="74"/>
  <c r="W4" i="74" s="1"/>
  <c r="B6" i="74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B19" i="74" s="1"/>
  <c r="B20" i="74" s="1"/>
  <c r="B21" i="74" s="1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H37" i="74"/>
  <c r="H40" i="74" s="1"/>
  <c r="T37" i="74"/>
  <c r="H48" i="74" s="1"/>
  <c r="H49" i="74" s="1"/>
  <c r="V20" i="74"/>
  <c r="W20" i="74" s="1"/>
  <c r="F12" i="41"/>
  <c r="U37" i="75"/>
  <c r="X12" i="75"/>
  <c r="P37" i="75"/>
  <c r="AE4" i="75"/>
  <c r="AE5" i="75" s="1"/>
  <c r="AE6" i="75" s="1"/>
  <c r="AE7" i="75" s="1"/>
  <c r="AE8" i="75" s="1"/>
  <c r="AE9" i="75" s="1"/>
  <c r="AE10" i="75" s="1"/>
  <c r="AE11" i="75" s="1"/>
  <c r="AE12" i="75" s="1"/>
  <c r="AE13" i="75" s="1"/>
  <c r="AE14" i="75" s="1"/>
  <c r="AE15" i="75" s="1"/>
  <c r="AE16" i="75" s="1"/>
  <c r="AE17" i="75" s="1"/>
  <c r="AE18" i="75" s="1"/>
  <c r="AE19" i="75" s="1"/>
  <c r="AE20" i="75" s="1"/>
  <c r="AE21" i="75" s="1"/>
  <c r="AE22" i="75" s="1"/>
  <c r="AE23" i="75" s="1"/>
  <c r="AE24" i="75" s="1"/>
  <c r="AE25" i="75" s="1"/>
  <c r="AE26" i="75" s="1"/>
  <c r="AE27" i="75" s="1"/>
  <c r="AE28" i="75" s="1"/>
  <c r="AE29" i="75" s="1"/>
  <c r="AE30" i="75" s="1"/>
  <c r="AE31" i="75" s="1"/>
  <c r="AE32" i="75" s="1"/>
  <c r="AE33" i="75" s="1"/>
  <c r="AE34" i="75" s="1"/>
  <c r="N37" i="75"/>
  <c r="H41" i="75" s="1"/>
  <c r="H50" i="75" s="1"/>
  <c r="H52" i="75" s="1"/>
  <c r="V5" i="75"/>
  <c r="X31" i="75"/>
  <c r="X13" i="75"/>
  <c r="X10" i="75"/>
  <c r="X30" i="75"/>
  <c r="X18" i="75"/>
  <c r="X25" i="75"/>
  <c r="X15" i="75"/>
  <c r="X22" i="75"/>
  <c r="X19" i="75"/>
  <c r="X16" i="75"/>
  <c r="X28" i="75"/>
  <c r="X24" i="75"/>
  <c r="X21" i="75"/>
  <c r="X27" i="75"/>
  <c r="R37" i="74"/>
  <c r="H44" i="74" s="1"/>
  <c r="H45" i="74" s="1"/>
  <c r="U14" i="74"/>
  <c r="V14" i="74" s="1"/>
  <c r="W14" i="74" s="1"/>
  <c r="U15" i="74"/>
  <c r="V15" i="74" s="1"/>
  <c r="W15" i="74" s="1"/>
  <c r="V8" i="74"/>
  <c r="W8" i="74" s="1"/>
  <c r="U9" i="74"/>
  <c r="V9" i="74" s="1"/>
  <c r="W9" i="74" s="1"/>
  <c r="V17" i="74"/>
  <c r="W17" i="74" s="1"/>
  <c r="U18" i="74"/>
  <c r="V18" i="74" s="1"/>
  <c r="W18" i="74" s="1"/>
  <c r="L37" i="74"/>
  <c r="U23" i="74"/>
  <c r="V23" i="74" s="1"/>
  <c r="W23" i="74" s="1"/>
  <c r="U32" i="74"/>
  <c r="V32" i="74" s="1"/>
  <c r="W32" i="74" s="1"/>
  <c r="N37" i="74"/>
  <c r="H41" i="74" s="1"/>
  <c r="H42" i="74" s="1"/>
  <c r="U12" i="74"/>
  <c r="V12" i="74" s="1"/>
  <c r="W12" i="74" s="1"/>
  <c r="U29" i="74"/>
  <c r="V29" i="74" s="1"/>
  <c r="W29" i="74" s="1"/>
  <c r="U6" i="74"/>
  <c r="V6" i="74" s="1"/>
  <c r="W6" i="74" s="1"/>
  <c r="U21" i="74"/>
  <c r="V21" i="74" s="1"/>
  <c r="W21" i="74" s="1"/>
  <c r="U26" i="74"/>
  <c r="V26" i="74" s="1"/>
  <c r="W26" i="74" s="1"/>
  <c r="U24" i="74"/>
  <c r="V24" i="74" s="1"/>
  <c r="W24" i="74" s="1"/>
  <c r="U27" i="74"/>
  <c r="V27" i="74" s="1"/>
  <c r="W27" i="74" s="1"/>
  <c r="U30" i="74"/>
  <c r="V30" i="74" s="1"/>
  <c r="W30" i="74" s="1"/>
  <c r="U33" i="74"/>
  <c r="V33" i="74" s="1"/>
  <c r="W33" i="74" s="1"/>
  <c r="P12" i="41" l="1"/>
  <c r="U12" i="41" s="1"/>
  <c r="X7" i="74"/>
  <c r="J12" i="41"/>
  <c r="X5" i="74"/>
  <c r="S12" i="41"/>
  <c r="Q12" i="41"/>
  <c r="AB12" i="41" s="1"/>
  <c r="X10" i="74"/>
  <c r="X34" i="74"/>
  <c r="X25" i="74"/>
  <c r="X11" i="74"/>
  <c r="X31" i="74"/>
  <c r="X22" i="74"/>
  <c r="X20" i="74"/>
  <c r="X16" i="74"/>
  <c r="K12" i="41"/>
  <c r="G12" i="41"/>
  <c r="H12" i="41"/>
  <c r="X28" i="74"/>
  <c r="X12" i="74"/>
  <c r="X9" i="74"/>
  <c r="X33" i="74"/>
  <c r="L12" i="41"/>
  <c r="N12" i="41" s="1"/>
  <c r="R12" i="41"/>
  <c r="W12" i="41" s="1"/>
  <c r="X12" i="41" s="1"/>
  <c r="X26" i="74"/>
  <c r="X17" i="74"/>
  <c r="AA32" i="74"/>
  <c r="AA33" i="74" s="1"/>
  <c r="AA34" i="74" s="1"/>
  <c r="AE32" i="74"/>
  <c r="AE33" i="74" s="1"/>
  <c r="AE34" i="74" s="1"/>
  <c r="AC30" i="74"/>
  <c r="AC31" i="74" s="1"/>
  <c r="AC32" i="74" s="1"/>
  <c r="AC33" i="74" s="1"/>
  <c r="AC34" i="74" s="1"/>
  <c r="U37" i="74"/>
  <c r="X5" i="75"/>
  <c r="V37" i="75"/>
  <c r="X4" i="75"/>
  <c r="O37" i="75"/>
  <c r="W37" i="75"/>
  <c r="AD4" i="75"/>
  <c r="AD5" i="75" s="1"/>
  <c r="AD6" i="75" s="1"/>
  <c r="AD7" i="75" s="1"/>
  <c r="AD8" i="75" s="1"/>
  <c r="AD9" i="75" s="1"/>
  <c r="AD10" i="75" s="1"/>
  <c r="AD11" i="75" s="1"/>
  <c r="AD12" i="75" s="1"/>
  <c r="AD13" i="75" s="1"/>
  <c r="AD14" i="75" s="1"/>
  <c r="AD15" i="75" s="1"/>
  <c r="AD16" i="75" s="1"/>
  <c r="AD17" i="75" s="1"/>
  <c r="AD18" i="75" s="1"/>
  <c r="AD19" i="75" s="1"/>
  <c r="AD20" i="75" s="1"/>
  <c r="AD21" i="75" s="1"/>
  <c r="AD22" i="75" s="1"/>
  <c r="AD23" i="75" s="1"/>
  <c r="AD24" i="75" s="1"/>
  <c r="AD25" i="75" s="1"/>
  <c r="AD26" i="75" s="1"/>
  <c r="AD27" i="75" s="1"/>
  <c r="AD28" i="75" s="1"/>
  <c r="AD29" i="75" s="1"/>
  <c r="AD30" i="75" s="1"/>
  <c r="AD31" i="75" s="1"/>
  <c r="AD32" i="75" s="1"/>
  <c r="AD33" i="75" s="1"/>
  <c r="AD34" i="75" s="1"/>
  <c r="X24" i="74"/>
  <c r="X18" i="74"/>
  <c r="W37" i="74"/>
  <c r="AD4" i="74"/>
  <c r="AD5" i="74" s="1"/>
  <c r="AD6" i="74" s="1"/>
  <c r="AD7" i="74" s="1"/>
  <c r="AD8" i="74" s="1"/>
  <c r="AD9" i="74" s="1"/>
  <c r="AD10" i="74" s="1"/>
  <c r="AD11" i="74" s="1"/>
  <c r="AD12" i="74" s="1"/>
  <c r="AD13" i="74" s="1"/>
  <c r="AD14" i="74" s="1"/>
  <c r="AD15" i="74" s="1"/>
  <c r="AD16" i="74" s="1"/>
  <c r="AD17" i="74" s="1"/>
  <c r="AD18" i="74" s="1"/>
  <c r="AD19" i="74" s="1"/>
  <c r="AD20" i="74" s="1"/>
  <c r="AD21" i="74" s="1"/>
  <c r="AD22" i="74" s="1"/>
  <c r="AD23" i="74" s="1"/>
  <c r="AD24" i="74" s="1"/>
  <c r="AD25" i="74" s="1"/>
  <c r="AD26" i="74" s="1"/>
  <c r="AD27" i="74" s="1"/>
  <c r="AD28" i="74" s="1"/>
  <c r="AD29" i="74" s="1"/>
  <c r="X14" i="74"/>
  <c r="X15" i="74"/>
  <c r="V37" i="74"/>
  <c r="X21" i="74"/>
  <c r="O37" i="74"/>
  <c r="X4" i="74"/>
  <c r="X30" i="74"/>
  <c r="X8" i="74"/>
  <c r="X32" i="74"/>
  <c r="X23" i="74"/>
  <c r="H46" i="74"/>
  <c r="H51" i="74" s="1"/>
  <c r="H53" i="74" s="1"/>
  <c r="H55" i="74" s="1"/>
  <c r="X29" i="74"/>
  <c r="X6" i="74"/>
  <c r="P37" i="74"/>
  <c r="X27" i="74"/>
  <c r="I12" i="41" l="1"/>
  <c r="M12" i="41"/>
  <c r="O12" i="41" s="1"/>
  <c r="V12" i="41"/>
  <c r="Y12" i="41" s="1"/>
  <c r="C12" i="41" s="1"/>
  <c r="T12" i="41"/>
  <c r="Z12" i="41" s="1"/>
  <c r="AA12" i="41" s="1"/>
  <c r="X37" i="75"/>
  <c r="AD30" i="74"/>
  <c r="AD31" i="74" s="1"/>
  <c r="AD32" i="74" s="1"/>
  <c r="AD33" i="74" s="1"/>
  <c r="AD34" i="74" s="1"/>
  <c r="X37" i="74"/>
  <c r="N25" i="58"/>
  <c r="O25" i="58" s="1"/>
  <c r="AC12" i="41" l="1"/>
  <c r="AD12" i="41" s="1"/>
  <c r="D12" i="41" s="1"/>
  <c r="S37" i="73" l="1"/>
  <c r="H47" i="73" s="1"/>
  <c r="Q37" i="73"/>
  <c r="M37" i="73"/>
  <c r="K37" i="73"/>
  <c r="I37" i="73"/>
  <c r="G37" i="73"/>
  <c r="F37" i="73"/>
  <c r="E37" i="73"/>
  <c r="D37" i="73"/>
  <c r="C37" i="73"/>
  <c r="J35" i="73"/>
  <c r="H35" i="73"/>
  <c r="T34" i="73"/>
  <c r="R34" i="73"/>
  <c r="L34" i="73"/>
  <c r="N34" i="73" s="1"/>
  <c r="J34" i="73"/>
  <c r="H34" i="73"/>
  <c r="T33" i="73"/>
  <c r="R33" i="73"/>
  <c r="L33" i="73"/>
  <c r="N33" i="73" s="1"/>
  <c r="J33" i="73"/>
  <c r="H33" i="73"/>
  <c r="T32" i="73"/>
  <c r="R32" i="73"/>
  <c r="U32" i="73" s="1"/>
  <c r="L32" i="73"/>
  <c r="N32" i="73" s="1"/>
  <c r="J32" i="73"/>
  <c r="H32" i="73"/>
  <c r="T31" i="73"/>
  <c r="R31" i="73"/>
  <c r="L31" i="73"/>
  <c r="N31" i="73" s="1"/>
  <c r="J31" i="73"/>
  <c r="H31" i="73"/>
  <c r="T30" i="73"/>
  <c r="R30" i="73"/>
  <c r="L30" i="73"/>
  <c r="N30" i="73" s="1"/>
  <c r="J30" i="73"/>
  <c r="H30" i="73"/>
  <c r="T29" i="73"/>
  <c r="R29" i="73"/>
  <c r="U29" i="73" s="1"/>
  <c r="L29" i="73"/>
  <c r="N29" i="73" s="1"/>
  <c r="J29" i="73"/>
  <c r="H29" i="73"/>
  <c r="T28" i="73"/>
  <c r="R28" i="73"/>
  <c r="L28" i="73"/>
  <c r="N28" i="73" s="1"/>
  <c r="J28" i="73"/>
  <c r="H28" i="73"/>
  <c r="T27" i="73"/>
  <c r="R27" i="73"/>
  <c r="L27" i="73"/>
  <c r="N27" i="73" s="1"/>
  <c r="J27" i="73"/>
  <c r="H27" i="73"/>
  <c r="T26" i="73"/>
  <c r="R26" i="73"/>
  <c r="U26" i="73" s="1"/>
  <c r="L26" i="73"/>
  <c r="N26" i="73" s="1"/>
  <c r="J26" i="73"/>
  <c r="H26" i="73"/>
  <c r="T25" i="73"/>
  <c r="R25" i="73"/>
  <c r="L25" i="73"/>
  <c r="N25" i="73" s="1"/>
  <c r="J25" i="73"/>
  <c r="H25" i="73"/>
  <c r="T24" i="73"/>
  <c r="R24" i="73"/>
  <c r="L24" i="73"/>
  <c r="N24" i="73" s="1"/>
  <c r="J24" i="73"/>
  <c r="H24" i="73"/>
  <c r="T23" i="73"/>
  <c r="R23" i="73"/>
  <c r="U23" i="73" s="1"/>
  <c r="L23" i="73"/>
  <c r="N23" i="73" s="1"/>
  <c r="J23" i="73"/>
  <c r="H23" i="73"/>
  <c r="T22" i="73"/>
  <c r="R22" i="73"/>
  <c r="L22" i="73"/>
  <c r="N22" i="73" s="1"/>
  <c r="J22" i="73"/>
  <c r="H22" i="73"/>
  <c r="T21" i="73"/>
  <c r="R21" i="73"/>
  <c r="L21" i="73"/>
  <c r="N21" i="73" s="1"/>
  <c r="J21" i="73"/>
  <c r="H21" i="73"/>
  <c r="T20" i="73"/>
  <c r="R20" i="73"/>
  <c r="U20" i="73" s="1"/>
  <c r="L20" i="73"/>
  <c r="N20" i="73" s="1"/>
  <c r="J20" i="73"/>
  <c r="H20" i="73"/>
  <c r="T19" i="73"/>
  <c r="R19" i="73"/>
  <c r="L19" i="73"/>
  <c r="N19" i="73" s="1"/>
  <c r="J19" i="73"/>
  <c r="H19" i="73"/>
  <c r="T18" i="73"/>
  <c r="R18" i="73"/>
  <c r="L18" i="73"/>
  <c r="N18" i="73" s="1"/>
  <c r="J18" i="73"/>
  <c r="H18" i="73"/>
  <c r="T17" i="73"/>
  <c r="R17" i="73"/>
  <c r="U17" i="73" s="1"/>
  <c r="L17" i="73"/>
  <c r="N17" i="73" s="1"/>
  <c r="J17" i="73"/>
  <c r="H17" i="73"/>
  <c r="T16" i="73"/>
  <c r="R16" i="73"/>
  <c r="L16" i="73"/>
  <c r="N16" i="73" s="1"/>
  <c r="J16" i="73"/>
  <c r="H16" i="73"/>
  <c r="T15" i="73"/>
  <c r="R15" i="73"/>
  <c r="U15" i="73" s="1"/>
  <c r="L15" i="73"/>
  <c r="N15" i="73" s="1"/>
  <c r="J15" i="73"/>
  <c r="H15" i="73"/>
  <c r="T14" i="73"/>
  <c r="R14" i="73"/>
  <c r="U14" i="73" s="1"/>
  <c r="L14" i="73"/>
  <c r="N14" i="73" s="1"/>
  <c r="J14" i="73"/>
  <c r="H14" i="73"/>
  <c r="T13" i="73"/>
  <c r="R13" i="73"/>
  <c r="L13" i="73"/>
  <c r="N13" i="73" s="1"/>
  <c r="J13" i="73"/>
  <c r="H13" i="73"/>
  <c r="T12" i="73"/>
  <c r="R12" i="73"/>
  <c r="U12" i="73" s="1"/>
  <c r="L12" i="73"/>
  <c r="N12" i="73" s="1"/>
  <c r="J12" i="73"/>
  <c r="H12" i="73"/>
  <c r="T11" i="73"/>
  <c r="R11" i="73"/>
  <c r="U11" i="73" s="1"/>
  <c r="L11" i="73"/>
  <c r="N11" i="73" s="1"/>
  <c r="J11" i="73"/>
  <c r="H11" i="73"/>
  <c r="T10" i="73"/>
  <c r="R10" i="73"/>
  <c r="L10" i="73"/>
  <c r="N10" i="73" s="1"/>
  <c r="J10" i="73"/>
  <c r="H10" i="73"/>
  <c r="T9" i="73"/>
  <c r="R9" i="73"/>
  <c r="U9" i="73" s="1"/>
  <c r="L9" i="73"/>
  <c r="N9" i="73" s="1"/>
  <c r="J9" i="73"/>
  <c r="H9" i="73"/>
  <c r="T8" i="73"/>
  <c r="R8" i="73"/>
  <c r="U8" i="73" s="1"/>
  <c r="L8" i="73"/>
  <c r="N8" i="73" s="1"/>
  <c r="J8" i="73"/>
  <c r="H8" i="73"/>
  <c r="T7" i="73"/>
  <c r="R7" i="73"/>
  <c r="N7" i="73"/>
  <c r="J7" i="73"/>
  <c r="H7" i="73"/>
  <c r="T6" i="73"/>
  <c r="R6" i="73"/>
  <c r="U6" i="73" s="1"/>
  <c r="L6" i="73"/>
  <c r="N6" i="73" s="1"/>
  <c r="J6" i="73"/>
  <c r="H6" i="73"/>
  <c r="T5" i="73"/>
  <c r="R5" i="73"/>
  <c r="U5" i="73" s="1"/>
  <c r="L5" i="73"/>
  <c r="N5" i="73" s="1"/>
  <c r="J5" i="73"/>
  <c r="H5" i="73"/>
  <c r="B5" i="73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B18" i="73" s="1"/>
  <c r="B19" i="73" s="1"/>
  <c r="B20" i="73" s="1"/>
  <c r="B21" i="73" s="1"/>
  <c r="B22" i="73" s="1"/>
  <c r="B23" i="73" s="1"/>
  <c r="B24" i="73" s="1"/>
  <c r="B25" i="73" s="1"/>
  <c r="B26" i="73" s="1"/>
  <c r="B27" i="73" s="1"/>
  <c r="B28" i="73" s="1"/>
  <c r="B29" i="73" s="1"/>
  <c r="B30" i="73" s="1"/>
  <c r="B31" i="73" s="1"/>
  <c r="B32" i="73" s="1"/>
  <c r="B33" i="73" s="1"/>
  <c r="B34" i="73" s="1"/>
  <c r="AH4" i="73"/>
  <c r="AH5" i="73" s="1"/>
  <c r="AH6" i="73" s="1"/>
  <c r="AH7" i="73" s="1"/>
  <c r="AH8" i="73" s="1"/>
  <c r="AH9" i="73" s="1"/>
  <c r="AH10" i="73" s="1"/>
  <c r="AH11" i="73" s="1"/>
  <c r="AH12" i="73" s="1"/>
  <c r="AH13" i="73" s="1"/>
  <c r="AH14" i="73" s="1"/>
  <c r="AH15" i="73" s="1"/>
  <c r="AH16" i="73" s="1"/>
  <c r="AH17" i="73" s="1"/>
  <c r="AH18" i="73" s="1"/>
  <c r="AH19" i="73" s="1"/>
  <c r="AH20" i="73" s="1"/>
  <c r="AH21" i="73" s="1"/>
  <c r="AH22" i="73" s="1"/>
  <c r="AH23" i="73" s="1"/>
  <c r="AH24" i="73" s="1"/>
  <c r="AH25" i="73" s="1"/>
  <c r="AH26" i="73" s="1"/>
  <c r="AH27" i="73" s="1"/>
  <c r="AH28" i="73" s="1"/>
  <c r="AH29" i="73" s="1"/>
  <c r="AH30" i="73" s="1"/>
  <c r="AH31" i="73" s="1"/>
  <c r="AH32" i="73" s="1"/>
  <c r="AH33" i="73" s="1"/>
  <c r="AH34" i="73" s="1"/>
  <c r="AF4" i="73"/>
  <c r="AF5" i="73" s="1"/>
  <c r="AF6" i="73" s="1"/>
  <c r="AF7" i="73" s="1"/>
  <c r="AF8" i="73" s="1"/>
  <c r="AF9" i="73" s="1"/>
  <c r="AF10" i="73" s="1"/>
  <c r="AF11" i="73" s="1"/>
  <c r="AF12" i="73" s="1"/>
  <c r="AF13" i="73" s="1"/>
  <c r="AF14" i="73" s="1"/>
  <c r="AF15" i="73" s="1"/>
  <c r="AF16" i="73" s="1"/>
  <c r="AF17" i="73" s="1"/>
  <c r="AF18" i="73" s="1"/>
  <c r="AF19" i="73" s="1"/>
  <c r="AF20" i="73" s="1"/>
  <c r="AF21" i="73" s="1"/>
  <c r="AF22" i="73" s="1"/>
  <c r="AF23" i="73" s="1"/>
  <c r="AF24" i="73" s="1"/>
  <c r="AF25" i="73" s="1"/>
  <c r="AF26" i="73" s="1"/>
  <c r="AF27" i="73" s="1"/>
  <c r="AF28" i="73" s="1"/>
  <c r="AF29" i="73" s="1"/>
  <c r="AF30" i="73" s="1"/>
  <c r="AF31" i="73" s="1"/>
  <c r="AF32" i="73" s="1"/>
  <c r="AF33" i="73" s="1"/>
  <c r="AF34" i="73" s="1"/>
  <c r="AB4" i="73"/>
  <c r="AB5" i="73" s="1"/>
  <c r="AB6" i="73" s="1"/>
  <c r="AB7" i="73" s="1"/>
  <c r="AB8" i="73" s="1"/>
  <c r="AB9" i="73" s="1"/>
  <c r="AB10" i="73" s="1"/>
  <c r="AB11" i="73" s="1"/>
  <c r="AB12" i="73" s="1"/>
  <c r="AB13" i="73" s="1"/>
  <c r="AB14" i="73" s="1"/>
  <c r="AB15" i="73" s="1"/>
  <c r="AB16" i="73" s="1"/>
  <c r="AB17" i="73" s="1"/>
  <c r="AB18" i="73" s="1"/>
  <c r="AB19" i="73" s="1"/>
  <c r="AB20" i="73" s="1"/>
  <c r="AB21" i="73" s="1"/>
  <c r="AB22" i="73" s="1"/>
  <c r="AB23" i="73" s="1"/>
  <c r="AB24" i="73" s="1"/>
  <c r="AB25" i="73" s="1"/>
  <c r="AB26" i="73" s="1"/>
  <c r="AB27" i="73" s="1"/>
  <c r="AB28" i="73" s="1"/>
  <c r="AB29" i="73" s="1"/>
  <c r="AB30" i="73" s="1"/>
  <c r="AB31" i="73" s="1"/>
  <c r="AB32" i="73" s="1"/>
  <c r="AB33" i="73" s="1"/>
  <c r="AB34" i="73" s="1"/>
  <c r="T4" i="73"/>
  <c r="R4" i="73"/>
  <c r="L4" i="73"/>
  <c r="J4" i="73"/>
  <c r="H4" i="73"/>
  <c r="AA4" i="73" s="1"/>
  <c r="P3" i="73"/>
  <c r="S37" i="72"/>
  <c r="H47" i="72" s="1"/>
  <c r="Q37" i="72"/>
  <c r="M37" i="72"/>
  <c r="K37" i="72"/>
  <c r="I37" i="72"/>
  <c r="G37" i="72"/>
  <c r="F37" i="72"/>
  <c r="E37" i="72"/>
  <c r="D37" i="72"/>
  <c r="C37" i="72"/>
  <c r="J35" i="72"/>
  <c r="H35" i="72"/>
  <c r="T34" i="72"/>
  <c r="R34" i="72"/>
  <c r="U34" i="72" s="1"/>
  <c r="L34" i="72"/>
  <c r="N34" i="72" s="1"/>
  <c r="J34" i="72"/>
  <c r="H34" i="72"/>
  <c r="T33" i="72"/>
  <c r="R33" i="72"/>
  <c r="L33" i="72"/>
  <c r="N33" i="72" s="1"/>
  <c r="J33" i="72"/>
  <c r="H33" i="72"/>
  <c r="T32" i="72"/>
  <c r="R32" i="72"/>
  <c r="U32" i="72" s="1"/>
  <c r="L32" i="72"/>
  <c r="N32" i="72" s="1"/>
  <c r="J32" i="72"/>
  <c r="H32" i="72"/>
  <c r="T31" i="72"/>
  <c r="R31" i="72"/>
  <c r="U31" i="72" s="1"/>
  <c r="L31" i="72"/>
  <c r="N31" i="72" s="1"/>
  <c r="J31" i="72"/>
  <c r="H31" i="72"/>
  <c r="T30" i="72"/>
  <c r="R30" i="72"/>
  <c r="U30" i="72" s="1"/>
  <c r="L30" i="72"/>
  <c r="N30" i="72" s="1"/>
  <c r="J30" i="72"/>
  <c r="H30" i="72"/>
  <c r="T29" i="72"/>
  <c r="R29" i="72"/>
  <c r="U29" i="72" s="1"/>
  <c r="L29" i="72"/>
  <c r="N29" i="72" s="1"/>
  <c r="J29" i="72"/>
  <c r="H29" i="72"/>
  <c r="T28" i="72"/>
  <c r="R28" i="72"/>
  <c r="U28" i="72" s="1"/>
  <c r="L28" i="72"/>
  <c r="N28" i="72" s="1"/>
  <c r="J28" i="72"/>
  <c r="H28" i="72"/>
  <c r="T27" i="72"/>
  <c r="R27" i="72"/>
  <c r="U27" i="72" s="1"/>
  <c r="L27" i="72"/>
  <c r="N27" i="72" s="1"/>
  <c r="J27" i="72"/>
  <c r="H27" i="72"/>
  <c r="T26" i="72"/>
  <c r="R26" i="72"/>
  <c r="U26" i="72" s="1"/>
  <c r="L26" i="72"/>
  <c r="N26" i="72" s="1"/>
  <c r="J26" i="72"/>
  <c r="H26" i="72"/>
  <c r="T25" i="72"/>
  <c r="R25" i="72"/>
  <c r="U25" i="72" s="1"/>
  <c r="L25" i="72"/>
  <c r="N25" i="72" s="1"/>
  <c r="J25" i="72"/>
  <c r="H25" i="72"/>
  <c r="T24" i="72"/>
  <c r="R24" i="72"/>
  <c r="U24" i="72" s="1"/>
  <c r="L24" i="72"/>
  <c r="N24" i="72" s="1"/>
  <c r="J24" i="72"/>
  <c r="H24" i="72"/>
  <c r="T23" i="72"/>
  <c r="R23" i="72"/>
  <c r="U23" i="72" s="1"/>
  <c r="L23" i="72"/>
  <c r="N23" i="72" s="1"/>
  <c r="J23" i="72"/>
  <c r="H23" i="72"/>
  <c r="T22" i="72"/>
  <c r="R22" i="72"/>
  <c r="L22" i="72"/>
  <c r="N22" i="72" s="1"/>
  <c r="J22" i="72"/>
  <c r="H22" i="72"/>
  <c r="T21" i="72"/>
  <c r="R21" i="72"/>
  <c r="U21" i="72" s="1"/>
  <c r="L21" i="72"/>
  <c r="N21" i="72" s="1"/>
  <c r="J21" i="72"/>
  <c r="H21" i="72"/>
  <c r="T20" i="72"/>
  <c r="R20" i="72"/>
  <c r="L20" i="72"/>
  <c r="N20" i="72" s="1"/>
  <c r="J20" i="72"/>
  <c r="H20" i="72"/>
  <c r="T19" i="72"/>
  <c r="R19" i="72"/>
  <c r="U19" i="72" s="1"/>
  <c r="L19" i="72"/>
  <c r="N19" i="72" s="1"/>
  <c r="J19" i="72"/>
  <c r="H19" i="72"/>
  <c r="T18" i="72"/>
  <c r="R18" i="72"/>
  <c r="U18" i="72" s="1"/>
  <c r="L18" i="72"/>
  <c r="N18" i="72" s="1"/>
  <c r="J18" i="72"/>
  <c r="H18" i="72"/>
  <c r="T17" i="72"/>
  <c r="R17" i="72"/>
  <c r="U17" i="72" s="1"/>
  <c r="L17" i="72"/>
  <c r="N17" i="72" s="1"/>
  <c r="J17" i="72"/>
  <c r="H17" i="72"/>
  <c r="T16" i="72"/>
  <c r="R16" i="72"/>
  <c r="U16" i="72" s="1"/>
  <c r="L16" i="72"/>
  <c r="N16" i="72" s="1"/>
  <c r="J16" i="72"/>
  <c r="H16" i="72"/>
  <c r="T15" i="72"/>
  <c r="R15" i="72"/>
  <c r="U15" i="72" s="1"/>
  <c r="L15" i="72"/>
  <c r="N15" i="72" s="1"/>
  <c r="J15" i="72"/>
  <c r="H15" i="72"/>
  <c r="T14" i="72"/>
  <c r="R14" i="72"/>
  <c r="U14" i="72" s="1"/>
  <c r="L14" i="72"/>
  <c r="N14" i="72" s="1"/>
  <c r="J14" i="72"/>
  <c r="H14" i="72"/>
  <c r="T13" i="72"/>
  <c r="R13" i="72"/>
  <c r="L13" i="72"/>
  <c r="N13" i="72" s="1"/>
  <c r="J13" i="72"/>
  <c r="H13" i="72"/>
  <c r="T12" i="72"/>
  <c r="R12" i="72"/>
  <c r="U12" i="72" s="1"/>
  <c r="L12" i="72"/>
  <c r="N12" i="72" s="1"/>
  <c r="J12" i="72"/>
  <c r="H12" i="72"/>
  <c r="T11" i="72"/>
  <c r="R11" i="72"/>
  <c r="L11" i="72"/>
  <c r="N11" i="72" s="1"/>
  <c r="J11" i="72"/>
  <c r="H11" i="72"/>
  <c r="T10" i="72"/>
  <c r="R10" i="72"/>
  <c r="U10" i="72" s="1"/>
  <c r="L10" i="72"/>
  <c r="N10" i="72" s="1"/>
  <c r="J10" i="72"/>
  <c r="H10" i="72"/>
  <c r="T9" i="72"/>
  <c r="R9" i="72"/>
  <c r="U9" i="72" s="1"/>
  <c r="L9" i="72"/>
  <c r="N9" i="72" s="1"/>
  <c r="J9" i="72"/>
  <c r="H9" i="72"/>
  <c r="T8" i="72"/>
  <c r="R8" i="72"/>
  <c r="U8" i="72" s="1"/>
  <c r="L8" i="72"/>
  <c r="N8" i="72" s="1"/>
  <c r="J8" i="72"/>
  <c r="H8" i="72"/>
  <c r="T7" i="72"/>
  <c r="R7" i="72"/>
  <c r="U7" i="72" s="1"/>
  <c r="L7" i="72"/>
  <c r="N7" i="72" s="1"/>
  <c r="J7" i="72"/>
  <c r="H7" i="72"/>
  <c r="T6" i="72"/>
  <c r="R6" i="72"/>
  <c r="U6" i="72" s="1"/>
  <c r="L6" i="72"/>
  <c r="N6" i="72" s="1"/>
  <c r="J6" i="72"/>
  <c r="H6" i="72"/>
  <c r="T5" i="72"/>
  <c r="R5" i="72"/>
  <c r="U5" i="72" s="1"/>
  <c r="L5" i="72"/>
  <c r="N5" i="72" s="1"/>
  <c r="J5" i="72"/>
  <c r="H5" i="72"/>
  <c r="B5" i="72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H4" i="72"/>
  <c r="AH5" i="72" s="1"/>
  <c r="AH6" i="72" s="1"/>
  <c r="AH7" i="72" s="1"/>
  <c r="AH8" i="72" s="1"/>
  <c r="AH9" i="72" s="1"/>
  <c r="AH10" i="72" s="1"/>
  <c r="AH11" i="72" s="1"/>
  <c r="AH12" i="72" s="1"/>
  <c r="AH13" i="72" s="1"/>
  <c r="AH14" i="72" s="1"/>
  <c r="AH15" i="72" s="1"/>
  <c r="AH16" i="72" s="1"/>
  <c r="AH17" i="72" s="1"/>
  <c r="AH18" i="72" s="1"/>
  <c r="AH19" i="72" s="1"/>
  <c r="AH20" i="72" s="1"/>
  <c r="AH21" i="72" s="1"/>
  <c r="AH22" i="72" s="1"/>
  <c r="AH23" i="72" s="1"/>
  <c r="AH24" i="72" s="1"/>
  <c r="AH25" i="72" s="1"/>
  <c r="AH26" i="72" s="1"/>
  <c r="AH27" i="72" s="1"/>
  <c r="AH28" i="72" s="1"/>
  <c r="AH29" i="72" s="1"/>
  <c r="AH30" i="72" s="1"/>
  <c r="AH31" i="72" s="1"/>
  <c r="AH32" i="72" s="1"/>
  <c r="AH33" i="72" s="1"/>
  <c r="AH34" i="72" s="1"/>
  <c r="AF4" i="72"/>
  <c r="AF5" i="72" s="1"/>
  <c r="AF6" i="72" s="1"/>
  <c r="AF7" i="72" s="1"/>
  <c r="AF8" i="72" s="1"/>
  <c r="AF9" i="72" s="1"/>
  <c r="AF10" i="72" s="1"/>
  <c r="AF11" i="72" s="1"/>
  <c r="AF12" i="72" s="1"/>
  <c r="AF13" i="72" s="1"/>
  <c r="AF14" i="72" s="1"/>
  <c r="AF15" i="72" s="1"/>
  <c r="AF16" i="72" s="1"/>
  <c r="AF17" i="72" s="1"/>
  <c r="AF18" i="72" s="1"/>
  <c r="AF19" i="72" s="1"/>
  <c r="AF20" i="72" s="1"/>
  <c r="AF21" i="72" s="1"/>
  <c r="AF22" i="72" s="1"/>
  <c r="AF23" i="72" s="1"/>
  <c r="AF24" i="72" s="1"/>
  <c r="AF25" i="72" s="1"/>
  <c r="AF26" i="72" s="1"/>
  <c r="AF27" i="72" s="1"/>
  <c r="AF28" i="72" s="1"/>
  <c r="AF29" i="72" s="1"/>
  <c r="AF30" i="72" s="1"/>
  <c r="AF31" i="72" s="1"/>
  <c r="AF32" i="72" s="1"/>
  <c r="AF33" i="72" s="1"/>
  <c r="AF34" i="72" s="1"/>
  <c r="AB4" i="72"/>
  <c r="AB5" i="72" s="1"/>
  <c r="AB6" i="72" s="1"/>
  <c r="AB7" i="72" s="1"/>
  <c r="AB8" i="72" s="1"/>
  <c r="AB9" i="72" s="1"/>
  <c r="AB10" i="72" s="1"/>
  <c r="AB11" i="72" s="1"/>
  <c r="AB12" i="72" s="1"/>
  <c r="AB13" i="72" s="1"/>
  <c r="AB14" i="72" s="1"/>
  <c r="AB15" i="72" s="1"/>
  <c r="AB16" i="72" s="1"/>
  <c r="AB17" i="72" s="1"/>
  <c r="AB18" i="72" s="1"/>
  <c r="AB19" i="72" s="1"/>
  <c r="AB20" i="72" s="1"/>
  <c r="AB21" i="72" s="1"/>
  <c r="AB22" i="72" s="1"/>
  <c r="AB23" i="72" s="1"/>
  <c r="AB24" i="72" s="1"/>
  <c r="AB25" i="72" s="1"/>
  <c r="AB26" i="72" s="1"/>
  <c r="AB27" i="72" s="1"/>
  <c r="AB28" i="72" s="1"/>
  <c r="AB29" i="72" s="1"/>
  <c r="AB30" i="72" s="1"/>
  <c r="AB31" i="72" s="1"/>
  <c r="AB32" i="72" s="1"/>
  <c r="AB33" i="72" s="1"/>
  <c r="AB34" i="72" s="1"/>
  <c r="T4" i="72"/>
  <c r="R4" i="72"/>
  <c r="AC4" i="72" s="1"/>
  <c r="L4" i="72"/>
  <c r="J4" i="72"/>
  <c r="H4" i="72"/>
  <c r="P3" i="72"/>
  <c r="V30" i="72" l="1"/>
  <c r="W30" i="72" s="1"/>
  <c r="V16" i="72"/>
  <c r="W16" i="72" s="1"/>
  <c r="AA5" i="73"/>
  <c r="AA6" i="73" s="1"/>
  <c r="AA7" i="73" s="1"/>
  <c r="AA8" i="73" s="1"/>
  <c r="AA9" i="73" s="1"/>
  <c r="AA10" i="73" s="1"/>
  <c r="AA11" i="73" s="1"/>
  <c r="AA12" i="73" s="1"/>
  <c r="AA13" i="73" s="1"/>
  <c r="AA14" i="73" s="1"/>
  <c r="AA15" i="73" s="1"/>
  <c r="AA16" i="73" s="1"/>
  <c r="AA17" i="73" s="1"/>
  <c r="AA18" i="73" s="1"/>
  <c r="AA19" i="73" s="1"/>
  <c r="AA20" i="73" s="1"/>
  <c r="AA21" i="73" s="1"/>
  <c r="AA22" i="73" s="1"/>
  <c r="AA23" i="73" s="1"/>
  <c r="AA24" i="73" s="1"/>
  <c r="AA25" i="73" s="1"/>
  <c r="AA26" i="73" s="1"/>
  <c r="AA27" i="73" s="1"/>
  <c r="AA28" i="73" s="1"/>
  <c r="AA29" i="73" s="1"/>
  <c r="AA30" i="73" s="1"/>
  <c r="AA31" i="73" s="1"/>
  <c r="AA32" i="73" s="1"/>
  <c r="AA33" i="73" s="1"/>
  <c r="AA34" i="73" s="1"/>
  <c r="V20" i="73"/>
  <c r="W20" i="73" s="1"/>
  <c r="V11" i="73"/>
  <c r="W11" i="73" s="1"/>
  <c r="V17" i="73"/>
  <c r="W17" i="73" s="1"/>
  <c r="V8" i="73"/>
  <c r="W8" i="73" s="1"/>
  <c r="V14" i="73"/>
  <c r="W14" i="73" s="1"/>
  <c r="O10" i="73"/>
  <c r="V12" i="73"/>
  <c r="W12" i="73" s="1"/>
  <c r="O8" i="73"/>
  <c r="O29" i="73"/>
  <c r="O7" i="73"/>
  <c r="V15" i="73"/>
  <c r="W15" i="73" s="1"/>
  <c r="V23" i="73"/>
  <c r="W23" i="73" s="1"/>
  <c r="V29" i="73"/>
  <c r="W29" i="73" s="1"/>
  <c r="V6" i="73"/>
  <c r="W6" i="73" s="1"/>
  <c r="O26" i="73"/>
  <c r="P10" i="73"/>
  <c r="V25" i="72"/>
  <c r="W25" i="72" s="1"/>
  <c r="V31" i="72"/>
  <c r="W31" i="72" s="1"/>
  <c r="V5" i="73"/>
  <c r="W5" i="73" s="1"/>
  <c r="V26" i="73"/>
  <c r="W26" i="73" s="1"/>
  <c r="V32" i="73"/>
  <c r="W32" i="73" s="1"/>
  <c r="O14" i="73"/>
  <c r="O20" i="73"/>
  <c r="O31" i="73"/>
  <c r="O34" i="73"/>
  <c r="P13" i="73"/>
  <c r="O17" i="73"/>
  <c r="O23" i="73"/>
  <c r="O32" i="73"/>
  <c r="V21" i="72"/>
  <c r="W21" i="72" s="1"/>
  <c r="V9" i="73"/>
  <c r="W9" i="73" s="1"/>
  <c r="O16" i="73"/>
  <c r="P5" i="73"/>
  <c r="O5" i="73"/>
  <c r="P6" i="73"/>
  <c r="O6" i="73"/>
  <c r="P11" i="73"/>
  <c r="O11" i="73"/>
  <c r="P12" i="73"/>
  <c r="O12" i="73"/>
  <c r="P15" i="73"/>
  <c r="O15" i="73"/>
  <c r="U18" i="73"/>
  <c r="V18" i="73" s="1"/>
  <c r="W18" i="73" s="1"/>
  <c r="P34" i="73"/>
  <c r="P31" i="73"/>
  <c r="R37" i="73"/>
  <c r="H44" i="73" s="1"/>
  <c r="H45" i="73" s="1"/>
  <c r="AC4" i="73"/>
  <c r="AC5" i="73" s="1"/>
  <c r="AC6" i="73" s="1"/>
  <c r="AC7" i="73" s="1"/>
  <c r="AC8" i="73" s="1"/>
  <c r="AC9" i="73" s="1"/>
  <c r="AC10" i="73" s="1"/>
  <c r="AC11" i="73" s="1"/>
  <c r="AC12" i="73" s="1"/>
  <c r="AC13" i="73" s="1"/>
  <c r="AC14" i="73" s="1"/>
  <c r="AC15" i="73" s="1"/>
  <c r="AC16" i="73" s="1"/>
  <c r="AC17" i="73" s="1"/>
  <c r="AC18" i="73" s="1"/>
  <c r="AC19" i="73" s="1"/>
  <c r="AC20" i="73" s="1"/>
  <c r="AC21" i="73" s="1"/>
  <c r="AC22" i="73" s="1"/>
  <c r="AC23" i="73" s="1"/>
  <c r="AC24" i="73" s="1"/>
  <c r="AC25" i="73" s="1"/>
  <c r="AC26" i="73" s="1"/>
  <c r="AC27" i="73" s="1"/>
  <c r="AC28" i="73" s="1"/>
  <c r="AC29" i="73" s="1"/>
  <c r="AC30" i="73" s="1"/>
  <c r="AC31" i="73" s="1"/>
  <c r="AC32" i="73" s="1"/>
  <c r="AC33" i="73" s="1"/>
  <c r="AC34" i="73" s="1"/>
  <c r="U4" i="73"/>
  <c r="V4" i="73" s="1"/>
  <c r="P8" i="73"/>
  <c r="U10" i="73"/>
  <c r="V10" i="73" s="1"/>
  <c r="W10" i="73" s="1"/>
  <c r="U13" i="73"/>
  <c r="V13" i="73" s="1"/>
  <c r="W13" i="73" s="1"/>
  <c r="P14" i="73"/>
  <c r="P19" i="73"/>
  <c r="P22" i="73"/>
  <c r="P26" i="73"/>
  <c r="P29" i="73"/>
  <c r="H37" i="73"/>
  <c r="H40" i="73" s="1"/>
  <c r="T37" i="73"/>
  <c r="H48" i="73" s="1"/>
  <c r="H49" i="73" s="1"/>
  <c r="U16" i="73"/>
  <c r="V16" i="73" s="1"/>
  <c r="W16" i="73" s="1"/>
  <c r="O19" i="73"/>
  <c r="O22" i="73"/>
  <c r="P32" i="73"/>
  <c r="J37" i="73"/>
  <c r="U21" i="73"/>
  <c r="V21" i="73" s="1"/>
  <c r="W21" i="73" s="1"/>
  <c r="P7" i="73"/>
  <c r="P9" i="73"/>
  <c r="O9" i="73"/>
  <c r="L37" i="73"/>
  <c r="U7" i="73"/>
  <c r="V7" i="73" s="1"/>
  <c r="W7" i="73" s="1"/>
  <c r="P18" i="73"/>
  <c r="O18" i="73"/>
  <c r="P21" i="73"/>
  <c r="O21" i="73"/>
  <c r="P24" i="73"/>
  <c r="O24" i="73"/>
  <c r="P27" i="73"/>
  <c r="O27" i="73"/>
  <c r="P30" i="73"/>
  <c r="O30" i="73"/>
  <c r="P25" i="73"/>
  <c r="O25" i="73"/>
  <c r="P28" i="73"/>
  <c r="O28" i="73"/>
  <c r="P33" i="73"/>
  <c r="O33" i="73"/>
  <c r="O13" i="73"/>
  <c r="P16" i="73"/>
  <c r="P17" i="73"/>
  <c r="P20" i="73"/>
  <c r="P23" i="73"/>
  <c r="U19" i="73"/>
  <c r="V19" i="73" s="1"/>
  <c r="W19" i="73" s="1"/>
  <c r="U22" i="73"/>
  <c r="V22" i="73" s="1"/>
  <c r="W22" i="73" s="1"/>
  <c r="U25" i="73"/>
  <c r="V25" i="73" s="1"/>
  <c r="W25" i="73" s="1"/>
  <c r="U28" i="73"/>
  <c r="V28" i="73" s="1"/>
  <c r="W28" i="73" s="1"/>
  <c r="U31" i="73"/>
  <c r="V31" i="73" s="1"/>
  <c r="W31" i="73" s="1"/>
  <c r="U34" i="73"/>
  <c r="V34" i="73" s="1"/>
  <c r="W34" i="73" s="1"/>
  <c r="N4" i="73"/>
  <c r="U24" i="73"/>
  <c r="V24" i="73" s="1"/>
  <c r="W24" i="73" s="1"/>
  <c r="U27" i="73"/>
  <c r="V27" i="73" s="1"/>
  <c r="W27" i="73" s="1"/>
  <c r="U30" i="73"/>
  <c r="V30" i="73" s="1"/>
  <c r="W30" i="73" s="1"/>
  <c r="U33" i="73"/>
  <c r="V33" i="73" s="1"/>
  <c r="W33" i="73" s="1"/>
  <c r="AC5" i="72"/>
  <c r="AC6" i="72" s="1"/>
  <c r="AC7" i="72" s="1"/>
  <c r="AC8" i="72" s="1"/>
  <c r="AC9" i="72" s="1"/>
  <c r="AC10" i="72" s="1"/>
  <c r="AC11" i="72" s="1"/>
  <c r="AC12" i="72" s="1"/>
  <c r="AC13" i="72" s="1"/>
  <c r="AC14" i="72" s="1"/>
  <c r="AC15" i="72" s="1"/>
  <c r="AC16" i="72" s="1"/>
  <c r="AC17" i="72" s="1"/>
  <c r="AC18" i="72" s="1"/>
  <c r="AC19" i="72" s="1"/>
  <c r="AC20" i="72" s="1"/>
  <c r="AC21" i="72" s="1"/>
  <c r="AC22" i="72" s="1"/>
  <c r="AC23" i="72" s="1"/>
  <c r="AC24" i="72" s="1"/>
  <c r="AC25" i="72" s="1"/>
  <c r="AC26" i="72" s="1"/>
  <c r="AC27" i="72" s="1"/>
  <c r="AC28" i="72" s="1"/>
  <c r="AC29" i="72" s="1"/>
  <c r="AC30" i="72" s="1"/>
  <c r="AC31" i="72" s="1"/>
  <c r="AC32" i="72" s="1"/>
  <c r="AC33" i="72" s="1"/>
  <c r="AC34" i="72" s="1"/>
  <c r="V18" i="72"/>
  <c r="W18" i="72" s="1"/>
  <c r="V7" i="72"/>
  <c r="W7" i="72" s="1"/>
  <c r="V27" i="72"/>
  <c r="W27" i="72" s="1"/>
  <c r="P10" i="72"/>
  <c r="P28" i="72"/>
  <c r="P6" i="72"/>
  <c r="P30" i="72"/>
  <c r="P33" i="72"/>
  <c r="V34" i="72"/>
  <c r="W34" i="72" s="1"/>
  <c r="O24" i="72"/>
  <c r="O33" i="72"/>
  <c r="P8" i="72"/>
  <c r="O12" i="72"/>
  <c r="O15" i="72"/>
  <c r="P17" i="72"/>
  <c r="V28" i="72"/>
  <c r="W28" i="72" s="1"/>
  <c r="U4" i="72"/>
  <c r="V4" i="72" s="1"/>
  <c r="V9" i="72"/>
  <c r="W9" i="72" s="1"/>
  <c r="P15" i="72"/>
  <c r="P19" i="72"/>
  <c r="P26" i="72"/>
  <c r="O6" i="72"/>
  <c r="O21" i="72"/>
  <c r="P24" i="72"/>
  <c r="V10" i="72"/>
  <c r="W10" i="72" s="1"/>
  <c r="V12" i="72"/>
  <c r="W12" i="72" s="1"/>
  <c r="V19" i="72"/>
  <c r="W19" i="72" s="1"/>
  <c r="P31" i="72"/>
  <c r="O31" i="72"/>
  <c r="J37" i="72"/>
  <c r="P9" i="72"/>
  <c r="O9" i="72"/>
  <c r="P13" i="72"/>
  <c r="O13" i="72"/>
  <c r="P16" i="72"/>
  <c r="O16" i="72"/>
  <c r="P22" i="72"/>
  <c r="O22" i="72"/>
  <c r="P29" i="72"/>
  <c r="O29" i="72"/>
  <c r="P25" i="72"/>
  <c r="O25" i="72"/>
  <c r="P18" i="72"/>
  <c r="O18" i="72"/>
  <c r="P27" i="72"/>
  <c r="O27" i="72"/>
  <c r="P11" i="72"/>
  <c r="O11" i="72"/>
  <c r="H37" i="72"/>
  <c r="H40" i="72" s="1"/>
  <c r="AA4" i="72"/>
  <c r="AA5" i="72" s="1"/>
  <c r="AA6" i="72" s="1"/>
  <c r="AA7" i="72" s="1"/>
  <c r="AA8" i="72" s="1"/>
  <c r="AA9" i="72" s="1"/>
  <c r="AA10" i="72" s="1"/>
  <c r="AA11" i="72" s="1"/>
  <c r="AA12" i="72" s="1"/>
  <c r="AA13" i="72" s="1"/>
  <c r="AA14" i="72" s="1"/>
  <c r="AA15" i="72" s="1"/>
  <c r="AA16" i="72" s="1"/>
  <c r="AA17" i="72" s="1"/>
  <c r="AA18" i="72" s="1"/>
  <c r="AA19" i="72" s="1"/>
  <c r="AA20" i="72" s="1"/>
  <c r="AA21" i="72" s="1"/>
  <c r="AA22" i="72" s="1"/>
  <c r="AA23" i="72" s="1"/>
  <c r="AA24" i="72" s="1"/>
  <c r="AA25" i="72" s="1"/>
  <c r="AA26" i="72" s="1"/>
  <c r="AA27" i="72" s="1"/>
  <c r="AA28" i="72" s="1"/>
  <c r="AA29" i="72" s="1"/>
  <c r="AA30" i="72" s="1"/>
  <c r="AA31" i="72" s="1"/>
  <c r="AA32" i="72" s="1"/>
  <c r="AA33" i="72" s="1"/>
  <c r="AA34" i="72" s="1"/>
  <c r="P20" i="72"/>
  <c r="O20" i="72"/>
  <c r="P34" i="72"/>
  <c r="O34" i="72"/>
  <c r="P7" i="72"/>
  <c r="O7" i="72"/>
  <c r="U11" i="72"/>
  <c r="V11" i="72" s="1"/>
  <c r="W11" i="72" s="1"/>
  <c r="P12" i="72"/>
  <c r="U13" i="72"/>
  <c r="V13" i="72" s="1"/>
  <c r="W13" i="72" s="1"/>
  <c r="U20" i="72"/>
  <c r="V20" i="72" s="1"/>
  <c r="W20" i="72" s="1"/>
  <c r="P21" i="72"/>
  <c r="U22" i="72"/>
  <c r="V22" i="72" s="1"/>
  <c r="W22" i="72" s="1"/>
  <c r="R37" i="72"/>
  <c r="H44" i="72" s="1"/>
  <c r="H45" i="72" s="1"/>
  <c r="V5" i="72"/>
  <c r="W5" i="72" s="1"/>
  <c r="O8" i="72"/>
  <c r="O10" i="72"/>
  <c r="V14" i="72"/>
  <c r="W14" i="72" s="1"/>
  <c r="O17" i="72"/>
  <c r="O19" i="72"/>
  <c r="V23" i="72"/>
  <c r="W23" i="72" s="1"/>
  <c r="O26" i="72"/>
  <c r="O28" i="72"/>
  <c r="V8" i="72"/>
  <c r="W8" i="72" s="1"/>
  <c r="V17" i="72"/>
  <c r="W17" i="72" s="1"/>
  <c r="V26" i="72"/>
  <c r="W26" i="72" s="1"/>
  <c r="L37" i="72"/>
  <c r="V24" i="72"/>
  <c r="W24" i="72" s="1"/>
  <c r="O32" i="72"/>
  <c r="P32" i="72"/>
  <c r="P5" i="72"/>
  <c r="V6" i="72"/>
  <c r="W6" i="72" s="1"/>
  <c r="P14" i="72"/>
  <c r="V15" i="72"/>
  <c r="W15" i="72" s="1"/>
  <c r="P23" i="72"/>
  <c r="V32" i="72"/>
  <c r="W32" i="72" s="1"/>
  <c r="U33" i="72"/>
  <c r="V33" i="72" s="1"/>
  <c r="W33" i="72" s="1"/>
  <c r="N4" i="72"/>
  <c r="O5" i="72"/>
  <c r="O14" i="72"/>
  <c r="O23" i="72"/>
  <c r="V29" i="72"/>
  <c r="W29" i="72" s="1"/>
  <c r="O30" i="72"/>
  <c r="T37" i="72"/>
  <c r="H48" i="72" s="1"/>
  <c r="H49" i="72" s="1"/>
  <c r="X7" i="72" l="1"/>
  <c r="X30" i="72"/>
  <c r="X17" i="73"/>
  <c r="X8" i="73"/>
  <c r="X11" i="73"/>
  <c r="X16" i="72"/>
  <c r="X14" i="73"/>
  <c r="X12" i="73"/>
  <c r="X21" i="72"/>
  <c r="X31" i="73"/>
  <c r="X20" i="73"/>
  <c r="X23" i="73"/>
  <c r="X21" i="73"/>
  <c r="X31" i="72"/>
  <c r="X26" i="73"/>
  <c r="X25" i="72"/>
  <c r="X27" i="72"/>
  <c r="X15" i="73"/>
  <c r="X18" i="72"/>
  <c r="X32" i="73"/>
  <c r="X5" i="73"/>
  <c r="X9" i="72"/>
  <c r="X16" i="73"/>
  <c r="X34" i="73"/>
  <c r="X6" i="73"/>
  <c r="X29" i="73"/>
  <c r="X13" i="73"/>
  <c r="X9" i="73"/>
  <c r="X14" i="72"/>
  <c r="X10" i="72"/>
  <c r="X33" i="73"/>
  <c r="X7" i="73"/>
  <c r="X10" i="73"/>
  <c r="N37" i="73"/>
  <c r="H41" i="73" s="1"/>
  <c r="H42" i="73" s="1"/>
  <c r="O4" i="73"/>
  <c r="P4" i="73"/>
  <c r="P37" i="73" s="1"/>
  <c r="AE4" i="73"/>
  <c r="AE5" i="73" s="1"/>
  <c r="AE6" i="73" s="1"/>
  <c r="AE7" i="73" s="1"/>
  <c r="AE8" i="73" s="1"/>
  <c r="AE9" i="73" s="1"/>
  <c r="AE10" i="73" s="1"/>
  <c r="AE11" i="73" s="1"/>
  <c r="AE12" i="73" s="1"/>
  <c r="AE13" i="73" s="1"/>
  <c r="AE14" i="73" s="1"/>
  <c r="AE15" i="73" s="1"/>
  <c r="AE16" i="73" s="1"/>
  <c r="AE17" i="73" s="1"/>
  <c r="AE18" i="73" s="1"/>
  <c r="AE19" i="73" s="1"/>
  <c r="AE20" i="73" s="1"/>
  <c r="AE21" i="73" s="1"/>
  <c r="AE22" i="73" s="1"/>
  <c r="AE23" i="73" s="1"/>
  <c r="AE24" i="73" s="1"/>
  <c r="AE25" i="73" s="1"/>
  <c r="AE26" i="73" s="1"/>
  <c r="AE27" i="73" s="1"/>
  <c r="AE28" i="73" s="1"/>
  <c r="AE29" i="73" s="1"/>
  <c r="AE30" i="73" s="1"/>
  <c r="AE31" i="73" s="1"/>
  <c r="AE32" i="73" s="1"/>
  <c r="AE33" i="73" s="1"/>
  <c r="AE34" i="73" s="1"/>
  <c r="X25" i="73"/>
  <c r="U37" i="73"/>
  <c r="X27" i="73"/>
  <c r="X22" i="73"/>
  <c r="H46" i="73"/>
  <c r="H51" i="73" s="1"/>
  <c r="X19" i="73"/>
  <c r="V37" i="73"/>
  <c r="W4" i="73"/>
  <c r="X28" i="73"/>
  <c r="X30" i="73"/>
  <c r="X24" i="73"/>
  <c r="X18" i="73"/>
  <c r="X33" i="72"/>
  <c r="X15" i="72"/>
  <c r="X28" i="72"/>
  <c r="X22" i="72"/>
  <c r="X8" i="72"/>
  <c r="X34" i="72"/>
  <c r="X26" i="72"/>
  <c r="X12" i="72"/>
  <c r="X19" i="72"/>
  <c r="X5" i="72"/>
  <c r="H46" i="72"/>
  <c r="H51" i="72" s="1"/>
  <c r="P4" i="72"/>
  <c r="P37" i="72" s="1"/>
  <c r="AE4" i="72"/>
  <c r="AE5" i="72" s="1"/>
  <c r="AE6" i="72" s="1"/>
  <c r="AE7" i="72" s="1"/>
  <c r="AE8" i="72" s="1"/>
  <c r="AE9" i="72" s="1"/>
  <c r="AE10" i="72" s="1"/>
  <c r="AE11" i="72" s="1"/>
  <c r="AE12" i="72" s="1"/>
  <c r="AE13" i="72" s="1"/>
  <c r="AE14" i="72" s="1"/>
  <c r="AE15" i="72" s="1"/>
  <c r="AE16" i="72" s="1"/>
  <c r="AE17" i="72" s="1"/>
  <c r="AE18" i="72" s="1"/>
  <c r="AE19" i="72" s="1"/>
  <c r="AE20" i="72" s="1"/>
  <c r="AE21" i="72" s="1"/>
  <c r="AE22" i="72" s="1"/>
  <c r="AE23" i="72" s="1"/>
  <c r="AE24" i="72" s="1"/>
  <c r="AE25" i="72" s="1"/>
  <c r="AE26" i="72" s="1"/>
  <c r="AE27" i="72" s="1"/>
  <c r="AE28" i="72" s="1"/>
  <c r="AE29" i="72" s="1"/>
  <c r="AE30" i="72" s="1"/>
  <c r="AE31" i="72" s="1"/>
  <c r="AE32" i="72" s="1"/>
  <c r="AE33" i="72" s="1"/>
  <c r="AE34" i="72" s="1"/>
  <c r="N37" i="72"/>
  <c r="H41" i="72" s="1"/>
  <c r="H42" i="72" s="1"/>
  <c r="O4" i="72"/>
  <c r="X6" i="72"/>
  <c r="U37" i="72"/>
  <c r="X13" i="72"/>
  <c r="X17" i="72"/>
  <c r="W4" i="72"/>
  <c r="V37" i="72"/>
  <c r="X20" i="72"/>
  <c r="X11" i="72"/>
  <c r="X23" i="72"/>
  <c r="X32" i="72"/>
  <c r="X29" i="72"/>
  <c r="X24" i="72"/>
  <c r="H53" i="73" l="1"/>
  <c r="H55" i="73" s="1"/>
  <c r="O37" i="73"/>
  <c r="X4" i="73"/>
  <c r="X37" i="73" s="1"/>
  <c r="W37" i="73"/>
  <c r="AD4" i="73"/>
  <c r="AD5" i="73" s="1"/>
  <c r="AD6" i="73" s="1"/>
  <c r="AD7" i="73" s="1"/>
  <c r="AD8" i="73" s="1"/>
  <c r="AD9" i="73" s="1"/>
  <c r="AD10" i="73" s="1"/>
  <c r="AD11" i="73" s="1"/>
  <c r="AD12" i="73" s="1"/>
  <c r="AD13" i="73" s="1"/>
  <c r="AD14" i="73" s="1"/>
  <c r="AD15" i="73" s="1"/>
  <c r="AD16" i="73" s="1"/>
  <c r="AD17" i="73" s="1"/>
  <c r="AD18" i="73" s="1"/>
  <c r="AD19" i="73" s="1"/>
  <c r="AD20" i="73" s="1"/>
  <c r="AD21" i="73" s="1"/>
  <c r="AD22" i="73" s="1"/>
  <c r="AD23" i="73" s="1"/>
  <c r="AD24" i="73" s="1"/>
  <c r="AD25" i="73" s="1"/>
  <c r="AD26" i="73" s="1"/>
  <c r="AD27" i="73" s="1"/>
  <c r="AD28" i="73" s="1"/>
  <c r="AD29" i="73" s="1"/>
  <c r="AD30" i="73" s="1"/>
  <c r="AD31" i="73" s="1"/>
  <c r="AD32" i="73" s="1"/>
  <c r="AD33" i="73" s="1"/>
  <c r="AD34" i="73" s="1"/>
  <c r="X4" i="72"/>
  <c r="X37" i="72" s="1"/>
  <c r="O37" i="72"/>
  <c r="H53" i="72"/>
  <c r="H55" i="72" s="1"/>
  <c r="W37" i="72"/>
  <c r="AD4" i="72"/>
  <c r="AD5" i="72" s="1"/>
  <c r="AD6" i="72" s="1"/>
  <c r="AD7" i="72" s="1"/>
  <c r="AD8" i="72" s="1"/>
  <c r="AD9" i="72" s="1"/>
  <c r="AD10" i="72" s="1"/>
  <c r="AD11" i="72" s="1"/>
  <c r="AD12" i="72" s="1"/>
  <c r="AD13" i="72" s="1"/>
  <c r="AD14" i="72" s="1"/>
  <c r="AD15" i="72" s="1"/>
  <c r="AD16" i="72" s="1"/>
  <c r="AD17" i="72" s="1"/>
  <c r="AD18" i="72" s="1"/>
  <c r="AD19" i="72" s="1"/>
  <c r="AD20" i="72" s="1"/>
  <c r="AD21" i="72" s="1"/>
  <c r="AD22" i="72" s="1"/>
  <c r="AD23" i="72" s="1"/>
  <c r="AD24" i="72" s="1"/>
  <c r="AD25" i="72" s="1"/>
  <c r="AD26" i="72" s="1"/>
  <c r="AD27" i="72" s="1"/>
  <c r="AD28" i="72" s="1"/>
  <c r="AD29" i="72" s="1"/>
  <c r="AD30" i="72" s="1"/>
  <c r="AD31" i="72" s="1"/>
  <c r="AD32" i="72" s="1"/>
  <c r="AD33" i="72" s="1"/>
  <c r="AD34" i="72" s="1"/>
  <c r="S37" i="71"/>
  <c r="H47" i="71" s="1"/>
  <c r="Q37" i="71"/>
  <c r="M37" i="71"/>
  <c r="K37" i="71"/>
  <c r="I37" i="71"/>
  <c r="G37" i="71"/>
  <c r="F37" i="71"/>
  <c r="E37" i="71"/>
  <c r="D37" i="71"/>
  <c r="C37" i="71"/>
  <c r="J35" i="71"/>
  <c r="H35" i="71"/>
  <c r="T34" i="71"/>
  <c r="R34" i="71"/>
  <c r="L34" i="71"/>
  <c r="N34" i="71" s="1"/>
  <c r="J34" i="71"/>
  <c r="H34" i="71"/>
  <c r="T33" i="71"/>
  <c r="R33" i="71"/>
  <c r="U33" i="71" s="1"/>
  <c r="L33" i="71"/>
  <c r="N33" i="71" s="1"/>
  <c r="J33" i="71"/>
  <c r="H33" i="71"/>
  <c r="T32" i="71"/>
  <c r="R32" i="71"/>
  <c r="U32" i="71" s="1"/>
  <c r="L32" i="71"/>
  <c r="N32" i="71" s="1"/>
  <c r="J32" i="71"/>
  <c r="H32" i="71"/>
  <c r="T31" i="71"/>
  <c r="R31" i="71"/>
  <c r="L31" i="71"/>
  <c r="N31" i="71" s="1"/>
  <c r="J31" i="71"/>
  <c r="H31" i="71"/>
  <c r="T30" i="71"/>
  <c r="R30" i="71"/>
  <c r="U30" i="71" s="1"/>
  <c r="L30" i="71"/>
  <c r="N30" i="71" s="1"/>
  <c r="J30" i="71"/>
  <c r="H30" i="71"/>
  <c r="T29" i="71"/>
  <c r="R29" i="71"/>
  <c r="U29" i="71" s="1"/>
  <c r="L29" i="71"/>
  <c r="N29" i="71" s="1"/>
  <c r="J29" i="71"/>
  <c r="H29" i="71"/>
  <c r="T28" i="71"/>
  <c r="R28" i="71"/>
  <c r="L28" i="71"/>
  <c r="N28" i="71" s="1"/>
  <c r="J28" i="71"/>
  <c r="H28" i="71"/>
  <c r="T27" i="71"/>
  <c r="R27" i="71"/>
  <c r="U27" i="71" s="1"/>
  <c r="L27" i="71"/>
  <c r="N27" i="71" s="1"/>
  <c r="J27" i="71"/>
  <c r="H27" i="71"/>
  <c r="T26" i="71"/>
  <c r="R26" i="71"/>
  <c r="U26" i="71" s="1"/>
  <c r="L26" i="71"/>
  <c r="N26" i="71" s="1"/>
  <c r="J26" i="71"/>
  <c r="H26" i="71"/>
  <c r="T25" i="71"/>
  <c r="R25" i="71"/>
  <c r="L25" i="71"/>
  <c r="N25" i="71" s="1"/>
  <c r="J25" i="71"/>
  <c r="H25" i="71"/>
  <c r="T24" i="71"/>
  <c r="R24" i="71"/>
  <c r="U24" i="71" s="1"/>
  <c r="L24" i="71"/>
  <c r="N24" i="71" s="1"/>
  <c r="J24" i="71"/>
  <c r="H24" i="71"/>
  <c r="T23" i="71"/>
  <c r="R23" i="71"/>
  <c r="U23" i="71" s="1"/>
  <c r="L23" i="71"/>
  <c r="N23" i="71" s="1"/>
  <c r="J23" i="71"/>
  <c r="H23" i="71"/>
  <c r="T22" i="71"/>
  <c r="R22" i="71"/>
  <c r="L22" i="71"/>
  <c r="N22" i="71" s="1"/>
  <c r="J22" i="71"/>
  <c r="H22" i="71"/>
  <c r="T21" i="71"/>
  <c r="R21" i="71"/>
  <c r="U21" i="71" s="1"/>
  <c r="L21" i="71"/>
  <c r="N21" i="71" s="1"/>
  <c r="J21" i="71"/>
  <c r="H21" i="71"/>
  <c r="T20" i="71"/>
  <c r="R20" i="71"/>
  <c r="L20" i="71"/>
  <c r="N20" i="71" s="1"/>
  <c r="J20" i="71"/>
  <c r="H20" i="71"/>
  <c r="T19" i="71"/>
  <c r="R19" i="71"/>
  <c r="L19" i="71"/>
  <c r="N19" i="71" s="1"/>
  <c r="J19" i="71"/>
  <c r="H19" i="71"/>
  <c r="T18" i="71"/>
  <c r="R18" i="71"/>
  <c r="U18" i="71" s="1"/>
  <c r="L18" i="71"/>
  <c r="N18" i="71" s="1"/>
  <c r="J18" i="71"/>
  <c r="H18" i="71"/>
  <c r="T17" i="71"/>
  <c r="R17" i="71"/>
  <c r="U17" i="71" s="1"/>
  <c r="L17" i="71"/>
  <c r="N17" i="71" s="1"/>
  <c r="J17" i="71"/>
  <c r="H17" i="71"/>
  <c r="T16" i="71"/>
  <c r="R16" i="71"/>
  <c r="L16" i="71"/>
  <c r="N16" i="71" s="1"/>
  <c r="J16" i="71"/>
  <c r="H16" i="71"/>
  <c r="T15" i="71"/>
  <c r="R15" i="71"/>
  <c r="L15" i="71"/>
  <c r="N15" i="71" s="1"/>
  <c r="J15" i="71"/>
  <c r="H15" i="71"/>
  <c r="T14" i="71"/>
  <c r="R14" i="71"/>
  <c r="U14" i="71" s="1"/>
  <c r="L14" i="71"/>
  <c r="N14" i="71" s="1"/>
  <c r="J14" i="71"/>
  <c r="H14" i="71"/>
  <c r="T13" i="71"/>
  <c r="R13" i="71"/>
  <c r="L13" i="71"/>
  <c r="N13" i="71" s="1"/>
  <c r="J13" i="71"/>
  <c r="H13" i="71"/>
  <c r="T12" i="71"/>
  <c r="R12" i="71"/>
  <c r="U12" i="71" s="1"/>
  <c r="L12" i="71"/>
  <c r="N12" i="71" s="1"/>
  <c r="J12" i="71"/>
  <c r="H12" i="71"/>
  <c r="T11" i="71"/>
  <c r="R11" i="71"/>
  <c r="U11" i="71" s="1"/>
  <c r="L11" i="71"/>
  <c r="N11" i="71" s="1"/>
  <c r="J11" i="71"/>
  <c r="H11" i="71"/>
  <c r="T10" i="71"/>
  <c r="R10" i="71"/>
  <c r="L10" i="71"/>
  <c r="N10" i="71" s="1"/>
  <c r="J10" i="71"/>
  <c r="H10" i="71"/>
  <c r="T9" i="71"/>
  <c r="R9" i="71"/>
  <c r="U9" i="71" s="1"/>
  <c r="L9" i="71"/>
  <c r="N9" i="71" s="1"/>
  <c r="J9" i="71"/>
  <c r="H9" i="71"/>
  <c r="T8" i="71"/>
  <c r="R8" i="71"/>
  <c r="U8" i="71" s="1"/>
  <c r="L8" i="71"/>
  <c r="N8" i="71" s="1"/>
  <c r="J8" i="71"/>
  <c r="H8" i="71"/>
  <c r="T7" i="71"/>
  <c r="R7" i="71"/>
  <c r="L7" i="71"/>
  <c r="N7" i="71" s="1"/>
  <c r="J7" i="71"/>
  <c r="H7" i="71"/>
  <c r="T6" i="71"/>
  <c r="R6" i="71"/>
  <c r="U6" i="71" s="1"/>
  <c r="L6" i="71"/>
  <c r="N6" i="71" s="1"/>
  <c r="J6" i="71"/>
  <c r="H6" i="71"/>
  <c r="T5" i="71"/>
  <c r="R5" i="71"/>
  <c r="U5" i="71" s="1"/>
  <c r="L5" i="71"/>
  <c r="J5" i="71"/>
  <c r="H5" i="71"/>
  <c r="B5" i="71"/>
  <c r="AH4" i="71"/>
  <c r="AH5" i="71" s="1"/>
  <c r="AH6" i="71" s="1"/>
  <c r="AH7" i="71" s="1"/>
  <c r="AH8" i="71" s="1"/>
  <c r="AH9" i="71" s="1"/>
  <c r="AH10" i="71" s="1"/>
  <c r="AH11" i="71" s="1"/>
  <c r="AH12" i="71" s="1"/>
  <c r="AH13" i="71" s="1"/>
  <c r="AH14" i="71" s="1"/>
  <c r="AH15" i="71" s="1"/>
  <c r="AH16" i="71" s="1"/>
  <c r="AH17" i="71" s="1"/>
  <c r="AH18" i="71" s="1"/>
  <c r="AH19" i="71" s="1"/>
  <c r="AH20" i="71" s="1"/>
  <c r="AH21" i="71" s="1"/>
  <c r="AH22" i="71" s="1"/>
  <c r="AH23" i="71" s="1"/>
  <c r="AH24" i="71" s="1"/>
  <c r="AH25" i="71" s="1"/>
  <c r="AH26" i="71" s="1"/>
  <c r="AH27" i="71" s="1"/>
  <c r="AH28" i="71" s="1"/>
  <c r="AH29" i="71" s="1"/>
  <c r="AH30" i="71" s="1"/>
  <c r="AH31" i="71" s="1"/>
  <c r="AH32" i="71" s="1"/>
  <c r="AH33" i="71" s="1"/>
  <c r="AH34" i="71" s="1"/>
  <c r="AF4" i="71"/>
  <c r="AF5" i="71" s="1"/>
  <c r="AF6" i="71" s="1"/>
  <c r="AF7" i="71" s="1"/>
  <c r="AF8" i="71" s="1"/>
  <c r="AF9" i="71" s="1"/>
  <c r="AF10" i="71" s="1"/>
  <c r="AF11" i="71" s="1"/>
  <c r="AF12" i="71" s="1"/>
  <c r="AF13" i="71" s="1"/>
  <c r="AF14" i="71" s="1"/>
  <c r="AF15" i="71" s="1"/>
  <c r="AF16" i="71" s="1"/>
  <c r="AF17" i="71" s="1"/>
  <c r="AF18" i="71" s="1"/>
  <c r="AF19" i="71" s="1"/>
  <c r="AF20" i="71" s="1"/>
  <c r="AB4" i="71"/>
  <c r="AB5" i="71" s="1"/>
  <c r="AB6" i="71" s="1"/>
  <c r="AB7" i="71" s="1"/>
  <c r="AB8" i="71" s="1"/>
  <c r="AB9" i="71" s="1"/>
  <c r="AB10" i="71" s="1"/>
  <c r="AB11" i="71" s="1"/>
  <c r="AB12" i="71" s="1"/>
  <c r="AB13" i="71" s="1"/>
  <c r="AB14" i="71" s="1"/>
  <c r="AB15" i="71" s="1"/>
  <c r="AB16" i="71" s="1"/>
  <c r="AB17" i="71" s="1"/>
  <c r="AB18" i="71" s="1"/>
  <c r="AB19" i="71" s="1"/>
  <c r="AB20" i="71" s="1"/>
  <c r="T4" i="71"/>
  <c r="R4" i="71"/>
  <c r="L4" i="71"/>
  <c r="N4" i="71" s="1"/>
  <c r="AE4" i="71" s="1"/>
  <c r="J4" i="71"/>
  <c r="H4" i="71"/>
  <c r="P3" i="71"/>
  <c r="O13" i="71" l="1"/>
  <c r="V29" i="71"/>
  <c r="W29" i="71" s="1"/>
  <c r="P31" i="71"/>
  <c r="O18" i="71"/>
  <c r="V30" i="71"/>
  <c r="W30" i="71" s="1"/>
  <c r="P10" i="71"/>
  <c r="V8" i="71"/>
  <c r="W8" i="71" s="1"/>
  <c r="P28" i="71"/>
  <c r="P14" i="71"/>
  <c r="V27" i="71"/>
  <c r="W27" i="71" s="1"/>
  <c r="P32" i="71"/>
  <c r="P22" i="71"/>
  <c r="P34" i="71"/>
  <c r="O34" i="71"/>
  <c r="V14" i="71"/>
  <c r="W14" i="71" s="1"/>
  <c r="P19" i="71"/>
  <c r="V24" i="71"/>
  <c r="W24" i="71" s="1"/>
  <c r="V26" i="71"/>
  <c r="W26" i="71" s="1"/>
  <c r="V32" i="71"/>
  <c r="W32" i="71" s="1"/>
  <c r="V9" i="71"/>
  <c r="W9" i="71" s="1"/>
  <c r="V5" i="71"/>
  <c r="W5" i="71" s="1"/>
  <c r="V11" i="71"/>
  <c r="W11" i="71" s="1"/>
  <c r="V6" i="71"/>
  <c r="W6" i="71" s="1"/>
  <c r="B6" i="7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B19" i="71" s="1"/>
  <c r="B20" i="71" s="1"/>
  <c r="B21" i="71" s="1"/>
  <c r="B22" i="71" s="1"/>
  <c r="B23" i="71" s="1"/>
  <c r="B24" i="71" s="1"/>
  <c r="B25" i="71" s="1"/>
  <c r="B26" i="71" s="1"/>
  <c r="B27" i="71" s="1"/>
  <c r="B28" i="71" s="1"/>
  <c r="B29" i="71" s="1"/>
  <c r="B30" i="71" s="1"/>
  <c r="B31" i="71" s="1"/>
  <c r="B32" i="71" s="1"/>
  <c r="B33" i="71" s="1"/>
  <c r="B34" i="71" s="1"/>
  <c r="V12" i="71"/>
  <c r="W12" i="71" s="1"/>
  <c r="U20" i="71"/>
  <c r="V20" i="71" s="1"/>
  <c r="W20" i="71" s="1"/>
  <c r="AF21" i="71"/>
  <c r="AF22" i="71" s="1"/>
  <c r="AF23" i="71" s="1"/>
  <c r="AF24" i="71" s="1"/>
  <c r="AF25" i="71" s="1"/>
  <c r="AF26" i="71" s="1"/>
  <c r="AF27" i="71" s="1"/>
  <c r="AF28" i="71" s="1"/>
  <c r="AF29" i="71" s="1"/>
  <c r="AF30" i="71" s="1"/>
  <c r="AF31" i="71" s="1"/>
  <c r="AF32" i="71" s="1"/>
  <c r="AF33" i="71" s="1"/>
  <c r="AF34" i="71" s="1"/>
  <c r="P16" i="71"/>
  <c r="O16" i="71"/>
  <c r="O15" i="71"/>
  <c r="P15" i="71"/>
  <c r="P17" i="71"/>
  <c r="AB21" i="71"/>
  <c r="AB22" i="71" s="1"/>
  <c r="AB23" i="71" s="1"/>
  <c r="AB24" i="71" s="1"/>
  <c r="AB25" i="71" s="1"/>
  <c r="AB26" i="71" s="1"/>
  <c r="AB27" i="71" s="1"/>
  <c r="AB28" i="71" s="1"/>
  <c r="AB29" i="71" s="1"/>
  <c r="AB30" i="71" s="1"/>
  <c r="AB31" i="71" s="1"/>
  <c r="AB32" i="71" s="1"/>
  <c r="AB33" i="71" s="1"/>
  <c r="AB34" i="71" s="1"/>
  <c r="J37" i="71"/>
  <c r="V17" i="71"/>
  <c r="W17" i="71" s="1"/>
  <c r="O17" i="71"/>
  <c r="P8" i="71"/>
  <c r="O8" i="71"/>
  <c r="O9" i="71"/>
  <c r="P9" i="71"/>
  <c r="P11" i="71"/>
  <c r="O11" i="71"/>
  <c r="O12" i="71"/>
  <c r="P12" i="71"/>
  <c r="P26" i="71"/>
  <c r="O26" i="71"/>
  <c r="O27" i="71"/>
  <c r="P27" i="71"/>
  <c r="P29" i="71"/>
  <c r="O29" i="71"/>
  <c r="X29" i="71" s="1"/>
  <c r="O30" i="71"/>
  <c r="P30" i="71"/>
  <c r="O33" i="71"/>
  <c r="P33" i="71"/>
  <c r="P18" i="71"/>
  <c r="U19" i="71"/>
  <c r="V19" i="71" s="1"/>
  <c r="W19" i="71" s="1"/>
  <c r="U22" i="71"/>
  <c r="V22" i="71" s="1"/>
  <c r="W22" i="71" s="1"/>
  <c r="O31" i="71"/>
  <c r="AC4" i="71"/>
  <c r="AC5" i="71" s="1"/>
  <c r="AC6" i="71" s="1"/>
  <c r="AC7" i="71" s="1"/>
  <c r="AC8" i="71" s="1"/>
  <c r="AC9" i="71" s="1"/>
  <c r="AC10" i="71" s="1"/>
  <c r="AC11" i="71" s="1"/>
  <c r="AC12" i="71" s="1"/>
  <c r="AC13" i="71" s="1"/>
  <c r="AC14" i="71" s="1"/>
  <c r="AC15" i="71" s="1"/>
  <c r="AC16" i="71" s="1"/>
  <c r="AC17" i="71" s="1"/>
  <c r="AC18" i="71" s="1"/>
  <c r="AC19" i="71" s="1"/>
  <c r="AC20" i="71" s="1"/>
  <c r="U4" i="71"/>
  <c r="V4" i="71" s="1"/>
  <c r="R37" i="71"/>
  <c r="H44" i="71" s="1"/>
  <c r="H45" i="71" s="1"/>
  <c r="P13" i="71"/>
  <c r="U16" i="71"/>
  <c r="V16" i="71" s="1"/>
  <c r="W16" i="71" s="1"/>
  <c r="O21" i="71"/>
  <c r="P21" i="71"/>
  <c r="U34" i="71"/>
  <c r="V34" i="71" s="1"/>
  <c r="W34" i="71" s="1"/>
  <c r="T37" i="71"/>
  <c r="H48" i="71" s="1"/>
  <c r="H49" i="71" s="1"/>
  <c r="O14" i="71"/>
  <c r="V18" i="71"/>
  <c r="W18" i="71" s="1"/>
  <c r="O20" i="71"/>
  <c r="P23" i="71"/>
  <c r="O23" i="71"/>
  <c r="O32" i="71"/>
  <c r="H37" i="71"/>
  <c r="H40" i="71" s="1"/>
  <c r="AA4" i="71"/>
  <c r="AA5" i="71" s="1"/>
  <c r="AA6" i="71" s="1"/>
  <c r="AA7" i="71" s="1"/>
  <c r="AA8" i="71" s="1"/>
  <c r="AA9" i="71" s="1"/>
  <c r="AA10" i="71" s="1"/>
  <c r="AA11" i="71" s="1"/>
  <c r="AA12" i="71" s="1"/>
  <c r="AA13" i="71" s="1"/>
  <c r="AA14" i="71" s="1"/>
  <c r="AA15" i="71" s="1"/>
  <c r="AA16" i="71" s="1"/>
  <c r="AA17" i="71" s="1"/>
  <c r="AA18" i="71" s="1"/>
  <c r="AA19" i="71" s="1"/>
  <c r="AA20" i="71" s="1"/>
  <c r="AA21" i="71" s="1"/>
  <c r="AA22" i="71" s="1"/>
  <c r="AA23" i="71" s="1"/>
  <c r="AA24" i="71" s="1"/>
  <c r="AA25" i="71" s="1"/>
  <c r="AA26" i="71" s="1"/>
  <c r="AA27" i="71" s="1"/>
  <c r="AA28" i="71" s="1"/>
  <c r="AA29" i="71" s="1"/>
  <c r="AA30" i="71" s="1"/>
  <c r="AA31" i="71" s="1"/>
  <c r="AA32" i="71" s="1"/>
  <c r="AA33" i="71" s="1"/>
  <c r="AA34" i="71" s="1"/>
  <c r="O10" i="71"/>
  <c r="P20" i="71"/>
  <c r="V21" i="71"/>
  <c r="W21" i="71" s="1"/>
  <c r="O28" i="71"/>
  <c r="O6" i="71"/>
  <c r="P6" i="71"/>
  <c r="P7" i="71"/>
  <c r="O7" i="71"/>
  <c r="O19" i="71"/>
  <c r="V23" i="71"/>
  <c r="W23" i="71" s="1"/>
  <c r="P25" i="71"/>
  <c r="O25" i="71"/>
  <c r="O24" i="71"/>
  <c r="P24" i="71"/>
  <c r="P4" i="71"/>
  <c r="O4" i="71"/>
  <c r="U15" i="71"/>
  <c r="V15" i="71" s="1"/>
  <c r="W15" i="71" s="1"/>
  <c r="L37" i="71"/>
  <c r="N5" i="71"/>
  <c r="AE5" i="71" s="1"/>
  <c r="AE6" i="71" s="1"/>
  <c r="AE7" i="71" s="1"/>
  <c r="AE8" i="71" s="1"/>
  <c r="AE9" i="71" s="1"/>
  <c r="AE10" i="71" s="1"/>
  <c r="AE11" i="71" s="1"/>
  <c r="AE12" i="71" s="1"/>
  <c r="AE13" i="71" s="1"/>
  <c r="AE14" i="71" s="1"/>
  <c r="AE15" i="71" s="1"/>
  <c r="AE16" i="71" s="1"/>
  <c r="AE17" i="71" s="1"/>
  <c r="AE18" i="71" s="1"/>
  <c r="AE19" i="71" s="1"/>
  <c r="AE20" i="71" s="1"/>
  <c r="U13" i="71"/>
  <c r="V13" i="71" s="1"/>
  <c r="W13" i="71" s="1"/>
  <c r="U31" i="71"/>
  <c r="V31" i="71" s="1"/>
  <c r="W31" i="71" s="1"/>
  <c r="U10" i="71"/>
  <c r="V10" i="71" s="1"/>
  <c r="W10" i="71" s="1"/>
  <c r="O22" i="71"/>
  <c r="U28" i="71"/>
  <c r="V28" i="71" s="1"/>
  <c r="W28" i="71" s="1"/>
  <c r="U7" i="71"/>
  <c r="V7" i="71" s="1"/>
  <c r="W7" i="71" s="1"/>
  <c r="U25" i="71"/>
  <c r="V25" i="71" s="1"/>
  <c r="W25" i="71" s="1"/>
  <c r="V33" i="71"/>
  <c r="W33" i="71" s="1"/>
  <c r="N19" i="58"/>
  <c r="O19" i="58" s="1"/>
  <c r="R37" i="68"/>
  <c r="H47" i="68" s="1"/>
  <c r="H48" i="68" s="1"/>
  <c r="H49" i="68" s="1"/>
  <c r="P37" i="68"/>
  <c r="L37" i="68"/>
  <c r="J37" i="68"/>
  <c r="I37" i="68"/>
  <c r="G37" i="68"/>
  <c r="F37" i="68"/>
  <c r="E37" i="68"/>
  <c r="D37" i="68"/>
  <c r="C37" i="68"/>
  <c r="B5" i="68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B18" i="68" s="1"/>
  <c r="B19" i="68" s="1"/>
  <c r="B20" i="68" s="1"/>
  <c r="B21" i="68" s="1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AH4" i="68"/>
  <c r="AH5" i="68" s="1"/>
  <c r="AH6" i="68" s="1"/>
  <c r="AH7" i="68" s="1"/>
  <c r="AH8" i="68" s="1"/>
  <c r="AH9" i="68" s="1"/>
  <c r="AH10" i="68" s="1"/>
  <c r="AH11" i="68" s="1"/>
  <c r="AH12" i="68" s="1"/>
  <c r="AH13" i="68" s="1"/>
  <c r="AH14" i="68" s="1"/>
  <c r="AH15" i="68" s="1"/>
  <c r="AH16" i="68" s="1"/>
  <c r="AH17" i="68" s="1"/>
  <c r="AH18" i="68" s="1"/>
  <c r="AH19" i="68" s="1"/>
  <c r="AH20" i="68" s="1"/>
  <c r="AH21" i="68" s="1"/>
  <c r="AH22" i="68" s="1"/>
  <c r="AH23" i="68" s="1"/>
  <c r="AH24" i="68" s="1"/>
  <c r="AH25" i="68" s="1"/>
  <c r="AH26" i="68" s="1"/>
  <c r="AH27" i="68" s="1"/>
  <c r="AH28" i="68" s="1"/>
  <c r="AH29" i="68" s="1"/>
  <c r="AH30" i="68" s="1"/>
  <c r="AH31" i="68" s="1"/>
  <c r="AH32" i="68" s="1"/>
  <c r="AH33" i="68" s="1"/>
  <c r="AF4" i="68"/>
  <c r="AF5" i="68" s="1"/>
  <c r="AF6" i="68" s="1"/>
  <c r="AF7" i="68" s="1"/>
  <c r="AF8" i="68" s="1"/>
  <c r="AF9" i="68" s="1"/>
  <c r="AF10" i="68" s="1"/>
  <c r="AF11" i="68" s="1"/>
  <c r="AF12" i="68" s="1"/>
  <c r="AF13" i="68" s="1"/>
  <c r="AF14" i="68" s="1"/>
  <c r="AF15" i="68" s="1"/>
  <c r="AF16" i="68" s="1"/>
  <c r="AF17" i="68" s="1"/>
  <c r="AF18" i="68" s="1"/>
  <c r="AF19" i="68" s="1"/>
  <c r="AF20" i="68" s="1"/>
  <c r="AF21" i="68" s="1"/>
  <c r="AF22" i="68" s="1"/>
  <c r="AF23" i="68" s="1"/>
  <c r="AF24" i="68" s="1"/>
  <c r="AF25" i="68" s="1"/>
  <c r="AF26" i="68" s="1"/>
  <c r="AF27" i="68" s="1"/>
  <c r="AF28" i="68" s="1"/>
  <c r="AF29" i="68" s="1"/>
  <c r="AF30" i="68" s="1"/>
  <c r="AF31" i="68" s="1"/>
  <c r="AF32" i="68" s="1"/>
  <c r="AF33" i="68" s="1"/>
  <c r="AB4" i="68"/>
  <c r="AB5" i="68" s="1"/>
  <c r="AB6" i="68" s="1"/>
  <c r="AB7" i="68" s="1"/>
  <c r="AB8" i="68" s="1"/>
  <c r="AB9" i="68" s="1"/>
  <c r="AB10" i="68" s="1"/>
  <c r="AB11" i="68" s="1"/>
  <c r="AB12" i="68" s="1"/>
  <c r="AB13" i="68" s="1"/>
  <c r="AB14" i="68" s="1"/>
  <c r="AB15" i="68" s="1"/>
  <c r="AB16" i="68" s="1"/>
  <c r="AB17" i="68" s="1"/>
  <c r="AB18" i="68" s="1"/>
  <c r="AB19" i="68" s="1"/>
  <c r="AB20" i="68" s="1"/>
  <c r="AB21" i="68" s="1"/>
  <c r="AB22" i="68" s="1"/>
  <c r="AB23" i="68" s="1"/>
  <c r="AB24" i="68" s="1"/>
  <c r="AB25" i="68" s="1"/>
  <c r="AB26" i="68" s="1"/>
  <c r="AB27" i="68" s="1"/>
  <c r="AB28" i="68" s="1"/>
  <c r="AB29" i="68" s="1"/>
  <c r="AB30" i="68" s="1"/>
  <c r="AB31" i="68" s="1"/>
  <c r="AB32" i="68" s="1"/>
  <c r="AB33" i="68" s="1"/>
  <c r="AA4" i="68"/>
  <c r="O3" i="68"/>
  <c r="S37" i="66"/>
  <c r="H47" i="66" s="1"/>
  <c r="Q37" i="66"/>
  <c r="M37" i="66"/>
  <c r="K37" i="66"/>
  <c r="I37" i="66"/>
  <c r="G37" i="66"/>
  <c r="F37" i="66"/>
  <c r="E37" i="66"/>
  <c r="D37" i="66"/>
  <c r="C37" i="66"/>
  <c r="J35" i="66"/>
  <c r="H35" i="66"/>
  <c r="T34" i="66"/>
  <c r="R34" i="66"/>
  <c r="U34" i="66" s="1"/>
  <c r="L34" i="66"/>
  <c r="N34" i="66" s="1"/>
  <c r="J34" i="66"/>
  <c r="H34" i="66"/>
  <c r="T33" i="66"/>
  <c r="R33" i="66"/>
  <c r="U33" i="66" s="1"/>
  <c r="L33" i="66"/>
  <c r="N33" i="66" s="1"/>
  <c r="J33" i="66"/>
  <c r="H33" i="66"/>
  <c r="T32" i="66"/>
  <c r="R32" i="66"/>
  <c r="U32" i="66" s="1"/>
  <c r="L32" i="66"/>
  <c r="N32" i="66" s="1"/>
  <c r="J32" i="66"/>
  <c r="H32" i="66"/>
  <c r="T31" i="66"/>
  <c r="R31" i="66"/>
  <c r="U31" i="66" s="1"/>
  <c r="L31" i="66"/>
  <c r="N31" i="66" s="1"/>
  <c r="J31" i="66"/>
  <c r="H31" i="66"/>
  <c r="T30" i="66"/>
  <c r="R30" i="66"/>
  <c r="L30" i="66"/>
  <c r="N30" i="66" s="1"/>
  <c r="J30" i="66"/>
  <c r="H30" i="66"/>
  <c r="T29" i="66"/>
  <c r="R29" i="66"/>
  <c r="U29" i="66" s="1"/>
  <c r="L29" i="66"/>
  <c r="N29" i="66" s="1"/>
  <c r="J29" i="66"/>
  <c r="H29" i="66"/>
  <c r="T28" i="66"/>
  <c r="R28" i="66"/>
  <c r="L28" i="66"/>
  <c r="N28" i="66" s="1"/>
  <c r="J28" i="66"/>
  <c r="H28" i="66"/>
  <c r="T27" i="66"/>
  <c r="R27" i="66"/>
  <c r="L27" i="66"/>
  <c r="N27" i="66" s="1"/>
  <c r="J27" i="66"/>
  <c r="H27" i="66"/>
  <c r="T26" i="66"/>
  <c r="R26" i="66"/>
  <c r="U26" i="66" s="1"/>
  <c r="L26" i="66"/>
  <c r="N26" i="66" s="1"/>
  <c r="J26" i="66"/>
  <c r="H26" i="66"/>
  <c r="T25" i="66"/>
  <c r="R25" i="66"/>
  <c r="U25" i="66" s="1"/>
  <c r="L25" i="66"/>
  <c r="N25" i="66" s="1"/>
  <c r="J25" i="66"/>
  <c r="H25" i="66"/>
  <c r="T24" i="66"/>
  <c r="R24" i="66"/>
  <c r="U24" i="66" s="1"/>
  <c r="L24" i="66"/>
  <c r="N24" i="66" s="1"/>
  <c r="J24" i="66"/>
  <c r="H24" i="66"/>
  <c r="T23" i="66"/>
  <c r="R23" i="66"/>
  <c r="U23" i="66" s="1"/>
  <c r="L23" i="66"/>
  <c r="N23" i="66" s="1"/>
  <c r="J23" i="66"/>
  <c r="H23" i="66"/>
  <c r="T22" i="66"/>
  <c r="R22" i="66"/>
  <c r="L22" i="66"/>
  <c r="N22" i="66" s="1"/>
  <c r="J22" i="66"/>
  <c r="H22" i="66"/>
  <c r="T21" i="66"/>
  <c r="R21" i="66"/>
  <c r="U21" i="66" s="1"/>
  <c r="L21" i="66"/>
  <c r="N21" i="66" s="1"/>
  <c r="J21" i="66"/>
  <c r="H21" i="66"/>
  <c r="T20" i="66"/>
  <c r="R20" i="66"/>
  <c r="U20" i="66" s="1"/>
  <c r="L20" i="66"/>
  <c r="N20" i="66" s="1"/>
  <c r="J20" i="66"/>
  <c r="H20" i="66"/>
  <c r="T19" i="66"/>
  <c r="R19" i="66"/>
  <c r="U19" i="66" s="1"/>
  <c r="L19" i="66"/>
  <c r="N19" i="66" s="1"/>
  <c r="J19" i="66"/>
  <c r="H19" i="66"/>
  <c r="T18" i="66"/>
  <c r="R18" i="66"/>
  <c r="U18" i="66" s="1"/>
  <c r="L18" i="66"/>
  <c r="N18" i="66" s="1"/>
  <c r="J18" i="66"/>
  <c r="H18" i="66"/>
  <c r="T17" i="66"/>
  <c r="R17" i="66"/>
  <c r="U17" i="66" s="1"/>
  <c r="L17" i="66"/>
  <c r="N17" i="66" s="1"/>
  <c r="J17" i="66"/>
  <c r="H17" i="66"/>
  <c r="T16" i="66"/>
  <c r="R16" i="66"/>
  <c r="U16" i="66" s="1"/>
  <c r="L16" i="66"/>
  <c r="N16" i="66" s="1"/>
  <c r="J16" i="66"/>
  <c r="H16" i="66"/>
  <c r="T15" i="66"/>
  <c r="R15" i="66"/>
  <c r="U15" i="66" s="1"/>
  <c r="L15" i="66"/>
  <c r="N15" i="66" s="1"/>
  <c r="J15" i="66"/>
  <c r="H15" i="66"/>
  <c r="T14" i="66"/>
  <c r="R14" i="66"/>
  <c r="L14" i="66"/>
  <c r="N14" i="66" s="1"/>
  <c r="J14" i="66"/>
  <c r="H14" i="66"/>
  <c r="T13" i="66"/>
  <c r="R13" i="66"/>
  <c r="U13" i="66" s="1"/>
  <c r="L13" i="66"/>
  <c r="N13" i="66" s="1"/>
  <c r="J13" i="66"/>
  <c r="H13" i="66"/>
  <c r="T12" i="66"/>
  <c r="R12" i="66"/>
  <c r="L12" i="66"/>
  <c r="N12" i="66" s="1"/>
  <c r="J12" i="66"/>
  <c r="H12" i="66"/>
  <c r="T11" i="66"/>
  <c r="R11" i="66"/>
  <c r="U11" i="66" s="1"/>
  <c r="L11" i="66"/>
  <c r="N11" i="66" s="1"/>
  <c r="J11" i="66"/>
  <c r="H11" i="66"/>
  <c r="T10" i="66"/>
  <c r="R10" i="66"/>
  <c r="U10" i="66" s="1"/>
  <c r="L10" i="66"/>
  <c r="N10" i="66" s="1"/>
  <c r="J10" i="66"/>
  <c r="H10" i="66"/>
  <c r="T9" i="66"/>
  <c r="R9" i="66"/>
  <c r="U9" i="66" s="1"/>
  <c r="L9" i="66"/>
  <c r="N9" i="66" s="1"/>
  <c r="J9" i="66"/>
  <c r="H9" i="66"/>
  <c r="T8" i="66"/>
  <c r="R8" i="66"/>
  <c r="U8" i="66" s="1"/>
  <c r="L8" i="66"/>
  <c r="N8" i="66" s="1"/>
  <c r="J8" i="66"/>
  <c r="H8" i="66"/>
  <c r="T7" i="66"/>
  <c r="R7" i="66"/>
  <c r="U7" i="66" s="1"/>
  <c r="L7" i="66"/>
  <c r="N7" i="66" s="1"/>
  <c r="J7" i="66"/>
  <c r="H7" i="66"/>
  <c r="T6" i="66"/>
  <c r="R6" i="66"/>
  <c r="U6" i="66" s="1"/>
  <c r="L6" i="66"/>
  <c r="N6" i="66" s="1"/>
  <c r="J6" i="66"/>
  <c r="H6" i="66"/>
  <c r="T5" i="66"/>
  <c r="R5" i="66"/>
  <c r="U5" i="66" s="1"/>
  <c r="L5" i="66"/>
  <c r="N5" i="66" s="1"/>
  <c r="J5" i="66"/>
  <c r="H5" i="66"/>
  <c r="B5" i="66"/>
  <c r="AH4" i="66"/>
  <c r="AH5" i="66" s="1"/>
  <c r="AH6" i="66" s="1"/>
  <c r="AH7" i="66" s="1"/>
  <c r="AH8" i="66" s="1"/>
  <c r="AH9" i="66" s="1"/>
  <c r="AH10" i="66" s="1"/>
  <c r="AH11" i="66" s="1"/>
  <c r="AH12" i="66" s="1"/>
  <c r="AH13" i="66" s="1"/>
  <c r="AH14" i="66" s="1"/>
  <c r="AH15" i="66" s="1"/>
  <c r="AH16" i="66" s="1"/>
  <c r="AH17" i="66" s="1"/>
  <c r="AH18" i="66" s="1"/>
  <c r="AH19" i="66" s="1"/>
  <c r="AH20" i="66" s="1"/>
  <c r="AH21" i="66" s="1"/>
  <c r="AH22" i="66" s="1"/>
  <c r="AH23" i="66" s="1"/>
  <c r="AH24" i="66" s="1"/>
  <c r="AH25" i="66" s="1"/>
  <c r="AH26" i="66" s="1"/>
  <c r="AH27" i="66" s="1"/>
  <c r="AH28" i="66" s="1"/>
  <c r="AH29" i="66" s="1"/>
  <c r="AH30" i="66" s="1"/>
  <c r="AH31" i="66" s="1"/>
  <c r="AH32" i="66" s="1"/>
  <c r="AH33" i="66" s="1"/>
  <c r="AH34" i="66" s="1"/>
  <c r="AF4" i="66"/>
  <c r="AF5" i="66" s="1"/>
  <c r="AF6" i="66" s="1"/>
  <c r="AF7" i="66" s="1"/>
  <c r="AF8" i="66" s="1"/>
  <c r="AF9" i="66" s="1"/>
  <c r="AF10" i="66" s="1"/>
  <c r="AF11" i="66" s="1"/>
  <c r="AF12" i="66" s="1"/>
  <c r="AF13" i="66" s="1"/>
  <c r="AF14" i="66" s="1"/>
  <c r="AF15" i="66" s="1"/>
  <c r="AF16" i="66" s="1"/>
  <c r="AF17" i="66" s="1"/>
  <c r="AF18" i="66" s="1"/>
  <c r="AF19" i="66" s="1"/>
  <c r="AF20" i="66" s="1"/>
  <c r="AF21" i="66" s="1"/>
  <c r="AF22" i="66" s="1"/>
  <c r="AF23" i="66" s="1"/>
  <c r="AF24" i="66" s="1"/>
  <c r="AF25" i="66" s="1"/>
  <c r="AF26" i="66" s="1"/>
  <c r="AF27" i="66" s="1"/>
  <c r="AF28" i="66" s="1"/>
  <c r="AF29" i="66" s="1"/>
  <c r="AF30" i="66" s="1"/>
  <c r="AF31" i="66" s="1"/>
  <c r="AF32" i="66" s="1"/>
  <c r="AF33" i="66" s="1"/>
  <c r="AF34" i="66" s="1"/>
  <c r="AB4" i="66"/>
  <c r="AB5" i="66" s="1"/>
  <c r="AB6" i="66" s="1"/>
  <c r="AB7" i="66" s="1"/>
  <c r="AB8" i="66" s="1"/>
  <c r="AB9" i="66" s="1"/>
  <c r="AB10" i="66" s="1"/>
  <c r="AB11" i="66" s="1"/>
  <c r="AB12" i="66" s="1"/>
  <c r="AB13" i="66" s="1"/>
  <c r="AB14" i="66" s="1"/>
  <c r="AB15" i="66" s="1"/>
  <c r="AB16" i="66" s="1"/>
  <c r="AB17" i="66" s="1"/>
  <c r="AB18" i="66" s="1"/>
  <c r="AB19" i="66" s="1"/>
  <c r="AB20" i="66" s="1"/>
  <c r="AB21" i="66" s="1"/>
  <c r="AB22" i="66" s="1"/>
  <c r="AB23" i="66" s="1"/>
  <c r="AB24" i="66" s="1"/>
  <c r="AB25" i="66" s="1"/>
  <c r="AB26" i="66" s="1"/>
  <c r="AB27" i="66" s="1"/>
  <c r="AB28" i="66" s="1"/>
  <c r="AB29" i="66" s="1"/>
  <c r="AB30" i="66" s="1"/>
  <c r="AB31" i="66" s="1"/>
  <c r="AB32" i="66" s="1"/>
  <c r="AB33" i="66" s="1"/>
  <c r="AB34" i="66" s="1"/>
  <c r="T4" i="66"/>
  <c r="R4" i="66"/>
  <c r="AC4" i="66" s="1"/>
  <c r="L4" i="66"/>
  <c r="J4" i="66"/>
  <c r="H4" i="66"/>
  <c r="AA4" i="66" s="1"/>
  <c r="P3" i="66"/>
  <c r="X18" i="71" l="1"/>
  <c r="V26" i="66"/>
  <c r="W26" i="66" s="1"/>
  <c r="X26" i="71"/>
  <c r="X30" i="71"/>
  <c r="X6" i="71"/>
  <c r="L11" i="41"/>
  <c r="N11" i="41" s="1"/>
  <c r="G11" i="41"/>
  <c r="X8" i="71"/>
  <c r="X32" i="71"/>
  <c r="N37" i="71"/>
  <c r="H41" i="71" s="1"/>
  <c r="H42" i="71" s="1"/>
  <c r="X27" i="71"/>
  <c r="X14" i="71"/>
  <c r="X9" i="71"/>
  <c r="Q11" i="41"/>
  <c r="AB11" i="41" s="1"/>
  <c r="H11" i="41"/>
  <c r="P11" i="41"/>
  <c r="U11" i="41" s="1"/>
  <c r="X16" i="71"/>
  <c r="S11" i="41"/>
  <c r="J11" i="41"/>
  <c r="K11" i="41"/>
  <c r="I11" i="41"/>
  <c r="F11" i="41"/>
  <c r="X24" i="71"/>
  <c r="X12" i="71"/>
  <c r="B6" i="66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B18" i="66" s="1"/>
  <c r="B19" i="66" s="1"/>
  <c r="B20" i="66" s="1"/>
  <c r="B21" i="66" s="1"/>
  <c r="B22" i="66" s="1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X25" i="71"/>
  <c r="X20" i="71"/>
  <c r="X33" i="71"/>
  <c r="X11" i="71"/>
  <c r="R11" i="41"/>
  <c r="X21" i="71"/>
  <c r="AC21" i="71"/>
  <c r="AC22" i="71" s="1"/>
  <c r="AC23" i="71" s="1"/>
  <c r="AC24" i="71" s="1"/>
  <c r="AC25" i="71" s="1"/>
  <c r="AC26" i="71" s="1"/>
  <c r="AC27" i="71" s="1"/>
  <c r="AC28" i="71" s="1"/>
  <c r="AC29" i="71" s="1"/>
  <c r="AC30" i="71" s="1"/>
  <c r="AC31" i="71" s="1"/>
  <c r="AC32" i="71" s="1"/>
  <c r="AC33" i="71" s="1"/>
  <c r="AC34" i="71" s="1"/>
  <c r="AE21" i="71"/>
  <c r="AE22" i="71" s="1"/>
  <c r="AE23" i="71" s="1"/>
  <c r="AE24" i="71" s="1"/>
  <c r="AE25" i="71" s="1"/>
  <c r="AE26" i="71" s="1"/>
  <c r="AE27" i="71" s="1"/>
  <c r="AE28" i="71" s="1"/>
  <c r="AE29" i="71" s="1"/>
  <c r="AE30" i="71" s="1"/>
  <c r="AE31" i="71" s="1"/>
  <c r="AE32" i="71" s="1"/>
  <c r="AE33" i="71" s="1"/>
  <c r="AE34" i="71" s="1"/>
  <c r="X17" i="71"/>
  <c r="X13" i="71"/>
  <c r="U37" i="71"/>
  <c r="P5" i="71"/>
  <c r="P37" i="71" s="1"/>
  <c r="O5" i="71"/>
  <c r="X5" i="71" s="1"/>
  <c r="X10" i="71"/>
  <c r="X23" i="71"/>
  <c r="X15" i="71"/>
  <c r="X19" i="71"/>
  <c r="X28" i="71"/>
  <c r="X31" i="71"/>
  <c r="X34" i="71"/>
  <c r="X22" i="71"/>
  <c r="X7" i="71"/>
  <c r="W4" i="71"/>
  <c r="X4" i="71" s="1"/>
  <c r="V37" i="71"/>
  <c r="H46" i="71"/>
  <c r="H51" i="71" s="1"/>
  <c r="V25" i="66"/>
  <c r="W25" i="66" s="1"/>
  <c r="O24" i="66"/>
  <c r="O6" i="66"/>
  <c r="AA5" i="68"/>
  <c r="AA6" i="68" s="1"/>
  <c r="AA7" i="68" s="1"/>
  <c r="AA8" i="68" s="1"/>
  <c r="AA9" i="68" s="1"/>
  <c r="AA10" i="68" s="1"/>
  <c r="AA11" i="68" s="1"/>
  <c r="AA12" i="68" s="1"/>
  <c r="AA13" i="68" s="1"/>
  <c r="AA14" i="68" s="1"/>
  <c r="AA15" i="68" s="1"/>
  <c r="AA16" i="68" s="1"/>
  <c r="AA17" i="68" s="1"/>
  <c r="AA18" i="68" s="1"/>
  <c r="AA19" i="68" s="1"/>
  <c r="AA20" i="68" s="1"/>
  <c r="AA21" i="68" s="1"/>
  <c r="AA22" i="68" s="1"/>
  <c r="AA23" i="68" s="1"/>
  <c r="AA24" i="68" s="1"/>
  <c r="AA25" i="68" s="1"/>
  <c r="AA26" i="68" s="1"/>
  <c r="AA27" i="68" s="1"/>
  <c r="AA28" i="68" s="1"/>
  <c r="AA29" i="68" s="1"/>
  <c r="AA30" i="68" s="1"/>
  <c r="AA31" i="68" s="1"/>
  <c r="AA32" i="68" s="1"/>
  <c r="AA33" i="68" s="1"/>
  <c r="AD4" i="68"/>
  <c r="V13" i="66"/>
  <c r="W13" i="66" s="1"/>
  <c r="O33" i="66"/>
  <c r="P10" i="66"/>
  <c r="O18" i="66"/>
  <c r="O30" i="66"/>
  <c r="V32" i="66"/>
  <c r="W32" i="66" s="1"/>
  <c r="P33" i="66"/>
  <c r="U4" i="66"/>
  <c r="V4" i="66" s="1"/>
  <c r="V29" i="66"/>
  <c r="W29" i="66" s="1"/>
  <c r="P7" i="66"/>
  <c r="V9" i="66"/>
  <c r="W9" i="66" s="1"/>
  <c r="O13" i="66"/>
  <c r="V34" i="66"/>
  <c r="W34" i="66" s="1"/>
  <c r="V7" i="66"/>
  <c r="W7" i="66" s="1"/>
  <c r="V18" i="66"/>
  <c r="W18" i="66" s="1"/>
  <c r="M37" i="68"/>
  <c r="H41" i="68" s="1"/>
  <c r="H42" i="68" s="1"/>
  <c r="AE4" i="68"/>
  <c r="AE5" i="68" s="1"/>
  <c r="AE6" i="68" s="1"/>
  <c r="AE7" i="68" s="1"/>
  <c r="AE8" i="68" s="1"/>
  <c r="AE9" i="68" s="1"/>
  <c r="AE10" i="68" s="1"/>
  <c r="AE11" i="68" s="1"/>
  <c r="AE12" i="68" s="1"/>
  <c r="AE13" i="68" s="1"/>
  <c r="AE14" i="68" s="1"/>
  <c r="AE15" i="68" s="1"/>
  <c r="AE16" i="68" s="1"/>
  <c r="AE17" i="68" s="1"/>
  <c r="AE18" i="68" s="1"/>
  <c r="AE19" i="68" s="1"/>
  <c r="AE20" i="68" s="1"/>
  <c r="AE21" i="68" s="1"/>
  <c r="AE22" i="68" s="1"/>
  <c r="AE23" i="68" s="1"/>
  <c r="AE24" i="68" s="1"/>
  <c r="AE25" i="68" s="1"/>
  <c r="AE26" i="68" s="1"/>
  <c r="AE27" i="68" s="1"/>
  <c r="AE28" i="68" s="1"/>
  <c r="AE29" i="68" s="1"/>
  <c r="AE30" i="68" s="1"/>
  <c r="AE31" i="68" s="1"/>
  <c r="AE32" i="68" s="1"/>
  <c r="AE33" i="68" s="1"/>
  <c r="Q37" i="68"/>
  <c r="H44" i="68" s="1"/>
  <c r="H45" i="68" s="1"/>
  <c r="H51" i="68" s="1"/>
  <c r="AC4" i="68"/>
  <c r="AC5" i="68" s="1"/>
  <c r="AC6" i="68" s="1"/>
  <c r="AC7" i="68" s="1"/>
  <c r="AC8" i="68" s="1"/>
  <c r="AC9" i="68" s="1"/>
  <c r="AC10" i="68" s="1"/>
  <c r="AC11" i="68" s="1"/>
  <c r="AC12" i="68" s="1"/>
  <c r="AC13" i="68" s="1"/>
  <c r="AC14" i="68" s="1"/>
  <c r="AC15" i="68" s="1"/>
  <c r="AC16" i="68" s="1"/>
  <c r="AC17" i="68" s="1"/>
  <c r="AC18" i="68" s="1"/>
  <c r="AC19" i="68" s="1"/>
  <c r="AC20" i="68" s="1"/>
  <c r="AC21" i="68" s="1"/>
  <c r="AC22" i="68" s="1"/>
  <c r="AC23" i="68" s="1"/>
  <c r="AC24" i="68" s="1"/>
  <c r="AC25" i="68" s="1"/>
  <c r="AC26" i="68" s="1"/>
  <c r="AC27" i="68" s="1"/>
  <c r="AC28" i="68" s="1"/>
  <c r="AC29" i="68" s="1"/>
  <c r="AC30" i="68" s="1"/>
  <c r="AC31" i="68" s="1"/>
  <c r="AC32" i="68" s="1"/>
  <c r="AC33" i="68" s="1"/>
  <c r="H37" i="68"/>
  <c r="H40" i="68" s="1"/>
  <c r="K37" i="68"/>
  <c r="S37" i="68"/>
  <c r="P9" i="66"/>
  <c r="O12" i="66"/>
  <c r="V17" i="66"/>
  <c r="W17" i="66" s="1"/>
  <c r="V19" i="66"/>
  <c r="W19" i="66" s="1"/>
  <c r="O25" i="66"/>
  <c r="V8" i="66"/>
  <c r="W8" i="66" s="1"/>
  <c r="O9" i="66"/>
  <c r="V16" i="66"/>
  <c r="W16" i="66" s="1"/>
  <c r="V20" i="66"/>
  <c r="W20" i="66" s="1"/>
  <c r="V23" i="66"/>
  <c r="W23" i="66" s="1"/>
  <c r="O31" i="66"/>
  <c r="H37" i="66"/>
  <c r="H40" i="66" s="1"/>
  <c r="P18" i="66"/>
  <c r="AA5" i="66"/>
  <c r="AA6" i="66" s="1"/>
  <c r="AA7" i="66" s="1"/>
  <c r="AA8" i="66" s="1"/>
  <c r="AA9" i="66" s="1"/>
  <c r="AA10" i="66" s="1"/>
  <c r="AA11" i="66" s="1"/>
  <c r="AA12" i="66" s="1"/>
  <c r="AA13" i="66" s="1"/>
  <c r="AA14" i="66" s="1"/>
  <c r="AA15" i="66" s="1"/>
  <c r="AA16" i="66" s="1"/>
  <c r="AA17" i="66" s="1"/>
  <c r="AA18" i="66" s="1"/>
  <c r="AA19" i="66" s="1"/>
  <c r="AA20" i="66" s="1"/>
  <c r="AA21" i="66" s="1"/>
  <c r="AA22" i="66" s="1"/>
  <c r="AA23" i="66" s="1"/>
  <c r="AA24" i="66" s="1"/>
  <c r="AA25" i="66" s="1"/>
  <c r="AA26" i="66" s="1"/>
  <c r="AA27" i="66" s="1"/>
  <c r="AA28" i="66" s="1"/>
  <c r="AA29" i="66" s="1"/>
  <c r="AA30" i="66" s="1"/>
  <c r="AA31" i="66" s="1"/>
  <c r="AA32" i="66" s="1"/>
  <c r="AA33" i="66" s="1"/>
  <c r="AA34" i="66" s="1"/>
  <c r="V10" i="66"/>
  <c r="W10" i="66" s="1"/>
  <c r="V24" i="66"/>
  <c r="W24" i="66" s="1"/>
  <c r="V31" i="66"/>
  <c r="W31" i="66" s="1"/>
  <c r="O15" i="66"/>
  <c r="P16" i="66"/>
  <c r="L37" i="66"/>
  <c r="V5" i="66"/>
  <c r="W5" i="66" s="1"/>
  <c r="P17" i="66"/>
  <c r="O17" i="66"/>
  <c r="O22" i="66"/>
  <c r="P22" i="66"/>
  <c r="P5" i="66"/>
  <c r="O5" i="66"/>
  <c r="P8" i="66"/>
  <c r="O8" i="66"/>
  <c r="J37" i="66"/>
  <c r="P6" i="66"/>
  <c r="U14" i="66"/>
  <c r="V14" i="66" s="1"/>
  <c r="W14" i="66" s="1"/>
  <c r="P15" i="66"/>
  <c r="P21" i="66"/>
  <c r="P25" i="66"/>
  <c r="U27" i="66"/>
  <c r="V27" i="66" s="1"/>
  <c r="W27" i="66" s="1"/>
  <c r="U28" i="66"/>
  <c r="V28" i="66" s="1"/>
  <c r="W28" i="66" s="1"/>
  <c r="N4" i="66"/>
  <c r="P11" i="66"/>
  <c r="U12" i="66"/>
  <c r="V12" i="66" s="1"/>
  <c r="W12" i="66" s="1"/>
  <c r="P13" i="66"/>
  <c r="V6" i="66"/>
  <c r="W6" i="66" s="1"/>
  <c r="O11" i="66"/>
  <c r="V15" i="66"/>
  <c r="W15" i="66" s="1"/>
  <c r="U30" i="66"/>
  <c r="V30" i="66" s="1"/>
  <c r="W30" i="66" s="1"/>
  <c r="P32" i="66"/>
  <c r="O32" i="66"/>
  <c r="V33" i="66"/>
  <c r="W33" i="66" s="1"/>
  <c r="AC5" i="66"/>
  <c r="AC6" i="66" s="1"/>
  <c r="AC7" i="66" s="1"/>
  <c r="AC8" i="66" s="1"/>
  <c r="AC9" i="66" s="1"/>
  <c r="AC10" i="66" s="1"/>
  <c r="AC11" i="66" s="1"/>
  <c r="AC12" i="66" s="1"/>
  <c r="AC13" i="66" s="1"/>
  <c r="AC14" i="66" s="1"/>
  <c r="AC15" i="66" s="1"/>
  <c r="AC16" i="66" s="1"/>
  <c r="AC17" i="66" s="1"/>
  <c r="AC18" i="66" s="1"/>
  <c r="AC19" i="66" s="1"/>
  <c r="AC20" i="66" s="1"/>
  <c r="AC21" i="66" s="1"/>
  <c r="AC22" i="66" s="1"/>
  <c r="AC23" i="66" s="1"/>
  <c r="AC24" i="66" s="1"/>
  <c r="AC25" i="66" s="1"/>
  <c r="AC26" i="66" s="1"/>
  <c r="AC27" i="66" s="1"/>
  <c r="AC28" i="66" s="1"/>
  <c r="AC29" i="66" s="1"/>
  <c r="AC30" i="66" s="1"/>
  <c r="AC31" i="66" s="1"/>
  <c r="AC32" i="66" s="1"/>
  <c r="AC33" i="66" s="1"/>
  <c r="AC34" i="66" s="1"/>
  <c r="P14" i="66"/>
  <c r="O14" i="66"/>
  <c r="P19" i="66"/>
  <c r="P23" i="66"/>
  <c r="O23" i="66"/>
  <c r="T37" i="66"/>
  <c r="H48" i="66" s="1"/>
  <c r="H49" i="66" s="1"/>
  <c r="O7" i="66"/>
  <c r="P12" i="66"/>
  <c r="P20" i="66"/>
  <c r="P24" i="66"/>
  <c r="P27" i="66"/>
  <c r="P28" i="66"/>
  <c r="P29" i="66"/>
  <c r="P31" i="66"/>
  <c r="P34" i="66"/>
  <c r="O10" i="66"/>
  <c r="V11" i="66"/>
  <c r="W11" i="66" s="1"/>
  <c r="O16" i="66"/>
  <c r="O19" i="66"/>
  <c r="P26" i="66"/>
  <c r="O20" i="66"/>
  <c r="O21" i="66"/>
  <c r="U22" i="66"/>
  <c r="V22" i="66" s="1"/>
  <c r="W22" i="66" s="1"/>
  <c r="O26" i="66"/>
  <c r="X26" i="66" s="1"/>
  <c r="O27" i="66"/>
  <c r="O28" i="66"/>
  <c r="O29" i="66"/>
  <c r="P30" i="66"/>
  <c r="O34" i="66"/>
  <c r="R37" i="66"/>
  <c r="H44" i="66" s="1"/>
  <c r="H45" i="66" s="1"/>
  <c r="V21" i="66"/>
  <c r="W21" i="66" s="1"/>
  <c r="H53" i="71" l="1"/>
  <c r="H55" i="71" s="1"/>
  <c r="G10" i="41"/>
  <c r="P10" i="41"/>
  <c r="U10" i="41" s="1"/>
  <c r="L10" i="41"/>
  <c r="N10" i="41" s="1"/>
  <c r="F10" i="41"/>
  <c r="X25" i="66"/>
  <c r="K10" i="41"/>
  <c r="J10" i="41"/>
  <c r="T11" i="41"/>
  <c r="Z11" i="41" s="1"/>
  <c r="AA11" i="41" s="1"/>
  <c r="X34" i="66"/>
  <c r="S10" i="41"/>
  <c r="X24" i="66"/>
  <c r="I10" i="41"/>
  <c r="V11" i="41"/>
  <c r="Y11" i="41" s="1"/>
  <c r="C11" i="41" s="1"/>
  <c r="W11" i="41"/>
  <c r="X11" i="41" s="1"/>
  <c r="Q10" i="41"/>
  <c r="AB10" i="41" s="1"/>
  <c r="H10" i="41"/>
  <c r="X6" i="66"/>
  <c r="M11" i="41"/>
  <c r="O11" i="41" s="1"/>
  <c r="T10" i="41"/>
  <c r="Z10" i="41" s="1"/>
  <c r="X37" i="71"/>
  <c r="W37" i="71"/>
  <c r="AD4" i="71"/>
  <c r="AD5" i="71" s="1"/>
  <c r="AD6" i="71" s="1"/>
  <c r="AD7" i="71" s="1"/>
  <c r="AD8" i="71" s="1"/>
  <c r="AD9" i="71" s="1"/>
  <c r="AD10" i="71" s="1"/>
  <c r="AD11" i="71" s="1"/>
  <c r="AD12" i="71" s="1"/>
  <c r="AD13" i="71" s="1"/>
  <c r="AD14" i="71" s="1"/>
  <c r="AD15" i="71" s="1"/>
  <c r="AD16" i="71" s="1"/>
  <c r="AD17" i="71" s="1"/>
  <c r="AD18" i="71" s="1"/>
  <c r="AD19" i="71" s="1"/>
  <c r="AD20" i="71" s="1"/>
  <c r="O37" i="71"/>
  <c r="X7" i="66"/>
  <c r="X32" i="66"/>
  <c r="AD5" i="68"/>
  <c r="AD6" i="68" s="1"/>
  <c r="AD7" i="68" s="1"/>
  <c r="X16" i="66"/>
  <c r="X10" i="66"/>
  <c r="X23" i="66"/>
  <c r="X33" i="66"/>
  <c r="X29" i="66"/>
  <c r="X13" i="66"/>
  <c r="X18" i="66"/>
  <c r="X20" i="66"/>
  <c r="X8" i="66"/>
  <c r="X30" i="66"/>
  <c r="X9" i="66"/>
  <c r="X31" i="66"/>
  <c r="T37" i="68"/>
  <c r="N37" i="68"/>
  <c r="O37" i="68"/>
  <c r="H53" i="68"/>
  <c r="H56" i="68" s="1"/>
  <c r="X28" i="66"/>
  <c r="X19" i="66"/>
  <c r="X5" i="66"/>
  <c r="X17" i="66"/>
  <c r="X12" i="66"/>
  <c r="U37" i="66"/>
  <c r="X14" i="66"/>
  <c r="V37" i="66"/>
  <c r="W4" i="66"/>
  <c r="X27" i="66"/>
  <c r="P4" i="66"/>
  <c r="P37" i="66" s="1"/>
  <c r="O4" i="66"/>
  <c r="AE4" i="66"/>
  <c r="AE5" i="66" s="1"/>
  <c r="AE6" i="66" s="1"/>
  <c r="AE7" i="66" s="1"/>
  <c r="AE8" i="66" s="1"/>
  <c r="AE9" i="66" s="1"/>
  <c r="AE10" i="66" s="1"/>
  <c r="AE11" i="66" s="1"/>
  <c r="AE12" i="66" s="1"/>
  <c r="AE13" i="66" s="1"/>
  <c r="AE14" i="66" s="1"/>
  <c r="AE15" i="66" s="1"/>
  <c r="AE16" i="66" s="1"/>
  <c r="AE17" i="66" s="1"/>
  <c r="AE18" i="66" s="1"/>
  <c r="AE19" i="66" s="1"/>
  <c r="AE20" i="66" s="1"/>
  <c r="N37" i="66"/>
  <c r="H41" i="66" s="1"/>
  <c r="H42" i="66" s="1"/>
  <c r="X22" i="66"/>
  <c r="H46" i="66"/>
  <c r="H51" i="66" s="1"/>
  <c r="X15" i="66"/>
  <c r="X21" i="66"/>
  <c r="X11" i="66"/>
  <c r="S37" i="65"/>
  <c r="H47" i="65" s="1"/>
  <c r="Q37" i="65"/>
  <c r="M37" i="65"/>
  <c r="K37" i="65"/>
  <c r="I37" i="65"/>
  <c r="G37" i="65"/>
  <c r="F37" i="65"/>
  <c r="D37" i="65"/>
  <c r="C37" i="65"/>
  <c r="J35" i="65"/>
  <c r="H35" i="65"/>
  <c r="T34" i="65"/>
  <c r="R34" i="65"/>
  <c r="L34" i="65"/>
  <c r="N34" i="65" s="1"/>
  <c r="J34" i="65"/>
  <c r="T33" i="65"/>
  <c r="R33" i="65"/>
  <c r="U33" i="65" s="1"/>
  <c r="L33" i="65"/>
  <c r="N33" i="65" s="1"/>
  <c r="J33" i="65"/>
  <c r="T32" i="65"/>
  <c r="R32" i="65"/>
  <c r="U32" i="65" s="1"/>
  <c r="L32" i="65"/>
  <c r="N32" i="65" s="1"/>
  <c r="J32" i="65"/>
  <c r="T31" i="65"/>
  <c r="R31" i="65"/>
  <c r="L31" i="65"/>
  <c r="N31" i="65" s="1"/>
  <c r="J31" i="65"/>
  <c r="T30" i="65"/>
  <c r="R30" i="65"/>
  <c r="U30" i="65" s="1"/>
  <c r="L30" i="65"/>
  <c r="N30" i="65" s="1"/>
  <c r="J30" i="65"/>
  <c r="T29" i="65"/>
  <c r="R29" i="65"/>
  <c r="U29" i="65" s="1"/>
  <c r="L29" i="65"/>
  <c r="N29" i="65" s="1"/>
  <c r="J29" i="65"/>
  <c r="T28" i="65"/>
  <c r="R28" i="65"/>
  <c r="L28" i="65"/>
  <c r="N28" i="65" s="1"/>
  <c r="J28" i="65"/>
  <c r="T27" i="65"/>
  <c r="R27" i="65"/>
  <c r="L27" i="65"/>
  <c r="N27" i="65" s="1"/>
  <c r="J27" i="65"/>
  <c r="T26" i="65"/>
  <c r="R26" i="65"/>
  <c r="U26" i="65" s="1"/>
  <c r="L26" i="65"/>
  <c r="N26" i="65" s="1"/>
  <c r="J26" i="65"/>
  <c r="T25" i="65"/>
  <c r="R25" i="65"/>
  <c r="L25" i="65"/>
  <c r="N25" i="65" s="1"/>
  <c r="J25" i="65"/>
  <c r="T24" i="65"/>
  <c r="R24" i="65"/>
  <c r="L24" i="65"/>
  <c r="N24" i="65" s="1"/>
  <c r="J24" i="65"/>
  <c r="T23" i="65"/>
  <c r="R23" i="65"/>
  <c r="U23" i="65" s="1"/>
  <c r="L23" i="65"/>
  <c r="N23" i="65" s="1"/>
  <c r="J23" i="65"/>
  <c r="T22" i="65"/>
  <c r="R22" i="65"/>
  <c r="L22" i="65"/>
  <c r="N22" i="65" s="1"/>
  <c r="T21" i="65"/>
  <c r="R21" i="65"/>
  <c r="U21" i="65" s="1"/>
  <c r="L21" i="65"/>
  <c r="N21" i="65" s="1"/>
  <c r="T20" i="65"/>
  <c r="R20" i="65"/>
  <c r="U20" i="65" s="1"/>
  <c r="L20" i="65"/>
  <c r="N20" i="65" s="1"/>
  <c r="T19" i="65"/>
  <c r="R19" i="65"/>
  <c r="L19" i="65"/>
  <c r="N19" i="65" s="1"/>
  <c r="T18" i="65"/>
  <c r="R18" i="65"/>
  <c r="U18" i="65" s="1"/>
  <c r="L18" i="65"/>
  <c r="N18" i="65" s="1"/>
  <c r="T17" i="65"/>
  <c r="R17" i="65"/>
  <c r="U17" i="65" s="1"/>
  <c r="L17" i="65"/>
  <c r="N17" i="65" s="1"/>
  <c r="T16" i="65"/>
  <c r="R16" i="65"/>
  <c r="L16" i="65"/>
  <c r="N16" i="65" s="1"/>
  <c r="T15" i="65"/>
  <c r="R15" i="65"/>
  <c r="U15" i="65" s="1"/>
  <c r="L15" i="65"/>
  <c r="N15" i="65" s="1"/>
  <c r="T14" i="65"/>
  <c r="R14" i="65"/>
  <c r="U14" i="65" s="1"/>
  <c r="L14" i="65"/>
  <c r="N14" i="65" s="1"/>
  <c r="T13" i="65"/>
  <c r="R13" i="65"/>
  <c r="L13" i="65"/>
  <c r="N13" i="65" s="1"/>
  <c r="T12" i="65"/>
  <c r="R12" i="65"/>
  <c r="U12" i="65" s="1"/>
  <c r="L12" i="65"/>
  <c r="N12" i="65" s="1"/>
  <c r="T11" i="65"/>
  <c r="R11" i="65"/>
  <c r="U11" i="65" s="1"/>
  <c r="L11" i="65"/>
  <c r="N11" i="65" s="1"/>
  <c r="T10" i="65"/>
  <c r="R10" i="65"/>
  <c r="L10" i="65"/>
  <c r="N10" i="65" s="1"/>
  <c r="T9" i="65"/>
  <c r="R9" i="65"/>
  <c r="U9" i="65" s="1"/>
  <c r="L9" i="65"/>
  <c r="N9" i="65" s="1"/>
  <c r="T8" i="65"/>
  <c r="R8" i="65"/>
  <c r="U8" i="65" s="1"/>
  <c r="L8" i="65"/>
  <c r="N8" i="65" s="1"/>
  <c r="T7" i="65"/>
  <c r="R7" i="65"/>
  <c r="U7" i="65" s="1"/>
  <c r="T6" i="65"/>
  <c r="R6" i="65"/>
  <c r="U6" i="65" s="1"/>
  <c r="T5" i="65"/>
  <c r="R5" i="65"/>
  <c r="J5" i="65"/>
  <c r="B5" i="65"/>
  <c r="AH4" i="65"/>
  <c r="AH5" i="65" s="1"/>
  <c r="AH6" i="65" s="1"/>
  <c r="AH7" i="65" s="1"/>
  <c r="AH8" i="65" s="1"/>
  <c r="AH9" i="65" s="1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F4" i="65"/>
  <c r="AF5" i="65" s="1"/>
  <c r="AF6" i="65" s="1"/>
  <c r="AF7" i="65" s="1"/>
  <c r="AF8" i="65" s="1"/>
  <c r="AF9" i="65" s="1"/>
  <c r="AF10" i="65" s="1"/>
  <c r="AF11" i="65" s="1"/>
  <c r="AF12" i="65" s="1"/>
  <c r="AF13" i="65" s="1"/>
  <c r="AF14" i="65" s="1"/>
  <c r="AF15" i="65" s="1"/>
  <c r="AF16" i="65" s="1"/>
  <c r="AF17" i="65" s="1"/>
  <c r="AF18" i="65" s="1"/>
  <c r="AF19" i="65" s="1"/>
  <c r="AF20" i="65" s="1"/>
  <c r="AF21" i="65" s="1"/>
  <c r="AF22" i="65" s="1"/>
  <c r="AF23" i="65" s="1"/>
  <c r="AF24" i="65" s="1"/>
  <c r="AF25" i="65" s="1"/>
  <c r="AF26" i="65" s="1"/>
  <c r="AF27" i="65" s="1"/>
  <c r="AF28" i="65" s="1"/>
  <c r="AF29" i="65" s="1"/>
  <c r="AF30" i="65" s="1"/>
  <c r="AF31" i="65" s="1"/>
  <c r="AF32" i="65" s="1"/>
  <c r="AF33" i="65" s="1"/>
  <c r="AF34" i="65" s="1"/>
  <c r="AB4" i="65"/>
  <c r="AB5" i="65" s="1"/>
  <c r="AB6" i="65" s="1"/>
  <c r="AB7" i="65" s="1"/>
  <c r="AB8" i="65" s="1"/>
  <c r="AB9" i="65" s="1"/>
  <c r="AB10" i="65" s="1"/>
  <c r="AB11" i="65" s="1"/>
  <c r="AB12" i="65" s="1"/>
  <c r="AB13" i="65" s="1"/>
  <c r="AB14" i="65" s="1"/>
  <c r="AB15" i="65" s="1"/>
  <c r="AB16" i="65" s="1"/>
  <c r="AB17" i="65" s="1"/>
  <c r="AB18" i="65" s="1"/>
  <c r="AB19" i="65" s="1"/>
  <c r="AB20" i="65" s="1"/>
  <c r="AB21" i="65" s="1"/>
  <c r="AB22" i="65" s="1"/>
  <c r="AB23" i="65" s="1"/>
  <c r="AB24" i="65" s="1"/>
  <c r="AB25" i="65" s="1"/>
  <c r="AB26" i="65" s="1"/>
  <c r="AB27" i="65" s="1"/>
  <c r="AB28" i="65" s="1"/>
  <c r="AB29" i="65" s="1"/>
  <c r="AB30" i="65" s="1"/>
  <c r="AB31" i="65" s="1"/>
  <c r="AB32" i="65" s="1"/>
  <c r="AB33" i="65" s="1"/>
  <c r="AB34" i="65" s="1"/>
  <c r="T4" i="65"/>
  <c r="R4" i="65"/>
  <c r="AC4" i="65" s="1"/>
  <c r="L4" i="65"/>
  <c r="J4" i="65"/>
  <c r="P3" i="65"/>
  <c r="R10" i="41" l="1"/>
  <c r="W10" i="41" s="1"/>
  <c r="X10" i="41" s="1"/>
  <c r="AA10" i="41"/>
  <c r="AD21" i="71"/>
  <c r="AD22" i="71" s="1"/>
  <c r="AD23" i="71" s="1"/>
  <c r="AD24" i="71" s="1"/>
  <c r="AD25" i="71" s="1"/>
  <c r="AD26" i="71" s="1"/>
  <c r="AD27" i="71" s="1"/>
  <c r="AD28" i="71" s="1"/>
  <c r="AD29" i="71" s="1"/>
  <c r="AD30" i="71" s="1"/>
  <c r="AD31" i="71" s="1"/>
  <c r="AD32" i="71" s="1"/>
  <c r="AD33" i="71" s="1"/>
  <c r="AD34" i="71" s="1"/>
  <c r="AE21" i="66"/>
  <c r="AE22" i="66" s="1"/>
  <c r="AE23" i="66" s="1"/>
  <c r="AE24" i="66" s="1"/>
  <c r="AE25" i="66" s="1"/>
  <c r="AE26" i="66" s="1"/>
  <c r="AE27" i="66" s="1"/>
  <c r="AE28" i="66" s="1"/>
  <c r="AE29" i="66" s="1"/>
  <c r="AE30" i="66" s="1"/>
  <c r="AE31" i="66" s="1"/>
  <c r="AE32" i="66" s="1"/>
  <c r="AE33" i="66" s="1"/>
  <c r="AE34" i="66" s="1"/>
  <c r="P12" i="65"/>
  <c r="O12" i="65"/>
  <c r="O31" i="65"/>
  <c r="P31" i="65"/>
  <c r="O23" i="65"/>
  <c r="P23" i="65"/>
  <c r="P10" i="65"/>
  <c r="O10" i="65"/>
  <c r="O16" i="65"/>
  <c r="P16" i="65"/>
  <c r="P22" i="65"/>
  <c r="O22" i="65"/>
  <c r="O29" i="65"/>
  <c r="P29" i="65"/>
  <c r="O11" i="65"/>
  <c r="P11" i="65"/>
  <c r="P9" i="65"/>
  <c r="O9" i="65"/>
  <c r="O15" i="65"/>
  <c r="P15" i="65"/>
  <c r="P21" i="65"/>
  <c r="O21" i="65"/>
  <c r="P28" i="65"/>
  <c r="O28" i="65"/>
  <c r="P34" i="65"/>
  <c r="O34" i="65"/>
  <c r="O24" i="65"/>
  <c r="P24" i="65"/>
  <c r="P8" i="65"/>
  <c r="O8" i="65"/>
  <c r="P14" i="65"/>
  <c r="O14" i="65"/>
  <c r="P20" i="65"/>
  <c r="O20" i="65"/>
  <c r="P26" i="65"/>
  <c r="O26" i="65"/>
  <c r="P27" i="65"/>
  <c r="O27" i="65"/>
  <c r="P33" i="65"/>
  <c r="O33" i="65"/>
  <c r="P17" i="65"/>
  <c r="O17" i="65"/>
  <c r="O30" i="65"/>
  <c r="P30" i="65"/>
  <c r="P13" i="65"/>
  <c r="O13" i="65"/>
  <c r="O25" i="65"/>
  <c r="P25" i="65"/>
  <c r="P32" i="65"/>
  <c r="O32" i="65"/>
  <c r="P19" i="65"/>
  <c r="O19" i="65"/>
  <c r="O18" i="65"/>
  <c r="P18" i="65"/>
  <c r="U4" i="65"/>
  <c r="V4" i="65" s="1"/>
  <c r="V8" i="65"/>
  <c r="W8" i="65" s="1"/>
  <c r="V20" i="65"/>
  <c r="W20" i="65" s="1"/>
  <c r="W37" i="68"/>
  <c r="X37" i="68"/>
  <c r="U37" i="68"/>
  <c r="AD8" i="68"/>
  <c r="AD9" i="68" s="1"/>
  <c r="AD10" i="68" s="1"/>
  <c r="AD11" i="68" s="1"/>
  <c r="AD12" i="68" s="1"/>
  <c r="V29" i="65"/>
  <c r="W29" i="65" s="1"/>
  <c r="V11" i="65"/>
  <c r="W11" i="65" s="1"/>
  <c r="V21" i="65"/>
  <c r="W21" i="65" s="1"/>
  <c r="V26" i="65"/>
  <c r="W26" i="65" s="1"/>
  <c r="B6" i="65"/>
  <c r="V14" i="65"/>
  <c r="W14" i="65" s="1"/>
  <c r="AC5" i="65"/>
  <c r="AC6" i="65" s="1"/>
  <c r="AC7" i="65" s="1"/>
  <c r="AC8" i="65" s="1"/>
  <c r="AC9" i="65" s="1"/>
  <c r="AC10" i="65" s="1"/>
  <c r="AC11" i="65" s="1"/>
  <c r="AC12" i="65" s="1"/>
  <c r="AC13" i="65" s="1"/>
  <c r="AC14" i="65" s="1"/>
  <c r="AC15" i="65" s="1"/>
  <c r="AC16" i="65" s="1"/>
  <c r="U5" i="65"/>
  <c r="V5" i="65" s="1"/>
  <c r="W5" i="65" s="1"/>
  <c r="V6" i="65"/>
  <c r="W6" i="65" s="1"/>
  <c r="V23" i="65"/>
  <c r="W23" i="65" s="1"/>
  <c r="V32" i="65"/>
  <c r="W32" i="65" s="1"/>
  <c r="V17" i="65"/>
  <c r="W17" i="65" s="1"/>
  <c r="H53" i="66"/>
  <c r="H55" i="66" s="1"/>
  <c r="O37" i="66"/>
  <c r="X4" i="66"/>
  <c r="X37" i="66" s="1"/>
  <c r="W37" i="66"/>
  <c r="AD4" i="66"/>
  <c r="AD5" i="66" s="1"/>
  <c r="AD6" i="66" s="1"/>
  <c r="AD7" i="66" s="1"/>
  <c r="AD8" i="66" s="1"/>
  <c r="AD9" i="66" s="1"/>
  <c r="AD10" i="66" s="1"/>
  <c r="AD11" i="66" s="1"/>
  <c r="AD12" i="66" s="1"/>
  <c r="AD13" i="66" s="1"/>
  <c r="AD14" i="66" s="1"/>
  <c r="AD15" i="66" s="1"/>
  <c r="AD16" i="66" s="1"/>
  <c r="AD17" i="66" s="1"/>
  <c r="AD18" i="66" s="1"/>
  <c r="AD19" i="66" s="1"/>
  <c r="AD20" i="66" s="1"/>
  <c r="AD21" i="66" s="1"/>
  <c r="V15" i="65"/>
  <c r="W15" i="65" s="1"/>
  <c r="L7" i="65"/>
  <c r="N7" i="65" s="1"/>
  <c r="U34" i="65"/>
  <c r="V34" i="65" s="1"/>
  <c r="W34" i="65" s="1"/>
  <c r="N4" i="65"/>
  <c r="L6" i="65"/>
  <c r="N6" i="65" s="1"/>
  <c r="J6" i="65"/>
  <c r="V18" i="65"/>
  <c r="W18" i="65" s="1"/>
  <c r="R37" i="65"/>
  <c r="H44" i="65" s="1"/>
  <c r="H45" i="65" s="1"/>
  <c r="U13" i="65"/>
  <c r="V13" i="65" s="1"/>
  <c r="W13" i="65" s="1"/>
  <c r="U24" i="65"/>
  <c r="V24" i="65" s="1"/>
  <c r="W24" i="65" s="1"/>
  <c r="T37" i="65"/>
  <c r="H48" i="65" s="1"/>
  <c r="H49" i="65" s="1"/>
  <c r="V7" i="65"/>
  <c r="W7" i="65" s="1"/>
  <c r="V9" i="65"/>
  <c r="W9" i="65" s="1"/>
  <c r="H37" i="65"/>
  <c r="H40" i="65" s="1"/>
  <c r="U10" i="65"/>
  <c r="V10" i="65" s="1"/>
  <c r="W10" i="65" s="1"/>
  <c r="U16" i="65"/>
  <c r="V16" i="65" s="1"/>
  <c r="W16" i="65" s="1"/>
  <c r="U28" i="65"/>
  <c r="V28" i="65" s="1"/>
  <c r="W28" i="65" s="1"/>
  <c r="V12" i="65"/>
  <c r="W12" i="65" s="1"/>
  <c r="V30" i="65"/>
  <c r="W30" i="65" s="1"/>
  <c r="U19" i="65"/>
  <c r="V19" i="65" s="1"/>
  <c r="W19" i="65" s="1"/>
  <c r="U31" i="65"/>
  <c r="V31" i="65" s="1"/>
  <c r="W31" i="65" s="1"/>
  <c r="L5" i="65"/>
  <c r="N5" i="65" s="1"/>
  <c r="E37" i="65"/>
  <c r="U27" i="65"/>
  <c r="V27" i="65" s="1"/>
  <c r="W27" i="65" s="1"/>
  <c r="U25" i="65"/>
  <c r="V25" i="65" s="1"/>
  <c r="W25" i="65" s="1"/>
  <c r="U22" i="65"/>
  <c r="V22" i="65" s="1"/>
  <c r="W22" i="65" s="1"/>
  <c r="V33" i="65"/>
  <c r="W33" i="65" s="1"/>
  <c r="AA4" i="65"/>
  <c r="AA5" i="65" s="1"/>
  <c r="AA6" i="65" s="1"/>
  <c r="AA7" i="65" s="1"/>
  <c r="AA8" i="65" s="1"/>
  <c r="AA9" i="65" s="1"/>
  <c r="AA10" i="65" s="1"/>
  <c r="AA11" i="65" s="1"/>
  <c r="AA12" i="65" s="1"/>
  <c r="AA13" i="65" s="1"/>
  <c r="AA14" i="65" s="1"/>
  <c r="V10" i="41" l="1"/>
  <c r="Y10" i="41" s="1"/>
  <c r="C10" i="41" s="1"/>
  <c r="M10" i="41"/>
  <c r="O10" i="41" s="1"/>
  <c r="AC11" i="41"/>
  <c r="AD11" i="41" s="1"/>
  <c r="D11" i="41" s="1"/>
  <c r="AD22" i="66"/>
  <c r="AD23" i="66" s="1"/>
  <c r="AD24" i="66" s="1"/>
  <c r="AD25" i="66" s="1"/>
  <c r="AD26" i="66" s="1"/>
  <c r="AD27" i="66" s="1"/>
  <c r="AD28" i="66" s="1"/>
  <c r="AD29" i="66" s="1"/>
  <c r="AD30" i="66" s="1"/>
  <c r="AD31" i="66" s="1"/>
  <c r="AD32" i="66" s="1"/>
  <c r="AD33" i="66" s="1"/>
  <c r="AD34" i="66" s="1"/>
  <c r="X21" i="65"/>
  <c r="X17" i="65"/>
  <c r="X26" i="65"/>
  <c r="P6" i="65"/>
  <c r="O6" i="65"/>
  <c r="X6" i="65" s="1"/>
  <c r="O5" i="65"/>
  <c r="X5" i="65" s="1"/>
  <c r="P5" i="65"/>
  <c r="O4" i="65"/>
  <c r="P4" i="65"/>
  <c r="P7" i="65"/>
  <c r="O7" i="65"/>
  <c r="X7" i="65" s="1"/>
  <c r="X8" i="65"/>
  <c r="X23" i="65"/>
  <c r="X10" i="65"/>
  <c r="X11" i="65"/>
  <c r="X20" i="65"/>
  <c r="X12" i="65"/>
  <c r="J37" i="65"/>
  <c r="X29" i="65"/>
  <c r="AD13" i="68"/>
  <c r="AD14" i="68" s="1"/>
  <c r="AD15" i="68" s="1"/>
  <c r="AD16" i="68" s="1"/>
  <c r="AD17" i="68" s="1"/>
  <c r="AD18" i="68" s="1"/>
  <c r="AD19" i="68" s="1"/>
  <c r="AD20" i="68" s="1"/>
  <c r="AD21" i="68" s="1"/>
  <c r="AD22" i="68" s="1"/>
  <c r="AD23" i="68" s="1"/>
  <c r="AD24" i="68" s="1"/>
  <c r="AD25" i="68" s="1"/>
  <c r="AD26" i="68" s="1"/>
  <c r="AD27" i="68" s="1"/>
  <c r="AD28" i="68" s="1"/>
  <c r="AD29" i="68" s="1"/>
  <c r="AD30" i="68" s="1"/>
  <c r="AD31" i="68" s="1"/>
  <c r="AD32" i="68" s="1"/>
  <c r="AD33" i="68" s="1"/>
  <c r="V37" i="68"/>
  <c r="X18" i="65"/>
  <c r="X33" i="65"/>
  <c r="X32" i="65"/>
  <c r="X25" i="65"/>
  <c r="B7" i="65"/>
  <c r="X27" i="65"/>
  <c r="X14" i="65"/>
  <c r="X15" i="65"/>
  <c r="AC17" i="65"/>
  <c r="AC18" i="65" s="1"/>
  <c r="AC19" i="65" s="1"/>
  <c r="AC20" i="65" s="1"/>
  <c r="AC21" i="65" s="1"/>
  <c r="AC22" i="65" s="1"/>
  <c r="AC23" i="65" s="1"/>
  <c r="AC24" i="65" s="1"/>
  <c r="AC25" i="65" s="1"/>
  <c r="AC26" i="65" s="1"/>
  <c r="AC27" i="65" s="1"/>
  <c r="AC28" i="65" s="1"/>
  <c r="AC29" i="65" s="1"/>
  <c r="AC30" i="65" s="1"/>
  <c r="AC31" i="65" s="1"/>
  <c r="AC32" i="65" s="1"/>
  <c r="AC33" i="65" s="1"/>
  <c r="AC34" i="65" s="1"/>
  <c r="AA15" i="65"/>
  <c r="AA16" i="65" s="1"/>
  <c r="AA17" i="65" s="1"/>
  <c r="AA18" i="65" s="1"/>
  <c r="AA19" i="65" s="1"/>
  <c r="AA20" i="65" s="1"/>
  <c r="AA21" i="65" s="1"/>
  <c r="X16" i="65"/>
  <c r="X28" i="65"/>
  <c r="H46" i="65"/>
  <c r="H51" i="65" s="1"/>
  <c r="W4" i="65"/>
  <c r="V37" i="65"/>
  <c r="N37" i="65"/>
  <c r="H41" i="65" s="1"/>
  <c r="H42" i="65" s="1"/>
  <c r="AE4" i="65"/>
  <c r="AE5" i="65" s="1"/>
  <c r="AE6" i="65" s="1"/>
  <c r="AE7" i="65" s="1"/>
  <c r="AE8" i="65" s="1"/>
  <c r="AE9" i="65" s="1"/>
  <c r="AE10" i="65" s="1"/>
  <c r="AE11" i="65" s="1"/>
  <c r="AE12" i="65" s="1"/>
  <c r="AE13" i="65" s="1"/>
  <c r="AE14" i="65" s="1"/>
  <c r="X31" i="65"/>
  <c r="U37" i="65"/>
  <c r="X19" i="65"/>
  <c r="L37" i="65"/>
  <c r="X22" i="65"/>
  <c r="X24" i="65"/>
  <c r="X13" i="65"/>
  <c r="X30" i="65"/>
  <c r="X34" i="65"/>
  <c r="X9" i="65"/>
  <c r="AC10" i="41" l="1"/>
  <c r="AD10" i="41" s="1"/>
  <c r="D10" i="41" s="1"/>
  <c r="AA22" i="65"/>
  <c r="AA23" i="65" s="1"/>
  <c r="AA24" i="65" s="1"/>
  <c r="AA25" i="65" s="1"/>
  <c r="AA26" i="65" s="1"/>
  <c r="AA27" i="65" s="1"/>
  <c r="AA28" i="65" s="1"/>
  <c r="AA29" i="65" s="1"/>
  <c r="AA30" i="65" s="1"/>
  <c r="AA31" i="65" s="1"/>
  <c r="AA32" i="65" s="1"/>
  <c r="AA33" i="65" s="1"/>
  <c r="AA34" i="65" s="1"/>
  <c r="B8" i="65"/>
  <c r="AE15" i="65"/>
  <c r="AE16" i="65" s="1"/>
  <c r="AE17" i="65" s="1"/>
  <c r="AE18" i="65" s="1"/>
  <c r="AE19" i="65" s="1"/>
  <c r="AE20" i="65" s="1"/>
  <c r="AE21" i="65" s="1"/>
  <c r="P37" i="65"/>
  <c r="O37" i="65"/>
  <c r="X4" i="65"/>
  <c r="X37" i="65" s="1"/>
  <c r="H53" i="65"/>
  <c r="H55" i="65" s="1"/>
  <c r="W37" i="65"/>
  <c r="AD4" i="65"/>
  <c r="AD5" i="65" s="1"/>
  <c r="AD6" i="65" s="1"/>
  <c r="AD7" i="65" s="1"/>
  <c r="AD8" i="65" s="1"/>
  <c r="AD9" i="65" s="1"/>
  <c r="AD10" i="65" s="1"/>
  <c r="AD11" i="65" s="1"/>
  <c r="AD12" i="65" s="1"/>
  <c r="AD13" i="65" s="1"/>
  <c r="AD14" i="65" s="1"/>
  <c r="AD15" i="65" s="1"/>
  <c r="AD16" i="65" s="1"/>
  <c r="AE22" i="65" l="1"/>
  <c r="AE23" i="65" s="1"/>
  <c r="AE24" i="65" s="1"/>
  <c r="AE25" i="65" s="1"/>
  <c r="AE26" i="65" s="1"/>
  <c r="AE27" i="65" s="1"/>
  <c r="AE28" i="65" s="1"/>
  <c r="AE29" i="65" s="1"/>
  <c r="AE30" i="65" s="1"/>
  <c r="AE31" i="65" s="1"/>
  <c r="AE32" i="65" s="1"/>
  <c r="AE33" i="65" s="1"/>
  <c r="AE34" i="65" s="1"/>
  <c r="B9" i="65"/>
  <c r="AD17" i="65"/>
  <c r="AD18" i="65" s="1"/>
  <c r="AD19" i="65" s="1"/>
  <c r="AD20" i="65" s="1"/>
  <c r="AD21" i="65" s="1"/>
  <c r="AD22" i="65" s="1"/>
  <c r="AD23" i="65" s="1"/>
  <c r="AD24" i="65" s="1"/>
  <c r="AD25" i="65" s="1"/>
  <c r="AD26" i="65" s="1"/>
  <c r="AD27" i="65" s="1"/>
  <c r="AD28" i="65" s="1"/>
  <c r="AD29" i="65" s="1"/>
  <c r="AD30" i="65" s="1"/>
  <c r="AD31" i="65" s="1"/>
  <c r="AD32" i="65" s="1"/>
  <c r="AD33" i="65" s="1"/>
  <c r="AD34" i="65" s="1"/>
  <c r="L11" i="50"/>
  <c r="N11" i="50" s="1"/>
  <c r="B10" i="65" l="1"/>
  <c r="L7" i="50"/>
  <c r="N7" i="50" s="1"/>
  <c r="L4" i="50"/>
  <c r="N4" i="50" s="1"/>
  <c r="H11" i="59"/>
  <c r="B11" i="65" l="1"/>
  <c r="L11" i="60"/>
  <c r="L12" i="60"/>
  <c r="L13" i="60"/>
  <c r="L14" i="60"/>
  <c r="L15" i="60"/>
  <c r="L16" i="60"/>
  <c r="L17" i="60"/>
  <c r="L18" i="60"/>
  <c r="L19" i="60"/>
  <c r="L20" i="60"/>
  <c r="L21" i="60"/>
  <c r="L22" i="60"/>
  <c r="L23" i="60"/>
  <c r="L24" i="60"/>
  <c r="L25" i="60"/>
  <c r="L26" i="60"/>
  <c r="L27" i="60"/>
  <c r="L28" i="60"/>
  <c r="L29" i="60"/>
  <c r="L30" i="60"/>
  <c r="L31" i="60"/>
  <c r="L32" i="60"/>
  <c r="L33" i="60"/>
  <c r="L34" i="60"/>
  <c r="L4" i="60"/>
  <c r="L9" i="60"/>
  <c r="L10" i="60"/>
  <c r="N8" i="58"/>
  <c r="J20" i="41"/>
  <c r="B12" i="65" l="1"/>
  <c r="N11" i="58"/>
  <c r="B13" i="65" l="1"/>
  <c r="H4" i="50"/>
  <c r="B14" i="65" l="1"/>
  <c r="H6" i="59"/>
  <c r="R10" i="59"/>
  <c r="U10" i="59" s="1"/>
  <c r="T10" i="59"/>
  <c r="B15" i="65" l="1"/>
  <c r="V10" i="59"/>
  <c r="W10" i="59" s="1"/>
  <c r="O10" i="59"/>
  <c r="X10" i="59" l="1"/>
  <c r="Y10" i="59"/>
  <c r="B16" i="65"/>
  <c r="L6" i="60" l="1"/>
  <c r="L5" i="60"/>
  <c r="L8" i="60"/>
  <c r="B17" i="65"/>
  <c r="L7" i="60"/>
  <c r="B18" i="65" l="1"/>
  <c r="B19" i="65" s="1"/>
  <c r="B20" i="65" s="1"/>
  <c r="B21" i="65" s="1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N6" i="59"/>
  <c r="G9" i="41" l="1"/>
  <c r="J9" i="41"/>
  <c r="AC9" i="41"/>
  <c r="L9" i="41"/>
  <c r="N9" i="41" s="1"/>
  <c r="T9" i="41"/>
  <c r="Z9" i="41" s="1"/>
  <c r="S9" i="41"/>
  <c r="Q9" i="41"/>
  <c r="AB9" i="41" s="1"/>
  <c r="I9" i="41"/>
  <c r="F9" i="41"/>
  <c r="R9" i="41"/>
  <c r="H9" i="41"/>
  <c r="P9" i="41"/>
  <c r="U9" i="41" s="1"/>
  <c r="K9" i="41"/>
  <c r="M9" i="41"/>
  <c r="O9" i="41" s="1"/>
  <c r="M6" i="62"/>
  <c r="N6" i="62" s="1"/>
  <c r="Q6" i="62"/>
  <c r="U6" i="62"/>
  <c r="V6" i="62" s="1"/>
  <c r="AD9" i="41" l="1"/>
  <c r="D9" i="41" s="1"/>
  <c r="AA9" i="41"/>
  <c r="W9" i="41"/>
  <c r="X9" i="41" s="1"/>
  <c r="V9" i="41"/>
  <c r="Y9" i="41" s="1"/>
  <c r="C9" i="41" s="1"/>
  <c r="W6" i="62"/>
  <c r="X6" i="62"/>
  <c r="U5" i="62"/>
  <c r="V5" i="62" s="1"/>
  <c r="Q5" i="62"/>
  <c r="M5" i="62"/>
  <c r="N5" i="62" s="1"/>
  <c r="U4" i="62"/>
  <c r="W4" i="62" s="1"/>
  <c r="Q4" i="62"/>
  <c r="AC4" i="62" s="1"/>
  <c r="R37" i="62"/>
  <c r="H47" i="62" s="1"/>
  <c r="H48" i="62" s="1"/>
  <c r="H49" i="62" s="1"/>
  <c r="P37" i="62"/>
  <c r="L37" i="62"/>
  <c r="J37" i="62"/>
  <c r="G37" i="62"/>
  <c r="F37" i="62"/>
  <c r="E37" i="62"/>
  <c r="D37" i="62"/>
  <c r="C37" i="62"/>
  <c r="S34" i="62"/>
  <c r="Q34" i="62"/>
  <c r="M34" i="62"/>
  <c r="S33" i="62"/>
  <c r="Q33" i="62"/>
  <c r="M33" i="62"/>
  <c r="N33" i="62" s="1"/>
  <c r="S32" i="62"/>
  <c r="Q32" i="62"/>
  <c r="M32" i="62"/>
  <c r="N32" i="62" s="1"/>
  <c r="S31" i="62"/>
  <c r="Q31" i="62"/>
  <c r="M31" i="62"/>
  <c r="N31" i="62" s="1"/>
  <c r="S30" i="62"/>
  <c r="Q30" i="62"/>
  <c r="M30" i="62"/>
  <c r="N30" i="62" s="1"/>
  <c r="S29" i="62"/>
  <c r="Q29" i="62"/>
  <c r="M29" i="62"/>
  <c r="N29" i="62" s="1"/>
  <c r="S28" i="62"/>
  <c r="Q28" i="62"/>
  <c r="M28" i="62"/>
  <c r="N28" i="62" s="1"/>
  <c r="S27" i="62"/>
  <c r="Q27" i="62"/>
  <c r="M27" i="62"/>
  <c r="N27" i="62" s="1"/>
  <c r="S26" i="62"/>
  <c r="Q26" i="62"/>
  <c r="M26" i="62"/>
  <c r="N26" i="62" s="1"/>
  <c r="S25" i="62"/>
  <c r="Q25" i="62"/>
  <c r="M25" i="62"/>
  <c r="N25" i="62" s="1"/>
  <c r="S24" i="62"/>
  <c r="Q24" i="62"/>
  <c r="M24" i="62"/>
  <c r="N24" i="62" s="1"/>
  <c r="S23" i="62"/>
  <c r="Q23" i="62"/>
  <c r="M23" i="62"/>
  <c r="N23" i="62" s="1"/>
  <c r="S22" i="62"/>
  <c r="Q22" i="62"/>
  <c r="M22" i="62"/>
  <c r="N22" i="62" s="1"/>
  <c r="S21" i="62"/>
  <c r="Q21" i="62"/>
  <c r="M21" i="62"/>
  <c r="N21" i="62" s="1"/>
  <c r="S20" i="62"/>
  <c r="Q20" i="62"/>
  <c r="M20" i="62"/>
  <c r="N20" i="62" s="1"/>
  <c r="S19" i="62"/>
  <c r="Q19" i="62"/>
  <c r="M19" i="62"/>
  <c r="N19" i="62" s="1"/>
  <c r="S18" i="62"/>
  <c r="Q18" i="62"/>
  <c r="M18" i="62"/>
  <c r="N18" i="62" s="1"/>
  <c r="S17" i="62"/>
  <c r="Q17" i="62"/>
  <c r="M17" i="62"/>
  <c r="N17" i="62" s="1"/>
  <c r="S16" i="62"/>
  <c r="Q16" i="62"/>
  <c r="M16" i="62"/>
  <c r="N16" i="62" s="1"/>
  <c r="S15" i="62"/>
  <c r="Q15" i="62"/>
  <c r="M15" i="62"/>
  <c r="N15" i="62" s="1"/>
  <c r="S14" i="62"/>
  <c r="Q14" i="62"/>
  <c r="M14" i="62"/>
  <c r="S13" i="62"/>
  <c r="Q13" i="62"/>
  <c r="M13" i="62"/>
  <c r="N13" i="62" s="1"/>
  <c r="S12" i="62"/>
  <c r="Q12" i="62"/>
  <c r="S11" i="62"/>
  <c r="Q11" i="62"/>
  <c r="M11" i="62"/>
  <c r="N11" i="62" s="1"/>
  <c r="S10" i="62"/>
  <c r="Q10" i="62"/>
  <c r="M10" i="62"/>
  <c r="N10" i="62" s="1"/>
  <c r="S9" i="62"/>
  <c r="Q9" i="62"/>
  <c r="M9" i="62"/>
  <c r="N9" i="62" s="1"/>
  <c r="S8" i="62"/>
  <c r="Q8" i="62"/>
  <c r="S7" i="62"/>
  <c r="Q7" i="62"/>
  <c r="M7" i="62"/>
  <c r="N7" i="62" s="1"/>
  <c r="B5" i="62"/>
  <c r="AH4" i="62"/>
  <c r="AH5" i="62" s="1"/>
  <c r="AH6" i="62" s="1"/>
  <c r="AH7" i="62" s="1"/>
  <c r="AH8" i="62" s="1"/>
  <c r="AH9" i="62" s="1"/>
  <c r="AH10" i="62" s="1"/>
  <c r="AH11" i="62" s="1"/>
  <c r="AH12" i="62" s="1"/>
  <c r="AH13" i="62" s="1"/>
  <c r="AH14" i="62" s="1"/>
  <c r="AH15" i="62" s="1"/>
  <c r="AH16" i="62" s="1"/>
  <c r="AH17" i="62" s="1"/>
  <c r="AH18" i="62" s="1"/>
  <c r="AH19" i="62" s="1"/>
  <c r="AH20" i="62" s="1"/>
  <c r="AH21" i="62" s="1"/>
  <c r="AH22" i="62" s="1"/>
  <c r="AH23" i="62" s="1"/>
  <c r="AH24" i="62" s="1"/>
  <c r="AH25" i="62" s="1"/>
  <c r="AH26" i="62" s="1"/>
  <c r="AH27" i="62" s="1"/>
  <c r="AH28" i="62" s="1"/>
  <c r="AH29" i="62" s="1"/>
  <c r="AH30" i="62" s="1"/>
  <c r="AH31" i="62" s="1"/>
  <c r="AH32" i="62" s="1"/>
  <c r="AH33" i="62" s="1"/>
  <c r="AF4" i="62"/>
  <c r="AF5" i="62" s="1"/>
  <c r="AF6" i="62" s="1"/>
  <c r="AF7" i="62" s="1"/>
  <c r="AF8" i="62" s="1"/>
  <c r="AF9" i="62" s="1"/>
  <c r="AF10" i="62" s="1"/>
  <c r="AF11" i="62" s="1"/>
  <c r="AF12" i="62" s="1"/>
  <c r="AF13" i="62" s="1"/>
  <c r="AF14" i="62" s="1"/>
  <c r="AF15" i="62" s="1"/>
  <c r="AF16" i="62" s="1"/>
  <c r="AB4" i="62"/>
  <c r="AB5" i="62" s="1"/>
  <c r="AB6" i="62" s="1"/>
  <c r="AB7" i="62" s="1"/>
  <c r="AB8" i="62" s="1"/>
  <c r="AB9" i="62" s="1"/>
  <c r="AB10" i="62" s="1"/>
  <c r="AB11" i="62" s="1"/>
  <c r="O3" i="62"/>
  <c r="O6" i="62" s="1"/>
  <c r="S37" i="60"/>
  <c r="H47" i="60" s="1"/>
  <c r="Q37" i="60"/>
  <c r="M37" i="60"/>
  <c r="K37" i="60"/>
  <c r="J37" i="60"/>
  <c r="I37" i="60"/>
  <c r="G37" i="60"/>
  <c r="F37" i="60"/>
  <c r="E37" i="60"/>
  <c r="D37" i="60"/>
  <c r="C37" i="60"/>
  <c r="T34" i="60"/>
  <c r="R34" i="60"/>
  <c r="U34" i="60" s="1"/>
  <c r="N34" i="60"/>
  <c r="T33" i="60"/>
  <c r="R33" i="60"/>
  <c r="U33" i="60" s="1"/>
  <c r="N33" i="60"/>
  <c r="T32" i="60"/>
  <c r="R32" i="60"/>
  <c r="U32" i="60" s="1"/>
  <c r="N32" i="60"/>
  <c r="T31" i="60"/>
  <c r="R31" i="60"/>
  <c r="U31" i="60" s="1"/>
  <c r="N31" i="60"/>
  <c r="T30" i="60"/>
  <c r="R30" i="60"/>
  <c r="U30" i="60" s="1"/>
  <c r="N30" i="60"/>
  <c r="T29" i="60"/>
  <c r="R29" i="60"/>
  <c r="U29" i="60" s="1"/>
  <c r="N29" i="60"/>
  <c r="T28" i="60"/>
  <c r="R28" i="60"/>
  <c r="U28" i="60" s="1"/>
  <c r="N28" i="60"/>
  <c r="T27" i="60"/>
  <c r="R27" i="60"/>
  <c r="U27" i="60" s="1"/>
  <c r="N27" i="60"/>
  <c r="T26" i="60"/>
  <c r="R26" i="60"/>
  <c r="U26" i="60" s="1"/>
  <c r="N26" i="60"/>
  <c r="T25" i="60"/>
  <c r="R25" i="60"/>
  <c r="U25" i="60" s="1"/>
  <c r="N25" i="60"/>
  <c r="T24" i="60"/>
  <c r="R24" i="60"/>
  <c r="U24" i="60" s="1"/>
  <c r="N24" i="60"/>
  <c r="T23" i="60"/>
  <c r="R23" i="60"/>
  <c r="U23" i="60" s="1"/>
  <c r="N23" i="60"/>
  <c r="T22" i="60"/>
  <c r="R22" i="60"/>
  <c r="U22" i="60" s="1"/>
  <c r="N22" i="60"/>
  <c r="T21" i="60"/>
  <c r="R21" i="60"/>
  <c r="U21" i="60" s="1"/>
  <c r="N21" i="60"/>
  <c r="T20" i="60"/>
  <c r="R20" i="60"/>
  <c r="U20" i="60" s="1"/>
  <c r="N20" i="60"/>
  <c r="T19" i="60"/>
  <c r="R19" i="60"/>
  <c r="U19" i="60" s="1"/>
  <c r="N19" i="60"/>
  <c r="T18" i="60"/>
  <c r="R18" i="60"/>
  <c r="U18" i="60" s="1"/>
  <c r="N18" i="60"/>
  <c r="T17" i="60"/>
  <c r="R17" i="60"/>
  <c r="U17" i="60" s="1"/>
  <c r="N17" i="60"/>
  <c r="T16" i="60"/>
  <c r="R16" i="60"/>
  <c r="U16" i="60" s="1"/>
  <c r="N16" i="60"/>
  <c r="T15" i="60"/>
  <c r="R15" i="60"/>
  <c r="U15" i="60" s="1"/>
  <c r="N15" i="60"/>
  <c r="T14" i="60"/>
  <c r="R14" i="60"/>
  <c r="U14" i="60" s="1"/>
  <c r="N14" i="60"/>
  <c r="T13" i="60"/>
  <c r="R13" i="60"/>
  <c r="U13" i="60" s="1"/>
  <c r="N13" i="60"/>
  <c r="T12" i="60"/>
  <c r="R12" i="60"/>
  <c r="N12" i="60"/>
  <c r="T11" i="60"/>
  <c r="R11" i="60"/>
  <c r="U11" i="60" s="1"/>
  <c r="N11" i="60"/>
  <c r="T10" i="60"/>
  <c r="R10" i="60"/>
  <c r="U10" i="60" s="1"/>
  <c r="N10" i="60"/>
  <c r="T9" i="60"/>
  <c r="R9" i="60"/>
  <c r="U9" i="60" s="1"/>
  <c r="N9" i="60"/>
  <c r="T8" i="60"/>
  <c r="R8" i="60"/>
  <c r="N8" i="60"/>
  <c r="T7" i="60"/>
  <c r="R7" i="60"/>
  <c r="U7" i="60" s="1"/>
  <c r="N7" i="60"/>
  <c r="T6" i="60"/>
  <c r="R6" i="60"/>
  <c r="U6" i="60" s="1"/>
  <c r="N6" i="60"/>
  <c r="T5" i="60"/>
  <c r="R5" i="60"/>
  <c r="U5" i="60" s="1"/>
  <c r="N5" i="60"/>
  <c r="B5" i="60"/>
  <c r="AH4" i="60"/>
  <c r="AH5" i="60" s="1"/>
  <c r="AH6" i="60" s="1"/>
  <c r="AH7" i="60" s="1"/>
  <c r="AH8" i="60" s="1"/>
  <c r="AH9" i="60" s="1"/>
  <c r="AH10" i="60" s="1"/>
  <c r="AH11" i="60" s="1"/>
  <c r="AF4" i="60"/>
  <c r="AF5" i="60" s="1"/>
  <c r="AF6" i="60" s="1"/>
  <c r="AF7" i="60" s="1"/>
  <c r="AF8" i="60" s="1"/>
  <c r="AF9" i="60" s="1"/>
  <c r="AF10" i="60" s="1"/>
  <c r="AF11" i="60" s="1"/>
  <c r="AF12" i="60" s="1"/>
  <c r="AF13" i="60" s="1"/>
  <c r="AF14" i="60" s="1"/>
  <c r="AF15" i="60" s="1"/>
  <c r="AF16" i="60" s="1"/>
  <c r="AF17" i="60" s="1"/>
  <c r="AF18" i="60" s="1"/>
  <c r="AF19" i="60" s="1"/>
  <c r="AF20" i="60" s="1"/>
  <c r="AF21" i="60" s="1"/>
  <c r="AF22" i="60" s="1"/>
  <c r="AF23" i="60" s="1"/>
  <c r="AF24" i="60" s="1"/>
  <c r="AF25" i="60" s="1"/>
  <c r="AF26" i="60" s="1"/>
  <c r="AF27" i="60" s="1"/>
  <c r="AF28" i="60" s="1"/>
  <c r="AF29" i="60" s="1"/>
  <c r="AF30" i="60" s="1"/>
  <c r="AF31" i="60" s="1"/>
  <c r="AF32" i="60" s="1"/>
  <c r="AF33" i="60" s="1"/>
  <c r="AF34" i="60" s="1"/>
  <c r="AB4" i="60"/>
  <c r="AB5" i="60" s="1"/>
  <c r="AB6" i="60" s="1"/>
  <c r="AB7" i="60" s="1"/>
  <c r="AB8" i="60" s="1"/>
  <c r="AB9" i="60" s="1"/>
  <c r="AB10" i="60" s="1"/>
  <c r="AB11" i="60" s="1"/>
  <c r="AB12" i="60" s="1"/>
  <c r="AB13" i="60" s="1"/>
  <c r="AB14" i="60" s="1"/>
  <c r="AB15" i="60" s="1"/>
  <c r="AB16" i="60" s="1"/>
  <c r="AB17" i="60" s="1"/>
  <c r="AB18" i="60" s="1"/>
  <c r="AB19" i="60" s="1"/>
  <c r="AB20" i="60" s="1"/>
  <c r="AB21" i="60" s="1"/>
  <c r="AB22" i="60" s="1"/>
  <c r="AB23" i="60" s="1"/>
  <c r="AB24" i="60" s="1"/>
  <c r="AB25" i="60" s="1"/>
  <c r="AB26" i="60" s="1"/>
  <c r="AB27" i="60" s="1"/>
  <c r="AB28" i="60" s="1"/>
  <c r="AB29" i="60" s="1"/>
  <c r="AB30" i="60" s="1"/>
  <c r="AB31" i="60" s="1"/>
  <c r="AB32" i="60" s="1"/>
  <c r="AB33" i="60" s="1"/>
  <c r="AB34" i="60" s="1"/>
  <c r="T4" i="60"/>
  <c r="R4" i="60"/>
  <c r="P3" i="60"/>
  <c r="B6" i="60" l="1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P6" i="60"/>
  <c r="O6" i="60"/>
  <c r="O10" i="60"/>
  <c r="P10" i="60"/>
  <c r="P16" i="60"/>
  <c r="O16" i="60"/>
  <c r="O20" i="60"/>
  <c r="P20" i="60"/>
  <c r="O24" i="60"/>
  <c r="P24" i="60"/>
  <c r="O26" i="60"/>
  <c r="P26" i="60"/>
  <c r="O32" i="60"/>
  <c r="P32" i="60"/>
  <c r="P34" i="60"/>
  <c r="O34" i="60"/>
  <c r="P5" i="60"/>
  <c r="O5" i="60"/>
  <c r="P7" i="60"/>
  <c r="O7" i="60"/>
  <c r="P9" i="60"/>
  <c r="O9" i="60"/>
  <c r="P11" i="60"/>
  <c r="O11" i="60"/>
  <c r="P13" i="60"/>
  <c r="O13" i="60"/>
  <c r="P15" i="60"/>
  <c r="O15" i="60"/>
  <c r="P17" i="60"/>
  <c r="O17" i="60"/>
  <c r="P21" i="60"/>
  <c r="O21" i="60"/>
  <c r="P23" i="60"/>
  <c r="O23" i="60"/>
  <c r="O25" i="60"/>
  <c r="P25" i="60"/>
  <c r="P27" i="60"/>
  <c r="O27" i="60"/>
  <c r="P29" i="60"/>
  <c r="O29" i="60"/>
  <c r="O31" i="60"/>
  <c r="P31" i="60"/>
  <c r="P33" i="60"/>
  <c r="O33" i="60"/>
  <c r="P8" i="60"/>
  <c r="O8" i="60"/>
  <c r="P14" i="60"/>
  <c r="O14" i="60"/>
  <c r="O18" i="60"/>
  <c r="P18" i="60"/>
  <c r="P28" i="60"/>
  <c r="O28" i="60"/>
  <c r="P12" i="60"/>
  <c r="O12" i="60"/>
  <c r="P22" i="60"/>
  <c r="O22" i="60"/>
  <c r="P30" i="60"/>
  <c r="O30" i="60"/>
  <c r="O19" i="60"/>
  <c r="P19" i="60"/>
  <c r="B6" i="62"/>
  <c r="M4" i="62"/>
  <c r="N4" i="62" s="1"/>
  <c r="X4" i="62" s="1"/>
  <c r="K37" i="62"/>
  <c r="AF17" i="62"/>
  <c r="AF18" i="62" s="1"/>
  <c r="AF19" i="62" s="1"/>
  <c r="AF20" i="62" s="1"/>
  <c r="AF21" i="62" s="1"/>
  <c r="AF22" i="62" s="1"/>
  <c r="AF23" i="62" s="1"/>
  <c r="AF24" i="62" s="1"/>
  <c r="AF25" i="62" s="1"/>
  <c r="AF26" i="62" s="1"/>
  <c r="AF27" i="62" s="1"/>
  <c r="AF28" i="62" s="1"/>
  <c r="AF29" i="62" s="1"/>
  <c r="AF30" i="62" s="1"/>
  <c r="AF31" i="62" s="1"/>
  <c r="AF32" i="62" s="1"/>
  <c r="AF33" i="62" s="1"/>
  <c r="U16" i="62"/>
  <c r="N14" i="62"/>
  <c r="U30" i="62"/>
  <c r="W30" i="62" s="1"/>
  <c r="AH12" i="60"/>
  <c r="AH13" i="60" s="1"/>
  <c r="AH14" i="60" s="1"/>
  <c r="AH15" i="60" s="1"/>
  <c r="AH16" i="60" s="1"/>
  <c r="V33" i="60"/>
  <c r="W33" i="60" s="1"/>
  <c r="V25" i="60"/>
  <c r="W25" i="60" s="1"/>
  <c r="AC5" i="62"/>
  <c r="AC6" i="62" s="1"/>
  <c r="AC7" i="62" s="1"/>
  <c r="AC8" i="62" s="1"/>
  <c r="AC9" i="62" s="1"/>
  <c r="AC10" i="62" s="1"/>
  <c r="AC11" i="62" s="1"/>
  <c r="AC12" i="62" s="1"/>
  <c r="AC13" i="62" s="1"/>
  <c r="AC14" i="62" s="1"/>
  <c r="AC15" i="62" s="1"/>
  <c r="AC16" i="62" s="1"/>
  <c r="V14" i="60"/>
  <c r="W14" i="60" s="1"/>
  <c r="V17" i="60"/>
  <c r="W17" i="60" s="1"/>
  <c r="V18" i="60"/>
  <c r="W18" i="60" s="1"/>
  <c r="V29" i="60"/>
  <c r="W29" i="60" s="1"/>
  <c r="U18" i="62"/>
  <c r="W18" i="62" s="1"/>
  <c r="M8" i="62"/>
  <c r="N8" i="62" s="1"/>
  <c r="U19" i="62"/>
  <c r="W19" i="62" s="1"/>
  <c r="U27" i="62"/>
  <c r="V27" i="62" s="1"/>
  <c r="X27" i="62" s="1"/>
  <c r="U28" i="62"/>
  <c r="V28" i="62" s="1"/>
  <c r="X28" i="62" s="1"/>
  <c r="V7" i="60"/>
  <c r="W7" i="60" s="1"/>
  <c r="U29" i="62"/>
  <c r="V29" i="62" s="1"/>
  <c r="X29" i="62" s="1"/>
  <c r="V21" i="60"/>
  <c r="W21" i="60" s="1"/>
  <c r="G7" i="41"/>
  <c r="V9" i="60"/>
  <c r="W9" i="60" s="1"/>
  <c r="V11" i="60"/>
  <c r="W11" i="60" s="1"/>
  <c r="V23" i="60"/>
  <c r="W23" i="60" s="1"/>
  <c r="V26" i="60"/>
  <c r="W26" i="60" s="1"/>
  <c r="V28" i="60"/>
  <c r="W28" i="60" s="1"/>
  <c r="V31" i="60"/>
  <c r="W31" i="60" s="1"/>
  <c r="V34" i="60"/>
  <c r="W34" i="60" s="1"/>
  <c r="U17" i="62"/>
  <c r="W17" i="62" s="1"/>
  <c r="U31" i="62"/>
  <c r="W31" i="62" s="1"/>
  <c r="U32" i="62"/>
  <c r="V32" i="62" s="1"/>
  <c r="X32" i="62" s="1"/>
  <c r="U33" i="62"/>
  <c r="W33" i="62" s="1"/>
  <c r="U13" i="62"/>
  <c r="V13" i="62" s="1"/>
  <c r="X13" i="62" s="1"/>
  <c r="V10" i="60"/>
  <c r="W10" i="60" s="1"/>
  <c r="V22" i="60"/>
  <c r="W22" i="60" s="1"/>
  <c r="X22" i="60" s="1"/>
  <c r="V24" i="60"/>
  <c r="W24" i="60" s="1"/>
  <c r="V27" i="60"/>
  <c r="W27" i="60" s="1"/>
  <c r="V30" i="60"/>
  <c r="W30" i="60" s="1"/>
  <c r="V32" i="60"/>
  <c r="W32" i="60" s="1"/>
  <c r="U9" i="62"/>
  <c r="V9" i="62" s="1"/>
  <c r="X9" i="62" s="1"/>
  <c r="W5" i="62"/>
  <c r="O7" i="62"/>
  <c r="O30" i="62"/>
  <c r="O22" i="62"/>
  <c r="O14" i="62"/>
  <c r="O32" i="62"/>
  <c r="O24" i="62"/>
  <c r="O16" i="62"/>
  <c r="O26" i="62"/>
  <c r="O18" i="62"/>
  <c r="O10" i="62"/>
  <c r="O28" i="62"/>
  <c r="O20" i="62"/>
  <c r="O5" i="62"/>
  <c r="O33" i="62"/>
  <c r="O31" i="62"/>
  <c r="O29" i="62"/>
  <c r="O27" i="62"/>
  <c r="O25" i="62"/>
  <c r="O23" i="62"/>
  <c r="O21" i="62"/>
  <c r="O19" i="62"/>
  <c r="O17" i="62"/>
  <c r="O15" i="62"/>
  <c r="O13" i="62"/>
  <c r="O11" i="62"/>
  <c r="O9" i="62"/>
  <c r="X5" i="62"/>
  <c r="V4" i="62"/>
  <c r="B7" i="62"/>
  <c r="B8" i="62" s="1"/>
  <c r="B9" i="62" s="1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B26" i="62" s="1"/>
  <c r="B27" i="62" s="1"/>
  <c r="B28" i="62" s="1"/>
  <c r="B29" i="62" s="1"/>
  <c r="B30" i="62" s="1"/>
  <c r="B31" i="62" s="1"/>
  <c r="B32" i="62" s="1"/>
  <c r="B33" i="62" s="1"/>
  <c r="U7" i="62"/>
  <c r="W7" i="62" s="1"/>
  <c r="U11" i="62"/>
  <c r="W11" i="62" s="1"/>
  <c r="U15" i="62"/>
  <c r="W15" i="62" s="1"/>
  <c r="S37" i="62"/>
  <c r="Q37" i="62"/>
  <c r="H45" i="62" s="1"/>
  <c r="U20" i="62"/>
  <c r="U21" i="62"/>
  <c r="U8" i="62"/>
  <c r="U10" i="62"/>
  <c r="U12" i="62"/>
  <c r="U14" i="62"/>
  <c r="U25" i="62"/>
  <c r="H37" i="62"/>
  <c r="H40" i="62" s="1"/>
  <c r="AA4" i="62"/>
  <c r="AA5" i="62" s="1"/>
  <c r="AA6" i="62" s="1"/>
  <c r="AA7" i="62" s="1"/>
  <c r="AA8" i="62" s="1"/>
  <c r="AA9" i="62" s="1"/>
  <c r="AA10" i="62" s="1"/>
  <c r="AA11" i="62" s="1"/>
  <c r="AA12" i="62" s="1"/>
  <c r="AA13" i="62" s="1"/>
  <c r="AA14" i="62" s="1"/>
  <c r="U24" i="62"/>
  <c r="U34" i="62"/>
  <c r="V34" i="62" s="1"/>
  <c r="U23" i="62"/>
  <c r="U22" i="62"/>
  <c r="U26" i="62"/>
  <c r="O34" i="62"/>
  <c r="N34" i="62"/>
  <c r="V6" i="60"/>
  <c r="W6" i="60" s="1"/>
  <c r="V5" i="60"/>
  <c r="W5" i="60" s="1"/>
  <c r="V13" i="60"/>
  <c r="W13" i="60" s="1"/>
  <c r="R37" i="60"/>
  <c r="H44" i="60" s="1"/>
  <c r="H45" i="60" s="1"/>
  <c r="H37" i="60"/>
  <c r="H40" i="60" s="1"/>
  <c r="AA4" i="60"/>
  <c r="AA5" i="60" s="1"/>
  <c r="AA6" i="60" s="1"/>
  <c r="AA7" i="60" s="1"/>
  <c r="AA8" i="60" s="1"/>
  <c r="AA9" i="60" s="1"/>
  <c r="AA10" i="60" s="1"/>
  <c r="AA11" i="60" s="1"/>
  <c r="AA12" i="60" s="1"/>
  <c r="AA13" i="60" s="1"/>
  <c r="AA14" i="60" s="1"/>
  <c r="AA15" i="60" s="1"/>
  <c r="AA16" i="60" s="1"/>
  <c r="AA17" i="60" s="1"/>
  <c r="AA18" i="60" s="1"/>
  <c r="AA19" i="60" s="1"/>
  <c r="AA20" i="60" s="1"/>
  <c r="AA21" i="60" s="1"/>
  <c r="AA22" i="60" s="1"/>
  <c r="AA23" i="60" s="1"/>
  <c r="AA24" i="60" s="1"/>
  <c r="AA25" i="60" s="1"/>
  <c r="AA26" i="60" s="1"/>
  <c r="AA27" i="60" s="1"/>
  <c r="AA28" i="60" s="1"/>
  <c r="AA29" i="60" s="1"/>
  <c r="AA30" i="60" s="1"/>
  <c r="AA31" i="60" s="1"/>
  <c r="AA32" i="60" s="1"/>
  <c r="AA33" i="60" s="1"/>
  <c r="AA34" i="60" s="1"/>
  <c r="U4" i="60"/>
  <c r="U8" i="60"/>
  <c r="V8" i="60" s="1"/>
  <c r="W8" i="60" s="1"/>
  <c r="U12" i="60"/>
  <c r="V12" i="60" s="1"/>
  <c r="W12" i="60" s="1"/>
  <c r="V15" i="60"/>
  <c r="W15" i="60" s="1"/>
  <c r="V16" i="60"/>
  <c r="W16" i="60" s="1"/>
  <c r="L37" i="60"/>
  <c r="AC4" i="60"/>
  <c r="AC5" i="60" s="1"/>
  <c r="AC6" i="60" s="1"/>
  <c r="AC7" i="60" s="1"/>
  <c r="AC8" i="60" s="1"/>
  <c r="AC9" i="60" s="1"/>
  <c r="AC10" i="60" s="1"/>
  <c r="AC11" i="60" s="1"/>
  <c r="AC12" i="60" s="1"/>
  <c r="AC13" i="60" s="1"/>
  <c r="AC14" i="60" s="1"/>
  <c r="AC15" i="60" s="1"/>
  <c r="AC16" i="60" s="1"/>
  <c r="AC17" i="60" s="1"/>
  <c r="AC18" i="60" s="1"/>
  <c r="AC19" i="60" s="1"/>
  <c r="AC20" i="60" s="1"/>
  <c r="AC21" i="60" s="1"/>
  <c r="AC22" i="60" s="1"/>
  <c r="AC23" i="60" s="1"/>
  <c r="AC24" i="60" s="1"/>
  <c r="AC25" i="60" s="1"/>
  <c r="AC26" i="60" s="1"/>
  <c r="AC27" i="60" s="1"/>
  <c r="AC28" i="60" s="1"/>
  <c r="AC29" i="60" s="1"/>
  <c r="AC30" i="60" s="1"/>
  <c r="AC31" i="60" s="1"/>
  <c r="AC32" i="60" s="1"/>
  <c r="AC33" i="60" s="1"/>
  <c r="AC34" i="60" s="1"/>
  <c r="V19" i="60"/>
  <c r="W19" i="60" s="1"/>
  <c r="V20" i="60"/>
  <c r="W20" i="60" s="1"/>
  <c r="N4" i="60"/>
  <c r="T37" i="60"/>
  <c r="H48" i="60" s="1"/>
  <c r="H49" i="60" s="1"/>
  <c r="J37" i="59"/>
  <c r="J37" i="50"/>
  <c r="J37" i="58"/>
  <c r="W13" i="62" l="1"/>
  <c r="X30" i="60"/>
  <c r="W29" i="62"/>
  <c r="X28" i="60"/>
  <c r="X24" i="60"/>
  <c r="X33" i="60"/>
  <c r="X29" i="60"/>
  <c r="X8" i="60"/>
  <c r="X34" i="60"/>
  <c r="F8" i="41"/>
  <c r="X27" i="60"/>
  <c r="W28" i="62"/>
  <c r="X26" i="60"/>
  <c r="V18" i="62"/>
  <c r="X18" i="62" s="1"/>
  <c r="X17" i="60"/>
  <c r="V30" i="62"/>
  <c r="X30" i="62" s="1"/>
  <c r="X32" i="60"/>
  <c r="P4" i="60"/>
  <c r="P37" i="60" s="1"/>
  <c r="O4" i="60"/>
  <c r="V19" i="62"/>
  <c r="X19" i="62" s="1"/>
  <c r="X11" i="60"/>
  <c r="X18" i="60"/>
  <c r="W32" i="62"/>
  <c r="R8" i="41"/>
  <c r="W8" i="41" s="1"/>
  <c r="X8" i="41" s="1"/>
  <c r="S8" i="41"/>
  <c r="P8" i="41"/>
  <c r="U8" i="41" s="1"/>
  <c r="O4" i="62"/>
  <c r="J8" i="41"/>
  <c r="AE4" i="62"/>
  <c r="AE5" i="62" s="1"/>
  <c r="AE6" i="62" s="1"/>
  <c r="AE7" i="62" s="1"/>
  <c r="AE8" i="62" s="1"/>
  <c r="AE9" i="62" s="1"/>
  <c r="AE10" i="62" s="1"/>
  <c r="AE11" i="62" s="1"/>
  <c r="Q8" i="41"/>
  <c r="AB8" i="41" s="1"/>
  <c r="H8" i="41"/>
  <c r="X25" i="60"/>
  <c r="X7" i="60"/>
  <c r="X21" i="60"/>
  <c r="X31" i="60"/>
  <c r="AC17" i="62"/>
  <c r="AC18" i="62" s="1"/>
  <c r="AC19" i="62" s="1"/>
  <c r="AC20" i="62" s="1"/>
  <c r="AC21" i="62" s="1"/>
  <c r="AC22" i="62" s="1"/>
  <c r="AC23" i="62" s="1"/>
  <c r="AC24" i="62" s="1"/>
  <c r="AC25" i="62" s="1"/>
  <c r="AC26" i="62" s="1"/>
  <c r="AC27" i="62" s="1"/>
  <c r="AC28" i="62" s="1"/>
  <c r="AC29" i="62" s="1"/>
  <c r="AC30" i="62" s="1"/>
  <c r="AC31" i="62" s="1"/>
  <c r="AC32" i="62" s="1"/>
  <c r="AC33" i="62" s="1"/>
  <c r="AH17" i="60"/>
  <c r="V15" i="62"/>
  <c r="X15" i="62" s="1"/>
  <c r="AA15" i="62"/>
  <c r="AA16" i="62" s="1"/>
  <c r="AA17" i="62" s="1"/>
  <c r="AA18" i="62" s="1"/>
  <c r="AA19" i="62" s="1"/>
  <c r="AA20" i="62" s="1"/>
  <c r="AA21" i="62" s="1"/>
  <c r="AA22" i="62" s="1"/>
  <c r="AA23" i="62" s="1"/>
  <c r="AA24" i="62" s="1"/>
  <c r="AA25" i="62" s="1"/>
  <c r="AA26" i="62" s="1"/>
  <c r="AA27" i="62" s="1"/>
  <c r="AA28" i="62" s="1"/>
  <c r="AA29" i="62" s="1"/>
  <c r="AA30" i="62" s="1"/>
  <c r="AA31" i="62" s="1"/>
  <c r="AA32" i="62" s="1"/>
  <c r="AA33" i="62" s="1"/>
  <c r="X14" i="60"/>
  <c r="X23" i="60"/>
  <c r="X6" i="60"/>
  <c r="W27" i="62"/>
  <c r="G8" i="41"/>
  <c r="W9" i="62"/>
  <c r="O8" i="62"/>
  <c r="V33" i="62"/>
  <c r="X33" i="62" s="1"/>
  <c r="V17" i="62"/>
  <c r="X17" i="62" s="1"/>
  <c r="X10" i="60"/>
  <c r="V31" i="62"/>
  <c r="X31" i="62" s="1"/>
  <c r="X9" i="60"/>
  <c r="X5" i="60"/>
  <c r="V7" i="62"/>
  <c r="X7" i="62" s="1"/>
  <c r="V11" i="62"/>
  <c r="X11" i="62" s="1"/>
  <c r="V20" i="62"/>
  <c r="X20" i="62" s="1"/>
  <c r="W20" i="62"/>
  <c r="W22" i="62"/>
  <c r="V22" i="62"/>
  <c r="X22" i="62" s="1"/>
  <c r="W24" i="62"/>
  <c r="V24" i="62"/>
  <c r="X24" i="62" s="1"/>
  <c r="W14" i="62"/>
  <c r="V14" i="62"/>
  <c r="X14" i="62" s="1"/>
  <c r="W21" i="62"/>
  <c r="V21" i="62"/>
  <c r="X21" i="62" s="1"/>
  <c r="W16" i="62"/>
  <c r="V16" i="62"/>
  <c r="X16" i="62" s="1"/>
  <c r="W8" i="62"/>
  <c r="V8" i="62"/>
  <c r="X8" i="62" s="1"/>
  <c r="W26" i="62"/>
  <c r="V26" i="62"/>
  <c r="X26" i="62" s="1"/>
  <c r="W23" i="62"/>
  <c r="V23" i="62"/>
  <c r="X23" i="62" s="1"/>
  <c r="W25" i="62"/>
  <c r="V25" i="62"/>
  <c r="X25" i="62" s="1"/>
  <c r="W12" i="62"/>
  <c r="V12" i="62"/>
  <c r="H51" i="62"/>
  <c r="T37" i="62"/>
  <c r="U37" i="62"/>
  <c r="W10" i="62"/>
  <c r="V10" i="62"/>
  <c r="X10" i="62" s="1"/>
  <c r="X19" i="60"/>
  <c r="N37" i="60"/>
  <c r="H41" i="60" s="1"/>
  <c r="H42" i="60" s="1"/>
  <c r="AE4" i="60"/>
  <c r="AE5" i="60" s="1"/>
  <c r="AE6" i="60" s="1"/>
  <c r="AE7" i="60" s="1"/>
  <c r="AE8" i="60" s="1"/>
  <c r="AE9" i="60" s="1"/>
  <c r="AE10" i="60" s="1"/>
  <c r="AE11" i="60" s="1"/>
  <c r="AE12" i="60" s="1"/>
  <c r="AE13" i="60" s="1"/>
  <c r="AE14" i="60" s="1"/>
  <c r="AE15" i="60" s="1"/>
  <c r="AE16" i="60" s="1"/>
  <c r="AE17" i="60" s="1"/>
  <c r="AE18" i="60" s="1"/>
  <c r="AE19" i="60" s="1"/>
  <c r="AE20" i="60" s="1"/>
  <c r="AE21" i="60" s="1"/>
  <c r="AE22" i="60" s="1"/>
  <c r="AE23" i="60" s="1"/>
  <c r="AE24" i="60" s="1"/>
  <c r="AE25" i="60" s="1"/>
  <c r="AE26" i="60" s="1"/>
  <c r="AE27" i="60" s="1"/>
  <c r="AE28" i="60" s="1"/>
  <c r="AE29" i="60" s="1"/>
  <c r="AE30" i="60" s="1"/>
  <c r="AE31" i="60" s="1"/>
  <c r="AE32" i="60" s="1"/>
  <c r="AE33" i="60" s="1"/>
  <c r="AE34" i="60" s="1"/>
  <c r="X12" i="60"/>
  <c r="X15" i="60"/>
  <c r="U37" i="60"/>
  <c r="V4" i="60"/>
  <c r="X13" i="60"/>
  <c r="X16" i="60"/>
  <c r="X20" i="60"/>
  <c r="H46" i="60"/>
  <c r="H51" i="60" s="1"/>
  <c r="T34" i="59"/>
  <c r="R34" i="59"/>
  <c r="U34" i="59" s="1"/>
  <c r="N34" i="59"/>
  <c r="T34" i="58"/>
  <c r="R34" i="58"/>
  <c r="U34" i="58" s="1"/>
  <c r="N34" i="58"/>
  <c r="O34" i="59" l="1"/>
  <c r="T8" i="41"/>
  <c r="Z8" i="41" s="1"/>
  <c r="AA8" i="41" s="1"/>
  <c r="V8" i="41"/>
  <c r="Y8" i="41" s="1"/>
  <c r="I8" i="41"/>
  <c r="AH18" i="60"/>
  <c r="O34" i="58"/>
  <c r="W37" i="62"/>
  <c r="AD4" i="62"/>
  <c r="AD5" i="62" s="1"/>
  <c r="AD6" i="62" s="1"/>
  <c r="AD7" i="62" s="1"/>
  <c r="AD8" i="62" s="1"/>
  <c r="AD9" i="62" s="1"/>
  <c r="AD10" i="62" s="1"/>
  <c r="AD11" i="62" s="1"/>
  <c r="AD12" i="62" s="1"/>
  <c r="AD13" i="62" s="1"/>
  <c r="AD14" i="62" s="1"/>
  <c r="AD15" i="62" s="1"/>
  <c r="AD16" i="62" s="1"/>
  <c r="V37" i="62"/>
  <c r="H53" i="60"/>
  <c r="H55" i="60" s="1"/>
  <c r="O37" i="60"/>
  <c r="W4" i="60"/>
  <c r="V37" i="60"/>
  <c r="V34" i="58"/>
  <c r="W34" i="58" s="1"/>
  <c r="V34" i="59"/>
  <c r="W34" i="59" s="1"/>
  <c r="Y34" i="59" s="1"/>
  <c r="AH19" i="60" l="1"/>
  <c r="AD17" i="62"/>
  <c r="AD18" i="62" s="1"/>
  <c r="AD19" i="62" s="1"/>
  <c r="AD20" i="62" s="1"/>
  <c r="AD21" i="62" s="1"/>
  <c r="AD22" i="62" s="1"/>
  <c r="AD23" i="62" s="1"/>
  <c r="AD24" i="62" s="1"/>
  <c r="AD25" i="62" s="1"/>
  <c r="AD26" i="62" s="1"/>
  <c r="AD27" i="62" s="1"/>
  <c r="AD28" i="62" s="1"/>
  <c r="AD29" i="62" s="1"/>
  <c r="AD30" i="62" s="1"/>
  <c r="AD31" i="62" s="1"/>
  <c r="AD32" i="62" s="1"/>
  <c r="AD33" i="62" s="1"/>
  <c r="W37" i="60"/>
  <c r="AD4" i="60"/>
  <c r="AD5" i="60" s="1"/>
  <c r="AD6" i="60" s="1"/>
  <c r="AD7" i="60" s="1"/>
  <c r="AD8" i="60" s="1"/>
  <c r="AD9" i="60" s="1"/>
  <c r="AD10" i="60" s="1"/>
  <c r="AD11" i="60" s="1"/>
  <c r="AD12" i="60" s="1"/>
  <c r="AD13" i="60" s="1"/>
  <c r="AD14" i="60" s="1"/>
  <c r="AD15" i="60" s="1"/>
  <c r="AD16" i="60" s="1"/>
  <c r="AD17" i="60" s="1"/>
  <c r="AD18" i="60" s="1"/>
  <c r="AD19" i="60" s="1"/>
  <c r="AD20" i="60" s="1"/>
  <c r="AD21" i="60" s="1"/>
  <c r="AD22" i="60" s="1"/>
  <c r="AD23" i="60" s="1"/>
  <c r="AD24" i="60" s="1"/>
  <c r="AD25" i="60" s="1"/>
  <c r="AD26" i="60" s="1"/>
  <c r="AD27" i="60" s="1"/>
  <c r="AD28" i="60" s="1"/>
  <c r="AD29" i="60" s="1"/>
  <c r="AD30" i="60" s="1"/>
  <c r="AD31" i="60" s="1"/>
  <c r="AD32" i="60" s="1"/>
  <c r="AD33" i="60" s="1"/>
  <c r="AD34" i="60" s="1"/>
  <c r="X4" i="60"/>
  <c r="X37" i="60" s="1"/>
  <c r="AH20" i="60" l="1"/>
  <c r="AH21" i="60" s="1"/>
  <c r="AC8" i="41"/>
  <c r="AD8" i="41" s="1"/>
  <c r="N28" i="59"/>
  <c r="AH22" i="60" l="1"/>
  <c r="AH23" i="60" s="1"/>
  <c r="AH24" i="60" s="1"/>
  <c r="AH25" i="60" s="1"/>
  <c r="AH26" i="60" s="1"/>
  <c r="AH27" i="60" s="1"/>
  <c r="AH28" i="60" s="1"/>
  <c r="AH29" i="60" s="1"/>
  <c r="AH30" i="60" s="1"/>
  <c r="AH31" i="60" s="1"/>
  <c r="AH32" i="60" s="1"/>
  <c r="AH33" i="60" s="1"/>
  <c r="AH34" i="60" s="1"/>
  <c r="N28" i="58"/>
  <c r="F7" i="41" l="1"/>
  <c r="L24" i="50" l="1"/>
  <c r="N24" i="50" s="1"/>
  <c r="R18" i="59" l="1"/>
  <c r="H17" i="59" l="1"/>
  <c r="N15" i="59" l="1"/>
  <c r="N14" i="59"/>
  <c r="R15" i="59" l="1"/>
  <c r="R14" i="59" l="1"/>
  <c r="T12" i="58" l="1"/>
  <c r="H12" i="50" l="1"/>
  <c r="T4" i="59" l="1"/>
  <c r="H9" i="50" l="1"/>
  <c r="X34" i="58" l="1"/>
  <c r="K37" i="59" l="1"/>
  <c r="I37" i="59"/>
  <c r="M37" i="59"/>
  <c r="I37" i="50" l="1"/>
  <c r="R20" i="59" l="1"/>
  <c r="N12" i="59" l="1"/>
  <c r="D37" i="59" l="1"/>
  <c r="E37" i="59"/>
  <c r="F37" i="59"/>
  <c r="G37" i="59"/>
  <c r="Q37" i="59"/>
  <c r="S37" i="59"/>
  <c r="H47" i="59" s="1"/>
  <c r="H48" i="59" s="1"/>
  <c r="H49" i="59" s="1"/>
  <c r="C37" i="59"/>
  <c r="D37" i="58"/>
  <c r="E37" i="58"/>
  <c r="F37" i="58"/>
  <c r="G37" i="58"/>
  <c r="I37" i="58"/>
  <c r="K37" i="58"/>
  <c r="M37" i="58"/>
  <c r="Q37" i="58"/>
  <c r="S37" i="58"/>
  <c r="H47" i="58" s="1"/>
  <c r="C37" i="58"/>
  <c r="D37" i="50"/>
  <c r="E37" i="50"/>
  <c r="F37" i="50"/>
  <c r="G37" i="50"/>
  <c r="K37" i="50"/>
  <c r="M37" i="50"/>
  <c r="Q37" i="50"/>
  <c r="S37" i="50"/>
  <c r="H47" i="50" s="1"/>
  <c r="C37" i="50"/>
  <c r="L5" i="50"/>
  <c r="N5" i="50" s="1"/>
  <c r="H4" i="59"/>
  <c r="R4" i="50" l="1"/>
  <c r="U4" i="50" s="1"/>
  <c r="N20" i="59"/>
  <c r="O4" i="50" l="1"/>
  <c r="AF4" i="59"/>
  <c r="N29" i="59" l="1"/>
  <c r="H28" i="50" l="1"/>
  <c r="O30" i="50" l="1"/>
  <c r="N26" i="58"/>
  <c r="N24" i="59" l="1"/>
  <c r="T33" i="59" l="1"/>
  <c r="T6" i="59" l="1"/>
  <c r="T5" i="59"/>
  <c r="L12" i="50" l="1"/>
  <c r="N12" i="50" s="1"/>
  <c r="N18" i="58"/>
  <c r="O18" i="58" s="1"/>
  <c r="N6" i="58"/>
  <c r="N7" i="58"/>
  <c r="N9" i="58"/>
  <c r="N10" i="58"/>
  <c r="N12" i="58"/>
  <c r="N13" i="58"/>
  <c r="N14" i="58"/>
  <c r="N15" i="58"/>
  <c r="N16" i="58"/>
  <c r="O16" i="58" s="1"/>
  <c r="N17" i="58"/>
  <c r="N20" i="58"/>
  <c r="N21" i="58"/>
  <c r="N22" i="58"/>
  <c r="O6" i="58" l="1"/>
  <c r="O9" i="58"/>
  <c r="O12" i="50"/>
  <c r="O7" i="58"/>
  <c r="F34" i="61"/>
  <c r="I34" i="61"/>
  <c r="K34" i="61" s="1"/>
  <c r="O34" i="61"/>
  <c r="R34" i="61" s="1"/>
  <c r="Q34" i="61"/>
  <c r="R34" i="50"/>
  <c r="U34" i="50" s="1"/>
  <c r="H34" i="50"/>
  <c r="L34" i="50"/>
  <c r="N34" i="50" s="1"/>
  <c r="T34" i="50"/>
  <c r="I5" i="61"/>
  <c r="L5" i="61" s="1"/>
  <c r="I6" i="61"/>
  <c r="K6" i="61" s="1"/>
  <c r="I7" i="61"/>
  <c r="L7" i="61" s="1"/>
  <c r="I8" i="61"/>
  <c r="K8" i="61" s="1"/>
  <c r="I9" i="61"/>
  <c r="L9" i="61" s="1"/>
  <c r="I10" i="61"/>
  <c r="L10" i="61" s="1"/>
  <c r="I11" i="61"/>
  <c r="L11" i="61" s="1"/>
  <c r="I12" i="61"/>
  <c r="L12" i="61" s="1"/>
  <c r="I13" i="61"/>
  <c r="L13" i="61" s="1"/>
  <c r="I14" i="61"/>
  <c r="K14" i="61" s="1"/>
  <c r="I15" i="61"/>
  <c r="K15" i="61" s="1"/>
  <c r="I16" i="61"/>
  <c r="K16" i="61" s="1"/>
  <c r="I17" i="61"/>
  <c r="K17" i="61" s="1"/>
  <c r="L17" i="61" s="1"/>
  <c r="I18" i="61"/>
  <c r="K18" i="61" s="1"/>
  <c r="L18" i="61" s="1"/>
  <c r="I19" i="61"/>
  <c r="K19" i="61" s="1"/>
  <c r="I20" i="61"/>
  <c r="K20" i="61" s="1"/>
  <c r="L20" i="61" s="1"/>
  <c r="I21" i="61"/>
  <c r="K21" i="61" s="1"/>
  <c r="I22" i="61"/>
  <c r="K22" i="61" s="1"/>
  <c r="I23" i="61"/>
  <c r="K23" i="61" s="1"/>
  <c r="I24" i="61"/>
  <c r="K24" i="61" s="1"/>
  <c r="L24" i="61" s="1"/>
  <c r="I25" i="61"/>
  <c r="K25" i="61" s="1"/>
  <c r="I26" i="61"/>
  <c r="K26" i="61" s="1"/>
  <c r="I27" i="61"/>
  <c r="K27" i="61" s="1"/>
  <c r="L27" i="61" s="1"/>
  <c r="I28" i="61"/>
  <c r="K28" i="61" s="1"/>
  <c r="L28" i="61" s="1"/>
  <c r="I29" i="61"/>
  <c r="K29" i="61" s="1"/>
  <c r="I30" i="61"/>
  <c r="K30" i="61" s="1"/>
  <c r="I31" i="61"/>
  <c r="K31" i="61" s="1"/>
  <c r="I32" i="61"/>
  <c r="K32" i="61" s="1"/>
  <c r="I33" i="61"/>
  <c r="K33" i="61" s="1"/>
  <c r="L33" i="61" s="1"/>
  <c r="I4" i="61"/>
  <c r="N4" i="58"/>
  <c r="O4" i="58" s="1"/>
  <c r="N5" i="58"/>
  <c r="N23" i="58"/>
  <c r="N24" i="58"/>
  <c r="N27" i="58"/>
  <c r="N29" i="58"/>
  <c r="N30" i="58"/>
  <c r="N31" i="58"/>
  <c r="N32" i="58"/>
  <c r="N33" i="58"/>
  <c r="L16" i="50"/>
  <c r="N16" i="50" s="1"/>
  <c r="L17" i="50"/>
  <c r="N17" i="50" s="1"/>
  <c r="L18" i="50"/>
  <c r="N18" i="50" s="1"/>
  <c r="L19" i="50"/>
  <c r="N19" i="50" s="1"/>
  <c r="L20" i="50"/>
  <c r="N20" i="50" s="1"/>
  <c r="L21" i="50"/>
  <c r="N21" i="50" s="1"/>
  <c r="L22" i="50"/>
  <c r="N22" i="50" s="1"/>
  <c r="L23" i="50"/>
  <c r="N23" i="50" s="1"/>
  <c r="L25" i="50"/>
  <c r="N25" i="50" s="1"/>
  <c r="L26" i="50"/>
  <c r="N26" i="50" s="1"/>
  <c r="L27" i="50"/>
  <c r="N27" i="50" s="1"/>
  <c r="L28" i="50"/>
  <c r="N28" i="50" s="1"/>
  <c r="L29" i="50"/>
  <c r="N29" i="50" s="1"/>
  <c r="L31" i="50"/>
  <c r="N31" i="50" s="1"/>
  <c r="L32" i="50"/>
  <c r="N32" i="50" s="1"/>
  <c r="L33" i="50"/>
  <c r="N33" i="50" s="1"/>
  <c r="AE4" i="50"/>
  <c r="L6" i="50"/>
  <c r="N6" i="50" s="1"/>
  <c r="L8" i="50"/>
  <c r="N8" i="50" s="1"/>
  <c r="L9" i="50"/>
  <c r="N9" i="50" s="1"/>
  <c r="L10" i="50"/>
  <c r="N10" i="50" s="1"/>
  <c r="L13" i="50"/>
  <c r="N13" i="50" s="1"/>
  <c r="L14" i="50"/>
  <c r="N14" i="50" s="1"/>
  <c r="L15" i="50"/>
  <c r="N15" i="50" s="1"/>
  <c r="N18" i="59"/>
  <c r="N19" i="59"/>
  <c r="N21" i="59"/>
  <c r="N22" i="59"/>
  <c r="N23" i="59"/>
  <c r="N25" i="59"/>
  <c r="N26" i="59"/>
  <c r="N27" i="59"/>
  <c r="N30" i="59"/>
  <c r="N31" i="59"/>
  <c r="N32" i="59"/>
  <c r="N33" i="59"/>
  <c r="N7" i="59"/>
  <c r="N8" i="59"/>
  <c r="N9" i="59"/>
  <c r="N13" i="59"/>
  <c r="N16" i="59"/>
  <c r="N17" i="59"/>
  <c r="P37" i="61"/>
  <c r="N37" i="61"/>
  <c r="G43" i="61" s="1"/>
  <c r="G44" i="61" s="1"/>
  <c r="G45" i="61" s="1"/>
  <c r="J37" i="61"/>
  <c r="H37" i="61"/>
  <c r="G37" i="61"/>
  <c r="E37" i="61"/>
  <c r="D37" i="61"/>
  <c r="C37" i="61"/>
  <c r="Q33" i="61"/>
  <c r="O33" i="61"/>
  <c r="R33" i="61" s="1"/>
  <c r="F33" i="61"/>
  <c r="Q32" i="61"/>
  <c r="O32" i="61"/>
  <c r="R32" i="61" s="1"/>
  <c r="F32" i="61"/>
  <c r="Q31" i="61"/>
  <c r="O31" i="61"/>
  <c r="F31" i="61"/>
  <c r="Q30" i="61"/>
  <c r="O30" i="61"/>
  <c r="R30" i="61" s="1"/>
  <c r="F30" i="61"/>
  <c r="Q29" i="61"/>
  <c r="O29" i="61"/>
  <c r="F29" i="61"/>
  <c r="Q28" i="61"/>
  <c r="O28" i="61"/>
  <c r="R28" i="61" s="1"/>
  <c r="F28" i="61"/>
  <c r="Q27" i="61"/>
  <c r="O27" i="61"/>
  <c r="R27" i="61" s="1"/>
  <c r="F27" i="61"/>
  <c r="Q26" i="61"/>
  <c r="O26" i="61"/>
  <c r="R26" i="61" s="1"/>
  <c r="F26" i="61"/>
  <c r="Q25" i="61"/>
  <c r="O25" i="61"/>
  <c r="R25" i="61" s="1"/>
  <c r="F25" i="61"/>
  <c r="Q24" i="61"/>
  <c r="O24" i="61"/>
  <c r="R24" i="61" s="1"/>
  <c r="F24" i="61"/>
  <c r="Q23" i="61"/>
  <c r="O23" i="61"/>
  <c r="R23" i="61" s="1"/>
  <c r="F23" i="61"/>
  <c r="Q22" i="61"/>
  <c r="O22" i="61"/>
  <c r="R22" i="61" s="1"/>
  <c r="F22" i="61"/>
  <c r="Q21" i="61"/>
  <c r="O21" i="61"/>
  <c r="R21" i="61" s="1"/>
  <c r="F21" i="61"/>
  <c r="Q20" i="61"/>
  <c r="O20" i="61"/>
  <c r="F20" i="61"/>
  <c r="Q19" i="61"/>
  <c r="O19" i="61"/>
  <c r="F19" i="61"/>
  <c r="Q18" i="61"/>
  <c r="O18" i="61"/>
  <c r="F18" i="61"/>
  <c r="Q17" i="61"/>
  <c r="O17" i="61"/>
  <c r="F17" i="61"/>
  <c r="Q16" i="61"/>
  <c r="O16" i="61"/>
  <c r="F16" i="61"/>
  <c r="Q15" i="61"/>
  <c r="O15" i="61"/>
  <c r="F15" i="61"/>
  <c r="Q14" i="61"/>
  <c r="O14" i="61"/>
  <c r="R14" i="61" s="1"/>
  <c r="F14" i="61"/>
  <c r="Q13" i="61"/>
  <c r="O13" i="61"/>
  <c r="F13" i="61"/>
  <c r="Q12" i="61"/>
  <c r="O12" i="61"/>
  <c r="R12" i="61" s="1"/>
  <c r="F12" i="61"/>
  <c r="Q11" i="61"/>
  <c r="O11" i="61"/>
  <c r="F11" i="61"/>
  <c r="Q10" i="61"/>
  <c r="O10" i="61"/>
  <c r="R10" i="61" s="1"/>
  <c r="F10" i="61"/>
  <c r="Q9" i="61"/>
  <c r="O9" i="61"/>
  <c r="F9" i="61"/>
  <c r="Q8" i="61"/>
  <c r="O8" i="61"/>
  <c r="R8" i="61" s="1"/>
  <c r="F8" i="61"/>
  <c r="Q7" i="61"/>
  <c r="O7" i="61"/>
  <c r="F7" i="61"/>
  <c r="Q6" i="61"/>
  <c r="O6" i="61"/>
  <c r="R6" i="61" s="1"/>
  <c r="F6" i="61"/>
  <c r="Q5" i="61"/>
  <c r="O5" i="61"/>
  <c r="R5" i="61" s="1"/>
  <c r="F5" i="61"/>
  <c r="B5" i="6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AF4" i="61"/>
  <c r="AF5" i="61" s="1"/>
  <c r="AF6" i="61" s="1"/>
  <c r="AF7" i="61" s="1"/>
  <c r="AF8" i="61" s="1"/>
  <c r="AF9" i="61" s="1"/>
  <c r="AF10" i="61" s="1"/>
  <c r="AF11" i="61" s="1"/>
  <c r="AF12" i="61" s="1"/>
  <c r="AF13" i="61" s="1"/>
  <c r="AF14" i="61" s="1"/>
  <c r="AF15" i="61" s="1"/>
  <c r="AF16" i="61" s="1"/>
  <c r="AF17" i="61" s="1"/>
  <c r="AF18" i="61" s="1"/>
  <c r="AF19" i="61" s="1"/>
  <c r="AF20" i="61" s="1"/>
  <c r="AF21" i="61" s="1"/>
  <c r="AF22" i="61" s="1"/>
  <c r="AF23" i="61" s="1"/>
  <c r="AF24" i="61" s="1"/>
  <c r="AF25" i="61" s="1"/>
  <c r="AF26" i="61" s="1"/>
  <c r="AF27" i="61" s="1"/>
  <c r="AF28" i="61" s="1"/>
  <c r="AF29" i="61" s="1"/>
  <c r="AF30" i="61" s="1"/>
  <c r="AF31" i="61" s="1"/>
  <c r="AF32" i="61" s="1"/>
  <c r="AF33" i="61" s="1"/>
  <c r="AF35" i="61" s="1"/>
  <c r="AD4" i="61"/>
  <c r="AD5" i="61" s="1"/>
  <c r="AD6" i="61" s="1"/>
  <c r="AD7" i="61" s="1"/>
  <c r="AD8" i="61" s="1"/>
  <c r="AD9" i="61" s="1"/>
  <c r="AD10" i="61" s="1"/>
  <c r="AD11" i="61" s="1"/>
  <c r="AD12" i="61" s="1"/>
  <c r="AD13" i="61" s="1"/>
  <c r="AD14" i="61" s="1"/>
  <c r="AD15" i="61" s="1"/>
  <c r="AD16" i="61" s="1"/>
  <c r="AD17" i="61" s="1"/>
  <c r="AD18" i="61" s="1"/>
  <c r="AD19" i="61" s="1"/>
  <c r="AD20" i="61" s="1"/>
  <c r="AD21" i="61" s="1"/>
  <c r="AD22" i="61" s="1"/>
  <c r="AD23" i="61" s="1"/>
  <c r="AD24" i="61" s="1"/>
  <c r="AD25" i="61" s="1"/>
  <c r="AD26" i="61" s="1"/>
  <c r="AD27" i="61" s="1"/>
  <c r="AD28" i="61" s="1"/>
  <c r="AD29" i="61" s="1"/>
  <c r="AD30" i="61" s="1"/>
  <c r="AD31" i="61" s="1"/>
  <c r="AD32" i="61" s="1"/>
  <c r="AD33" i="61" s="1"/>
  <c r="AD35" i="61" s="1"/>
  <c r="Z4" i="61"/>
  <c r="Z5" i="61" s="1"/>
  <c r="Z6" i="61" s="1"/>
  <c r="Z7" i="61" s="1"/>
  <c r="Z8" i="61" s="1"/>
  <c r="Z9" i="61" s="1"/>
  <c r="Z10" i="61" s="1"/>
  <c r="Z11" i="61" s="1"/>
  <c r="Z12" i="61" s="1"/>
  <c r="Z13" i="61" s="1"/>
  <c r="Z14" i="61" s="1"/>
  <c r="Z15" i="61" s="1"/>
  <c r="Z16" i="61" s="1"/>
  <c r="Z17" i="61" s="1"/>
  <c r="Z18" i="61" s="1"/>
  <c r="Z19" i="61" s="1"/>
  <c r="Z20" i="61" s="1"/>
  <c r="Z21" i="61" s="1"/>
  <c r="Z22" i="61" s="1"/>
  <c r="Z23" i="61" s="1"/>
  <c r="Z24" i="61" s="1"/>
  <c r="Z25" i="61" s="1"/>
  <c r="Z26" i="61" s="1"/>
  <c r="Z27" i="61" s="1"/>
  <c r="Z28" i="61" s="1"/>
  <c r="Z29" i="61" s="1"/>
  <c r="Z30" i="61" s="1"/>
  <c r="Z31" i="61" s="1"/>
  <c r="Z32" i="61" s="1"/>
  <c r="Z33" i="61" s="1"/>
  <c r="Z35" i="61" s="1"/>
  <c r="Z36" i="61" s="1"/>
  <c r="Q4" i="61"/>
  <c r="O4" i="61"/>
  <c r="R4" i="61" s="1"/>
  <c r="F4" i="61"/>
  <c r="Y4" i="61" s="1"/>
  <c r="M3" i="61"/>
  <c r="R33" i="59"/>
  <c r="H33" i="59"/>
  <c r="T32" i="59"/>
  <c r="R32" i="59"/>
  <c r="U32" i="59" s="1"/>
  <c r="H32" i="59"/>
  <c r="T31" i="59"/>
  <c r="R31" i="59"/>
  <c r="U31" i="59" s="1"/>
  <c r="H31" i="59"/>
  <c r="T30" i="59"/>
  <c r="R30" i="59"/>
  <c r="U30" i="59" s="1"/>
  <c r="H30" i="59"/>
  <c r="T29" i="59"/>
  <c r="R29" i="59"/>
  <c r="U29" i="59" s="1"/>
  <c r="H29" i="59"/>
  <c r="T28" i="59"/>
  <c r="R28" i="59"/>
  <c r="U28" i="59" s="1"/>
  <c r="H28" i="59"/>
  <c r="T27" i="59"/>
  <c r="R27" i="59"/>
  <c r="U27" i="59" s="1"/>
  <c r="H27" i="59"/>
  <c r="T26" i="59"/>
  <c r="R26" i="59"/>
  <c r="U26" i="59" s="1"/>
  <c r="H26" i="59"/>
  <c r="T25" i="59"/>
  <c r="R25" i="59"/>
  <c r="U25" i="59" s="1"/>
  <c r="H25" i="59"/>
  <c r="T24" i="59"/>
  <c r="R24" i="59"/>
  <c r="U24" i="59" s="1"/>
  <c r="H24" i="59"/>
  <c r="T23" i="59"/>
  <c r="R23" i="59"/>
  <c r="H23" i="59"/>
  <c r="T22" i="59"/>
  <c r="R22" i="59"/>
  <c r="U22" i="59" s="1"/>
  <c r="H22" i="59"/>
  <c r="T21" i="59"/>
  <c r="R21" i="59"/>
  <c r="H21" i="59"/>
  <c r="T20" i="59"/>
  <c r="U20" i="59"/>
  <c r="H20" i="59"/>
  <c r="T19" i="59"/>
  <c r="R19" i="59"/>
  <c r="U19" i="59" s="1"/>
  <c r="H19" i="59"/>
  <c r="T18" i="59"/>
  <c r="U18" i="59"/>
  <c r="H18" i="59"/>
  <c r="T17" i="59"/>
  <c r="R17" i="59"/>
  <c r="U17" i="59" s="1"/>
  <c r="T16" i="59"/>
  <c r="R16" i="59"/>
  <c r="U16" i="59" s="1"/>
  <c r="H16" i="59"/>
  <c r="T15" i="59"/>
  <c r="U15" i="59"/>
  <c r="H15" i="59"/>
  <c r="T14" i="59"/>
  <c r="U14" i="59"/>
  <c r="H14" i="59"/>
  <c r="T13" i="59"/>
  <c r="R13" i="59"/>
  <c r="U13" i="59" s="1"/>
  <c r="H13" i="59"/>
  <c r="T12" i="59"/>
  <c r="R12" i="59"/>
  <c r="H12" i="59"/>
  <c r="T11" i="59"/>
  <c r="R11" i="59"/>
  <c r="U11" i="59" s="1"/>
  <c r="T9" i="59"/>
  <c r="R9" i="59"/>
  <c r="U9" i="59" s="1"/>
  <c r="H9" i="59"/>
  <c r="T8" i="59"/>
  <c r="R8" i="59"/>
  <c r="U8" i="59" s="1"/>
  <c r="H8" i="59"/>
  <c r="T7" i="59"/>
  <c r="R7" i="59"/>
  <c r="U7" i="59" s="1"/>
  <c r="H7" i="59"/>
  <c r="R6" i="59"/>
  <c r="U6" i="59" s="1"/>
  <c r="V6" i="59" s="1"/>
  <c r="R5" i="59"/>
  <c r="U5" i="59" s="1"/>
  <c r="N5" i="59"/>
  <c r="O5" i="59" s="1"/>
  <c r="B5" i="59"/>
  <c r="AI4" i="59"/>
  <c r="AI5" i="59" s="1"/>
  <c r="AI6" i="59" s="1"/>
  <c r="AI7" i="59" s="1"/>
  <c r="AI8" i="59" s="1"/>
  <c r="AI9" i="59" s="1"/>
  <c r="AI10" i="59" s="1"/>
  <c r="AI11" i="59" s="1"/>
  <c r="AI12" i="59" s="1"/>
  <c r="AI13" i="59" s="1"/>
  <c r="AI14" i="59" s="1"/>
  <c r="AI15" i="59" s="1"/>
  <c r="AI16" i="59" s="1"/>
  <c r="AI17" i="59" s="1"/>
  <c r="AI18" i="59" s="1"/>
  <c r="AI19" i="59" s="1"/>
  <c r="AI20" i="59" s="1"/>
  <c r="AI21" i="59" s="1"/>
  <c r="AI22" i="59" s="1"/>
  <c r="AI23" i="59" s="1"/>
  <c r="AI24" i="59" s="1"/>
  <c r="AI25" i="59" s="1"/>
  <c r="AI26" i="59" s="1"/>
  <c r="AI27" i="59" s="1"/>
  <c r="AI28" i="59" s="1"/>
  <c r="AI29" i="59" s="1"/>
  <c r="AI30" i="59" s="1"/>
  <c r="AI31" i="59" s="1"/>
  <c r="AI32" i="59" s="1"/>
  <c r="AI33" i="59" s="1"/>
  <c r="AG4" i="59"/>
  <c r="AG5" i="59" s="1"/>
  <c r="AG6" i="59" s="1"/>
  <c r="AG7" i="59" s="1"/>
  <c r="AG8" i="59" s="1"/>
  <c r="AG9" i="59" s="1"/>
  <c r="AG10" i="59" s="1"/>
  <c r="AG11" i="59" s="1"/>
  <c r="AG12" i="59" s="1"/>
  <c r="AC4" i="59"/>
  <c r="AC5" i="59" s="1"/>
  <c r="AC6" i="59" s="1"/>
  <c r="AC7" i="59" s="1"/>
  <c r="AC8" i="59" s="1"/>
  <c r="AC9" i="59" s="1"/>
  <c r="AC10" i="59" s="1"/>
  <c r="AC11" i="59" s="1"/>
  <c r="AC12" i="59" s="1"/>
  <c r="AC13" i="59" s="1"/>
  <c r="AC14" i="59" s="1"/>
  <c r="AC15" i="59" s="1"/>
  <c r="AC16" i="59" s="1"/>
  <c r="AC17" i="59" s="1"/>
  <c r="AC18" i="59" s="1"/>
  <c r="AC19" i="59" s="1"/>
  <c r="AC20" i="59" s="1"/>
  <c r="AC21" i="59" s="1"/>
  <c r="AC22" i="59" s="1"/>
  <c r="AC23" i="59" s="1"/>
  <c r="AC24" i="59" s="1"/>
  <c r="AC25" i="59" s="1"/>
  <c r="AC26" i="59" s="1"/>
  <c r="AC27" i="59" s="1"/>
  <c r="AC28" i="59" s="1"/>
  <c r="AC29" i="59" s="1"/>
  <c r="AC30" i="59" s="1"/>
  <c r="AC31" i="59" s="1"/>
  <c r="AC32" i="59" s="1"/>
  <c r="AC33" i="59" s="1"/>
  <c r="R4" i="59"/>
  <c r="AB4" i="59"/>
  <c r="P3" i="59"/>
  <c r="T33" i="58"/>
  <c r="R33" i="58"/>
  <c r="T32" i="58"/>
  <c r="R32" i="58"/>
  <c r="U32" i="58" s="1"/>
  <c r="T31" i="58"/>
  <c r="R31" i="58"/>
  <c r="U31" i="58" s="1"/>
  <c r="T30" i="58"/>
  <c r="R30" i="58"/>
  <c r="U30" i="58" s="1"/>
  <c r="R29" i="58"/>
  <c r="T28" i="58"/>
  <c r="R28" i="58"/>
  <c r="U28" i="58" s="1"/>
  <c r="T27" i="58"/>
  <c r="R27" i="58"/>
  <c r="U27" i="58" s="1"/>
  <c r="T26" i="58"/>
  <c r="R26" i="58"/>
  <c r="U26" i="58" s="1"/>
  <c r="T25" i="58"/>
  <c r="R25" i="58"/>
  <c r="T24" i="58"/>
  <c r="R24" i="58"/>
  <c r="T23" i="58"/>
  <c r="R23" i="58"/>
  <c r="U23" i="58" s="1"/>
  <c r="T22" i="58"/>
  <c r="R22" i="58"/>
  <c r="U22" i="58" s="1"/>
  <c r="T21" i="58"/>
  <c r="R21" i="58"/>
  <c r="T20" i="58"/>
  <c r="R20" i="58"/>
  <c r="U20" i="58" s="1"/>
  <c r="T19" i="58"/>
  <c r="R19" i="58"/>
  <c r="T18" i="58"/>
  <c r="R18" i="58"/>
  <c r="T17" i="58"/>
  <c r="R17" i="58"/>
  <c r="T16" i="58"/>
  <c r="R16" i="58"/>
  <c r="T15" i="58"/>
  <c r="R15" i="58"/>
  <c r="T14" i="58"/>
  <c r="R14" i="58"/>
  <c r="U14" i="58" s="1"/>
  <c r="T13" i="58"/>
  <c r="R13" i="58"/>
  <c r="R12" i="58"/>
  <c r="T11" i="58"/>
  <c r="R11" i="58"/>
  <c r="U11" i="58" s="1"/>
  <c r="T10" i="58"/>
  <c r="R10" i="58"/>
  <c r="U10" i="58" s="1"/>
  <c r="T9" i="58"/>
  <c r="R9" i="58"/>
  <c r="U9" i="58" s="1"/>
  <c r="T8" i="58"/>
  <c r="R8" i="58"/>
  <c r="U8" i="58" s="1"/>
  <c r="T7" i="58"/>
  <c r="R7" i="58"/>
  <c r="U7" i="58" s="1"/>
  <c r="T6" i="58"/>
  <c r="R6" i="58"/>
  <c r="U6" i="58" s="1"/>
  <c r="T5" i="58"/>
  <c r="R5" i="58"/>
  <c r="U5" i="58" s="1"/>
  <c r="B5" i="58"/>
  <c r="AH4" i="58"/>
  <c r="AH5" i="58" s="1"/>
  <c r="AH6" i="58" s="1"/>
  <c r="AH7" i="58" s="1"/>
  <c r="AH8" i="58" s="1"/>
  <c r="AH9" i="58" s="1"/>
  <c r="AH10" i="58" s="1"/>
  <c r="AH11" i="58" s="1"/>
  <c r="AF4" i="58"/>
  <c r="AF5" i="58" s="1"/>
  <c r="AF6" i="58" s="1"/>
  <c r="AF7" i="58" s="1"/>
  <c r="AF8" i="58" s="1"/>
  <c r="AF9" i="58" s="1"/>
  <c r="AF10" i="58" s="1"/>
  <c r="AF11" i="58" s="1"/>
  <c r="AF12" i="58" s="1"/>
  <c r="AB4" i="58"/>
  <c r="AB5" i="58" s="1"/>
  <c r="AB6" i="58" s="1"/>
  <c r="AB7" i="58" s="1"/>
  <c r="AB8" i="58" s="1"/>
  <c r="AB9" i="58" s="1"/>
  <c r="AB10" i="58" s="1"/>
  <c r="AB11" i="58" s="1"/>
  <c r="AB12" i="58" s="1"/>
  <c r="T4" i="58"/>
  <c r="R4" i="58"/>
  <c r="P3" i="58"/>
  <c r="P34" i="58" s="1"/>
  <c r="AB4" i="50"/>
  <c r="AB5" i="50" s="1"/>
  <c r="AB6" i="50" s="1"/>
  <c r="AB7" i="50" s="1"/>
  <c r="AB8" i="50" s="1"/>
  <c r="AB9" i="50" s="1"/>
  <c r="AB10" i="50" s="1"/>
  <c r="AB11" i="50" s="1"/>
  <c r="AF4" i="50"/>
  <c r="N11" i="59" l="1"/>
  <c r="O11" i="59" s="1"/>
  <c r="P10" i="59"/>
  <c r="P34" i="59"/>
  <c r="N37" i="58"/>
  <c r="K11" i="61"/>
  <c r="K12" i="61"/>
  <c r="P6" i="58"/>
  <c r="O8" i="50"/>
  <c r="O17" i="50"/>
  <c r="P21" i="58"/>
  <c r="O21" i="58"/>
  <c r="P15" i="59"/>
  <c r="O15" i="59"/>
  <c r="P30" i="59"/>
  <c r="O30" i="59"/>
  <c r="P26" i="59"/>
  <c r="O26" i="59"/>
  <c r="P22" i="59"/>
  <c r="O22" i="59"/>
  <c r="P18" i="59"/>
  <c r="O18" i="59"/>
  <c r="O11" i="50"/>
  <c r="O33" i="50"/>
  <c r="O28" i="50"/>
  <c r="O24" i="50"/>
  <c r="O20" i="50"/>
  <c r="O16" i="50"/>
  <c r="P30" i="58"/>
  <c r="O30" i="58"/>
  <c r="P26" i="58"/>
  <c r="O26" i="58"/>
  <c r="P22" i="58"/>
  <c r="O22" i="58"/>
  <c r="P14" i="58"/>
  <c r="O14" i="58"/>
  <c r="P10" i="58"/>
  <c r="O10" i="58"/>
  <c r="P7" i="58"/>
  <c r="P11" i="58"/>
  <c r="O11" i="58"/>
  <c r="P12" i="59"/>
  <c r="O12" i="59"/>
  <c r="P23" i="59"/>
  <c r="O23" i="59"/>
  <c r="O29" i="50"/>
  <c r="O21" i="50"/>
  <c r="P23" i="58"/>
  <c r="O23" i="58"/>
  <c r="P20" i="58"/>
  <c r="O20" i="58"/>
  <c r="P14" i="59"/>
  <c r="O14" i="59"/>
  <c r="P33" i="59"/>
  <c r="O33" i="59"/>
  <c r="P29" i="59"/>
  <c r="O29" i="59"/>
  <c r="P25" i="59"/>
  <c r="O25" i="59"/>
  <c r="P21" i="59"/>
  <c r="O21" i="59"/>
  <c r="O15" i="50"/>
  <c r="O10" i="50"/>
  <c r="O32" i="50"/>
  <c r="O27" i="50"/>
  <c r="O23" i="50"/>
  <c r="O19" i="50"/>
  <c r="P33" i="58"/>
  <c r="O33" i="58"/>
  <c r="P29" i="58"/>
  <c r="O29" i="58"/>
  <c r="P25" i="58"/>
  <c r="P19" i="58"/>
  <c r="P12" i="58"/>
  <c r="O12" i="58"/>
  <c r="P8" i="58"/>
  <c r="O8" i="58"/>
  <c r="O34" i="50"/>
  <c r="P9" i="58"/>
  <c r="P15" i="58"/>
  <c r="O15" i="58"/>
  <c r="P8" i="59"/>
  <c r="O8" i="59"/>
  <c r="P27" i="59"/>
  <c r="O27" i="59"/>
  <c r="O25" i="50"/>
  <c r="P27" i="58"/>
  <c r="O27" i="58"/>
  <c r="P16" i="58"/>
  <c r="P5" i="59"/>
  <c r="P4" i="59"/>
  <c r="P17" i="58"/>
  <c r="O17" i="58"/>
  <c r="P13" i="58"/>
  <c r="O13" i="58"/>
  <c r="P17" i="59"/>
  <c r="O17" i="59"/>
  <c r="P13" i="59"/>
  <c r="O13" i="59"/>
  <c r="P9" i="59"/>
  <c r="O9" i="59"/>
  <c r="P32" i="59"/>
  <c r="O32" i="59"/>
  <c r="P28" i="59"/>
  <c r="O28" i="59"/>
  <c r="P24" i="59"/>
  <c r="O24" i="59"/>
  <c r="P20" i="59"/>
  <c r="O20" i="59"/>
  <c r="O14" i="50"/>
  <c r="O9" i="50"/>
  <c r="O5" i="50"/>
  <c r="O31" i="50"/>
  <c r="O22" i="50"/>
  <c r="O18" i="50"/>
  <c r="P32" i="58"/>
  <c r="O32" i="58"/>
  <c r="P28" i="58"/>
  <c r="O28" i="58"/>
  <c r="P24" i="58"/>
  <c r="O24" i="58"/>
  <c r="P18" i="58"/>
  <c r="P5" i="58"/>
  <c r="O5" i="58"/>
  <c r="P16" i="59"/>
  <c r="O16" i="59"/>
  <c r="P19" i="59"/>
  <c r="O19" i="59"/>
  <c r="P31" i="58"/>
  <c r="O31" i="58"/>
  <c r="O7" i="59"/>
  <c r="P7" i="59"/>
  <c r="O7" i="50"/>
  <c r="S22" i="61"/>
  <c r="T22" i="61" s="1"/>
  <c r="K7" i="61"/>
  <c r="T37" i="59"/>
  <c r="AD4" i="59"/>
  <c r="AD5" i="59" s="1"/>
  <c r="AD6" i="59" s="1"/>
  <c r="AD7" i="59" s="1"/>
  <c r="AD8" i="59" s="1"/>
  <c r="AD9" i="59" s="1"/>
  <c r="AD10" i="59" s="1"/>
  <c r="AD11" i="59" s="1"/>
  <c r="AD12" i="59" s="1"/>
  <c r="U4" i="59"/>
  <c r="V4" i="59" s="1"/>
  <c r="W4" i="59" s="1"/>
  <c r="Y4" i="59" s="1"/>
  <c r="AH12" i="58"/>
  <c r="AH13" i="58" s="1"/>
  <c r="AH14" i="58" s="1"/>
  <c r="AH15" i="58" s="1"/>
  <c r="AH16" i="58" s="1"/>
  <c r="AH17" i="58" s="1"/>
  <c r="AH18" i="58" s="1"/>
  <c r="AH19" i="58" s="1"/>
  <c r="AH20" i="58" s="1"/>
  <c r="AH21" i="58" s="1"/>
  <c r="AH22" i="58" s="1"/>
  <c r="AH23" i="58" s="1"/>
  <c r="AH24" i="58" s="1"/>
  <c r="AH25" i="58" s="1"/>
  <c r="AH26" i="58" s="1"/>
  <c r="AH27" i="58" s="1"/>
  <c r="AH28" i="58" s="1"/>
  <c r="AH29" i="58" s="1"/>
  <c r="AH30" i="58" s="1"/>
  <c r="AH31" i="58" s="1"/>
  <c r="AH32" i="58" s="1"/>
  <c r="AH33" i="58" s="1"/>
  <c r="AB12" i="50"/>
  <c r="L37" i="59"/>
  <c r="H41" i="59" s="1"/>
  <c r="R37" i="59"/>
  <c r="H44" i="59" s="1"/>
  <c r="H45" i="59" s="1"/>
  <c r="T37" i="58"/>
  <c r="H48" i="58" s="1"/>
  <c r="H49" i="58" s="1"/>
  <c r="L37" i="50"/>
  <c r="H41" i="50" s="1"/>
  <c r="AF13" i="58"/>
  <c r="AF14" i="58" s="1"/>
  <c r="AF15" i="58" s="1"/>
  <c r="AF16" i="58" s="1"/>
  <c r="AF17" i="58" s="1"/>
  <c r="AF18" i="58" s="1"/>
  <c r="AF19" i="58" s="1"/>
  <c r="AF20" i="58" s="1"/>
  <c r="AF21" i="58" s="1"/>
  <c r="AF22" i="58" s="1"/>
  <c r="AF23" i="58" s="1"/>
  <c r="AF24" i="58" s="1"/>
  <c r="AF25" i="58" s="1"/>
  <c r="AF26" i="58" s="1"/>
  <c r="AF27" i="58" s="1"/>
  <c r="AF28" i="58" s="1"/>
  <c r="AF29" i="58" s="1"/>
  <c r="AF30" i="58" s="1"/>
  <c r="AF31" i="58" s="1"/>
  <c r="AF32" i="58" s="1"/>
  <c r="AF33" i="58" s="1"/>
  <c r="U12" i="58"/>
  <c r="V12" i="58" s="1"/>
  <c r="R37" i="58"/>
  <c r="H44" i="58" s="1"/>
  <c r="H45" i="58" s="1"/>
  <c r="AG13" i="59"/>
  <c r="AG14" i="59" s="1"/>
  <c r="AG15" i="59" s="1"/>
  <c r="AG16" i="59" s="1"/>
  <c r="AG17" i="59" s="1"/>
  <c r="AG18" i="59" s="1"/>
  <c r="AG19" i="59" s="1"/>
  <c r="AG20" i="59" s="1"/>
  <c r="AG21" i="59" s="1"/>
  <c r="AG22" i="59" s="1"/>
  <c r="AG23" i="59" s="1"/>
  <c r="AG24" i="59" s="1"/>
  <c r="AG25" i="59" s="1"/>
  <c r="AG26" i="59" s="1"/>
  <c r="AG27" i="59" s="1"/>
  <c r="AG28" i="59" s="1"/>
  <c r="AG29" i="59" s="1"/>
  <c r="AG30" i="59" s="1"/>
  <c r="AG31" i="59" s="1"/>
  <c r="AG32" i="59" s="1"/>
  <c r="AG33" i="59" s="1"/>
  <c r="U12" i="59"/>
  <c r="V12" i="59" s="1"/>
  <c r="AB13" i="58"/>
  <c r="AB14" i="58" s="1"/>
  <c r="AB15" i="58" s="1"/>
  <c r="AB16" i="58" s="1"/>
  <c r="AB17" i="58" s="1"/>
  <c r="AB18" i="58" s="1"/>
  <c r="AB19" i="58" s="1"/>
  <c r="AB20" i="58" s="1"/>
  <c r="AB21" i="58" s="1"/>
  <c r="AB22" i="58" s="1"/>
  <c r="AB23" i="58" s="1"/>
  <c r="AB24" i="58" s="1"/>
  <c r="AB25" i="58" s="1"/>
  <c r="AB26" i="58" s="1"/>
  <c r="AB27" i="58" s="1"/>
  <c r="AB28" i="58" s="1"/>
  <c r="AB29" i="58" s="1"/>
  <c r="AB30" i="58" s="1"/>
  <c r="AB31" i="58" s="1"/>
  <c r="AB32" i="58" s="1"/>
  <c r="AB33" i="58" s="1"/>
  <c r="H37" i="59"/>
  <c r="H40" i="59" s="1"/>
  <c r="L37" i="58"/>
  <c r="H41" i="58" s="1"/>
  <c r="AA4" i="58"/>
  <c r="AA5" i="58" s="1"/>
  <c r="AA6" i="58" s="1"/>
  <c r="AA7" i="58" s="1"/>
  <c r="AA8" i="58" s="1"/>
  <c r="AA9" i="58" s="1"/>
  <c r="AA10" i="58" s="1"/>
  <c r="AA11" i="58" s="1"/>
  <c r="AA12" i="58" s="1"/>
  <c r="H37" i="58"/>
  <c r="H40" i="58" s="1"/>
  <c r="K10" i="61"/>
  <c r="U13" i="58"/>
  <c r="V13" i="58" s="1"/>
  <c r="V5" i="58"/>
  <c r="V30" i="59"/>
  <c r="W30" i="59" s="1"/>
  <c r="S28" i="61"/>
  <c r="U28" i="61" s="1"/>
  <c r="S32" i="61"/>
  <c r="U32" i="61" s="1"/>
  <c r="K13" i="61"/>
  <c r="K9" i="61"/>
  <c r="K5" i="61"/>
  <c r="V14" i="58"/>
  <c r="Y5" i="61"/>
  <c r="Y6" i="61" s="1"/>
  <c r="Y7" i="61" s="1"/>
  <c r="Y8" i="61" s="1"/>
  <c r="Y9" i="61" s="1"/>
  <c r="Y10" i="61" s="1"/>
  <c r="Y11" i="61" s="1"/>
  <c r="Y12" i="61" s="1"/>
  <c r="Y13" i="61" s="1"/>
  <c r="Y14" i="61" s="1"/>
  <c r="Y15" i="61" s="1"/>
  <c r="Y16" i="61" s="1"/>
  <c r="Y17" i="61" s="1"/>
  <c r="Y18" i="61" s="1"/>
  <c r="Y19" i="61" s="1"/>
  <c r="Y20" i="61" s="1"/>
  <c r="Y21" i="61" s="1"/>
  <c r="Y22" i="61" s="1"/>
  <c r="Y23" i="61" s="1"/>
  <c r="Y24" i="61" s="1"/>
  <c r="Y25" i="61" s="1"/>
  <c r="Y26" i="61" s="1"/>
  <c r="Y27" i="61" s="1"/>
  <c r="Y28" i="61" s="1"/>
  <c r="Y29" i="61" s="1"/>
  <c r="Y30" i="61" s="1"/>
  <c r="Y31" i="61" s="1"/>
  <c r="Y32" i="61" s="1"/>
  <c r="Y33" i="61" s="1"/>
  <c r="Y35" i="61" s="1"/>
  <c r="AE5" i="50"/>
  <c r="V6" i="58"/>
  <c r="V28" i="59"/>
  <c r="W28" i="59" s="1"/>
  <c r="V32" i="59"/>
  <c r="X32" i="59" s="1"/>
  <c r="M4" i="61"/>
  <c r="M26" i="61"/>
  <c r="M22" i="61"/>
  <c r="M14" i="61"/>
  <c r="M10" i="61"/>
  <c r="M6" i="61"/>
  <c r="U25" i="58"/>
  <c r="V25" i="58" s="1"/>
  <c r="V8" i="59"/>
  <c r="W8" i="59" s="1"/>
  <c r="U21" i="59"/>
  <c r="V21" i="59" s="1"/>
  <c r="X21" i="59" s="1"/>
  <c r="U24" i="58"/>
  <c r="V24" i="58" s="1"/>
  <c r="B6" i="58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B18" i="58" s="1"/>
  <c r="B19" i="58" s="1"/>
  <c r="B20" i="58" s="1"/>
  <c r="B21" i="58" s="1"/>
  <c r="B22" i="58" s="1"/>
  <c r="B23" i="58" s="1"/>
  <c r="B24" i="58" s="1"/>
  <c r="B25" i="58" s="1"/>
  <c r="B26" i="58" s="1"/>
  <c r="B27" i="58" s="1"/>
  <c r="B28" i="58" s="1"/>
  <c r="B29" i="58" s="1"/>
  <c r="B30" i="58" s="1"/>
  <c r="B31" i="58" s="1"/>
  <c r="B32" i="58" s="1"/>
  <c r="B33" i="58" s="1"/>
  <c r="V8" i="58"/>
  <c r="V10" i="58"/>
  <c r="V25" i="59"/>
  <c r="X25" i="59" s="1"/>
  <c r="V22" i="59"/>
  <c r="W22" i="59" s="1"/>
  <c r="B6" i="59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B18" i="59" s="1"/>
  <c r="B19" i="59" s="1"/>
  <c r="B20" i="59" s="1"/>
  <c r="B21" i="59" s="1"/>
  <c r="B22" i="59" s="1"/>
  <c r="B23" i="59" s="1"/>
  <c r="B24" i="59" s="1"/>
  <c r="B25" i="59" s="1"/>
  <c r="B26" i="59" s="1"/>
  <c r="B27" i="59" s="1"/>
  <c r="B28" i="59" s="1"/>
  <c r="B29" i="59" s="1"/>
  <c r="B30" i="59" s="1"/>
  <c r="B31" i="59" s="1"/>
  <c r="B32" i="59" s="1"/>
  <c r="B33" i="59" s="1"/>
  <c r="S23" i="61"/>
  <c r="U23" i="61" s="1"/>
  <c r="S6" i="61"/>
  <c r="T6" i="61" s="1"/>
  <c r="S25" i="61"/>
  <c r="U25" i="61" s="1"/>
  <c r="S34" i="61"/>
  <c r="T34" i="61" s="1"/>
  <c r="M34" i="61"/>
  <c r="L34" i="61"/>
  <c r="Q37" i="61"/>
  <c r="G46" i="61" s="1"/>
  <c r="G47" i="61" s="1"/>
  <c r="AA4" i="61"/>
  <c r="AA5" i="61" s="1"/>
  <c r="AA6" i="61" s="1"/>
  <c r="AA7" i="61" s="1"/>
  <c r="AA8" i="61" s="1"/>
  <c r="AA9" i="61" s="1"/>
  <c r="AA10" i="61" s="1"/>
  <c r="AA11" i="61" s="1"/>
  <c r="AA12" i="61" s="1"/>
  <c r="AA13" i="61" s="1"/>
  <c r="AA14" i="61" s="1"/>
  <c r="AA15" i="61" s="1"/>
  <c r="AA16" i="61" s="1"/>
  <c r="AA17" i="61" s="1"/>
  <c r="F37" i="61"/>
  <c r="G49" i="61" s="1"/>
  <c r="S5" i="61"/>
  <c r="U5" i="61" s="1"/>
  <c r="M13" i="61"/>
  <c r="L14" i="61"/>
  <c r="S30" i="61"/>
  <c r="T30" i="61" s="1"/>
  <c r="M9" i="61"/>
  <c r="L4" i="61"/>
  <c r="L6" i="61"/>
  <c r="K4" i="61"/>
  <c r="AC4" i="61" s="1"/>
  <c r="M8" i="61"/>
  <c r="S8" i="61"/>
  <c r="T8" i="61" s="1"/>
  <c r="M15" i="61"/>
  <c r="M5" i="61"/>
  <c r="M7" i="61"/>
  <c r="M11" i="61"/>
  <c r="M12" i="61"/>
  <c r="S27" i="61"/>
  <c r="U27" i="61" s="1"/>
  <c r="M21" i="61"/>
  <c r="V26" i="59"/>
  <c r="W26" i="59" s="1"/>
  <c r="V14" i="59"/>
  <c r="X14" i="59" s="1"/>
  <c r="V7" i="59"/>
  <c r="W7" i="59" s="1"/>
  <c r="V11" i="59"/>
  <c r="W11" i="59" s="1"/>
  <c r="V29" i="59"/>
  <c r="X29" i="59" s="1"/>
  <c r="V31" i="59"/>
  <c r="X31" i="59" s="1"/>
  <c r="V24" i="59"/>
  <c r="W24" i="59" s="1"/>
  <c r="V9" i="59"/>
  <c r="W9" i="59" s="1"/>
  <c r="V13" i="59"/>
  <c r="W13" i="59" s="1"/>
  <c r="V34" i="50"/>
  <c r="W34" i="50" s="1"/>
  <c r="V32" i="58"/>
  <c r="V31" i="58"/>
  <c r="V28" i="58"/>
  <c r="V26" i="58"/>
  <c r="V9" i="58"/>
  <c r="L8" i="61"/>
  <c r="S14" i="61"/>
  <c r="T14" i="61" s="1"/>
  <c r="L16" i="61"/>
  <c r="M16" i="61"/>
  <c r="AF5" i="59"/>
  <c r="V15" i="59"/>
  <c r="X15" i="59" s="1"/>
  <c r="V16" i="59"/>
  <c r="X16" i="59" s="1"/>
  <c r="V17" i="59"/>
  <c r="X17" i="59" s="1"/>
  <c r="V18" i="59"/>
  <c r="X18" i="59" s="1"/>
  <c r="V19" i="59"/>
  <c r="X19" i="59" s="1"/>
  <c r="V20" i="59"/>
  <c r="W20" i="59" s="1"/>
  <c r="V22" i="58"/>
  <c r="V20" i="58"/>
  <c r="L31" i="61"/>
  <c r="M23" i="61"/>
  <c r="L19" i="61"/>
  <c r="M19" i="61"/>
  <c r="M17" i="61"/>
  <c r="M18" i="61"/>
  <c r="L22" i="61"/>
  <c r="L23" i="61"/>
  <c r="M24" i="61"/>
  <c r="L21" i="61"/>
  <c r="L32" i="61"/>
  <c r="M32" i="61"/>
  <c r="R13" i="61"/>
  <c r="S13" i="61" s="1"/>
  <c r="R18" i="61"/>
  <c r="S18" i="61" s="1"/>
  <c r="R11" i="61"/>
  <c r="S11" i="61" s="1"/>
  <c r="S12" i="61"/>
  <c r="M30" i="61"/>
  <c r="L30" i="61"/>
  <c r="R7" i="61"/>
  <c r="S7" i="61" s="1"/>
  <c r="R20" i="61"/>
  <c r="S20" i="61" s="1"/>
  <c r="S4" i="61"/>
  <c r="R16" i="61"/>
  <c r="S16" i="61" s="1"/>
  <c r="S24" i="61"/>
  <c r="L26" i="61"/>
  <c r="M28" i="61"/>
  <c r="R31" i="61"/>
  <c r="S31" i="61" s="1"/>
  <c r="R9" i="61"/>
  <c r="S9" i="61" s="1"/>
  <c r="S10" i="61"/>
  <c r="R15" i="61"/>
  <c r="S15" i="61" s="1"/>
  <c r="R17" i="61"/>
  <c r="S17" i="61" s="1"/>
  <c r="R19" i="61"/>
  <c r="S19" i="61" s="1"/>
  <c r="M25" i="61"/>
  <c r="L25" i="61"/>
  <c r="S26" i="61"/>
  <c r="R29" i="61"/>
  <c r="S29" i="61" s="1"/>
  <c r="M27" i="61"/>
  <c r="M29" i="61"/>
  <c r="S33" i="61"/>
  <c r="O37" i="61"/>
  <c r="L15" i="61"/>
  <c r="M20" i="61"/>
  <c r="S21" i="61"/>
  <c r="L29" i="61"/>
  <c r="M31" i="61"/>
  <c r="M33" i="61"/>
  <c r="I37" i="61"/>
  <c r="W6" i="59"/>
  <c r="X6" i="59"/>
  <c r="AB5" i="59"/>
  <c r="AB6" i="59" s="1"/>
  <c r="AB7" i="59" s="1"/>
  <c r="AB8" i="59" s="1"/>
  <c r="AB9" i="59" s="1"/>
  <c r="AB10" i="59" s="1"/>
  <c r="AB11" i="59" s="1"/>
  <c r="AB12" i="59" s="1"/>
  <c r="AB13" i="59" s="1"/>
  <c r="AB14" i="59" s="1"/>
  <c r="AB15" i="59" s="1"/>
  <c r="AB16" i="59" s="1"/>
  <c r="AB17" i="59" s="1"/>
  <c r="AB18" i="59" s="1"/>
  <c r="AB19" i="59" s="1"/>
  <c r="AB20" i="59" s="1"/>
  <c r="AB21" i="59" s="1"/>
  <c r="AB22" i="59" s="1"/>
  <c r="AB23" i="59" s="1"/>
  <c r="AB24" i="59" s="1"/>
  <c r="AB25" i="59" s="1"/>
  <c r="AB26" i="59" s="1"/>
  <c r="AB27" i="59" s="1"/>
  <c r="AB28" i="59" s="1"/>
  <c r="AB29" i="59" s="1"/>
  <c r="AB30" i="59" s="1"/>
  <c r="AB31" i="59" s="1"/>
  <c r="AB32" i="59" s="1"/>
  <c r="AB33" i="59" s="1"/>
  <c r="V5" i="59"/>
  <c r="U23" i="59"/>
  <c r="V23" i="59" s="1"/>
  <c r="V27" i="59"/>
  <c r="U33" i="59"/>
  <c r="V33" i="59" s="1"/>
  <c r="AC4" i="58"/>
  <c r="AC5" i="58" s="1"/>
  <c r="AC6" i="58" s="1"/>
  <c r="AC7" i="58" s="1"/>
  <c r="AC8" i="58" s="1"/>
  <c r="AC9" i="58" s="1"/>
  <c r="AC10" i="58" s="1"/>
  <c r="AC11" i="58" s="1"/>
  <c r="U15" i="58"/>
  <c r="V15" i="58" s="1"/>
  <c r="U16" i="58"/>
  <c r="V16" i="58" s="1"/>
  <c r="U17" i="58"/>
  <c r="V17" i="58" s="1"/>
  <c r="U19" i="58"/>
  <c r="V19" i="58" s="1"/>
  <c r="V7" i="58"/>
  <c r="V11" i="58"/>
  <c r="U4" i="58"/>
  <c r="U18" i="58"/>
  <c r="V18" i="58" s="1"/>
  <c r="U21" i="58"/>
  <c r="V21" i="58" s="1"/>
  <c r="V23" i="58"/>
  <c r="U29" i="58"/>
  <c r="V29" i="58" s="1"/>
  <c r="V30" i="58"/>
  <c r="U33" i="58"/>
  <c r="V33" i="58" s="1"/>
  <c r="V27" i="58"/>
  <c r="P11" i="59" l="1"/>
  <c r="Y28" i="59"/>
  <c r="Y26" i="59"/>
  <c r="K6" i="41"/>
  <c r="Y24" i="59"/>
  <c r="V14" i="61"/>
  <c r="Y22" i="59"/>
  <c r="Y30" i="59"/>
  <c r="X4" i="59"/>
  <c r="AE4" i="59" s="1"/>
  <c r="O37" i="58"/>
  <c r="P4" i="58"/>
  <c r="P37" i="58" s="1"/>
  <c r="O13" i="50"/>
  <c r="P31" i="59"/>
  <c r="O31" i="59"/>
  <c r="O26" i="50"/>
  <c r="O6" i="50"/>
  <c r="O6" i="59"/>
  <c r="Y6" i="59" s="1"/>
  <c r="P6" i="59"/>
  <c r="U22" i="61"/>
  <c r="K7" i="41"/>
  <c r="M7" i="41"/>
  <c r="O7" i="41" s="1"/>
  <c r="S7" i="41"/>
  <c r="Q7" i="41"/>
  <c r="J7" i="41"/>
  <c r="T7" i="41"/>
  <c r="Z7" i="41" s="1"/>
  <c r="AC7" i="41"/>
  <c r="L7" i="41"/>
  <c r="N7" i="41" s="1"/>
  <c r="P7" i="41"/>
  <c r="U7" i="41" s="1"/>
  <c r="R7" i="41"/>
  <c r="H7" i="41"/>
  <c r="I7" i="41"/>
  <c r="T32" i="61"/>
  <c r="V32" i="61" s="1"/>
  <c r="T5" i="61"/>
  <c r="V5" i="61" s="1"/>
  <c r="T23" i="61"/>
  <c r="V23" i="61" s="1"/>
  <c r="T27" i="61"/>
  <c r="V27" i="61" s="1"/>
  <c r="X34" i="50"/>
  <c r="V30" i="61"/>
  <c r="F4" i="41"/>
  <c r="AB13" i="50"/>
  <c r="AB14" i="50" s="1"/>
  <c r="AB15" i="50" s="1"/>
  <c r="AB16" i="50" s="1"/>
  <c r="AB17" i="50" s="1"/>
  <c r="AB18" i="50" s="1"/>
  <c r="AB19" i="50" s="1"/>
  <c r="AB20" i="50" s="1"/>
  <c r="AB21" i="50" s="1"/>
  <c r="AB22" i="50" s="1"/>
  <c r="AB23" i="50" s="1"/>
  <c r="AB24" i="50" s="1"/>
  <c r="AB25" i="50" s="1"/>
  <c r="AB26" i="50" s="1"/>
  <c r="AB27" i="50" s="1"/>
  <c r="AB28" i="50" s="1"/>
  <c r="AB29" i="50" s="1"/>
  <c r="AB30" i="50" s="1"/>
  <c r="AB31" i="50" s="1"/>
  <c r="AB32" i="50" s="1"/>
  <c r="AB33" i="50" s="1"/>
  <c r="AB34" i="50" s="1"/>
  <c r="Y7" i="59"/>
  <c r="Y9" i="59"/>
  <c r="Y13" i="59"/>
  <c r="Y20" i="59"/>
  <c r="Y8" i="59"/>
  <c r="AD13" i="59"/>
  <c r="AD14" i="59" s="1"/>
  <c r="AD15" i="59" s="1"/>
  <c r="AD16" i="59" s="1"/>
  <c r="AD17" i="59" s="1"/>
  <c r="AD18" i="59" s="1"/>
  <c r="AD19" i="59" s="1"/>
  <c r="AD20" i="59" s="1"/>
  <c r="H46" i="59"/>
  <c r="H51" i="59" s="1"/>
  <c r="Y11" i="59"/>
  <c r="AC12" i="58"/>
  <c r="AC13" i="58" s="1"/>
  <c r="AC14" i="58" s="1"/>
  <c r="AC15" i="58" s="1"/>
  <c r="AC16" i="58" s="1"/>
  <c r="AC17" i="58" s="1"/>
  <c r="AC18" i="58" s="1"/>
  <c r="AC19" i="58" s="1"/>
  <c r="AC20" i="58" s="1"/>
  <c r="AC21" i="58" s="1"/>
  <c r="AC22" i="58" s="1"/>
  <c r="AC23" i="58" s="1"/>
  <c r="AC24" i="58" s="1"/>
  <c r="AC25" i="58" s="1"/>
  <c r="AC26" i="58" s="1"/>
  <c r="AC27" i="58" s="1"/>
  <c r="AC28" i="58" s="1"/>
  <c r="AC29" i="58" s="1"/>
  <c r="AC30" i="58" s="1"/>
  <c r="AC31" i="58" s="1"/>
  <c r="AC32" i="58" s="1"/>
  <c r="AC33" i="58" s="1"/>
  <c r="N37" i="59"/>
  <c r="W32" i="58"/>
  <c r="X32" i="58" s="1"/>
  <c r="W26" i="58"/>
  <c r="X26" i="58" s="1"/>
  <c r="W28" i="58"/>
  <c r="X28" i="58" s="1"/>
  <c r="W24" i="58"/>
  <c r="X24" i="58" s="1"/>
  <c r="W20" i="58"/>
  <c r="X20" i="58" s="1"/>
  <c r="W17" i="58"/>
  <c r="X17" i="58" s="1"/>
  <c r="W31" i="58"/>
  <c r="X31" i="58" s="1"/>
  <c r="H46" i="58"/>
  <c r="H51" i="58" s="1"/>
  <c r="H4" i="41"/>
  <c r="G4" i="41"/>
  <c r="AF6" i="59"/>
  <c r="Q4" i="41"/>
  <c r="H6" i="41"/>
  <c r="AE6" i="50"/>
  <c r="AE7" i="50" s="1"/>
  <c r="AE8" i="50" s="1"/>
  <c r="AE9" i="50" s="1"/>
  <c r="AE10" i="50" s="1"/>
  <c r="AE11" i="50" s="1"/>
  <c r="S4" i="41"/>
  <c r="L4" i="41"/>
  <c r="N4" i="41" s="1"/>
  <c r="J4" i="41"/>
  <c r="G6" i="41"/>
  <c r="U37" i="59"/>
  <c r="P4" i="41"/>
  <c r="U4" i="41" s="1"/>
  <c r="U37" i="58"/>
  <c r="W12" i="59"/>
  <c r="Y12" i="59" s="1"/>
  <c r="V37" i="59"/>
  <c r="AA13" i="58"/>
  <c r="AA14" i="58" s="1"/>
  <c r="AA15" i="58" s="1"/>
  <c r="AA16" i="58" s="1"/>
  <c r="AA17" i="58" s="1"/>
  <c r="AA18" i="58" s="1"/>
  <c r="AA19" i="58" s="1"/>
  <c r="AA20" i="58" s="1"/>
  <c r="AA21" i="58" s="1"/>
  <c r="AA22" i="58" s="1"/>
  <c r="AA23" i="58" s="1"/>
  <c r="AA24" i="58" s="1"/>
  <c r="AA25" i="58" s="1"/>
  <c r="AA26" i="58" s="1"/>
  <c r="AA27" i="58" s="1"/>
  <c r="AA28" i="58" s="1"/>
  <c r="AA29" i="58" s="1"/>
  <c r="AA30" i="58" s="1"/>
  <c r="AA31" i="58" s="1"/>
  <c r="AA32" i="58" s="1"/>
  <c r="AA33" i="58" s="1"/>
  <c r="H42" i="58"/>
  <c r="N37" i="50"/>
  <c r="H42" i="50" s="1"/>
  <c r="X12" i="59"/>
  <c r="K37" i="61"/>
  <c r="G40" i="61" s="1"/>
  <c r="AC5" i="61"/>
  <c r="AC6" i="61" s="1"/>
  <c r="AC7" i="61" s="1"/>
  <c r="AC8" i="61" s="1"/>
  <c r="AC9" i="61" s="1"/>
  <c r="AC10" i="61" s="1"/>
  <c r="AC11" i="61" s="1"/>
  <c r="AC12" i="61" s="1"/>
  <c r="AC13" i="61" s="1"/>
  <c r="AC14" i="61" s="1"/>
  <c r="AC15" i="61" s="1"/>
  <c r="AC16" i="61" s="1"/>
  <c r="AC17" i="61" s="1"/>
  <c r="AC18" i="61" s="1"/>
  <c r="AC19" i="61" s="1"/>
  <c r="AC20" i="61" s="1"/>
  <c r="AC21" i="61" s="1"/>
  <c r="AC22" i="61" s="1"/>
  <c r="AC23" i="61" s="1"/>
  <c r="AC24" i="61" s="1"/>
  <c r="AC25" i="61" s="1"/>
  <c r="AC26" i="61" s="1"/>
  <c r="AC27" i="61" s="1"/>
  <c r="AC28" i="61" s="1"/>
  <c r="AC29" i="61" s="1"/>
  <c r="AC30" i="61" s="1"/>
  <c r="AC31" i="61" s="1"/>
  <c r="AC32" i="61" s="1"/>
  <c r="AC33" i="61" s="1"/>
  <c r="AC35" i="61" s="1"/>
  <c r="AE4" i="58"/>
  <c r="AE5" i="58" s="1"/>
  <c r="AE6" i="58" s="1"/>
  <c r="AE7" i="58" s="1"/>
  <c r="AE8" i="58" s="1"/>
  <c r="AE9" i="58" s="1"/>
  <c r="AE10" i="58" s="1"/>
  <c r="AE11" i="58" s="1"/>
  <c r="W12" i="58"/>
  <c r="X12" i="58" s="1"/>
  <c r="W11" i="58"/>
  <c r="W9" i="58"/>
  <c r="X9" i="58" s="1"/>
  <c r="W13" i="58"/>
  <c r="X13" i="58" s="1"/>
  <c r="W5" i="58"/>
  <c r="W7" i="58"/>
  <c r="W10" i="58"/>
  <c r="X10" i="58" s="1"/>
  <c r="W8" i="58"/>
  <c r="W6" i="58"/>
  <c r="W14" i="58"/>
  <c r="X14" i="58" s="1"/>
  <c r="W15" i="59"/>
  <c r="Y15" i="59" s="1"/>
  <c r="W19" i="59"/>
  <c r="Y19" i="59" s="1"/>
  <c r="T25" i="61"/>
  <c r="V25" i="61" s="1"/>
  <c r="W32" i="59"/>
  <c r="Y32" i="59" s="1"/>
  <c r="T28" i="61"/>
  <c r="V28" i="61" s="1"/>
  <c r="U8" i="61"/>
  <c r="W25" i="58"/>
  <c r="X25" i="58" s="1"/>
  <c r="X28" i="59"/>
  <c r="W18" i="59"/>
  <c r="Y18" i="59" s="1"/>
  <c r="F6" i="41"/>
  <c r="P6" i="41"/>
  <c r="U6" i="41" s="1"/>
  <c r="I6" i="41"/>
  <c r="X30" i="59"/>
  <c r="X26" i="59"/>
  <c r="W31" i="59"/>
  <c r="W21" i="59"/>
  <c r="Y21" i="59" s="1"/>
  <c r="S6" i="41"/>
  <c r="X8" i="59"/>
  <c r="J6" i="41"/>
  <c r="L6" i="41"/>
  <c r="N6" i="41" s="1"/>
  <c r="X24" i="59"/>
  <c r="X22" i="59"/>
  <c r="W22" i="58"/>
  <c r="X22" i="58" s="1"/>
  <c r="U14" i="61"/>
  <c r="U6" i="61"/>
  <c r="V6" i="61"/>
  <c r="X7" i="59"/>
  <c r="W25" i="59"/>
  <c r="Y25" i="59" s="1"/>
  <c r="W29" i="59"/>
  <c r="Y29" i="59" s="1"/>
  <c r="X9" i="59"/>
  <c r="W14" i="59"/>
  <c r="Y14" i="59" s="1"/>
  <c r="V34" i="61"/>
  <c r="U34" i="61"/>
  <c r="U30" i="61"/>
  <c r="V22" i="61"/>
  <c r="V8" i="61"/>
  <c r="W17" i="59"/>
  <c r="Y17" i="59" s="1"/>
  <c r="X13" i="59"/>
  <c r="X11" i="59"/>
  <c r="AA18" i="61"/>
  <c r="AA19" i="61" s="1"/>
  <c r="AA20" i="61" s="1"/>
  <c r="AA21" i="61" s="1"/>
  <c r="AA22" i="61" s="1"/>
  <c r="AA23" i="61" s="1"/>
  <c r="AA24" i="61" s="1"/>
  <c r="AA25" i="61" s="1"/>
  <c r="AA26" i="61" s="1"/>
  <c r="AA27" i="61" s="1"/>
  <c r="AA28" i="61" s="1"/>
  <c r="AA29" i="61" s="1"/>
  <c r="AA30" i="61" s="1"/>
  <c r="AA31" i="61" s="1"/>
  <c r="AA32" i="61" s="1"/>
  <c r="AA33" i="61" s="1"/>
  <c r="AA35" i="61" s="1"/>
  <c r="X20" i="59"/>
  <c r="W16" i="59"/>
  <c r="Y16" i="59" s="1"/>
  <c r="M37" i="61"/>
  <c r="U7" i="61"/>
  <c r="T7" i="61"/>
  <c r="V7" i="61" s="1"/>
  <c r="T29" i="61"/>
  <c r="V29" i="61" s="1"/>
  <c r="U29" i="61"/>
  <c r="U19" i="61"/>
  <c r="T19" i="61"/>
  <c r="V19" i="61" s="1"/>
  <c r="U9" i="61"/>
  <c r="T9" i="61"/>
  <c r="V9" i="61" s="1"/>
  <c r="U16" i="61"/>
  <c r="T16" i="61"/>
  <c r="V16" i="61" s="1"/>
  <c r="S37" i="61"/>
  <c r="T4" i="61"/>
  <c r="AB4" i="61"/>
  <c r="AB5" i="61" s="1"/>
  <c r="AB6" i="61" s="1"/>
  <c r="AB7" i="61" s="1"/>
  <c r="AB8" i="61" s="1"/>
  <c r="AB9" i="61" s="1"/>
  <c r="AB10" i="61" s="1"/>
  <c r="AB11" i="61" s="1"/>
  <c r="AB12" i="61" s="1"/>
  <c r="AB13" i="61" s="1"/>
  <c r="AB14" i="61" s="1"/>
  <c r="AB15" i="61" s="1"/>
  <c r="AB16" i="61" s="1"/>
  <c r="AB17" i="61" s="1"/>
  <c r="AB18" i="61" s="1"/>
  <c r="AB19" i="61" s="1"/>
  <c r="AB20" i="61" s="1"/>
  <c r="AB21" i="61" s="1"/>
  <c r="AB22" i="61" s="1"/>
  <c r="AB23" i="61" s="1"/>
  <c r="AB24" i="61" s="1"/>
  <c r="AB25" i="61" s="1"/>
  <c r="AB26" i="61" s="1"/>
  <c r="AB27" i="61" s="1"/>
  <c r="AB28" i="61" s="1"/>
  <c r="AB29" i="61" s="1"/>
  <c r="AB30" i="61" s="1"/>
  <c r="AB31" i="61" s="1"/>
  <c r="AB32" i="61" s="1"/>
  <c r="AB33" i="61" s="1"/>
  <c r="AB35" i="61" s="1"/>
  <c r="U4" i="61"/>
  <c r="U18" i="61"/>
  <c r="T18" i="61"/>
  <c r="V18" i="61" s="1"/>
  <c r="U21" i="61"/>
  <c r="T21" i="61"/>
  <c r="V21" i="61" s="1"/>
  <c r="U24" i="61"/>
  <c r="T24" i="61"/>
  <c r="V24" i="61" s="1"/>
  <c r="L37" i="61"/>
  <c r="G41" i="61" s="1"/>
  <c r="G52" i="61" s="1"/>
  <c r="T12" i="61"/>
  <c r="V12" i="61" s="1"/>
  <c r="U12" i="61"/>
  <c r="R37" i="61"/>
  <c r="T33" i="61"/>
  <c r="V33" i="61" s="1"/>
  <c r="U33" i="61"/>
  <c r="U15" i="61"/>
  <c r="T15" i="61"/>
  <c r="V15" i="61" s="1"/>
  <c r="T10" i="61"/>
  <c r="V10" i="61" s="1"/>
  <c r="U10" i="61"/>
  <c r="U31" i="61"/>
  <c r="T31" i="61"/>
  <c r="V31" i="61" s="1"/>
  <c r="T26" i="61"/>
  <c r="V26" i="61" s="1"/>
  <c r="U26" i="61"/>
  <c r="U17" i="61"/>
  <c r="T17" i="61"/>
  <c r="V17" i="61" s="1"/>
  <c r="U11" i="61"/>
  <c r="T11" i="61"/>
  <c r="V11" i="61" s="1"/>
  <c r="T20" i="61"/>
  <c r="V20" i="61" s="1"/>
  <c r="U20" i="61"/>
  <c r="U13" i="61"/>
  <c r="T13" i="61"/>
  <c r="V13" i="61" s="1"/>
  <c r="X23" i="59"/>
  <c r="W23" i="59"/>
  <c r="Y23" i="59" s="1"/>
  <c r="X33" i="59"/>
  <c r="W33" i="59"/>
  <c r="Y33" i="59" s="1"/>
  <c r="W5" i="59"/>
  <c r="Y5" i="59" s="1"/>
  <c r="X5" i="59"/>
  <c r="X27" i="59"/>
  <c r="W27" i="59"/>
  <c r="Y27" i="59" s="1"/>
  <c r="W15" i="58"/>
  <c r="X15" i="58" s="1"/>
  <c r="W19" i="58"/>
  <c r="X19" i="58" s="1"/>
  <c r="W33" i="58"/>
  <c r="X33" i="58" s="1"/>
  <c r="W23" i="58"/>
  <c r="X23" i="58" s="1"/>
  <c r="W18" i="58"/>
  <c r="X18" i="58" s="1"/>
  <c r="W29" i="58"/>
  <c r="X29" i="58" s="1"/>
  <c r="W21" i="58"/>
  <c r="X21" i="58" s="1"/>
  <c r="V4" i="58"/>
  <c r="W4" i="58" s="1"/>
  <c r="AD4" i="58" s="1"/>
  <c r="W27" i="58"/>
  <c r="X27" i="58" s="1"/>
  <c r="W30" i="58"/>
  <c r="X30" i="58" s="1"/>
  <c r="W16" i="58"/>
  <c r="X16" i="58" s="1"/>
  <c r="AC4" i="50"/>
  <c r="R5" i="50"/>
  <c r="R6" i="50"/>
  <c r="R7" i="50"/>
  <c r="R8" i="50"/>
  <c r="R9" i="50"/>
  <c r="R10" i="50"/>
  <c r="R11" i="50"/>
  <c r="R12" i="50"/>
  <c r="R13" i="50"/>
  <c r="R14" i="50"/>
  <c r="AC4" i="41" l="1"/>
  <c r="R6" i="41"/>
  <c r="W6" i="41" s="1"/>
  <c r="X6" i="41" s="1"/>
  <c r="R4" i="41"/>
  <c r="W4" i="41" s="1"/>
  <c r="X4" i="41" s="1"/>
  <c r="C4" i="41" s="1"/>
  <c r="AB7" i="41"/>
  <c r="AE5" i="59"/>
  <c r="AE6" i="59" s="1"/>
  <c r="AE7" i="59" s="1"/>
  <c r="AE8" i="59" s="1"/>
  <c r="AE9" i="59" s="1"/>
  <c r="AE10" i="59" s="1"/>
  <c r="AE11" i="59" s="1"/>
  <c r="AF7" i="59"/>
  <c r="Y31" i="59"/>
  <c r="V7" i="41"/>
  <c r="Y7" i="41" s="1"/>
  <c r="C7" i="41" s="1"/>
  <c r="W7" i="41"/>
  <c r="X7" i="41" s="1"/>
  <c r="AA7" i="41"/>
  <c r="AD7" i="41"/>
  <c r="D7" i="41" s="1"/>
  <c r="X4" i="58"/>
  <c r="AD5" i="58"/>
  <c r="AD6" i="58" s="1"/>
  <c r="AD7" i="58" s="1"/>
  <c r="AD8" i="58" s="1"/>
  <c r="AD9" i="58" s="1"/>
  <c r="AD10" i="58" s="1"/>
  <c r="AD11" i="58" s="1"/>
  <c r="X6" i="58"/>
  <c r="X8" i="58"/>
  <c r="X5" i="58"/>
  <c r="X7" i="58"/>
  <c r="K4" i="41"/>
  <c r="T4" i="41"/>
  <c r="H53" i="58"/>
  <c r="H55" i="58" s="1"/>
  <c r="H42" i="59"/>
  <c r="X11" i="58"/>
  <c r="W37" i="58"/>
  <c r="AE12" i="58"/>
  <c r="AE13" i="58" s="1"/>
  <c r="AE14" i="58" s="1"/>
  <c r="AE15" i="58" s="1"/>
  <c r="AE16" i="58" s="1"/>
  <c r="AE17" i="58" s="1"/>
  <c r="AE18" i="58" s="1"/>
  <c r="AE19" i="58" s="1"/>
  <c r="AE20" i="58" s="1"/>
  <c r="AE21" i="58" s="1"/>
  <c r="AE22" i="58" s="1"/>
  <c r="AE23" i="58" s="1"/>
  <c r="AE12" i="50"/>
  <c r="AE13" i="50" s="1"/>
  <c r="AE14" i="50" s="1"/>
  <c r="AE15" i="50" s="1"/>
  <c r="AE16" i="50" s="1"/>
  <c r="AE17" i="50" s="1"/>
  <c r="AE18" i="50" s="1"/>
  <c r="AE19" i="50" s="1"/>
  <c r="AE20" i="50" s="1"/>
  <c r="AE21" i="50" s="1"/>
  <c r="AE22" i="50" s="1"/>
  <c r="AE23" i="50" s="1"/>
  <c r="AE24" i="50" s="1"/>
  <c r="AE25" i="50" s="1"/>
  <c r="AE26" i="50" s="1"/>
  <c r="AE27" i="50" s="1"/>
  <c r="AE28" i="50" s="1"/>
  <c r="AE29" i="50" s="1"/>
  <c r="AE30" i="50" s="1"/>
  <c r="AE31" i="50" s="1"/>
  <c r="AE32" i="50" s="1"/>
  <c r="AE33" i="50" s="1"/>
  <c r="AE34" i="50" s="1"/>
  <c r="V37" i="58"/>
  <c r="O37" i="59"/>
  <c r="P37" i="59"/>
  <c r="I4" i="41"/>
  <c r="O37" i="50"/>
  <c r="W37" i="59"/>
  <c r="X37" i="59"/>
  <c r="AD21" i="59"/>
  <c r="AD22" i="59" s="1"/>
  <c r="AD23" i="59" s="1"/>
  <c r="AD24" i="59" s="1"/>
  <c r="T37" i="61"/>
  <c r="V4" i="61"/>
  <c r="V37" i="61" s="1"/>
  <c r="U37" i="61"/>
  <c r="V6" i="41" l="1"/>
  <c r="Y6" i="41" s="1"/>
  <c r="C6" i="41" s="1"/>
  <c r="V4" i="41"/>
  <c r="Y4" i="41" s="1"/>
  <c r="AF8" i="59"/>
  <c r="H53" i="59"/>
  <c r="H56" i="59" s="1"/>
  <c r="AE12" i="59"/>
  <c r="AE13" i="59" s="1"/>
  <c r="AE14" i="59" s="1"/>
  <c r="AE15" i="59" s="1"/>
  <c r="AE16" i="59" s="1"/>
  <c r="AE17" i="59" s="1"/>
  <c r="AE18" i="59" s="1"/>
  <c r="AE19" i="59" s="1"/>
  <c r="AE20" i="59" s="1"/>
  <c r="AE21" i="59" s="1"/>
  <c r="AE22" i="59" s="1"/>
  <c r="AE23" i="59" s="1"/>
  <c r="AE24" i="59" s="1"/>
  <c r="AE25" i="59" s="1"/>
  <c r="AE26" i="59" s="1"/>
  <c r="AD12" i="58"/>
  <c r="AD13" i="58" s="1"/>
  <c r="AD14" i="58" s="1"/>
  <c r="AD15" i="58" s="1"/>
  <c r="AD16" i="58" s="1"/>
  <c r="AD17" i="58" s="1"/>
  <c r="AD18" i="58" s="1"/>
  <c r="AD19" i="58" s="1"/>
  <c r="AD20" i="58" s="1"/>
  <c r="AD21" i="58" s="1"/>
  <c r="AD22" i="58" s="1"/>
  <c r="AD23" i="58" s="1"/>
  <c r="AD24" i="58" s="1"/>
  <c r="AD25" i="58" s="1"/>
  <c r="AD26" i="58" s="1"/>
  <c r="AD27" i="58" s="1"/>
  <c r="AD28" i="58" s="1"/>
  <c r="AD29" i="58" s="1"/>
  <c r="AD30" i="58" s="1"/>
  <c r="AD31" i="58" s="1"/>
  <c r="AD32" i="58" s="1"/>
  <c r="AD33" i="58" s="1"/>
  <c r="X37" i="58"/>
  <c r="Y37" i="59"/>
  <c r="AD25" i="59"/>
  <c r="AD26" i="59" s="1"/>
  <c r="AD27" i="59" s="1"/>
  <c r="AD28" i="59" s="1"/>
  <c r="AD29" i="59" s="1"/>
  <c r="AD30" i="59" s="1"/>
  <c r="AD31" i="59" s="1"/>
  <c r="AD32" i="59" s="1"/>
  <c r="AD33" i="59" s="1"/>
  <c r="AE24" i="58"/>
  <c r="AE25" i="58" s="1"/>
  <c r="T11" i="50"/>
  <c r="AF9" i="59" l="1"/>
  <c r="Z4" i="41"/>
  <c r="AB4" i="41"/>
  <c r="AE27" i="59"/>
  <c r="AE28" i="59" s="1"/>
  <c r="AE29" i="59" s="1"/>
  <c r="AE30" i="59" s="1"/>
  <c r="T6" i="41"/>
  <c r="Z6" i="41" s="1"/>
  <c r="AA6" i="41" s="1"/>
  <c r="AE26" i="58"/>
  <c r="AE27" i="58" s="1"/>
  <c r="AE28" i="58" s="1"/>
  <c r="AE29" i="58" s="1"/>
  <c r="AE30" i="58" s="1"/>
  <c r="AE31" i="58" s="1"/>
  <c r="AE32" i="58" s="1"/>
  <c r="AE33" i="58" s="1"/>
  <c r="AA4" i="50"/>
  <c r="H5" i="50"/>
  <c r="H7" i="50"/>
  <c r="M4" i="41" l="1"/>
  <c r="O4" i="41" s="1"/>
  <c r="AF10" i="59"/>
  <c r="AF11" i="59" s="1"/>
  <c r="AF12" i="59" s="1"/>
  <c r="AF13" i="59" s="1"/>
  <c r="AF14" i="59" s="1"/>
  <c r="AF15" i="59" s="1"/>
  <c r="AF16" i="59" s="1"/>
  <c r="AF17" i="59" s="1"/>
  <c r="AF18" i="59" s="1"/>
  <c r="AF19" i="59" s="1"/>
  <c r="AF20" i="59" s="1"/>
  <c r="AF21" i="59" s="1"/>
  <c r="AF22" i="59" s="1"/>
  <c r="AF23" i="59" s="1"/>
  <c r="AF24" i="59" s="1"/>
  <c r="AF25" i="59" s="1"/>
  <c r="AF26" i="59" s="1"/>
  <c r="AF27" i="59" s="1"/>
  <c r="AF28" i="59" s="1"/>
  <c r="AF29" i="59" s="1"/>
  <c r="AF30" i="59" s="1"/>
  <c r="AF31" i="59" s="1"/>
  <c r="AF32" i="59" s="1"/>
  <c r="AF33" i="59" s="1"/>
  <c r="AA4" i="41"/>
  <c r="AD4" i="41"/>
  <c r="AE31" i="59"/>
  <c r="AE32" i="59" s="1"/>
  <c r="H6" i="50"/>
  <c r="M6" i="41" l="1"/>
  <c r="O6" i="41" s="1"/>
  <c r="Q6" i="41"/>
  <c r="AB6" i="41" s="1"/>
  <c r="D4" i="41"/>
  <c r="AE33" i="59"/>
  <c r="AC6" i="41" s="1"/>
  <c r="H8" i="50"/>
  <c r="H10" i="50"/>
  <c r="H11" i="50"/>
  <c r="H13" i="50"/>
  <c r="H14" i="50"/>
  <c r="H15" i="50"/>
  <c r="H16" i="50"/>
  <c r="H17" i="50"/>
  <c r="H18" i="50"/>
  <c r="H19" i="50"/>
  <c r="H20" i="50"/>
  <c r="H21" i="50"/>
  <c r="H22" i="50"/>
  <c r="H23" i="50"/>
  <c r="H24" i="50"/>
  <c r="H25" i="50"/>
  <c r="H26" i="50"/>
  <c r="H27" i="50"/>
  <c r="H31" i="50"/>
  <c r="H32" i="50"/>
  <c r="H33" i="50"/>
  <c r="H37" i="50" l="1"/>
  <c r="H40" i="50" s="1"/>
  <c r="AD6" i="41"/>
  <c r="D6" i="41"/>
  <c r="T33" i="50" l="1"/>
  <c r="R33" i="50"/>
  <c r="U33" i="50" s="1"/>
  <c r="T32" i="50"/>
  <c r="R32" i="50"/>
  <c r="U32" i="50" s="1"/>
  <c r="T31" i="50"/>
  <c r="R31" i="50"/>
  <c r="U31" i="50" s="1"/>
  <c r="T30" i="50"/>
  <c r="R30" i="50"/>
  <c r="U30" i="50" s="1"/>
  <c r="T29" i="50"/>
  <c r="R29" i="50"/>
  <c r="U29" i="50" s="1"/>
  <c r="T28" i="50"/>
  <c r="R28" i="50"/>
  <c r="U28" i="50" s="1"/>
  <c r="T27" i="50"/>
  <c r="R27" i="50"/>
  <c r="U27" i="50" s="1"/>
  <c r="T26" i="50"/>
  <c r="R26" i="50"/>
  <c r="U26" i="50" s="1"/>
  <c r="T25" i="50"/>
  <c r="R25" i="50"/>
  <c r="T24" i="50"/>
  <c r="R24" i="50"/>
  <c r="U24" i="50" s="1"/>
  <c r="T23" i="50"/>
  <c r="R23" i="50"/>
  <c r="U23" i="50" s="1"/>
  <c r="T22" i="50"/>
  <c r="R22" i="50"/>
  <c r="U22" i="50" s="1"/>
  <c r="T21" i="50"/>
  <c r="R21" i="50"/>
  <c r="U21" i="50" s="1"/>
  <c r="T20" i="50"/>
  <c r="R20" i="50"/>
  <c r="U20" i="50" s="1"/>
  <c r="T19" i="50"/>
  <c r="R19" i="50"/>
  <c r="U19" i="50" s="1"/>
  <c r="T18" i="50"/>
  <c r="R18" i="50"/>
  <c r="U18" i="50" s="1"/>
  <c r="T17" i="50"/>
  <c r="R17" i="50"/>
  <c r="U17" i="50" s="1"/>
  <c r="T16" i="50"/>
  <c r="R16" i="50"/>
  <c r="U16" i="50" s="1"/>
  <c r="T15" i="50"/>
  <c r="R15" i="50"/>
  <c r="T14" i="50"/>
  <c r="U14" i="50"/>
  <c r="T13" i="50"/>
  <c r="U13" i="50"/>
  <c r="T12" i="50"/>
  <c r="U12" i="50"/>
  <c r="U11" i="50"/>
  <c r="T10" i="50"/>
  <c r="U10" i="50"/>
  <c r="T9" i="50"/>
  <c r="U9" i="50"/>
  <c r="T8" i="50"/>
  <c r="U8" i="50"/>
  <c r="T7" i="50"/>
  <c r="U7" i="50"/>
  <c r="T6" i="50"/>
  <c r="U6" i="50"/>
  <c r="T5" i="50"/>
  <c r="U5" i="50"/>
  <c r="B5" i="50"/>
  <c r="AH4" i="50"/>
  <c r="AH5" i="50" s="1"/>
  <c r="AH6" i="50" s="1"/>
  <c r="AH7" i="50" s="1"/>
  <c r="AH8" i="50" s="1"/>
  <c r="AH9" i="50" s="1"/>
  <c r="AF5" i="50"/>
  <c r="AF6" i="50" s="1"/>
  <c r="AF7" i="50" s="1"/>
  <c r="AF8" i="50" s="1"/>
  <c r="AF9" i="50" s="1"/>
  <c r="AF10" i="50" s="1"/>
  <c r="AF11" i="50" s="1"/>
  <c r="T4" i="50"/>
  <c r="V4" i="50" s="1"/>
  <c r="W4" i="50" s="1"/>
  <c r="P3" i="50"/>
  <c r="P4" i="50" l="1"/>
  <c r="P30" i="50"/>
  <c r="P12" i="50"/>
  <c r="P33" i="50"/>
  <c r="P24" i="50"/>
  <c r="P34" i="50"/>
  <c r="P25" i="50"/>
  <c r="P22" i="50"/>
  <c r="P8" i="50"/>
  <c r="P16" i="50"/>
  <c r="P21" i="50"/>
  <c r="P10" i="50"/>
  <c r="P27" i="50"/>
  <c r="P19" i="50"/>
  <c r="P31" i="50"/>
  <c r="P18" i="50"/>
  <c r="P7" i="50"/>
  <c r="P17" i="50"/>
  <c r="P11" i="50"/>
  <c r="P20" i="50"/>
  <c r="P9" i="50"/>
  <c r="P28" i="50"/>
  <c r="P29" i="50"/>
  <c r="P15" i="50"/>
  <c r="P32" i="50"/>
  <c r="P23" i="50"/>
  <c r="P14" i="50"/>
  <c r="P5" i="50"/>
  <c r="P13" i="50"/>
  <c r="P26" i="50"/>
  <c r="P6" i="50"/>
  <c r="AD4" i="50"/>
  <c r="X4" i="50"/>
  <c r="AH10" i="50"/>
  <c r="AH11" i="50" s="1"/>
  <c r="U15" i="50"/>
  <c r="V15" i="50" s="1"/>
  <c r="W15" i="50" s="1"/>
  <c r="X15" i="50" s="1"/>
  <c r="R37" i="50"/>
  <c r="H44" i="50" s="1"/>
  <c r="H45" i="50" s="1"/>
  <c r="T37" i="50"/>
  <c r="H48" i="50" s="1"/>
  <c r="H49" i="50" s="1"/>
  <c r="U25" i="50"/>
  <c r="V25" i="50" s="1"/>
  <c r="W25" i="50" s="1"/>
  <c r="X25" i="50" s="1"/>
  <c r="V8" i="50"/>
  <c r="W8" i="50" s="1"/>
  <c r="V10" i="50"/>
  <c r="W10" i="50" s="1"/>
  <c r="X10" i="50" s="1"/>
  <c r="V30" i="50"/>
  <c r="W30" i="50" s="1"/>
  <c r="X30" i="50" s="1"/>
  <c r="V24" i="50"/>
  <c r="W24" i="50" s="1"/>
  <c r="X24" i="50" s="1"/>
  <c r="V14" i="50"/>
  <c r="W14" i="50" s="1"/>
  <c r="X14" i="50" s="1"/>
  <c r="V18" i="50"/>
  <c r="W18" i="50" s="1"/>
  <c r="X18" i="50" s="1"/>
  <c r="V22" i="50"/>
  <c r="W22" i="50" s="1"/>
  <c r="X22" i="50" s="1"/>
  <c r="V28" i="50"/>
  <c r="W28" i="50" s="1"/>
  <c r="X28" i="50" s="1"/>
  <c r="V32" i="50"/>
  <c r="W32" i="50" s="1"/>
  <c r="X32" i="50" s="1"/>
  <c r="V29" i="50"/>
  <c r="W29" i="50" s="1"/>
  <c r="X29" i="50" s="1"/>
  <c r="V16" i="50"/>
  <c r="W16" i="50" s="1"/>
  <c r="X16" i="50" s="1"/>
  <c r="V26" i="50"/>
  <c r="W26" i="50" s="1"/>
  <c r="X26" i="50" s="1"/>
  <c r="V12" i="50"/>
  <c r="W12" i="50" s="1"/>
  <c r="X12" i="50" s="1"/>
  <c r="B6" i="50"/>
  <c r="B7" i="50" s="1"/>
  <c r="B8" i="50" s="1"/>
  <c r="B9" i="50" s="1"/>
  <c r="B10" i="50" s="1"/>
  <c r="B11" i="50" s="1"/>
  <c r="B12" i="50" s="1"/>
  <c r="B13" i="50" s="1"/>
  <c r="B14" i="50" s="1"/>
  <c r="B15" i="50" s="1"/>
  <c r="B16" i="50" s="1"/>
  <c r="B17" i="50" s="1"/>
  <c r="B18" i="50" s="1"/>
  <c r="B19" i="50" s="1"/>
  <c r="B20" i="50" s="1"/>
  <c r="B21" i="50" s="1"/>
  <c r="B22" i="50" s="1"/>
  <c r="B23" i="50" s="1"/>
  <c r="B24" i="50" s="1"/>
  <c r="B25" i="50" s="1"/>
  <c r="B26" i="50" s="1"/>
  <c r="B27" i="50" s="1"/>
  <c r="B28" i="50" s="1"/>
  <c r="B29" i="50" s="1"/>
  <c r="B30" i="50" s="1"/>
  <c r="B31" i="50" s="1"/>
  <c r="B32" i="50" s="1"/>
  <c r="B33" i="50" s="1"/>
  <c r="B34" i="50" s="1"/>
  <c r="V13" i="50"/>
  <c r="W13" i="50" s="1"/>
  <c r="X13" i="50" s="1"/>
  <c r="V20" i="50"/>
  <c r="W20" i="50" s="1"/>
  <c r="X20" i="50" s="1"/>
  <c r="V6" i="50"/>
  <c r="W6" i="50" s="1"/>
  <c r="V7" i="50"/>
  <c r="W7" i="50" s="1"/>
  <c r="AF12" i="50"/>
  <c r="V11" i="50"/>
  <c r="W11" i="50" s="1"/>
  <c r="V9" i="50"/>
  <c r="W9" i="50" s="1"/>
  <c r="V5" i="50"/>
  <c r="W5" i="50" s="1"/>
  <c r="AA5" i="50"/>
  <c r="AC5" i="50"/>
  <c r="AC6" i="50" s="1"/>
  <c r="AC7" i="50" s="1"/>
  <c r="V33" i="50"/>
  <c r="W33" i="50" s="1"/>
  <c r="X33" i="50" s="1"/>
  <c r="V27" i="50"/>
  <c r="W27" i="50" s="1"/>
  <c r="X27" i="50" s="1"/>
  <c r="V17" i="50"/>
  <c r="W17" i="50" s="1"/>
  <c r="X17" i="50" s="1"/>
  <c r="V19" i="50"/>
  <c r="W19" i="50" s="1"/>
  <c r="X19" i="50" s="1"/>
  <c r="V21" i="50"/>
  <c r="W21" i="50" s="1"/>
  <c r="X21" i="50" s="1"/>
  <c r="V23" i="50"/>
  <c r="W23" i="50" s="1"/>
  <c r="X23" i="50" s="1"/>
  <c r="V31" i="50"/>
  <c r="W31" i="50" s="1"/>
  <c r="X31" i="50" s="1"/>
  <c r="M5" i="41" l="1"/>
  <c r="O5" i="41" s="1"/>
  <c r="X8" i="50"/>
  <c r="X7" i="50"/>
  <c r="X6" i="50"/>
  <c r="AD5" i="50"/>
  <c r="AD6" i="50" s="1"/>
  <c r="AD7" i="50" s="1"/>
  <c r="AD8" i="50" s="1"/>
  <c r="AD9" i="50" s="1"/>
  <c r="AD10" i="50" s="1"/>
  <c r="AD11" i="50" s="1"/>
  <c r="X5" i="50"/>
  <c r="X9" i="50"/>
  <c r="L5" i="41"/>
  <c r="N5" i="41" s="1"/>
  <c r="W37" i="50"/>
  <c r="X11" i="50"/>
  <c r="AH12" i="50"/>
  <c r="AH13" i="50" s="1"/>
  <c r="AH14" i="50" s="1"/>
  <c r="AH15" i="50" s="1"/>
  <c r="AH16" i="50" s="1"/>
  <c r="AH17" i="50" s="1"/>
  <c r="AH18" i="50" s="1"/>
  <c r="AH19" i="50" s="1"/>
  <c r="AH20" i="50" s="1"/>
  <c r="AH21" i="50" s="1"/>
  <c r="AH22" i="50" s="1"/>
  <c r="AH23" i="50" s="1"/>
  <c r="AH24" i="50" s="1"/>
  <c r="AH25" i="50" s="1"/>
  <c r="AH26" i="50" s="1"/>
  <c r="AH27" i="50" s="1"/>
  <c r="AH28" i="50" s="1"/>
  <c r="AH29" i="50" s="1"/>
  <c r="AH30" i="50" s="1"/>
  <c r="AH31" i="50" s="1"/>
  <c r="AH32" i="50" s="1"/>
  <c r="AH33" i="50" s="1"/>
  <c r="AH34" i="50" s="1"/>
  <c r="H46" i="50"/>
  <c r="H51" i="50" s="1"/>
  <c r="H53" i="50" s="1"/>
  <c r="H55" i="50" s="1"/>
  <c r="S5" i="41"/>
  <c r="H5" i="41"/>
  <c r="G5" i="41"/>
  <c r="G14" i="41" s="1"/>
  <c r="U37" i="50"/>
  <c r="J5" i="41"/>
  <c r="P5" i="41"/>
  <c r="R5" i="41"/>
  <c r="V5" i="41" s="1"/>
  <c r="AF13" i="50"/>
  <c r="AF14" i="50" s="1"/>
  <c r="AF15" i="50" s="1"/>
  <c r="AF16" i="50" s="1"/>
  <c r="AF17" i="50" s="1"/>
  <c r="AF18" i="50" s="1"/>
  <c r="AF19" i="50" s="1"/>
  <c r="AF20" i="50" s="1"/>
  <c r="AF21" i="50" s="1"/>
  <c r="AF22" i="50" s="1"/>
  <c r="AF23" i="50" s="1"/>
  <c r="AF24" i="50" s="1"/>
  <c r="AF25" i="50" s="1"/>
  <c r="AF26" i="50" s="1"/>
  <c r="AF27" i="50" s="1"/>
  <c r="AF28" i="50" s="1"/>
  <c r="AF29" i="50" s="1"/>
  <c r="AF30" i="50" s="1"/>
  <c r="AF31" i="50" s="1"/>
  <c r="AF32" i="50" s="1"/>
  <c r="AF33" i="50" s="1"/>
  <c r="AF34" i="50" s="1"/>
  <c r="V37" i="50"/>
  <c r="P37" i="50"/>
  <c r="AC8" i="50"/>
  <c r="AC9" i="50" s="1"/>
  <c r="AC10" i="50" s="1"/>
  <c r="AC11" i="50" s="1"/>
  <c r="AA6" i="50"/>
  <c r="AA7" i="50" s="1"/>
  <c r="AA8" i="50" s="1"/>
  <c r="AA9" i="50" s="1"/>
  <c r="AA10" i="50" s="1"/>
  <c r="AA11" i="50" s="1"/>
  <c r="AA12" i="50" s="1"/>
  <c r="F5" i="41" l="1"/>
  <c r="F14" i="41" s="1"/>
  <c r="AC12" i="50"/>
  <c r="AC13" i="50" s="1"/>
  <c r="AC14" i="50" s="1"/>
  <c r="AC15" i="50" s="1"/>
  <c r="AC16" i="50" s="1"/>
  <c r="AC17" i="50" s="1"/>
  <c r="AC18" i="50" s="1"/>
  <c r="AC19" i="50" s="1"/>
  <c r="AC20" i="50" s="1"/>
  <c r="AC21" i="50" s="1"/>
  <c r="AC22" i="50" s="1"/>
  <c r="AC23" i="50" s="1"/>
  <c r="AC24" i="50" s="1"/>
  <c r="AC25" i="50" s="1"/>
  <c r="AD12" i="50"/>
  <c r="AD13" i="50" s="1"/>
  <c r="AD14" i="50" s="1"/>
  <c r="AD15" i="50" s="1"/>
  <c r="AD16" i="50" s="1"/>
  <c r="AD17" i="50" s="1"/>
  <c r="AD18" i="50" s="1"/>
  <c r="AD19" i="50" s="1"/>
  <c r="AD20" i="50" s="1"/>
  <c r="AD21" i="50" s="1"/>
  <c r="AD22" i="50" s="1"/>
  <c r="AD23" i="50" s="1"/>
  <c r="AD24" i="50" s="1"/>
  <c r="AD25" i="50" s="1"/>
  <c r="AD26" i="50" s="1"/>
  <c r="AD27" i="50" s="1"/>
  <c r="AD28" i="50" s="1"/>
  <c r="AD29" i="50" s="1"/>
  <c r="AD30" i="50" s="1"/>
  <c r="AD31" i="50" s="1"/>
  <c r="AD32" i="50" s="1"/>
  <c r="AD33" i="50" s="1"/>
  <c r="AD34" i="50" s="1"/>
  <c r="U5" i="41"/>
  <c r="U14" i="41" s="1"/>
  <c r="Q5" i="41"/>
  <c r="Q14" i="41" s="1"/>
  <c r="AA13" i="50"/>
  <c r="AA14" i="50" s="1"/>
  <c r="AA15" i="50" s="1"/>
  <c r="AA16" i="50" s="1"/>
  <c r="AA17" i="50" s="1"/>
  <c r="AA18" i="50" s="1"/>
  <c r="AA19" i="50" s="1"/>
  <c r="AA20" i="50" s="1"/>
  <c r="AA21" i="50" s="1"/>
  <c r="AA22" i="50" s="1"/>
  <c r="AA23" i="50" s="1"/>
  <c r="AA24" i="50" s="1"/>
  <c r="AA25" i="50" s="1"/>
  <c r="AA26" i="50" s="1"/>
  <c r="W5" i="41"/>
  <c r="X5" i="41" s="1"/>
  <c r="X14" i="41" s="1"/>
  <c r="I23" i="41" s="1"/>
  <c r="Y5" i="41" l="1"/>
  <c r="C5" i="41" s="1"/>
  <c r="X37" i="50"/>
  <c r="AA27" i="50"/>
  <c r="AA28" i="50" s="1"/>
  <c r="AA29" i="50" s="1"/>
  <c r="AA30" i="50" s="1"/>
  <c r="AA31" i="50" s="1"/>
  <c r="AA32" i="50" s="1"/>
  <c r="AA33" i="50" s="1"/>
  <c r="AA34" i="50" s="1"/>
  <c r="AC26" i="50"/>
  <c r="AC27" i="50" s="1"/>
  <c r="AC28" i="50" s="1"/>
  <c r="AC29" i="50" s="1"/>
  <c r="AC30" i="50" s="1"/>
  <c r="AC31" i="50" s="1"/>
  <c r="AC32" i="50" s="1"/>
  <c r="AC33" i="50" s="1"/>
  <c r="AC34" i="50" s="1"/>
  <c r="K5" i="41" l="1"/>
  <c r="AC5" i="41"/>
  <c r="T5" i="41"/>
  <c r="T14" i="41" s="1"/>
  <c r="I5" i="41"/>
  <c r="AB5" i="41"/>
  <c r="AE14" i="41"/>
  <c r="Z5" i="41" l="1"/>
  <c r="AC14" i="41"/>
  <c r="P14" i="41"/>
  <c r="AA5" i="41" l="1"/>
  <c r="AD5" i="41"/>
  <c r="Z14" i="41"/>
  <c r="D5" i="41"/>
  <c r="R14" i="41" l="1"/>
  <c r="S14" i="41" l="1"/>
  <c r="V14" i="41"/>
  <c r="W14" i="41"/>
  <c r="Y14" i="41" l="1"/>
  <c r="AB14" i="41"/>
  <c r="AA14" i="41" l="1"/>
  <c r="E14" i="41"/>
  <c r="H14" i="41" l="1"/>
  <c r="J14" i="41" l="1"/>
  <c r="I14" i="41" l="1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4" i="15"/>
  <c r="B35" i="15" l="1"/>
  <c r="C35" i="15"/>
  <c r="F8" i="15" l="1"/>
  <c r="F7" i="15" l="1"/>
  <c r="F5" i="15"/>
  <c r="F13" i="15" l="1"/>
  <c r="F26" i="15"/>
  <c r="F4" i="15"/>
  <c r="F24" i="15"/>
  <c r="F20" i="15"/>
  <c r="F19" i="15"/>
  <c r="F6" i="15"/>
  <c r="F33" i="15"/>
  <c r="F32" i="15"/>
  <c r="F31" i="15"/>
  <c r="F30" i="15"/>
  <c r="F29" i="15"/>
  <c r="F27" i="15"/>
  <c r="F25" i="15"/>
  <c r="F23" i="15"/>
  <c r="F22" i="15"/>
  <c r="F21" i="15"/>
  <c r="F18" i="15"/>
  <c r="F17" i="15"/>
  <c r="F15" i="15"/>
  <c r="F12" i="15"/>
  <c r="F11" i="15"/>
  <c r="F10" i="15"/>
  <c r="F9" i="15"/>
  <c r="J7" i="15" l="1"/>
  <c r="F14" i="15"/>
  <c r="F28" i="15"/>
  <c r="J14" i="15"/>
  <c r="F16" i="15"/>
  <c r="AD14" i="41" l="1"/>
  <c r="J23" i="41" s="1"/>
  <c r="E27" i="15"/>
  <c r="G27" i="15"/>
  <c r="E19" i="15"/>
  <c r="G19" i="15"/>
  <c r="E11" i="15"/>
  <c r="G11" i="15"/>
  <c r="E30" i="15"/>
  <c r="G30" i="15"/>
  <c r="E26" i="15"/>
  <c r="G26" i="15"/>
  <c r="E22" i="15"/>
  <c r="G22" i="15"/>
  <c r="E18" i="15"/>
  <c r="G18" i="15"/>
  <c r="E14" i="15"/>
  <c r="G14" i="15"/>
  <c r="E10" i="15"/>
  <c r="G10" i="15"/>
  <c r="E6" i="15"/>
  <c r="G6" i="15"/>
  <c r="E4" i="15"/>
  <c r="G4" i="15"/>
  <c r="E31" i="15"/>
  <c r="G31" i="15"/>
  <c r="E23" i="15"/>
  <c r="G23" i="15"/>
  <c r="E15" i="15"/>
  <c r="G15" i="15"/>
  <c r="E7" i="15"/>
  <c r="G7" i="15"/>
  <c r="E33" i="15"/>
  <c r="G33" i="15"/>
  <c r="E29" i="15"/>
  <c r="G29" i="15"/>
  <c r="E25" i="15"/>
  <c r="G25" i="15"/>
  <c r="E21" i="15"/>
  <c r="G21" i="15"/>
  <c r="E17" i="15"/>
  <c r="G17" i="15"/>
  <c r="E13" i="15"/>
  <c r="G13" i="15"/>
  <c r="E9" i="15"/>
  <c r="G9" i="15"/>
  <c r="E5" i="15"/>
  <c r="G5" i="15"/>
  <c r="E32" i="15"/>
  <c r="G32" i="15"/>
  <c r="E28" i="15"/>
  <c r="G28" i="15"/>
  <c r="E24" i="15"/>
  <c r="G24" i="15"/>
  <c r="E20" i="15"/>
  <c r="G20" i="15"/>
  <c r="E16" i="15"/>
  <c r="G16" i="15"/>
  <c r="E12" i="15"/>
  <c r="G12" i="15"/>
  <c r="E8" i="15"/>
  <c r="G8" i="15"/>
  <c r="J20" i="15"/>
  <c r="J4" i="15"/>
  <c r="J28" i="15"/>
  <c r="J17" i="15"/>
  <c r="J29" i="15"/>
  <c r="J10" i="15"/>
  <c r="J33" i="15"/>
  <c r="J12" i="15"/>
  <c r="J24" i="15"/>
  <c r="J15" i="15"/>
  <c r="J21" i="15"/>
  <c r="J8" i="15"/>
  <c r="J18" i="15" l="1"/>
  <c r="J19" i="15"/>
  <c r="J27" i="15"/>
  <c r="J25" i="15"/>
  <c r="J6" i="15"/>
  <c r="J32" i="15"/>
  <c r="J31" i="15"/>
  <c r="J22" i="15"/>
  <c r="J30" i="15"/>
  <c r="J26" i="15"/>
  <c r="J16" i="15"/>
  <c r="J9" i="15"/>
  <c r="J11" i="15"/>
  <c r="J5" i="15"/>
  <c r="J23" i="15"/>
  <c r="J13" i="15"/>
  <c r="I35" i="15" l="1"/>
  <c r="I42" i="15" s="1"/>
  <c r="C42" i="15"/>
  <c r="E35" i="15"/>
  <c r="E42" i="15" s="1"/>
  <c r="D35" i="15" l="1"/>
  <c r="D42" i="15" s="1"/>
  <c r="G35" i="15"/>
  <c r="G42" i="15" s="1"/>
  <c r="F35" i="15" l="1"/>
  <c r="F42" i="15" s="1"/>
  <c r="J43" i="15" s="1"/>
  <c r="H35" i="15"/>
  <c r="H42" i="15" s="1"/>
  <c r="G8" i="28" l="1"/>
  <c r="B8" i="28" l="1"/>
  <c r="C8" i="28"/>
  <c r="D8" i="28"/>
  <c r="H8" i="28"/>
  <c r="I8" i="28" s="1"/>
  <c r="E8" i="28" l="1"/>
  <c r="J8" i="28"/>
  <c r="K8" i="28" s="1"/>
  <c r="M8" i="28"/>
  <c r="D4" i="27"/>
  <c r="D7" i="28"/>
  <c r="D6" i="28"/>
  <c r="D5" i="28"/>
  <c r="D4" i="28"/>
  <c r="C5" i="28" l="1"/>
  <c r="C6" i="28"/>
  <c r="C7" i="28"/>
  <c r="H5" i="28" l="1"/>
  <c r="H5" i="27"/>
  <c r="B12" i="28" l="1"/>
  <c r="H7" i="28"/>
  <c r="G7" i="28"/>
  <c r="B7" i="28"/>
  <c r="H6" i="28"/>
  <c r="G6" i="28"/>
  <c r="B6" i="28"/>
  <c r="G5" i="28"/>
  <c r="J5" i="28" s="1"/>
  <c r="B5" i="28"/>
  <c r="H4" i="28"/>
  <c r="G4" i="28"/>
  <c r="E4" i="28"/>
  <c r="C4" i="28"/>
  <c r="B4" i="28"/>
  <c r="L3" i="28"/>
  <c r="L8" i="28" s="1"/>
  <c r="F3" i="28"/>
  <c r="F8" i="28" s="1"/>
  <c r="F4" i="28" l="1"/>
  <c r="I5" i="28"/>
  <c r="K5" i="28" s="1"/>
  <c r="L5" i="28" s="1"/>
  <c r="M6" i="28"/>
  <c r="F7" i="28"/>
  <c r="F6" i="28"/>
  <c r="M4" i="28"/>
  <c r="M7" i="28"/>
  <c r="D10" i="28"/>
  <c r="E5" i="28"/>
  <c r="F5" i="28"/>
  <c r="H10" i="28"/>
  <c r="I4" i="28"/>
  <c r="J7" i="28"/>
  <c r="J4" i="28"/>
  <c r="J6" i="28"/>
  <c r="M5" i="28"/>
  <c r="E6" i="28"/>
  <c r="I6" i="28"/>
  <c r="E7" i="28"/>
  <c r="I7" i="28"/>
  <c r="G10" i="28"/>
  <c r="E41" i="15" l="1"/>
  <c r="F10" i="28"/>
  <c r="K7" i="28"/>
  <c r="L7" i="28" s="1"/>
  <c r="K4" i="28"/>
  <c r="L4" i="28" s="1"/>
  <c r="J10" i="28"/>
  <c r="M10" i="28"/>
  <c r="H41" i="15" s="1"/>
  <c r="J41" i="15" s="1"/>
  <c r="E10" i="28"/>
  <c r="I10" i="28"/>
  <c r="K6" i="28"/>
  <c r="L6" i="28" s="1"/>
  <c r="H6" i="27"/>
  <c r="G6" i="27"/>
  <c r="D6" i="27"/>
  <c r="C6" i="27"/>
  <c r="B6" i="27"/>
  <c r="G5" i="27"/>
  <c r="I5" i="27" s="1"/>
  <c r="D5" i="27"/>
  <c r="E5" i="27" s="1"/>
  <c r="C5" i="27"/>
  <c r="B5" i="27"/>
  <c r="B10" i="27"/>
  <c r="H4" i="27"/>
  <c r="G4" i="27"/>
  <c r="C4" i="27"/>
  <c r="B4" i="27"/>
  <c r="L3" i="27"/>
  <c r="F3" i="27"/>
  <c r="D12" i="28" l="1"/>
  <c r="D14" i="28" s="1"/>
  <c r="L10" i="28"/>
  <c r="K10" i="28"/>
  <c r="F41" i="15" s="1"/>
  <c r="M6" i="27"/>
  <c r="F6" i="27"/>
  <c r="J5" i="27"/>
  <c r="K5" i="27" s="1"/>
  <c r="L5" i="27" s="1"/>
  <c r="F5" i="27"/>
  <c r="J6" i="27"/>
  <c r="M5" i="27"/>
  <c r="E6" i="27"/>
  <c r="I6" i="27"/>
  <c r="G8" i="27"/>
  <c r="D8" i="27"/>
  <c r="H8" i="27"/>
  <c r="E4" i="27"/>
  <c r="I4" i="27"/>
  <c r="M4" i="27"/>
  <c r="F4" i="27"/>
  <c r="J4" i="27"/>
  <c r="E40" i="15" l="1"/>
  <c r="K6" i="27"/>
  <c r="L6" i="27" s="1"/>
  <c r="F8" i="27"/>
  <c r="M8" i="27"/>
  <c r="H40" i="15" s="1"/>
  <c r="J40" i="15" s="1"/>
  <c r="J8" i="27"/>
  <c r="I8" i="27"/>
  <c r="K4" i="27"/>
  <c r="E8" i="27"/>
  <c r="E39" i="15" l="1"/>
  <c r="D10" i="27"/>
  <c r="D12" i="27" s="1"/>
  <c r="K8" i="27"/>
  <c r="F40" i="15" s="1"/>
  <c r="L4" i="27"/>
  <c r="L8" i="27" s="1"/>
  <c r="H39" i="15"/>
  <c r="J39" i="15" s="1"/>
  <c r="F39" i="15" l="1"/>
  <c r="H9" i="18" l="1"/>
  <c r="J9" i="18" s="1"/>
  <c r="G9" i="18"/>
  <c r="D9" i="18"/>
  <c r="F9" i="18" s="1"/>
  <c r="C9" i="18"/>
  <c r="B9" i="18"/>
  <c r="H8" i="18"/>
  <c r="G8" i="18"/>
  <c r="D8" i="18"/>
  <c r="E8" i="18" s="1"/>
  <c r="C8" i="18"/>
  <c r="B8" i="18"/>
  <c r="H7" i="18"/>
  <c r="G7" i="18"/>
  <c r="D7" i="18"/>
  <c r="F7" i="18" s="1"/>
  <c r="C7" i="18"/>
  <c r="B7" i="18"/>
  <c r="H6" i="18"/>
  <c r="G6" i="18"/>
  <c r="D6" i="18"/>
  <c r="C6" i="18"/>
  <c r="B6" i="18"/>
  <c r="H5" i="18"/>
  <c r="J5" i="18" s="1"/>
  <c r="G5" i="18"/>
  <c r="D5" i="18"/>
  <c r="F5" i="18" s="1"/>
  <c r="C5" i="18"/>
  <c r="B5" i="18"/>
  <c r="H4" i="18"/>
  <c r="G4" i="18"/>
  <c r="M4" i="18" s="1"/>
  <c r="D4" i="18"/>
  <c r="F4" i="18" s="1"/>
  <c r="C4" i="18"/>
  <c r="B4" i="18"/>
  <c r="N3" i="18"/>
  <c r="L3" i="18"/>
  <c r="M7" i="18" l="1"/>
  <c r="N7" i="18" s="1"/>
  <c r="N4" i="18"/>
  <c r="J8" i="18"/>
  <c r="J7" i="18"/>
  <c r="M9" i="18"/>
  <c r="N9" i="18" s="1"/>
  <c r="M8" i="18"/>
  <c r="N8" i="18" s="1"/>
  <c r="M5" i="18"/>
  <c r="N5" i="18" s="1"/>
  <c r="H11" i="18"/>
  <c r="E4" i="18"/>
  <c r="E5" i="18"/>
  <c r="D11" i="18"/>
  <c r="G11" i="18"/>
  <c r="M6" i="18"/>
  <c r="N6" i="18" s="1"/>
  <c r="I7" i="18"/>
  <c r="E9" i="18"/>
  <c r="I6" i="18"/>
  <c r="J6" i="18"/>
  <c r="F6" i="18"/>
  <c r="I4" i="18"/>
  <c r="I5" i="18"/>
  <c r="K5" i="18" s="1"/>
  <c r="L5" i="18" s="1"/>
  <c r="F8" i="18"/>
  <c r="J4" i="18"/>
  <c r="E6" i="18"/>
  <c r="I8" i="18"/>
  <c r="E7" i="18"/>
  <c r="I9" i="18"/>
  <c r="K9" i="18" s="1"/>
  <c r="L9" i="18" s="1"/>
  <c r="N11" i="18" l="1"/>
  <c r="D15" i="18" s="1"/>
  <c r="K7" i="18"/>
  <c r="L7" i="18" s="1"/>
  <c r="K8" i="18"/>
  <c r="L8" i="18" s="1"/>
  <c r="M11" i="18"/>
  <c r="F11" i="18"/>
  <c r="D13" i="18" s="1"/>
  <c r="E11" i="18"/>
  <c r="J11" i="18"/>
  <c r="K6" i="18"/>
  <c r="L6" i="18" s="1"/>
  <c r="I11" i="18"/>
  <c r="K4" i="18"/>
  <c r="K11" i="18" l="1"/>
  <c r="L4" i="18"/>
  <c r="L11" i="18" s="1"/>
  <c r="D14" i="18" l="1"/>
  <c r="D16" i="18" s="1"/>
  <c r="J35" i="15" l="1"/>
  <c r="J42" i="15" l="1"/>
  <c r="J44" i="15" s="1"/>
  <c r="D44" i="13"/>
  <c r="N2" i="13"/>
  <c r="L2" i="13"/>
  <c r="E44" i="13" l="1"/>
  <c r="D46" i="13" s="1"/>
  <c r="J44" i="13"/>
  <c r="H44" i="13"/>
  <c r="F44" i="13"/>
  <c r="M44" i="13"/>
  <c r="I44" i="13"/>
  <c r="G44" i="13"/>
  <c r="N44" i="13" l="1"/>
  <c r="D48" i="13" s="1"/>
  <c r="L44" i="13"/>
  <c r="D47" i="13" s="1"/>
  <c r="D49" i="13" l="1"/>
  <c r="K44" i="13"/>
  <c r="F16" i="1" l="1"/>
  <c r="H4" i="1"/>
  <c r="H5" i="1"/>
  <c r="H6" i="1"/>
  <c r="H7" i="1"/>
  <c r="H8" i="1"/>
  <c r="H9" i="1"/>
  <c r="H10" i="1"/>
  <c r="H11" i="1"/>
  <c r="H12" i="1"/>
  <c r="H13" i="1"/>
  <c r="H14" i="1"/>
  <c r="H15" i="1"/>
  <c r="H3" i="1"/>
  <c r="E16" i="1"/>
  <c r="D16" i="1"/>
  <c r="B18" i="1" s="1"/>
  <c r="B20" i="1" s="1"/>
  <c r="E18" i="1" l="1"/>
  <c r="E20" i="1" s="1"/>
  <c r="E22" i="1" s="1"/>
  <c r="H16" i="1"/>
  <c r="H18" i="1" s="1"/>
  <c r="H20" i="1" l="1"/>
  <c r="H22" i="1" s="1"/>
  <c r="B22" i="1" s="1"/>
  <c r="I28" i="41"/>
  <c r="I24" i="41" s="1"/>
  <c r="J27" i="41"/>
  <c r="J28" i="41" s="1"/>
  <c r="J24" i="41" s="1"/>
  <c r="I37" i="62"/>
  <c r="AB12" i="62"/>
  <c r="AB13" i="62" l="1"/>
  <c r="AB14" i="62" s="1"/>
  <c r="AB15" i="62" s="1"/>
  <c r="AB16" i="62" s="1"/>
  <c r="M12" i="62"/>
  <c r="L8" i="41" s="1"/>
  <c r="N8" i="41" s="1"/>
  <c r="AB17" i="62" l="1"/>
  <c r="AB18" i="62" s="1"/>
  <c r="AB19" i="62" s="1"/>
  <c r="AB20" i="62" s="1"/>
  <c r="AB21" i="62" s="1"/>
  <c r="AB22" i="62" s="1"/>
  <c r="AB23" i="62" s="1"/>
  <c r="AB24" i="62" s="1"/>
  <c r="AB25" i="62" s="1"/>
  <c r="AB26" i="62" s="1"/>
  <c r="AB27" i="62" s="1"/>
  <c r="AB28" i="62" s="1"/>
  <c r="AB29" i="62" s="1"/>
  <c r="AB30" i="62" s="1"/>
  <c r="AB31" i="62" s="1"/>
  <c r="AB32" i="62" s="1"/>
  <c r="AB33" i="62" s="1"/>
  <c r="L14" i="41"/>
  <c r="O12" i="62"/>
  <c r="O37" i="62" s="1"/>
  <c r="M37" i="62"/>
  <c r="H41" i="62" s="1"/>
  <c r="H42" i="62" s="1"/>
  <c r="H53" i="62" s="1"/>
  <c r="H56" i="62" s="1"/>
  <c r="AE12" i="62"/>
  <c r="N12" i="62"/>
  <c r="K8" i="41" l="1"/>
  <c r="K14" i="41" s="1"/>
  <c r="AE13" i="62"/>
  <c r="AE14" i="62" s="1"/>
  <c r="C8" i="41"/>
  <c r="C14" i="41" s="1"/>
  <c r="N14" i="41"/>
  <c r="I19" i="41" s="1"/>
  <c r="J19" i="41" s="1"/>
  <c r="X12" i="62"/>
  <c r="X37" i="62" s="1"/>
  <c r="N37" i="62"/>
  <c r="AE15" i="62" l="1"/>
  <c r="AE16" i="62" s="1"/>
  <c r="AE17" i="62" s="1"/>
  <c r="AE18" i="62" s="1"/>
  <c r="AE19" i="62" s="1"/>
  <c r="AE20" i="62" s="1"/>
  <c r="AE21" i="62" s="1"/>
  <c r="AE22" i="62" s="1"/>
  <c r="AE23" i="62" s="1"/>
  <c r="AE24" i="62" s="1"/>
  <c r="AE25" i="62" s="1"/>
  <c r="AE26" i="62" s="1"/>
  <c r="AE27" i="62" s="1"/>
  <c r="AE28" i="62" s="1"/>
  <c r="AE29" i="62" s="1"/>
  <c r="AE30" i="62" s="1"/>
  <c r="AE31" i="62" s="1"/>
  <c r="AE32" i="62" s="1"/>
  <c r="AE33" i="62" s="1"/>
  <c r="I22" i="41"/>
  <c r="I25" i="41" s="1"/>
  <c r="M8" i="41" l="1"/>
  <c r="O8" i="41" s="1"/>
  <c r="O14" i="41" s="1"/>
  <c r="J22" i="41" s="1"/>
  <c r="J25" i="41" s="1"/>
  <c r="I18" i="41"/>
  <c r="J18" i="41" s="1"/>
  <c r="D8" i="41" l="1"/>
  <c r="D14" i="41" s="1"/>
  <c r="M14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Ivy Cage</author>
  </authors>
  <commentList>
    <comment ref="B1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Ivy Cage:</t>
        </r>
        <r>
          <rPr>
            <sz val="9"/>
            <color indexed="81"/>
            <rFont val="Tahoma"/>
            <family val="2"/>
          </rPr>
          <t xml:space="preserve">
The agent bears the commission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Yong</author>
  </authors>
  <commentList>
    <comment ref="O3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Steven Yong:</t>
        </r>
        <r>
          <rPr>
            <sz val="9"/>
            <color indexed="81"/>
            <rFont val="Tahoma"/>
            <family val="2"/>
          </rPr>
          <t xml:space="preserve">
JV % for Agent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Yong</author>
  </authors>
  <commentList>
    <comment ref="O3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Steven Yong:</t>
        </r>
        <r>
          <rPr>
            <sz val="9"/>
            <color indexed="81"/>
            <rFont val="Tahoma"/>
            <family val="2"/>
          </rPr>
          <t xml:space="preserve">
JV % for Agent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Yong</author>
  </authors>
  <commentList>
    <comment ref="O3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Steven Yong:</t>
        </r>
        <r>
          <rPr>
            <sz val="9"/>
            <color indexed="81"/>
            <rFont val="Tahoma"/>
            <family val="2"/>
          </rPr>
          <t xml:space="preserve">
JV % for Agent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Yong</author>
  </authors>
  <commentList>
    <comment ref="O3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Steven Yong:</t>
        </r>
        <r>
          <rPr>
            <sz val="9"/>
            <color indexed="81"/>
            <rFont val="Tahoma"/>
            <family val="2"/>
          </rPr>
          <t xml:space="preserve">
JV % for Agent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Yong</author>
  </authors>
  <commentList>
    <comment ref="N3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Steven Yong:</t>
        </r>
        <r>
          <rPr>
            <sz val="9"/>
            <color indexed="81"/>
            <rFont val="Tahoma"/>
            <family val="2"/>
          </rPr>
          <t xml:space="preserve">
JV % for Agent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Yong</author>
  </authors>
  <commentList>
    <comment ref="O3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Steven Yong:</t>
        </r>
        <r>
          <rPr>
            <sz val="9"/>
            <color indexed="81"/>
            <rFont val="Tahoma"/>
            <family val="2"/>
          </rPr>
          <t xml:space="preserve">
JV % for Agent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Yong</author>
  </authors>
  <commentList>
    <comment ref="O3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Steven Yong:</t>
        </r>
        <r>
          <rPr>
            <sz val="9"/>
            <color indexed="81"/>
            <rFont val="Tahoma"/>
            <family val="2"/>
          </rPr>
          <t xml:space="preserve">
JV % for Agent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Yong</author>
  </authors>
  <commentList>
    <comment ref="O3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Steven Yong:</t>
        </r>
        <r>
          <rPr>
            <sz val="9"/>
            <color indexed="81"/>
            <rFont val="Tahoma"/>
            <family val="2"/>
          </rPr>
          <t xml:space="preserve">
JV % for Agent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Yong</author>
    <author>Ivy Cage</author>
  </authors>
  <commentList>
    <comment ref="E3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Steven Yong:</t>
        </r>
        <r>
          <rPr>
            <sz val="9"/>
            <color indexed="81"/>
            <rFont val="Tahoma"/>
            <family val="2"/>
          </rPr>
          <t xml:space="preserve">
JV % for Agent</t>
        </r>
      </text>
    </comment>
    <comment ref="F3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Steven Yong:</t>
        </r>
        <r>
          <rPr>
            <sz val="9"/>
            <color indexed="81"/>
            <rFont val="Tahoma"/>
            <family val="2"/>
          </rPr>
          <t xml:space="preserve">
JV % for Casino</t>
        </r>
      </text>
    </comment>
    <comment ref="I3" authorId="0" shapeId="0" xr:uid="{00000000-0006-0000-1400-000003000000}">
      <text>
        <r>
          <rPr>
            <b/>
            <sz val="9"/>
            <color indexed="81"/>
            <rFont val="Tahoma"/>
            <family val="2"/>
          </rPr>
          <t>Steven Yong:</t>
        </r>
        <r>
          <rPr>
            <sz val="9"/>
            <color indexed="81"/>
            <rFont val="Tahoma"/>
            <family val="2"/>
          </rPr>
          <t xml:space="preserve">
Monthly Settlement</t>
        </r>
      </text>
    </comment>
    <comment ref="J3" authorId="0" shapeId="0" xr:uid="{00000000-0006-0000-1400-000004000000}">
      <text>
        <r>
          <rPr>
            <b/>
            <sz val="9"/>
            <color indexed="81"/>
            <rFont val="Tahoma"/>
            <family val="2"/>
          </rPr>
          <t>Steven Yong:</t>
        </r>
        <r>
          <rPr>
            <sz val="9"/>
            <color indexed="81"/>
            <rFont val="Tahoma"/>
            <family val="2"/>
          </rPr>
          <t xml:space="preserve">
Daily Setlement</t>
        </r>
      </text>
    </comment>
    <comment ref="L3" authorId="1" shapeId="0" xr:uid="{00000000-0006-0000-1400-000005000000}">
      <text>
        <r>
          <rPr>
            <b/>
            <sz val="9"/>
            <color indexed="81"/>
            <rFont val="Tahoma"/>
            <family val="2"/>
          </rPr>
          <t>Ivy Cage:</t>
        </r>
        <r>
          <rPr>
            <sz val="9"/>
            <color indexed="81"/>
            <rFont val="Tahoma"/>
            <family val="2"/>
          </rPr>
          <t xml:space="preserve">
Casino advance pay commission</t>
        </r>
      </text>
    </comment>
    <comment ref="M3" authorId="1" shapeId="0" xr:uid="{00000000-0006-0000-1400-000006000000}">
      <text>
        <r>
          <rPr>
            <b/>
            <sz val="9"/>
            <color indexed="81"/>
            <rFont val="Tahoma"/>
            <family val="2"/>
          </rPr>
          <t>Ivy Cage:</t>
        </r>
        <r>
          <rPr>
            <sz val="9"/>
            <color indexed="81"/>
            <rFont val="Tahoma"/>
            <family val="2"/>
          </rPr>
          <t xml:space="preserve">
Return Agent 0.1%</t>
        </r>
      </text>
    </comment>
    <comment ref="A4" authorId="1" shapeId="0" xr:uid="{00000000-0006-0000-1400-000007000000}">
      <text>
        <r>
          <rPr>
            <b/>
            <sz val="9"/>
            <color indexed="81"/>
            <rFont val="Tahoma"/>
            <family val="2"/>
          </rPr>
          <t>Ivy Cage:</t>
        </r>
        <r>
          <rPr>
            <sz val="9"/>
            <color indexed="81"/>
            <rFont val="Tahoma"/>
            <family val="2"/>
          </rPr>
          <t xml:space="preserve">
mix AB figure
</t>
        </r>
      </text>
    </comment>
    <comment ref="A7" authorId="1" shapeId="0" xr:uid="{00000000-0006-0000-1400-000008000000}">
      <text>
        <r>
          <rPr>
            <b/>
            <sz val="9"/>
            <color indexed="81"/>
            <rFont val="Tahoma"/>
            <family val="2"/>
          </rPr>
          <t>Ivy Cage:</t>
        </r>
        <r>
          <rPr>
            <sz val="9"/>
            <color indexed="81"/>
            <rFont val="Tahoma"/>
            <family val="2"/>
          </rPr>
          <t xml:space="preserve">
Mix A B figure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Yong</author>
    <author>Ivy Cage</author>
  </authors>
  <commentList>
    <comment ref="E3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Steven Yong:</t>
        </r>
        <r>
          <rPr>
            <sz val="9"/>
            <color indexed="81"/>
            <rFont val="Tahoma"/>
            <family val="2"/>
          </rPr>
          <t xml:space="preserve">
JV % for Agent</t>
        </r>
      </text>
    </comment>
    <comment ref="F3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Steven Yong:</t>
        </r>
        <r>
          <rPr>
            <sz val="9"/>
            <color indexed="81"/>
            <rFont val="Tahoma"/>
            <family val="2"/>
          </rPr>
          <t xml:space="preserve">
JV % for Casino</t>
        </r>
      </text>
    </comment>
    <comment ref="I3" authorId="0" shapeId="0" xr:uid="{00000000-0006-0000-1500-000003000000}">
      <text>
        <r>
          <rPr>
            <b/>
            <sz val="9"/>
            <color indexed="81"/>
            <rFont val="Tahoma"/>
            <family val="2"/>
          </rPr>
          <t>Steven Yong:</t>
        </r>
        <r>
          <rPr>
            <sz val="9"/>
            <color indexed="81"/>
            <rFont val="Tahoma"/>
            <family val="2"/>
          </rPr>
          <t xml:space="preserve">
Monthly Settlement</t>
        </r>
      </text>
    </comment>
    <comment ref="J3" authorId="0" shapeId="0" xr:uid="{00000000-0006-0000-1500-000004000000}">
      <text>
        <r>
          <rPr>
            <b/>
            <sz val="9"/>
            <color indexed="81"/>
            <rFont val="Tahoma"/>
            <family val="2"/>
          </rPr>
          <t>Steven Yong:</t>
        </r>
        <r>
          <rPr>
            <sz val="9"/>
            <color indexed="81"/>
            <rFont val="Tahoma"/>
            <family val="2"/>
          </rPr>
          <t xml:space="preserve">
Daily Setlement</t>
        </r>
      </text>
    </comment>
    <comment ref="L3" authorId="1" shapeId="0" xr:uid="{00000000-0006-0000-1500-000005000000}">
      <text>
        <r>
          <rPr>
            <b/>
            <sz val="9"/>
            <color indexed="81"/>
            <rFont val="Tahoma"/>
            <family val="2"/>
          </rPr>
          <t>Ivy Cage:</t>
        </r>
        <r>
          <rPr>
            <sz val="9"/>
            <color indexed="81"/>
            <rFont val="Tahoma"/>
            <family val="2"/>
          </rPr>
          <t xml:space="preserve">
Casino advance pay commission</t>
        </r>
      </text>
    </comment>
    <comment ref="M3" authorId="1" shapeId="0" xr:uid="{00000000-0006-0000-1500-000006000000}">
      <text>
        <r>
          <rPr>
            <b/>
            <sz val="9"/>
            <color indexed="81"/>
            <rFont val="Tahoma"/>
            <family val="2"/>
          </rPr>
          <t>Ivy Cage:</t>
        </r>
        <r>
          <rPr>
            <sz val="9"/>
            <color indexed="81"/>
            <rFont val="Tahoma"/>
            <family val="2"/>
          </rPr>
          <t xml:space="preserve">
Return Agent 0.1%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Cage VIP 01</author>
    <author>Cage VIP 02</author>
  </authors>
  <commentList>
    <comment ref="E6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Limit Marker Chip B 800k &amp;  Limit Cash Marker 100k.
</t>
        </r>
      </text>
    </comment>
    <comment ref="E9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Cage VIP 02:</t>
        </r>
        <r>
          <rPr>
            <sz val="9"/>
            <color indexed="81"/>
            <rFont val="Tahoma"/>
            <family val="2"/>
          </rPr>
          <t xml:space="preserve">
SHARE WITH DH
</t>
        </r>
      </text>
    </comment>
    <comment ref="E13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Cage VIP 02:</t>
        </r>
        <r>
          <rPr>
            <sz val="9"/>
            <color indexed="81"/>
            <rFont val="Tahoma"/>
            <family val="2"/>
          </rPr>
          <t xml:space="preserve">
SHARE WITH QI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Yong</author>
  </authors>
  <commentList>
    <comment ref="O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Steven Yong:</t>
        </r>
        <r>
          <rPr>
            <sz val="9"/>
            <color indexed="81"/>
            <rFont val="Tahoma"/>
            <family val="2"/>
          </rPr>
          <t xml:space="preserve">
JV % for Agent</t>
        </r>
      </text>
    </comment>
    <comment ref="P3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Steven Yong:</t>
        </r>
        <r>
          <rPr>
            <sz val="9"/>
            <color indexed="81"/>
            <rFont val="Tahoma"/>
            <family val="2"/>
          </rPr>
          <t xml:space="preserve">
JV % for Casino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Yong</author>
  </authors>
  <commentList>
    <comment ref="O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Steven Yong:</t>
        </r>
        <r>
          <rPr>
            <sz val="9"/>
            <color indexed="81"/>
            <rFont val="Tahoma"/>
            <family val="2"/>
          </rPr>
          <t xml:space="preserve">
JV % for Agent</t>
        </r>
      </text>
    </comment>
    <comment ref="P3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Steven Yong:</t>
        </r>
        <r>
          <rPr>
            <sz val="9"/>
            <color indexed="81"/>
            <rFont val="Tahoma"/>
            <family val="2"/>
          </rPr>
          <t xml:space="preserve">
JV % for Casino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Yong</author>
    <author>Cage VIP 02</author>
    <author>LGN CAGE02</author>
  </authors>
  <commentList>
    <comment ref="O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Steven Yong:</t>
        </r>
        <r>
          <rPr>
            <sz val="9"/>
            <color indexed="81"/>
            <rFont val="Tahoma"/>
            <family val="2"/>
          </rPr>
          <t xml:space="preserve">
JV % for Agent</t>
        </r>
      </text>
    </comment>
    <comment ref="P3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Steven Yong:</t>
        </r>
        <r>
          <rPr>
            <sz val="9"/>
            <color indexed="81"/>
            <rFont val="Tahoma"/>
            <family val="2"/>
          </rPr>
          <t xml:space="preserve">
JV % for Casino</t>
        </r>
      </text>
    </comment>
    <comment ref="I5" authorId="1" shapeId="0" xr:uid="{00000000-0006-0000-0700-000003000000}">
      <text>
        <r>
          <rPr>
            <b/>
            <sz val="14"/>
            <color indexed="81"/>
            <rFont val="Tahoma"/>
            <family val="2"/>
          </rPr>
          <t>GZEND 32927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S7" authorId="2" shapeId="0" xr:uid="{00000000-0006-0000-0700-000004000000}">
      <text>
        <r>
          <rPr>
            <b/>
            <sz val="9"/>
            <color indexed="81"/>
            <rFont val="Tahoma"/>
            <family val="2"/>
          </rPr>
          <t>LGN CAGE02:</t>
        </r>
        <r>
          <rPr>
            <sz val="9"/>
            <color indexed="81"/>
            <rFont val="Tahoma"/>
            <family val="2"/>
          </rPr>
          <t xml:space="preserve">
CANCEL SETTLEMENT AMOUNT 39 396
CUSTOMER ID KK 12906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Yong</author>
  </authors>
  <commentList>
    <comment ref="L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Steven Yong:</t>
        </r>
        <r>
          <rPr>
            <sz val="9"/>
            <color indexed="81"/>
            <rFont val="Tahoma"/>
            <family val="2"/>
          </rPr>
          <t xml:space="preserve">
JV % for Agent</t>
        </r>
      </text>
    </comment>
    <comment ref="M3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Steven Yong:</t>
        </r>
        <r>
          <rPr>
            <sz val="9"/>
            <color indexed="81"/>
            <rFont val="Tahoma"/>
            <family val="2"/>
          </rPr>
          <t xml:space="preserve">
JV % for Casino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Yong</author>
    <author>Ivy Cage</author>
  </authors>
  <commentList>
    <comment ref="O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Steven Yong:</t>
        </r>
        <r>
          <rPr>
            <sz val="9"/>
            <color indexed="81"/>
            <rFont val="Tahoma"/>
            <family val="2"/>
          </rPr>
          <t xml:space="preserve">
JV % for Agent</t>
        </r>
      </text>
    </comment>
    <comment ref="P3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Steven Yong:</t>
        </r>
        <r>
          <rPr>
            <sz val="9"/>
            <color indexed="81"/>
            <rFont val="Tahoma"/>
            <family val="2"/>
          </rPr>
          <t xml:space="preserve">
JV % for Casino</t>
        </r>
      </text>
    </comment>
    <comment ref="C7" authorId="1" shapeId="0" xr:uid="{00000000-0006-0000-0900-000003000000}">
      <text>
        <r>
          <rPr>
            <b/>
            <sz val="9"/>
            <color indexed="81"/>
            <rFont val="Tahoma"/>
            <family val="2"/>
          </rPr>
          <t xml:space="preserve">Settlement on jan 2022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Yong</author>
    <author>LGN CAGE02</author>
  </authors>
  <commentList>
    <comment ref="N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Steven Yong:</t>
        </r>
        <r>
          <rPr>
            <sz val="9"/>
            <color indexed="81"/>
            <rFont val="Tahoma"/>
            <family val="2"/>
          </rPr>
          <t xml:space="preserve">
JV % for Agent</t>
        </r>
      </text>
    </comment>
    <comment ref="O3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Steven Yong:</t>
        </r>
        <r>
          <rPr>
            <sz val="9"/>
            <color indexed="81"/>
            <rFont val="Tahoma"/>
            <family val="2"/>
          </rPr>
          <t xml:space="preserve">
JV % for Casino</t>
        </r>
      </text>
    </comment>
    <comment ref="J16" authorId="1" shapeId="0" xr:uid="{00000000-0006-0000-0A00-000003000000}">
      <text>
        <r>
          <rPr>
            <b/>
            <sz val="16"/>
            <color indexed="81"/>
            <rFont val="Tahoma"/>
            <family val="2"/>
          </rPr>
          <t xml:space="preserve">GAMING TIPS 
ALEX 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Yong</author>
    <author>Cage VIP 02</author>
  </authors>
  <commentList>
    <comment ref="O3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Steven Yong:</t>
        </r>
        <r>
          <rPr>
            <sz val="9"/>
            <color indexed="81"/>
            <rFont val="Tahoma"/>
            <family val="2"/>
          </rPr>
          <t xml:space="preserve">
JV % for Agent</t>
        </r>
      </text>
    </comment>
    <comment ref="C5" authorId="1" shapeId="0" xr:uid="{00000000-0006-0000-0B00-000002000000}">
      <text>
        <r>
          <rPr>
            <sz val="16"/>
            <color indexed="81"/>
            <rFont val="Tahoma"/>
            <family val="2"/>
          </rPr>
          <t xml:space="preserve">1月份月结清
January Settlement Clear 
</t>
        </r>
      </text>
    </comment>
  </commentList>
</comments>
</file>

<file path=xl/sharedStrings.xml><?xml version="1.0" encoding="utf-8"?>
<sst xmlns="http://schemas.openxmlformats.org/spreadsheetml/2006/main" count="1088" uniqueCount="246">
  <si>
    <t>Casino Management System</t>
  </si>
  <si>
    <t>GZend ID</t>
  </si>
  <si>
    <t>LH10788</t>
  </si>
  <si>
    <t>ZHANG MIN (张民)</t>
  </si>
  <si>
    <t>LH11153</t>
  </si>
  <si>
    <t>GONG LEI (宫雷)</t>
  </si>
  <si>
    <t>LH10047</t>
  </si>
  <si>
    <t>TANMEEWAH</t>
  </si>
  <si>
    <t>LH10048</t>
  </si>
  <si>
    <t>YANG YUN (杨韵)</t>
  </si>
  <si>
    <t>LH1001</t>
  </si>
  <si>
    <t>LH1001 (LH1001)</t>
  </si>
  <si>
    <t>LH1002</t>
  </si>
  <si>
    <t>LH1002 (LH1002)</t>
  </si>
  <si>
    <t>LH1003</t>
  </si>
  <si>
    <t>LH1003 (LH1003)</t>
  </si>
  <si>
    <t>LH1004</t>
  </si>
  <si>
    <t>LH1004 (LH1004)</t>
  </si>
  <si>
    <t>LH1005</t>
  </si>
  <si>
    <t>LH1005 (LH1005)</t>
  </si>
  <si>
    <t>LH1010</t>
  </si>
  <si>
    <t>LAI ZUYING (赖祖应)</t>
  </si>
  <si>
    <t>LH1011</t>
  </si>
  <si>
    <t>LH1011 (LH1011)</t>
  </si>
  <si>
    <t>LH1012</t>
  </si>
  <si>
    <t>LH1012 (LH1012)</t>
  </si>
  <si>
    <t>LH1013</t>
  </si>
  <si>
    <t>LH1013 (LH1013)</t>
  </si>
  <si>
    <t>佣金率</t>
  </si>
  <si>
    <t>已结转码</t>
  </si>
  <si>
    <t>未结转码</t>
  </si>
  <si>
    <t>总输赢</t>
  </si>
  <si>
    <t>名字</t>
  </si>
  <si>
    <t>会员卡号</t>
  </si>
  <si>
    <t>总转码</t>
  </si>
  <si>
    <t>代理返点佣金</t>
  </si>
  <si>
    <t>占成结算</t>
  </si>
  <si>
    <t>代理实际返点佣金</t>
  </si>
  <si>
    <t>代理返点</t>
  </si>
  <si>
    <t>佣金总和</t>
  </si>
  <si>
    <t>占成</t>
  </si>
  <si>
    <t>应付佣金</t>
  </si>
  <si>
    <t>代理实际应付佣金</t>
  </si>
  <si>
    <t>10月实际交收数</t>
  </si>
  <si>
    <t>佣金</t>
  </si>
  <si>
    <t>代理确认签字：</t>
  </si>
  <si>
    <t>账房签字：</t>
  </si>
  <si>
    <t>日期：</t>
  </si>
  <si>
    <t>总佣金</t>
  </si>
  <si>
    <t>总输赢 30%</t>
  </si>
  <si>
    <t>代理0.3%占3成</t>
  </si>
  <si>
    <t>代理总和盈亏</t>
  </si>
  <si>
    <t>名字/NAME</t>
  </si>
  <si>
    <t>会员卡号      MEMBER ID</t>
  </si>
  <si>
    <t>总输赢               TOTAL WINLOSS</t>
  </si>
  <si>
    <t>未结转码          TOTAL ROLLING</t>
  </si>
  <si>
    <t>已结转码       TOTAL SETTLE</t>
  </si>
  <si>
    <t>总佣金     TOTAL COMM</t>
  </si>
  <si>
    <t>汇总</t>
  </si>
  <si>
    <t>LG龙哥（0.3%）</t>
  </si>
  <si>
    <t>姓名/NAME</t>
  </si>
  <si>
    <t>合计</t>
  </si>
  <si>
    <t>GZend ID/矩阵号</t>
  </si>
  <si>
    <t>Prepared by</t>
  </si>
  <si>
    <t>Acknowledged By</t>
  </si>
  <si>
    <t>Assistance Cage Manager</t>
  </si>
  <si>
    <t>Vice President:</t>
  </si>
  <si>
    <t>Total win/oss 总输赢 30%</t>
  </si>
  <si>
    <t>Agent JV for 30% 代理0.3%占3成</t>
  </si>
  <si>
    <t>Total profit and loss of agency代理总和盈亏</t>
  </si>
  <si>
    <t>MK2  ---  返佣0.1%</t>
  </si>
  <si>
    <t>未结转码          
TOTAL ROLLING</t>
  </si>
  <si>
    <t>已结转码
ROLLING SETTLED</t>
  </si>
  <si>
    <t>客人总输赢
PLAYER WINLOSS</t>
  </si>
  <si>
    <t>矩阵号
GZEND ID</t>
  </si>
  <si>
    <t>会员卡号
MEMBER ID</t>
  </si>
  <si>
    <t>名字
NAME</t>
  </si>
  <si>
    <t>代理总和盈亏
AGENT TOTAL WINLOSS</t>
  </si>
  <si>
    <t>总转码
TOTAL ROLLING</t>
  </si>
  <si>
    <t>总佣金
TOTAL COMM</t>
  </si>
  <si>
    <r>
      <t>代理占成输赢
AGENT JV</t>
    </r>
    <r>
      <rPr>
        <sz val="11"/>
        <rFont val="Calibri"/>
        <family val="2"/>
      </rPr>
      <t xml:space="preserve"> WIN/LOSS</t>
    </r>
  </si>
  <si>
    <t>代理承担佣金
COMM BEAR BY AGENT</t>
  </si>
  <si>
    <t>返代理0.3%
RETURN AGENT 0.3%</t>
  </si>
  <si>
    <t>代理回退项目
AGENT RETURN</t>
  </si>
  <si>
    <t>AGENT TOTAL WINLOSS 代理总和盈亏</t>
  </si>
  <si>
    <t>MKMK</t>
  </si>
  <si>
    <t>外联 （0.1%）</t>
  </si>
  <si>
    <t>外联  ---  返佣0.1%</t>
  </si>
  <si>
    <t>LGLG</t>
  </si>
  <si>
    <t>返代理
RETURN AGENT</t>
  </si>
  <si>
    <t>LHLH</t>
  </si>
  <si>
    <r>
      <rPr>
        <b/>
        <sz val="14"/>
        <rFont val="MingLiU"/>
        <family val="3"/>
        <charset val="136"/>
      </rPr>
      <t>张利红</t>
    </r>
    <r>
      <rPr>
        <b/>
        <sz val="14"/>
        <rFont val="Calibri"/>
        <family val="2"/>
      </rPr>
      <t xml:space="preserve">  ---  </t>
    </r>
    <r>
      <rPr>
        <b/>
        <sz val="14"/>
        <rFont val="MingLiU"/>
        <family val="3"/>
        <charset val="136"/>
      </rPr>
      <t>返佣</t>
    </r>
    <r>
      <rPr>
        <b/>
        <sz val="14"/>
        <rFont val="Calibri"/>
        <family val="2"/>
      </rPr>
      <t>0.3%</t>
    </r>
  </si>
  <si>
    <t>张利红 ( 0.3% )</t>
  </si>
  <si>
    <t>MONTHLY JV SETTLEMENT ON SEPTEMBER-2021</t>
  </si>
  <si>
    <t>Date.</t>
  </si>
  <si>
    <t>CASH OUT</t>
  </si>
  <si>
    <t>Total Agent JV</t>
  </si>
  <si>
    <t>总佣金 TOTAL COMM 100%</t>
  </si>
  <si>
    <t>未结转码          
Early Paid ROLLING</t>
  </si>
  <si>
    <t>TOTAL:</t>
  </si>
  <si>
    <t>Commission 100% for Customer:</t>
  </si>
  <si>
    <t>Total Settlement:</t>
  </si>
  <si>
    <t>客人总输赢
PLAYER WIN/LOSS</t>
  </si>
  <si>
    <t>PZ余佩志 50%</t>
  </si>
  <si>
    <t>代理承担佣金
DAILY COMM BEAR BY AGENT</t>
  </si>
  <si>
    <t>代理承担佣金
MTD COMM BEAR BY AGENT</t>
  </si>
  <si>
    <t>MK</t>
  </si>
  <si>
    <t>ROLLING</t>
  </si>
  <si>
    <t>COMM</t>
  </si>
  <si>
    <t>W/L</t>
  </si>
  <si>
    <t>MTD JV</t>
  </si>
  <si>
    <t>退现(日)            DAILY CASH-OUT</t>
  </si>
  <si>
    <t>退现(月)             MTD CASH-OUT</t>
  </si>
  <si>
    <t>代理                  AGENT.</t>
  </si>
  <si>
    <t>批额                   Marker Limit</t>
  </si>
  <si>
    <t>代理客人输赢(月)
MTD AGENT'S PLAYER WIN/LOSS</t>
  </si>
  <si>
    <t>信贷(日)             DAILY MARKER ISSUED</t>
  </si>
  <si>
    <t>还信贷(日)                    DAILY REDEEMED MARKER</t>
  </si>
  <si>
    <t>代理占成输赢(月)
AGENT JV MTD WIN/LOSS</t>
  </si>
  <si>
    <t>转码(日)
DAILY ROLLING TURNOVER</t>
  </si>
  <si>
    <t>Remaining</t>
  </si>
  <si>
    <t>Outstanding marker from previous month</t>
  </si>
  <si>
    <t>代理占成输赢(日)
DAILY AGENT JV WIN/LOSS</t>
  </si>
  <si>
    <t>代理客人输赢(日)
DAILY AGENT'S PLAYER WIN/LOSS</t>
  </si>
  <si>
    <t>Expenses Point</t>
  </si>
  <si>
    <t>已结转码 1.7%
Early Paid Comm</t>
  </si>
  <si>
    <t xml:space="preserve">Daily                        日 </t>
  </si>
  <si>
    <t>MTD                                 月</t>
  </si>
  <si>
    <t xml:space="preserve">Total A+B      </t>
  </si>
  <si>
    <t>Agent W/L</t>
  </si>
  <si>
    <t>Net W/L</t>
  </si>
  <si>
    <t>Rolling</t>
  </si>
  <si>
    <t>Total Comm</t>
  </si>
  <si>
    <t>A数利润100%</t>
  </si>
  <si>
    <t>B数利润占成</t>
  </si>
  <si>
    <t>A+B利润</t>
  </si>
  <si>
    <t>代理利润</t>
  </si>
  <si>
    <t>付代理佣金</t>
  </si>
  <si>
    <t>付客人佣金</t>
  </si>
  <si>
    <t>大厅毛利润</t>
  </si>
  <si>
    <t>转吗额</t>
  </si>
  <si>
    <t>未结转码 1.7%          
DAILY Rolling AMOUNT</t>
  </si>
  <si>
    <t>未结转码 1.7%      
UNREDEEMED Rolling</t>
  </si>
  <si>
    <t>UNREDEEMED COMM 1.7%</t>
  </si>
  <si>
    <t>总佣金 COMM BEAR BY AGENT 50%</t>
  </si>
  <si>
    <t>总佣金 COMM BEAR BY HOUSE 50%</t>
  </si>
  <si>
    <t>KK欧坤 50%</t>
  </si>
  <si>
    <t>Early Comm</t>
  </si>
  <si>
    <t>未结转码          
Daily Early Paid ROLLING</t>
  </si>
  <si>
    <t>未结转码  (日)      
MTD Early Paid ROLLING</t>
  </si>
  <si>
    <t>TOTAL MTD TURNCVER</t>
  </si>
  <si>
    <t>MTD COMMISSION JV 100%</t>
  </si>
  <si>
    <t>B JV W/L</t>
  </si>
  <si>
    <t>A 100% W/L</t>
  </si>
  <si>
    <t>Comm Pay to Agent</t>
  </si>
  <si>
    <t>Comm Pay to Guest</t>
  </si>
  <si>
    <t>总佣金 DAILY COMM BEAR BY HOUSE</t>
  </si>
  <si>
    <t>总佣金 MTD COMM BEAR BY HOUSE</t>
  </si>
  <si>
    <t>Daily COMMISSION AGENT JV</t>
  </si>
  <si>
    <t>已结转码
Daily Early Paid Comm Agent JV</t>
  </si>
  <si>
    <t>DAILY COMMISSION JV 100%</t>
  </si>
  <si>
    <t>VIP</t>
  </si>
  <si>
    <t>Opening MTD 月</t>
  </si>
  <si>
    <t>总信贷(月) Outstanding Marker</t>
  </si>
  <si>
    <t>Total Rolling Amount</t>
  </si>
  <si>
    <t>Total Commission 1.7%</t>
  </si>
  <si>
    <t>Early Paid Commission (Deduct)</t>
  </si>
  <si>
    <t>账房签字 :</t>
  </si>
  <si>
    <t>Cage Signature:</t>
  </si>
  <si>
    <t>日期:</t>
  </si>
  <si>
    <t>Date:</t>
  </si>
  <si>
    <t>财务签字:</t>
  </si>
  <si>
    <t>Approved By:</t>
  </si>
  <si>
    <t>批准:</t>
  </si>
  <si>
    <t>Sharing Commission Due to Agent 50%</t>
  </si>
  <si>
    <t>Amount Due To/(From) Agent</t>
  </si>
  <si>
    <t>Win/Loss Sharing Due To/(From) Agent 50%</t>
  </si>
  <si>
    <t>Expenses</t>
  </si>
  <si>
    <t>客人总输赢 Player Win/Loss</t>
  </si>
  <si>
    <t>TG兔哥  50%</t>
  </si>
  <si>
    <t>客人总输赢
PLAYER WINLOSS (B)</t>
  </si>
  <si>
    <t>客人总输赢
PLAYER WINLOSS (A)</t>
  </si>
  <si>
    <t>TOTAL WINLOSS</t>
  </si>
  <si>
    <t>CASH OUT TIPS</t>
  </si>
  <si>
    <t>DAILY PZ AA SETTLEMENT REPORT (OCTOBER-2021)</t>
  </si>
  <si>
    <t>信贷(日)             DAILY MARKER ISSUED (A)</t>
  </si>
  <si>
    <t>还信贷(日)                    DAILY REDEEMED MARKER (B)</t>
  </si>
  <si>
    <t>还信贷(日)                    DAILY REDEEMED MARKER (A)</t>
  </si>
  <si>
    <t>信贷(日)             DAILY MARKER ISSUED (B)</t>
  </si>
  <si>
    <t>Finance Signature:   ______________________________</t>
  </si>
  <si>
    <t>Date:                              ______________________________</t>
  </si>
  <si>
    <t>Agent Signature:      ______________________________</t>
  </si>
  <si>
    <t>Date:                             ______________________________</t>
  </si>
  <si>
    <t>每日代理占成 Daily Due To/(From) Agent JV</t>
  </si>
  <si>
    <t>每月代理占成      MTD  Due To/(From) Agent JV</t>
  </si>
  <si>
    <t>MTD COMMISSION HOUSE JV</t>
  </si>
  <si>
    <t>MTD Early Paid Comm</t>
  </si>
  <si>
    <t>退现(日)            DAILY CASH - OUT</t>
  </si>
  <si>
    <t>Sharing Commission Due from Agent 50%</t>
  </si>
  <si>
    <t>Early Paid Commission (Deduct from agent 50%)</t>
  </si>
  <si>
    <t>Total Commission 1.7% (Pay to Customer 100%)</t>
  </si>
  <si>
    <t>Total Rolling Amount Early Paid</t>
  </si>
  <si>
    <t>Total Early Commission 100%</t>
  </si>
  <si>
    <t>代理净利润 Net Profit for Agent</t>
  </si>
  <si>
    <t>Date:                         ______________________________</t>
  </si>
  <si>
    <t>Date:                        ______________________________</t>
  </si>
  <si>
    <t>Date:                           ______________________________</t>
  </si>
  <si>
    <t>日结转码 1.7%          
DAILY Rolling AMOUNT</t>
  </si>
  <si>
    <t>已结转码          
Early Paid ROLLING</t>
  </si>
  <si>
    <t>未结转码UNREDEEMED COMM 1.7%</t>
  </si>
  <si>
    <t>DS東哥 50%</t>
  </si>
  <si>
    <t>CASH OUT 50%</t>
  </si>
  <si>
    <t xml:space="preserve">存款(日)                    DAILY DEPOSIT </t>
  </si>
  <si>
    <t xml:space="preserve">取款(日)            DAILY  WITHDRAW </t>
  </si>
  <si>
    <t>XU胜哥 80%</t>
  </si>
  <si>
    <t>存款(日)                    DAILY DEPOSIT</t>
  </si>
  <si>
    <t>取款(日)             DAILY WITHDRAW</t>
  </si>
  <si>
    <t>总存款(月) Outstanding DEPOSIT</t>
  </si>
  <si>
    <t>Sharing Commission Due from Agent 0%</t>
  </si>
  <si>
    <t>QI 齐哥 50%</t>
  </si>
  <si>
    <t>DAILY EO JV SETTLEMENT REPORT (JANUARY-2022)</t>
  </si>
  <si>
    <t xml:space="preserve">CASH OUT </t>
  </si>
  <si>
    <t>EO 50%</t>
  </si>
  <si>
    <t>ZG 50%</t>
  </si>
  <si>
    <t>DH 齐哥 80%</t>
  </si>
  <si>
    <t>Win/Loss Sharing Due To/(From) Agent 80%</t>
  </si>
  <si>
    <t>Early Paid Commission (Deduct from agent 80%)</t>
  </si>
  <si>
    <t>DG 50%</t>
  </si>
  <si>
    <t>存款(日)                    DEPOSIT</t>
  </si>
  <si>
    <t xml:space="preserve">                         代理2月占成报表(日&amp;月)    </t>
  </si>
  <si>
    <t>存款            DEPOSIT</t>
  </si>
  <si>
    <t>DAILY PZ JV SETTLEMENT REPORT (FEBRUARY-2022)</t>
  </si>
  <si>
    <t>DAILY TG JV SETTLEMENT REPORT (FEBRUARY-2022)</t>
  </si>
  <si>
    <t>DAILY KK JV SETTLEMENT REPORT (FEBRUARY-2022)</t>
  </si>
  <si>
    <t>DAILY DH JV SETTLEMENT REPORT (FEBRUARY-2022)</t>
  </si>
  <si>
    <t>DAILY DS JV SETTLEMENT REPORT (FEBRUARY-2022)</t>
  </si>
  <si>
    <t>DAILY XU JV SETTLEMENT REPORT (FEBRUARY-2022)</t>
  </si>
  <si>
    <t>DAILY QI JV SETTLEMENT REPORT (FEBRUARY-2022)</t>
  </si>
  <si>
    <t>DAILY ZZ JV SETTLEMENT REPORT (FEBRUARY-2022)</t>
  </si>
  <si>
    <t>DAILY ZG JV SETTLEMENT REPORT (FEBRUARY-2022)</t>
  </si>
  <si>
    <t>DAILY AL JV SETTLEMENT REPORT (FEBRUARY-2022)</t>
  </si>
  <si>
    <t>DAILY SS JV SETTLEMENT REPORT (FEBRUARY-2022)</t>
  </si>
  <si>
    <t>DAILY DG JV SETTLEMENT REPORT (FEBRUARY-2022)</t>
  </si>
  <si>
    <t>DAILY AD JV SETTLEMENT REPORT (FEBRUARY-2022)</t>
  </si>
  <si>
    <t>Total Rolling</t>
  </si>
  <si>
    <t>CAGE DAILY &amp; MONTHLY AGENT JV REPORT ON FEBRUARY-2022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</si>
</sst>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* #,##0.00_);_(* \(#,##0.00\);_(* &quot;-&quot;??_);_(@_)"/>
    <numFmt numFmtId="165" formatCode="&quot;代&quot;&quot;理&quot;&quot;承&quot;&quot;担&quot;&quot;佣&quot;&quot;金&quot;\ 0.0%"/>
    <numFmt numFmtId="166" formatCode="&quot;代&quot;&quot;理&quot;&quot;佣&quot;&quot;金&quot;\ 0.0%"/>
    <numFmt numFmtId="167" formatCode="&quot;垫&quot;&quot;付&quot;&quot;佣&quot;&quot;金&quot;\ 0.0%"/>
    <numFmt numFmtId="168" formatCode="&quot;代&quot;&quot;理&quot;\ \ 0.0%"/>
    <numFmt numFmtId="169" formatCode="&quot;赌&quot;&quot;场&quot;\ \ 0.0%"/>
    <numFmt numFmtId="170" formatCode="&quot;月&quot;&quot;结&quot;\ \ 0.0%"/>
    <numFmt numFmtId="171" formatCode="&quot;日&quot;&quot;结&quot;\ \ 0.0%"/>
    <numFmt numFmtId="172" formatCode="&quot;返代&quot;&quot;理&quot;\ \ 0.0%"/>
    <numFmt numFmtId="173" formatCode="0&quot;.&quot;0000&quot;万&quot;"/>
    <numFmt numFmtId="174" formatCode="[$-409]dd\-mmm\-yy;@"/>
    <numFmt numFmtId="175" formatCode="#,##0.0_);[Red]\(#,##0.0\)"/>
    <numFmt numFmtId="176" formatCode="_ * #,##0_ ;_ * \-#,##0_ ;_ * &quot;-&quot;??_ ;_ @_ "/>
  </numFmts>
  <fonts count="57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4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</font>
    <font>
      <sz val="9"/>
      <name val="MingLiU"/>
      <family val="3"/>
      <charset val="136"/>
    </font>
    <font>
      <b/>
      <sz val="14"/>
      <name val="MingLiU"/>
      <family val="3"/>
      <charset val="136"/>
    </font>
    <font>
      <sz val="1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2"/>
      <name val="Calibri"/>
      <family val="2"/>
    </font>
    <font>
      <sz val="14"/>
      <name val="Calibri"/>
      <family val="2"/>
    </font>
    <font>
      <sz val="24"/>
      <name val="Calibri"/>
      <family val="2"/>
    </font>
    <font>
      <b/>
      <sz val="22"/>
      <name val="Calibri"/>
      <family val="2"/>
    </font>
    <font>
      <sz val="20"/>
      <name val="Calibri"/>
      <family val="2"/>
    </font>
    <font>
      <sz val="18"/>
      <name val="Calibri"/>
      <family val="2"/>
    </font>
    <font>
      <sz val="16"/>
      <name val="Calibri"/>
      <family val="2"/>
    </font>
    <font>
      <sz val="22"/>
      <name val="Calibri"/>
      <family val="2"/>
    </font>
    <font>
      <sz val="10"/>
      <name val="Calibri"/>
      <family val="2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rgb="FF212529"/>
      <name val="Arial"/>
      <family val="2"/>
    </font>
    <font>
      <b/>
      <sz val="14"/>
      <color rgb="FF212529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20"/>
      <color rgb="FFFF0000"/>
      <name val="Calibri"/>
      <family val="2"/>
      <charset val="136"/>
      <scheme val="minor"/>
    </font>
    <font>
      <sz val="16"/>
      <color indexed="81"/>
      <name val="Tahoma"/>
      <family val="2"/>
    </font>
    <font>
      <b/>
      <sz val="14"/>
      <color indexed="81"/>
      <name val="Tahoma"/>
      <family val="2"/>
    </font>
    <font>
      <b/>
      <sz val="16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dott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</borders>
  <cellStyleXfs count="49">
    <xf numFmtId="0" fontId="0" fillId="0" borderId="0"/>
    <xf numFmtId="164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21" applyNumberFormat="0" applyFill="0" applyAlignment="0" applyProtection="0"/>
    <xf numFmtId="0" fontId="19" fillId="0" borderId="22" applyNumberFormat="0" applyFill="0" applyAlignment="0" applyProtection="0"/>
    <xf numFmtId="0" fontId="20" fillId="0" borderId="23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0" applyNumberFormat="0" applyBorder="0" applyAlignment="0" applyProtection="0"/>
    <xf numFmtId="0" fontId="22" fillId="8" borderId="0" applyNumberFormat="0" applyBorder="0" applyAlignment="0" applyProtection="0"/>
    <xf numFmtId="0" fontId="23" fillId="9" borderId="0" applyNumberFormat="0" applyBorder="0" applyAlignment="0" applyProtection="0"/>
    <xf numFmtId="0" fontId="24" fillId="10" borderId="24" applyNumberFormat="0" applyAlignment="0" applyProtection="0"/>
    <xf numFmtId="0" fontId="25" fillId="11" borderId="25" applyNumberFormat="0" applyAlignment="0" applyProtection="0"/>
    <xf numFmtId="0" fontId="26" fillId="11" borderId="24" applyNumberFormat="0" applyAlignment="0" applyProtection="0"/>
    <xf numFmtId="0" fontId="27" fillId="0" borderId="26" applyNumberFormat="0" applyFill="0" applyAlignment="0" applyProtection="0"/>
    <xf numFmtId="0" fontId="28" fillId="12" borderId="27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29" applyNumberFormat="0" applyFill="0" applyAlignment="0" applyProtection="0"/>
    <xf numFmtId="0" fontId="3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32" fillId="29" borderId="0" applyNumberFormat="0" applyBorder="0" applyAlignment="0" applyProtection="0"/>
    <xf numFmtId="0" fontId="32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32" fillId="33" borderId="0" applyNumberFormat="0" applyBorder="0" applyAlignment="0" applyProtection="0"/>
    <xf numFmtId="0" fontId="32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32" fillId="37" borderId="0" applyNumberFormat="0" applyBorder="0" applyAlignment="0" applyProtection="0"/>
    <xf numFmtId="0" fontId="6" fillId="0" borderId="0"/>
    <xf numFmtId="0" fontId="6" fillId="13" borderId="28" applyNumberFormat="0" applyFont="0" applyAlignment="0" applyProtection="0"/>
    <xf numFmtId="0" fontId="5" fillId="0" borderId="0"/>
    <xf numFmtId="164" fontId="5" fillId="0" borderId="0" applyFont="0" applyFill="0" applyBorder="0" applyAlignment="0" applyProtection="0"/>
    <xf numFmtId="0" fontId="52" fillId="0" borderId="0"/>
    <xf numFmtId="164" fontId="52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438">
    <xf numFmtId="0" fontId="0" fillId="0" borderId="0" xfId="0" applyFont="1" applyFill="1" applyBorder="1"/>
    <xf numFmtId="0" fontId="0" fillId="0" borderId="0" xfId="0" applyFont="1" applyFill="1" applyBorder="1" applyAlignment="1">
      <alignment horizontal="right" vertical="center"/>
    </xf>
    <xf numFmtId="2" fontId="8" fillId="0" borderId="0" xfId="0" applyNumberFormat="1" applyFont="1" applyAlignment="1">
      <alignment horizontal="right" vertical="center"/>
    </xf>
    <xf numFmtId="10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  <xf numFmtId="10" fontId="0" fillId="0" borderId="2" xfId="0" applyNumberFormat="1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40" fontId="0" fillId="0" borderId="0" xfId="0" applyNumberFormat="1" applyFont="1" applyFill="1" applyBorder="1"/>
    <xf numFmtId="0" fontId="7" fillId="0" borderId="4" xfId="0" applyFont="1" applyFill="1" applyBorder="1" applyAlignment="1">
      <alignment horizontal="center" vertical="center"/>
    </xf>
    <xf numFmtId="9" fontId="7" fillId="0" borderId="4" xfId="0" applyNumberFormat="1" applyFont="1" applyFill="1" applyBorder="1" applyAlignment="1">
      <alignment horizontal="center" vertical="center"/>
    </xf>
    <xf numFmtId="10" fontId="7" fillId="0" borderId="4" xfId="0" applyNumberFormat="1" applyFont="1" applyFill="1" applyBorder="1" applyAlignment="1">
      <alignment horizontal="center" vertical="center"/>
    </xf>
    <xf numFmtId="167" fontId="7" fillId="0" borderId="4" xfId="0" applyNumberFormat="1" applyFont="1" applyFill="1" applyBorder="1" applyAlignment="1">
      <alignment horizontal="center" vertical="center"/>
    </xf>
    <xf numFmtId="168" fontId="7" fillId="0" borderId="4" xfId="0" applyNumberFormat="1" applyFont="1" applyFill="1" applyBorder="1" applyAlignment="1">
      <alignment horizontal="center" vertical="center"/>
    </xf>
    <xf numFmtId="166" fontId="7" fillId="0" borderId="4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/>
    <xf numFmtId="0" fontId="8" fillId="0" borderId="0" xfId="0" applyFont="1" applyFill="1" applyBorder="1"/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/>
    <xf numFmtId="40" fontId="0" fillId="0" borderId="2" xfId="0" applyNumberFormat="1" applyFont="1" applyFill="1" applyBorder="1"/>
    <xf numFmtId="0" fontId="0" fillId="0" borderId="2" xfId="0" applyFont="1" applyFill="1" applyBorder="1"/>
    <xf numFmtId="1" fontId="0" fillId="0" borderId="2" xfId="0" applyNumberFormat="1" applyBorder="1"/>
    <xf numFmtId="0" fontId="0" fillId="0" borderId="5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/>
    </xf>
    <xf numFmtId="0" fontId="7" fillId="0" borderId="6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 wrapText="1"/>
    </xf>
    <xf numFmtId="9" fontId="7" fillId="0" borderId="6" xfId="0" applyNumberFormat="1" applyFont="1" applyFill="1" applyBorder="1" applyAlignment="1">
      <alignment horizontal="center" vertical="center"/>
    </xf>
    <xf numFmtId="10" fontId="7" fillId="0" borderId="6" xfId="0" applyNumberFormat="1" applyFont="1" applyFill="1" applyBorder="1" applyAlignment="1">
      <alignment horizontal="center" vertical="center"/>
    </xf>
    <xf numFmtId="167" fontId="7" fillId="0" borderId="6" xfId="0" applyNumberFormat="1" applyFont="1" applyFill="1" applyBorder="1" applyAlignment="1">
      <alignment horizontal="center" vertical="center"/>
    </xf>
    <xf numFmtId="166" fontId="7" fillId="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7" fillId="2" borderId="6" xfId="0" applyNumberFormat="1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40" fontId="0" fillId="0" borderId="0" xfId="0" applyNumberFormat="1" applyAlignment="1">
      <alignment horizontal="right" vertical="center" wrapText="1"/>
    </xf>
    <xf numFmtId="40" fontId="0" fillId="0" borderId="0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40" fontId="13" fillId="0" borderId="0" xfId="0" applyNumberFormat="1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vertical="center"/>
    </xf>
    <xf numFmtId="40" fontId="13" fillId="0" borderId="0" xfId="0" applyNumberFormat="1" applyFont="1" applyFill="1" applyAlignment="1">
      <alignment vertical="center"/>
    </xf>
    <xf numFmtId="172" fontId="0" fillId="0" borderId="0" xfId="0" applyNumberFormat="1" applyFont="1" applyFill="1" applyBorder="1"/>
    <xf numFmtId="0" fontId="8" fillId="0" borderId="0" xfId="0" applyFont="1" applyBorder="1" applyAlignment="1">
      <alignment vertical="center"/>
    </xf>
    <xf numFmtId="0" fontId="7" fillId="0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168" fontId="7" fillId="0" borderId="9" xfId="0" applyNumberFormat="1" applyFont="1" applyFill="1" applyBorder="1" applyAlignment="1">
      <alignment horizontal="center" vertical="center" wrapText="1"/>
    </xf>
    <xf numFmtId="170" fontId="7" fillId="0" borderId="9" xfId="0" applyNumberFormat="1" applyFont="1" applyFill="1" applyBorder="1" applyAlignment="1">
      <alignment horizontal="center" vertical="center"/>
    </xf>
    <xf numFmtId="171" fontId="7" fillId="0" borderId="9" xfId="0" applyNumberFormat="1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3" xfId="0" applyBorder="1"/>
    <xf numFmtId="0" fontId="0" fillId="0" borderId="12" xfId="0" applyFont="1" applyFill="1" applyBorder="1"/>
    <xf numFmtId="169" fontId="7" fillId="5" borderId="9" xfId="0" applyNumberFormat="1" applyFont="1" applyFill="1" applyBorder="1" applyAlignment="1">
      <alignment horizontal="center" vertical="center"/>
    </xf>
    <xf numFmtId="165" fontId="7" fillId="5" borderId="9" xfId="0" applyNumberFormat="1" applyFont="1" applyFill="1" applyBorder="1" applyAlignment="1">
      <alignment horizontal="center" vertical="center"/>
    </xf>
    <xf numFmtId="172" fontId="7" fillId="0" borderId="10" xfId="0" applyNumberFormat="1" applyFont="1" applyFill="1" applyBorder="1" applyAlignment="1">
      <alignment horizontal="center" vertical="center"/>
    </xf>
    <xf numFmtId="1" fontId="0" fillId="0" borderId="11" xfId="0" applyNumberFormat="1" applyBorder="1"/>
    <xf numFmtId="0" fontId="0" fillId="0" borderId="14" xfId="0" applyFont="1" applyFill="1" applyBorder="1"/>
    <xf numFmtId="0" fontId="7" fillId="0" borderId="15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68" fontId="7" fillId="0" borderId="16" xfId="0" applyNumberFormat="1" applyFont="1" applyFill="1" applyBorder="1" applyAlignment="1">
      <alignment horizontal="center" vertical="center" wrapText="1"/>
    </xf>
    <xf numFmtId="169" fontId="7" fillId="5" borderId="16" xfId="0" applyNumberFormat="1" applyFont="1" applyFill="1" applyBorder="1" applyAlignment="1">
      <alignment horizontal="center" vertical="center"/>
    </xf>
    <xf numFmtId="170" fontId="7" fillId="0" borderId="16" xfId="0" applyNumberFormat="1" applyFont="1" applyFill="1" applyBorder="1" applyAlignment="1">
      <alignment horizontal="center" vertical="center"/>
    </xf>
    <xf numFmtId="171" fontId="7" fillId="0" borderId="16" xfId="0" applyNumberFormat="1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165" fontId="7" fillId="5" borderId="16" xfId="0" applyNumberFormat="1" applyFont="1" applyFill="1" applyBorder="1" applyAlignment="1">
      <alignment horizontal="center" vertical="center"/>
    </xf>
    <xf numFmtId="172" fontId="7" fillId="0" borderId="17" xfId="0" applyNumberFormat="1" applyFont="1" applyFill="1" applyBorder="1" applyAlignment="1">
      <alignment horizontal="center" vertical="center"/>
    </xf>
    <xf numFmtId="0" fontId="0" fillId="0" borderId="18" xfId="0" applyBorder="1"/>
    <xf numFmtId="0" fontId="0" fillId="0" borderId="19" xfId="0" applyFont="1" applyFill="1" applyBorder="1"/>
    <xf numFmtId="0" fontId="0" fillId="0" borderId="20" xfId="0" applyFont="1" applyFill="1" applyBorder="1"/>
    <xf numFmtId="0" fontId="8" fillId="0" borderId="43" xfId="0" applyFont="1" applyBorder="1" applyAlignment="1">
      <alignment horizontal="center" vertical="center" wrapText="1"/>
    </xf>
    <xf numFmtId="0" fontId="8" fillId="5" borderId="43" xfId="0" applyFont="1" applyFill="1" applyBorder="1" applyAlignment="1">
      <alignment horizontal="center" vertical="center" wrapText="1"/>
    </xf>
    <xf numFmtId="0" fontId="8" fillId="5" borderId="44" xfId="0" applyFont="1" applyFill="1" applyBorder="1" applyAlignment="1">
      <alignment horizontal="center" vertical="center" wrapText="1"/>
    </xf>
    <xf numFmtId="40" fontId="0" fillId="0" borderId="46" xfId="0" applyNumberFormat="1" applyBorder="1" applyAlignment="1">
      <alignment horizontal="right" vertical="center" wrapText="1"/>
    </xf>
    <xf numFmtId="0" fontId="8" fillId="0" borderId="42" xfId="0" applyFont="1" applyBorder="1" applyAlignment="1">
      <alignment horizontal="center" vertical="center"/>
    </xf>
    <xf numFmtId="174" fontId="8" fillId="0" borderId="45" xfId="0" applyNumberFormat="1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40" fontId="8" fillId="0" borderId="46" xfId="1" applyNumberFormat="1" applyFont="1" applyBorder="1" applyAlignment="1">
      <alignment horizontal="center" vertical="center"/>
    </xf>
    <xf numFmtId="40" fontId="13" fillId="0" borderId="2" xfId="0" applyNumberFormat="1" applyFont="1" applyBorder="1" applyAlignment="1">
      <alignment vertical="center"/>
    </xf>
    <xf numFmtId="40" fontId="13" fillId="0" borderId="51" xfId="0" applyNumberFormat="1" applyFont="1" applyBorder="1" applyAlignment="1">
      <alignment vertical="center"/>
    </xf>
    <xf numFmtId="40" fontId="10" fillId="39" borderId="0" xfId="0" applyNumberFormat="1" applyFont="1" applyFill="1" applyAlignment="1">
      <alignment vertical="center"/>
    </xf>
    <xf numFmtId="0" fontId="8" fillId="38" borderId="0" xfId="0" applyFont="1" applyFill="1" applyAlignment="1">
      <alignment horizontal="center" vertical="center" wrapText="1"/>
    </xf>
    <xf numFmtId="0" fontId="8" fillId="38" borderId="0" xfId="0" applyFont="1" applyFill="1" applyBorder="1" applyAlignment="1">
      <alignment horizontal="center" vertical="center" wrapText="1"/>
    </xf>
    <xf numFmtId="174" fontId="8" fillId="0" borderId="52" xfId="0" applyNumberFormat="1" applyFont="1" applyBorder="1" applyAlignment="1">
      <alignment horizontal="center" vertical="center"/>
    </xf>
    <xf numFmtId="40" fontId="0" fillId="0" borderId="53" xfId="1" applyNumberFormat="1" applyFont="1" applyBorder="1" applyAlignment="1">
      <alignment horizontal="center" vertical="center"/>
    </xf>
    <xf numFmtId="40" fontId="0" fillId="0" borderId="53" xfId="0" applyNumberFormat="1" applyBorder="1" applyAlignment="1">
      <alignment horizontal="right" vertical="center" wrapText="1"/>
    </xf>
    <xf numFmtId="40" fontId="0" fillId="0" borderId="54" xfId="0" applyNumberFormat="1" applyFill="1" applyBorder="1" applyAlignment="1">
      <alignment horizontal="right" vertical="center"/>
    </xf>
    <xf numFmtId="0" fontId="13" fillId="0" borderId="4" xfId="0" applyFont="1" applyBorder="1" applyAlignment="1">
      <alignment horizontal="right" vertical="center"/>
    </xf>
    <xf numFmtId="40" fontId="13" fillId="0" borderId="4" xfId="0" applyNumberFormat="1" applyFont="1" applyBorder="1" applyAlignment="1">
      <alignment horizontal="center" vertical="center"/>
    </xf>
    <xf numFmtId="40" fontId="13" fillId="0" borderId="4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40" fontId="45" fillId="0" borderId="61" xfId="44" applyNumberFormat="1" applyFont="1" applyBorder="1" applyAlignment="1" applyProtection="1">
      <alignment vertical="center"/>
      <protection hidden="1"/>
    </xf>
    <xf numFmtId="40" fontId="45" fillId="0" borderId="37" xfId="44" applyNumberFormat="1" applyFont="1" applyBorder="1" applyAlignment="1" applyProtection="1">
      <alignment vertical="center"/>
      <protection hidden="1"/>
    </xf>
    <xf numFmtId="38" fontId="45" fillId="0" borderId="61" xfId="44" applyNumberFormat="1" applyFont="1" applyBorder="1" applyAlignment="1" applyProtection="1">
      <alignment horizontal="center" vertical="center"/>
      <protection hidden="1"/>
    </xf>
    <xf numFmtId="175" fontId="35" fillId="0" borderId="59" xfId="44" applyNumberFormat="1" applyFont="1" applyBorder="1" applyAlignment="1" applyProtection="1">
      <alignment horizontal="center" vertical="center" wrapText="1"/>
      <protection hidden="1"/>
    </xf>
    <xf numFmtId="0" fontId="0" fillId="0" borderId="0" xfId="0" applyFont="1" applyFill="1" applyBorder="1" applyAlignment="1" applyProtection="1">
      <alignment horizontal="center"/>
      <protection locked="0"/>
    </xf>
    <xf numFmtId="0" fontId="0" fillId="0" borderId="0" xfId="0" applyFont="1" applyFill="1" applyBorder="1" applyProtection="1">
      <protection locked="0"/>
    </xf>
    <xf numFmtId="0" fontId="7" fillId="5" borderId="30" xfId="0" applyFont="1" applyFill="1" applyBorder="1" applyAlignment="1" applyProtection="1">
      <alignment horizontal="center" vertical="center" wrapText="1"/>
      <protection locked="0"/>
    </xf>
    <xf numFmtId="0" fontId="7" fillId="5" borderId="55" xfId="0" applyFont="1" applyFill="1" applyBorder="1" applyAlignment="1" applyProtection="1">
      <alignment horizontal="center" vertical="center" wrapText="1"/>
      <protection locked="0"/>
    </xf>
    <xf numFmtId="0" fontId="7" fillId="5" borderId="31" xfId="0" applyFont="1" applyFill="1" applyBorder="1" applyAlignment="1" applyProtection="1">
      <alignment horizontal="center" vertical="center" wrapText="1"/>
      <protection locked="0"/>
    </xf>
    <xf numFmtId="168" fontId="7" fillId="5" borderId="31" xfId="0" applyNumberFormat="1" applyFont="1" applyFill="1" applyBorder="1" applyAlignment="1" applyProtection="1">
      <alignment horizontal="center" vertical="center" wrapText="1"/>
      <protection locked="0"/>
    </xf>
    <xf numFmtId="165" fontId="10" fillId="5" borderId="32" xfId="0" applyNumberFormat="1" applyFont="1" applyFill="1" applyBorder="1" applyAlignment="1" applyProtection="1">
      <alignment horizontal="center" vertical="center"/>
      <protection locked="0"/>
    </xf>
    <xf numFmtId="0" fontId="42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174" fontId="8" fillId="0" borderId="33" xfId="0" applyNumberFormat="1" applyFont="1" applyBorder="1" applyAlignment="1" applyProtection="1">
      <alignment horizontal="center" vertical="center"/>
      <protection locked="0"/>
    </xf>
    <xf numFmtId="175" fontId="35" fillId="0" borderId="34" xfId="1" applyNumberFormat="1" applyFont="1" applyFill="1" applyBorder="1" applyAlignment="1" applyProtection="1">
      <alignment horizontal="center" vertical="center"/>
      <protection locked="0"/>
    </xf>
    <xf numFmtId="175" fontId="35" fillId="0" borderId="34" xfId="1" applyNumberFormat="1" applyFont="1" applyFill="1" applyBorder="1" applyAlignment="1" applyProtection="1">
      <alignment vertical="center"/>
      <protection locked="0"/>
    </xf>
    <xf numFmtId="175" fontId="35" fillId="0" borderId="37" xfId="1" applyNumberFormat="1" applyFont="1" applyFill="1" applyBorder="1" applyAlignment="1" applyProtection="1">
      <alignment vertical="center"/>
      <protection locked="0"/>
    </xf>
    <xf numFmtId="175" fontId="35" fillId="0" borderId="37" xfId="1" applyNumberFormat="1" applyFont="1" applyFill="1" applyBorder="1" applyAlignment="1" applyProtection="1">
      <alignment horizontal="center" vertical="center"/>
      <protection locked="0"/>
    </xf>
    <xf numFmtId="175" fontId="35" fillId="0" borderId="37" xfId="0" applyNumberFormat="1" applyFont="1" applyFill="1" applyBorder="1" applyAlignment="1" applyProtection="1">
      <alignment horizontal="center" vertical="center"/>
      <protection locked="0"/>
    </xf>
    <xf numFmtId="174" fontId="8" fillId="0" borderId="39" xfId="0" applyNumberFormat="1" applyFont="1" applyBorder="1" applyAlignment="1" applyProtection="1">
      <alignment horizontal="center" vertical="center"/>
      <protection locked="0"/>
    </xf>
    <xf numFmtId="174" fontId="8" fillId="0" borderId="57" xfId="0" applyNumberFormat="1" applyFont="1" applyBorder="1" applyAlignment="1" applyProtection="1">
      <alignment horizontal="center" vertical="center"/>
      <protection locked="0"/>
    </xf>
    <xf numFmtId="38" fontId="35" fillId="0" borderId="57" xfId="0" applyNumberFormat="1" applyFont="1" applyBorder="1" applyAlignment="1" applyProtection="1">
      <alignment horizontal="center" vertical="center"/>
      <protection locked="0"/>
    </xf>
    <xf numFmtId="174" fontId="35" fillId="0" borderId="57" xfId="0" applyNumberFormat="1" applyFont="1" applyBorder="1" applyAlignment="1" applyProtection="1">
      <alignment horizontal="center" vertical="center"/>
      <protection locked="0"/>
    </xf>
    <xf numFmtId="175" fontId="35" fillId="0" borderId="40" xfId="0" applyNumberFormat="1" applyFont="1" applyFill="1" applyBorder="1" applyAlignment="1" applyProtection="1">
      <alignment horizontal="center" vertical="center"/>
      <protection locked="0"/>
    </xf>
    <xf numFmtId="175" fontId="35" fillId="0" borderId="40" xfId="1" applyNumberFormat="1" applyFont="1" applyFill="1" applyBorder="1" applyAlignment="1" applyProtection="1">
      <alignment horizontal="center" vertical="center"/>
      <protection locked="0"/>
    </xf>
    <xf numFmtId="175" fontId="35" fillId="0" borderId="40" xfId="1" applyNumberFormat="1" applyFont="1" applyFill="1" applyBorder="1" applyAlignment="1" applyProtection="1">
      <alignment vertical="center"/>
      <protection locked="0"/>
    </xf>
    <xf numFmtId="0" fontId="40" fillId="0" borderId="0" xfId="0" applyFont="1" applyFill="1" applyBorder="1" applyAlignment="1" applyProtection="1">
      <alignment horizontal="center" vertical="center"/>
      <protection locked="0"/>
    </xf>
    <xf numFmtId="164" fontId="34" fillId="0" borderId="0" xfId="0" applyNumberFormat="1" applyFont="1" applyFill="1" applyBorder="1" applyAlignment="1" applyProtection="1">
      <alignment horizontal="right" vertical="center"/>
      <protection locked="0"/>
    </xf>
    <xf numFmtId="40" fontId="35" fillId="0" borderId="0" xfId="0" applyNumberFormat="1" applyFont="1" applyFill="1" applyBorder="1" applyAlignment="1" applyProtection="1">
      <alignment vertical="center"/>
      <protection locked="0"/>
    </xf>
    <xf numFmtId="0" fontId="35" fillId="0" borderId="0" xfId="0" applyFont="1" applyFill="1" applyBorder="1" applyAlignment="1" applyProtection="1">
      <protection locked="0"/>
    </xf>
    <xf numFmtId="0" fontId="38" fillId="0" borderId="0" xfId="0" applyFont="1" applyFill="1" applyBorder="1" applyAlignment="1" applyProtection="1">
      <protection locked="0"/>
    </xf>
    <xf numFmtId="0" fontId="0" fillId="0" borderId="0" xfId="0" applyFont="1" applyFill="1" applyBorder="1" applyAlignment="1" applyProtection="1">
      <protection locked="0"/>
    </xf>
    <xf numFmtId="0" fontId="35" fillId="0" borderId="0" xfId="0" applyFont="1" applyFill="1" applyBorder="1" applyAlignment="1" applyProtection="1">
      <alignment horizontal="right" vertical="center"/>
      <protection locked="0"/>
    </xf>
    <xf numFmtId="164" fontId="0" fillId="0" borderId="0" xfId="1" applyFont="1" applyFill="1" applyBorder="1" applyProtection="1">
      <protection locked="0"/>
    </xf>
    <xf numFmtId="0" fontId="13" fillId="0" borderId="0" xfId="0" applyFont="1" applyFill="1" applyBorder="1" applyAlignment="1" applyProtection="1">
      <alignment horizontal="center"/>
      <protection locked="0"/>
    </xf>
    <xf numFmtId="173" fontId="33" fillId="0" borderId="0" xfId="0" applyNumberFormat="1" applyFont="1" applyFill="1" applyBorder="1" applyProtection="1">
      <protection locked="0"/>
    </xf>
    <xf numFmtId="173" fontId="9" fillId="0" borderId="0" xfId="0" applyNumberFormat="1" applyFont="1" applyFill="1" applyBorder="1" applyProtection="1">
      <protection locked="0"/>
    </xf>
    <xf numFmtId="173" fontId="9" fillId="0" borderId="0" xfId="0" applyNumberFormat="1" applyFont="1" applyFill="1" applyBorder="1" applyAlignment="1" applyProtection="1">
      <protection locked="0"/>
    </xf>
    <xf numFmtId="169" fontId="7" fillId="5" borderId="31" xfId="0" applyNumberFormat="1" applyFont="1" applyFill="1" applyBorder="1" applyAlignment="1" applyProtection="1">
      <alignment horizontal="center" vertical="center"/>
      <protection hidden="1"/>
    </xf>
    <xf numFmtId="175" fontId="35" fillId="0" borderId="34" xfId="1" applyNumberFormat="1" applyFont="1" applyFill="1" applyBorder="1" applyAlignment="1" applyProtection="1">
      <alignment vertical="center"/>
      <protection hidden="1"/>
    </xf>
    <xf numFmtId="175" fontId="35" fillId="0" borderId="37" xfId="1" applyNumberFormat="1" applyFont="1" applyFill="1" applyBorder="1" applyAlignment="1" applyProtection="1">
      <alignment vertical="center"/>
      <protection hidden="1"/>
    </xf>
    <xf numFmtId="175" fontId="35" fillId="0" borderId="40" xfId="1" applyNumberFormat="1" applyFont="1" applyFill="1" applyBorder="1" applyAlignment="1" applyProtection="1">
      <alignment vertical="center"/>
      <protection hidden="1"/>
    </xf>
    <xf numFmtId="175" fontId="35" fillId="0" borderId="35" xfId="1" applyNumberFormat="1" applyFont="1" applyFill="1" applyBorder="1" applyAlignment="1" applyProtection="1">
      <alignment vertical="center"/>
      <protection hidden="1"/>
    </xf>
    <xf numFmtId="175" fontId="35" fillId="0" borderId="38" xfId="1" applyNumberFormat="1" applyFont="1" applyFill="1" applyBorder="1" applyAlignment="1" applyProtection="1">
      <alignment vertical="center"/>
      <protection hidden="1"/>
    </xf>
    <xf numFmtId="175" fontId="35" fillId="0" borderId="41" xfId="1" applyNumberFormat="1" applyFont="1" applyFill="1" applyBorder="1" applyAlignment="1" applyProtection="1">
      <alignment vertical="center"/>
      <protection hidden="1"/>
    </xf>
    <xf numFmtId="38" fontId="0" fillId="0" borderId="0" xfId="0" applyNumberFormat="1" applyFont="1" applyFill="1" applyBorder="1" applyProtection="1">
      <protection hidden="1"/>
    </xf>
    <xf numFmtId="175" fontId="0" fillId="0" borderId="0" xfId="0" applyNumberFormat="1" applyFont="1" applyFill="1" applyBorder="1" applyProtection="1">
      <protection hidden="1"/>
    </xf>
    <xf numFmtId="174" fontId="8" fillId="0" borderId="36" xfId="0" applyNumberFormat="1" applyFont="1" applyBorder="1" applyAlignment="1" applyProtection="1">
      <alignment horizontal="center" vertical="center"/>
      <protection hidden="1"/>
    </xf>
    <xf numFmtId="38" fontId="35" fillId="0" borderId="34" xfId="1" applyNumberFormat="1" applyFont="1" applyFill="1" applyBorder="1" applyAlignment="1" applyProtection="1">
      <alignment horizontal="right" vertical="center"/>
      <protection hidden="1"/>
    </xf>
    <xf numFmtId="38" fontId="35" fillId="0" borderId="37" xfId="1" applyNumberFormat="1" applyFont="1" applyFill="1" applyBorder="1" applyAlignment="1" applyProtection="1">
      <alignment horizontal="right" vertical="center"/>
      <protection hidden="1"/>
    </xf>
    <xf numFmtId="40" fontId="35" fillId="0" borderId="49" xfId="0" applyNumberFormat="1" applyFont="1" applyFill="1" applyBorder="1" applyAlignment="1" applyProtection="1">
      <alignment horizontal="center" vertical="center"/>
      <protection hidden="1"/>
    </xf>
    <xf numFmtId="40" fontId="35" fillId="0" borderId="50" xfId="0" applyNumberFormat="1" applyFont="1" applyFill="1" applyBorder="1" applyAlignment="1" applyProtection="1">
      <alignment horizontal="center" vertical="center"/>
      <protection hidden="1"/>
    </xf>
    <xf numFmtId="40" fontId="35" fillId="0" borderId="47" xfId="0" applyNumberFormat="1" applyFont="1" applyFill="1" applyBorder="1" applyAlignment="1" applyProtection="1">
      <alignment vertical="center"/>
      <protection hidden="1"/>
    </xf>
    <xf numFmtId="164" fontId="35" fillId="0" borderId="37" xfId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protection locked="0"/>
    </xf>
    <xf numFmtId="176" fontId="35" fillId="0" borderId="34" xfId="1" applyNumberFormat="1" applyFont="1" applyFill="1" applyBorder="1" applyAlignment="1" applyProtection="1">
      <alignment horizontal="center" vertical="center"/>
      <protection locked="0"/>
    </xf>
    <xf numFmtId="175" fontId="34" fillId="0" borderId="48" xfId="0" applyNumberFormat="1" applyFont="1" applyFill="1" applyBorder="1" applyAlignment="1" applyProtection="1">
      <alignment horizontal="center" vertical="center"/>
      <protection hidden="1"/>
    </xf>
    <xf numFmtId="0" fontId="5" fillId="0" borderId="0" xfId="44" applyAlignment="1" applyProtection="1"/>
    <xf numFmtId="0" fontId="5" fillId="0" borderId="0" xfId="44" applyProtection="1"/>
    <xf numFmtId="0" fontId="46" fillId="0" borderId="2" xfId="44" applyFont="1" applyBorder="1" applyAlignment="1" applyProtection="1">
      <alignment horizontal="right" wrapText="1"/>
    </xf>
    <xf numFmtId="0" fontId="4" fillId="0" borderId="58" xfId="44" applyFont="1" applyFill="1" applyBorder="1" applyAlignment="1" applyProtection="1">
      <alignment horizontal="center" vertical="center" wrapText="1"/>
    </xf>
    <xf numFmtId="0" fontId="4" fillId="0" borderId="59" xfId="44" applyFont="1" applyFill="1" applyBorder="1" applyAlignment="1" applyProtection="1">
      <alignment horizontal="center" vertical="center" wrapText="1"/>
    </xf>
    <xf numFmtId="0" fontId="8" fillId="0" borderId="59" xfId="44" applyFont="1" applyFill="1" applyBorder="1" applyAlignment="1" applyProtection="1">
      <alignment horizontal="center" vertical="center" wrapText="1"/>
    </xf>
    <xf numFmtId="0" fontId="8" fillId="39" borderId="59" xfId="44" applyFont="1" applyFill="1" applyBorder="1" applyAlignment="1" applyProtection="1">
      <alignment horizontal="center" vertical="center" wrapText="1"/>
    </xf>
    <xf numFmtId="0" fontId="42" fillId="0" borderId="59" xfId="44" applyFont="1" applyFill="1" applyBorder="1" applyAlignment="1" applyProtection="1">
      <alignment horizontal="center" vertical="center" wrapText="1"/>
    </xf>
    <xf numFmtId="0" fontId="35" fillId="0" borderId="62" xfId="44" applyFont="1" applyBorder="1" applyAlignment="1" applyProtection="1">
      <alignment horizontal="left" vertical="center"/>
    </xf>
    <xf numFmtId="0" fontId="45" fillId="0" borderId="36" xfId="44" applyFont="1" applyBorder="1" applyAlignment="1" applyProtection="1">
      <alignment vertical="center"/>
    </xf>
    <xf numFmtId="38" fontId="45" fillId="0" borderId="37" xfId="44" applyNumberFormat="1" applyFont="1" applyBorder="1" applyAlignment="1" applyProtection="1">
      <alignment horizontal="center" vertical="center"/>
    </xf>
    <xf numFmtId="0" fontId="45" fillId="0" borderId="39" xfId="44" applyFont="1" applyBorder="1" applyAlignment="1" applyProtection="1">
      <alignment vertical="center"/>
    </xf>
    <xf numFmtId="40" fontId="45" fillId="0" borderId="40" xfId="44" applyNumberFormat="1" applyFont="1" applyBorder="1" applyAlignment="1" applyProtection="1">
      <alignment horizontal="right" vertical="center" wrapText="1"/>
    </xf>
    <xf numFmtId="0" fontId="43" fillId="0" borderId="0" xfId="44" applyFont="1" applyAlignment="1" applyProtection="1">
      <alignment horizontal="right" vertical="center"/>
    </xf>
    <xf numFmtId="0" fontId="13" fillId="0" borderId="0" xfId="44" applyFont="1" applyAlignment="1" applyProtection="1">
      <alignment horizontal="right" vertical="center"/>
    </xf>
    <xf numFmtId="40" fontId="13" fillId="0" borderId="0" xfId="44" applyNumberFormat="1" applyFont="1" applyAlignment="1" applyProtection="1">
      <alignment vertical="center"/>
    </xf>
    <xf numFmtId="0" fontId="5" fillId="0" borderId="0" xfId="44" applyAlignment="1" applyProtection="1">
      <alignment horizontal="right" vertical="center"/>
    </xf>
    <xf numFmtId="164" fontId="5" fillId="0" borderId="0" xfId="1" applyFont="1" applyProtection="1"/>
    <xf numFmtId="0" fontId="0" fillId="5" borderId="0" xfId="0" applyFont="1" applyFill="1" applyBorder="1" applyProtection="1">
      <protection locked="0"/>
    </xf>
    <xf numFmtId="38" fontId="0" fillId="5" borderId="0" xfId="0" applyNumberFormat="1" applyFont="1" applyFill="1" applyBorder="1" applyProtection="1">
      <protection hidden="1"/>
    </xf>
    <xf numFmtId="175" fontId="0" fillId="5" borderId="0" xfId="0" applyNumberFormat="1" applyFont="1" applyFill="1" applyBorder="1" applyProtection="1">
      <protection hidden="1"/>
    </xf>
    <xf numFmtId="175" fontId="35" fillId="38" borderId="37" xfId="1" applyNumberFormat="1" applyFont="1" applyFill="1" applyBorder="1" applyAlignment="1" applyProtection="1">
      <alignment vertical="center"/>
      <protection locked="0"/>
    </xf>
    <xf numFmtId="174" fontId="8" fillId="0" borderId="36" xfId="0" applyNumberFormat="1" applyFont="1" applyFill="1" applyBorder="1" applyAlignment="1" applyProtection="1">
      <alignment horizontal="center" vertical="center"/>
      <protection hidden="1"/>
    </xf>
    <xf numFmtId="0" fontId="3" fillId="0" borderId="59" xfId="44" applyFont="1" applyFill="1" applyBorder="1" applyAlignment="1" applyProtection="1">
      <alignment horizontal="center" vertical="center" wrapText="1"/>
    </xf>
    <xf numFmtId="0" fontId="45" fillId="0" borderId="63" xfId="44" applyFont="1" applyBorder="1" applyAlignment="1" applyProtection="1">
      <alignment vertical="center"/>
    </xf>
    <xf numFmtId="175" fontId="35" fillId="0" borderId="64" xfId="44" applyNumberFormat="1" applyFont="1" applyBorder="1" applyAlignment="1" applyProtection="1">
      <alignment horizontal="center" vertical="center" wrapText="1"/>
      <protection hidden="1"/>
    </xf>
    <xf numFmtId="175" fontId="35" fillId="0" borderId="65" xfId="44" applyNumberFormat="1" applyFont="1" applyBorder="1" applyAlignment="1" applyProtection="1">
      <alignment horizontal="center" vertical="center" wrapText="1"/>
      <protection hidden="1"/>
    </xf>
    <xf numFmtId="40" fontId="5" fillId="0" borderId="38" xfId="44" applyNumberFormat="1" applyBorder="1" applyAlignment="1" applyProtection="1">
      <alignment horizontal="center" vertical="center"/>
    </xf>
    <xf numFmtId="0" fontId="5" fillId="0" borderId="4" xfId="44" applyBorder="1" applyProtection="1"/>
    <xf numFmtId="0" fontId="45" fillId="0" borderId="4" xfId="44" applyFont="1" applyBorder="1" applyProtection="1"/>
    <xf numFmtId="170" fontId="7" fillId="5" borderId="31" xfId="0" applyNumberFormat="1" applyFont="1" applyFill="1" applyBorder="1" applyAlignment="1" applyProtection="1">
      <alignment horizontal="center" vertical="center" wrapText="1"/>
      <protection locked="0"/>
    </xf>
    <xf numFmtId="0" fontId="44" fillId="0" borderId="0" xfId="44" applyFont="1" applyAlignment="1" applyProtection="1">
      <alignment horizontal="center"/>
    </xf>
    <xf numFmtId="0" fontId="8" fillId="0" borderId="0" xfId="0" applyFont="1" applyFill="1" applyBorder="1" applyAlignment="1" applyProtection="1">
      <alignment horizontal="right"/>
      <protection locked="0"/>
    </xf>
    <xf numFmtId="0" fontId="35" fillId="0" borderId="0" xfId="0" applyFont="1" applyFill="1" applyBorder="1" applyAlignment="1" applyProtection="1">
      <alignment horizontal="right"/>
      <protection locked="0"/>
    </xf>
    <xf numFmtId="175" fontId="35" fillId="0" borderId="34" xfId="1" applyNumberFormat="1" applyFont="1" applyFill="1" applyBorder="1" applyAlignment="1" applyProtection="1">
      <alignment vertical="center"/>
    </xf>
    <xf numFmtId="175" fontId="35" fillId="0" borderId="37" xfId="1" applyNumberFormat="1" applyFont="1" applyFill="1" applyBorder="1" applyAlignment="1" applyProtection="1">
      <alignment vertical="center"/>
    </xf>
    <xf numFmtId="175" fontId="35" fillId="0" borderId="40" xfId="1" applyNumberFormat="1" applyFont="1" applyFill="1" applyBorder="1" applyAlignment="1" applyProtection="1">
      <alignment vertical="center"/>
    </xf>
    <xf numFmtId="2" fontId="0" fillId="0" borderId="0" xfId="0" applyNumberFormat="1" applyFont="1" applyFill="1" applyBorder="1" applyProtection="1">
      <protection hidden="1"/>
    </xf>
    <xf numFmtId="40" fontId="45" fillId="0" borderId="61" xfId="44" applyNumberFormat="1" applyFont="1" applyBorder="1" applyAlignment="1" applyProtection="1">
      <alignment horizontal="center" vertical="center"/>
      <protection hidden="1"/>
    </xf>
    <xf numFmtId="40" fontId="45" fillId="0" borderId="37" xfId="44" applyNumberFormat="1" applyFont="1" applyBorder="1" applyAlignment="1" applyProtection="1">
      <alignment horizontal="center" vertical="center"/>
      <protection hidden="1"/>
    </xf>
    <xf numFmtId="40" fontId="35" fillId="0" borderId="58" xfId="44" applyNumberFormat="1" applyFont="1" applyBorder="1" applyAlignment="1" applyProtection="1">
      <alignment horizontal="center" vertical="center" wrapText="1"/>
      <protection hidden="1"/>
    </xf>
    <xf numFmtId="0" fontId="44" fillId="0" borderId="0" xfId="44" applyFont="1" applyAlignment="1" applyProtection="1">
      <alignment horizontal="center"/>
    </xf>
    <xf numFmtId="2" fontId="8" fillId="0" borderId="56" xfId="0" applyNumberFormat="1" applyFont="1" applyBorder="1" applyAlignment="1" applyProtection="1">
      <alignment horizontal="center" vertical="center"/>
      <protection locked="0"/>
    </xf>
    <xf numFmtId="2" fontId="8" fillId="0" borderId="56" xfId="0" applyNumberFormat="1" applyFont="1" applyFill="1" applyBorder="1" applyAlignment="1" applyProtection="1">
      <alignment horizontal="center" vertical="center"/>
      <protection locked="0"/>
    </xf>
    <xf numFmtId="176" fontId="35" fillId="0" borderId="37" xfId="1" applyNumberFormat="1" applyFont="1" applyFill="1" applyBorder="1" applyAlignment="1" applyProtection="1">
      <alignment horizontal="center" vertical="center"/>
      <protection locked="0"/>
    </xf>
    <xf numFmtId="38" fontId="35" fillId="0" borderId="37" xfId="1" applyNumberFormat="1" applyFont="1" applyFill="1" applyBorder="1" applyAlignment="1" applyProtection="1">
      <alignment horizontal="center" vertical="center"/>
      <protection locked="0"/>
    </xf>
    <xf numFmtId="0" fontId="42" fillId="40" borderId="59" xfId="44" applyFont="1" applyFill="1" applyBorder="1" applyAlignment="1" applyProtection="1">
      <alignment horizontal="center" vertical="center" wrapText="1"/>
    </xf>
    <xf numFmtId="10" fontId="34" fillId="0" borderId="60" xfId="44" applyNumberFormat="1" applyFont="1" applyFill="1" applyBorder="1" applyAlignment="1" applyProtection="1">
      <alignment horizontal="center" vertical="center" wrapText="1"/>
    </xf>
    <xf numFmtId="40" fontId="45" fillId="0" borderId="37" xfId="44" applyNumberFormat="1" applyFont="1" applyFill="1" applyBorder="1" applyAlignment="1" applyProtection="1">
      <alignment vertical="center"/>
      <protection hidden="1"/>
    </xf>
    <xf numFmtId="40" fontId="45" fillId="0" borderId="40" xfId="44" applyNumberFormat="1" applyFont="1" applyFill="1" applyBorder="1" applyAlignment="1" applyProtection="1">
      <alignment horizontal="right" vertical="center" wrapText="1"/>
    </xf>
    <xf numFmtId="175" fontId="35" fillId="0" borderId="59" xfId="44" applyNumberFormat="1" applyFont="1" applyFill="1" applyBorder="1" applyAlignment="1" applyProtection="1">
      <alignment horizontal="center" vertical="center" wrapText="1"/>
      <protection hidden="1"/>
    </xf>
    <xf numFmtId="10" fontId="34" fillId="40" borderId="59" xfId="44" applyNumberFormat="1" applyFont="1" applyFill="1" applyBorder="1" applyAlignment="1" applyProtection="1">
      <alignment horizontal="center" vertical="center" wrapText="1"/>
    </xf>
    <xf numFmtId="10" fontId="34" fillId="41" borderId="59" xfId="44" applyNumberFormat="1" applyFont="1" applyFill="1" applyBorder="1" applyAlignment="1" applyProtection="1">
      <alignment horizontal="center" vertical="center" wrapText="1"/>
    </xf>
    <xf numFmtId="0" fontId="42" fillId="41" borderId="59" xfId="44" applyFont="1" applyFill="1" applyBorder="1" applyAlignment="1" applyProtection="1">
      <alignment horizontal="center" vertical="center" wrapText="1"/>
    </xf>
    <xf numFmtId="1" fontId="0" fillId="0" borderId="0" xfId="0" applyNumberFormat="1" applyFont="1" applyFill="1" applyBorder="1" applyProtection="1">
      <protection hidden="1"/>
    </xf>
    <xf numFmtId="40" fontId="45" fillId="41" borderId="4" xfId="44" applyNumberFormat="1" applyFont="1" applyFill="1" applyBorder="1" applyProtection="1"/>
    <xf numFmtId="0" fontId="47" fillId="41" borderId="4" xfId="44" applyFont="1" applyFill="1" applyBorder="1" applyAlignment="1" applyProtection="1">
      <alignment horizontal="center" vertical="center" wrapText="1"/>
    </xf>
    <xf numFmtId="0" fontId="48" fillId="41" borderId="66" xfId="44" applyFont="1" applyFill="1" applyBorder="1" applyAlignment="1" applyProtection="1">
      <alignment horizontal="right" vertical="center"/>
    </xf>
    <xf numFmtId="0" fontId="45" fillId="41" borderId="4" xfId="44" applyFont="1" applyFill="1" applyBorder="1" applyAlignment="1" applyProtection="1">
      <alignment horizontal="left"/>
    </xf>
    <xf numFmtId="0" fontId="45" fillId="41" borderId="66" xfId="44" applyFont="1" applyFill="1" applyBorder="1" applyAlignment="1" applyProtection="1">
      <alignment horizontal="center"/>
    </xf>
    <xf numFmtId="0" fontId="45" fillId="41" borderId="67" xfId="44" applyFont="1" applyFill="1" applyBorder="1" applyAlignment="1" applyProtection="1">
      <alignment horizontal="center"/>
    </xf>
    <xf numFmtId="0" fontId="47" fillId="41" borderId="4" xfId="44" applyFont="1" applyFill="1" applyBorder="1" applyAlignment="1" applyProtection="1">
      <alignment horizontal="left"/>
    </xf>
    <xf numFmtId="175" fontId="45" fillId="41" borderId="4" xfId="44" applyNumberFormat="1" applyFont="1" applyFill="1" applyBorder="1" applyProtection="1"/>
    <xf numFmtId="0" fontId="2" fillId="41" borderId="4" xfId="44" applyFont="1" applyFill="1" applyBorder="1" applyAlignment="1" applyProtection="1">
      <alignment horizontal="center" vertical="center"/>
    </xf>
    <xf numFmtId="38" fontId="35" fillId="0" borderId="34" xfId="1" applyNumberFormat="1" applyFont="1" applyFill="1" applyBorder="1" applyAlignment="1" applyProtection="1">
      <alignment horizontal="center" vertical="center"/>
      <protection locked="0"/>
    </xf>
    <xf numFmtId="175" fontId="45" fillId="0" borderId="61" xfId="44" applyNumberFormat="1" applyFont="1" applyBorder="1" applyAlignment="1" applyProtection="1">
      <alignment horizontal="center" vertical="center"/>
      <protection hidden="1"/>
    </xf>
    <xf numFmtId="0" fontId="35" fillId="0" borderId="0" xfId="0" applyFont="1" applyFill="1" applyBorder="1" applyAlignment="1" applyProtection="1">
      <alignment vertical="center"/>
      <protection locked="0"/>
    </xf>
    <xf numFmtId="0" fontId="40" fillId="0" borderId="0" xfId="0" applyFont="1" applyFill="1" applyBorder="1" applyAlignment="1" applyProtection="1">
      <protection locked="0"/>
    </xf>
    <xf numFmtId="40" fontId="40" fillId="0" borderId="0" xfId="0" applyNumberFormat="1" applyFont="1" applyFill="1" applyBorder="1" applyAlignment="1" applyProtection="1"/>
    <xf numFmtId="40" fontId="41" fillId="0" borderId="0" xfId="0" applyNumberFormat="1" applyFont="1" applyFill="1" applyBorder="1" applyAlignment="1" applyProtection="1"/>
    <xf numFmtId="0" fontId="41" fillId="0" borderId="5" xfId="0" applyFont="1" applyFill="1" applyBorder="1" applyAlignment="1" applyProtection="1">
      <protection locked="0"/>
    </xf>
    <xf numFmtId="0" fontId="35" fillId="0" borderId="0" xfId="0" applyFont="1" applyFill="1" applyBorder="1" applyProtection="1">
      <protection locked="0"/>
    </xf>
    <xf numFmtId="0" fontId="0" fillId="0" borderId="5" xfId="0" applyFont="1" applyFill="1" applyBorder="1" applyProtection="1">
      <protection locked="0"/>
    </xf>
    <xf numFmtId="176" fontId="35" fillId="0" borderId="56" xfId="1" applyNumberFormat="1" applyFont="1" applyBorder="1" applyAlignment="1" applyProtection="1">
      <alignment horizontal="center" vertical="center"/>
      <protection locked="0"/>
    </xf>
    <xf numFmtId="175" fontId="35" fillId="0" borderId="48" xfId="0" applyNumberFormat="1" applyFont="1" applyFill="1" applyBorder="1" applyAlignment="1" applyProtection="1">
      <alignment horizontal="center" vertical="center"/>
      <protection hidden="1"/>
    </xf>
    <xf numFmtId="40" fontId="40" fillId="0" borderId="0" xfId="0" applyNumberFormat="1" applyFont="1" applyFill="1" applyBorder="1" applyAlignment="1" applyProtection="1">
      <alignment horizontal="center"/>
    </xf>
    <xf numFmtId="40" fontId="39" fillId="0" borderId="0" xfId="0" applyNumberFormat="1" applyFont="1" applyFill="1" applyBorder="1" applyAlignment="1" applyProtection="1">
      <alignment horizontal="center"/>
    </xf>
    <xf numFmtId="40" fontId="40" fillId="0" borderId="0" xfId="0" applyNumberFormat="1" applyFont="1" applyFill="1" applyBorder="1" applyAlignment="1" applyProtection="1">
      <alignment horizontal="center"/>
    </xf>
    <xf numFmtId="0" fontId="35" fillId="0" borderId="0" xfId="0" applyFont="1" applyFill="1" applyBorder="1" applyAlignment="1" applyProtection="1">
      <alignment horizontal="right"/>
      <protection locked="0"/>
    </xf>
    <xf numFmtId="0" fontId="8" fillId="0" borderId="0" xfId="0" applyFont="1" applyFill="1" applyBorder="1" applyAlignment="1" applyProtection="1">
      <alignment horizontal="right"/>
      <protection locked="0"/>
    </xf>
    <xf numFmtId="175" fontId="35" fillId="0" borderId="37" xfId="1" applyNumberFormat="1" applyFont="1" applyFill="1" applyBorder="1" applyAlignment="1" applyProtection="1">
      <alignment horizontal="center" vertical="center"/>
    </xf>
    <xf numFmtId="0" fontId="39" fillId="0" borderId="0" xfId="0" applyFont="1" applyFill="1" applyBorder="1" applyAlignment="1" applyProtection="1">
      <protection locked="0"/>
    </xf>
    <xf numFmtId="40" fontId="45" fillId="5" borderId="37" xfId="44" applyNumberFormat="1" applyFont="1" applyFill="1" applyBorder="1" applyAlignment="1" applyProtection="1">
      <alignment vertical="center"/>
      <protection hidden="1"/>
    </xf>
    <xf numFmtId="0" fontId="42" fillId="39" borderId="59" xfId="44" applyFont="1" applyFill="1" applyBorder="1" applyAlignment="1" applyProtection="1">
      <alignment horizontal="center" vertical="center" wrapText="1"/>
    </xf>
    <xf numFmtId="0" fontId="1" fillId="39" borderId="59" xfId="44" applyFont="1" applyFill="1" applyBorder="1" applyAlignment="1" applyProtection="1">
      <alignment horizontal="center" vertical="center" wrapText="1"/>
    </xf>
    <xf numFmtId="40" fontId="45" fillId="0" borderId="40" xfId="44" applyNumberFormat="1" applyFont="1" applyFill="1" applyBorder="1" applyAlignment="1" applyProtection="1">
      <alignment vertical="center"/>
    </xf>
    <xf numFmtId="0" fontId="5" fillId="0" borderId="41" xfId="44" applyFill="1" applyBorder="1" applyProtection="1"/>
    <xf numFmtId="40" fontId="35" fillId="0" borderId="59" xfId="44" applyNumberFormat="1" applyFont="1" applyBorder="1" applyAlignment="1" applyProtection="1">
      <alignment horizontal="center" vertical="center" wrapText="1"/>
      <protection hidden="1"/>
    </xf>
    <xf numFmtId="0" fontId="41" fillId="38" borderId="0" xfId="0" applyFont="1" applyFill="1" applyBorder="1" applyAlignment="1" applyProtection="1">
      <protection locked="0"/>
    </xf>
    <xf numFmtId="40" fontId="40" fillId="38" borderId="0" xfId="0" applyNumberFormat="1" applyFont="1" applyFill="1" applyBorder="1" applyAlignment="1" applyProtection="1"/>
    <xf numFmtId="0" fontId="40" fillId="38" borderId="0" xfId="0" applyFont="1" applyFill="1" applyBorder="1" applyAlignment="1" applyProtection="1">
      <protection locked="0"/>
    </xf>
    <xf numFmtId="0" fontId="0" fillId="38" borderId="0" xfId="0" applyFont="1" applyFill="1" applyBorder="1" applyAlignment="1" applyProtection="1">
      <protection locked="0"/>
    </xf>
    <xf numFmtId="40" fontId="45" fillId="38" borderId="61" xfId="44" applyNumberFormat="1" applyFont="1" applyFill="1" applyBorder="1" applyAlignment="1" applyProtection="1">
      <alignment vertical="center"/>
      <protection hidden="1"/>
    </xf>
    <xf numFmtId="0" fontId="0" fillId="0" borderId="70" xfId="0" applyFont="1" applyFill="1" applyBorder="1" applyProtection="1">
      <protection locked="0"/>
    </xf>
    <xf numFmtId="175" fontId="34" fillId="0" borderId="0" xfId="0" applyNumberFormat="1" applyFont="1" applyFill="1" applyBorder="1" applyAlignment="1" applyProtection="1">
      <alignment horizontal="center" vertical="center"/>
      <protection hidden="1"/>
    </xf>
    <xf numFmtId="175" fontId="35" fillId="0" borderId="0" xfId="0" applyNumberFormat="1" applyFont="1" applyFill="1" applyBorder="1" applyAlignment="1" applyProtection="1">
      <alignment horizontal="center" vertical="center"/>
      <protection hidden="1"/>
    </xf>
    <xf numFmtId="40" fontId="35" fillId="0" borderId="0" xfId="0" applyNumberFormat="1" applyFont="1" applyFill="1" applyBorder="1" applyAlignment="1" applyProtection="1">
      <alignment horizontal="center" vertical="center"/>
      <protection hidden="1"/>
    </xf>
    <xf numFmtId="40" fontId="35" fillId="0" borderId="0" xfId="0" applyNumberFormat="1" applyFont="1" applyFill="1" applyBorder="1" applyAlignment="1" applyProtection="1">
      <alignment vertical="center"/>
      <protection hidden="1"/>
    </xf>
    <xf numFmtId="175" fontId="34" fillId="0" borderId="47" xfId="0" applyNumberFormat="1" applyFont="1" applyFill="1" applyBorder="1" applyAlignment="1" applyProtection="1">
      <alignment horizontal="right" vertical="center"/>
      <protection hidden="1"/>
    </xf>
    <xf numFmtId="175" fontId="35" fillId="38" borderId="37" xfId="1" applyNumberFormat="1" applyFont="1" applyFill="1" applyBorder="1" applyAlignment="1" applyProtection="1">
      <alignment horizontal="center" vertical="center"/>
      <protection locked="0"/>
    </xf>
    <xf numFmtId="175" fontId="35" fillId="38" borderId="34" xfId="1" applyNumberFormat="1" applyFont="1" applyFill="1" applyBorder="1" applyAlignment="1" applyProtection="1">
      <alignment vertical="center"/>
      <protection locked="0"/>
    </xf>
    <xf numFmtId="40" fontId="34" fillId="0" borderId="48" xfId="0" applyNumberFormat="1" applyFont="1" applyFill="1" applyBorder="1" applyAlignment="1" applyProtection="1">
      <alignment horizontal="center" vertical="center"/>
      <protection hidden="1"/>
    </xf>
    <xf numFmtId="40" fontId="35" fillId="0" borderId="37" xfId="1" applyNumberFormat="1" applyFont="1" applyFill="1" applyBorder="1" applyAlignment="1" applyProtection="1">
      <alignment horizontal="center" vertical="center"/>
    </xf>
    <xf numFmtId="175" fontId="35" fillId="38" borderId="37" xfId="1" applyNumberFormat="1" applyFont="1" applyFill="1" applyBorder="1" applyAlignment="1" applyProtection="1">
      <alignment vertical="center"/>
    </xf>
    <xf numFmtId="40" fontId="40" fillId="0" borderId="0" xfId="0" applyNumberFormat="1" applyFont="1" applyFill="1" applyBorder="1" applyAlignment="1" applyProtection="1">
      <alignment horizontal="center"/>
    </xf>
    <xf numFmtId="40" fontId="39" fillId="38" borderId="0" xfId="0" applyNumberFormat="1" applyFont="1" applyFill="1" applyBorder="1" applyAlignment="1" applyProtection="1">
      <alignment horizontal="center"/>
    </xf>
    <xf numFmtId="0" fontId="7" fillId="5" borderId="55" xfId="0" applyFont="1" applyFill="1" applyBorder="1" applyAlignment="1" applyProtection="1">
      <alignment horizontal="center" vertical="top" wrapText="1"/>
      <protection locked="0"/>
    </xf>
    <xf numFmtId="40" fontId="39" fillId="38" borderId="0" xfId="0" applyNumberFormat="1" applyFont="1" applyFill="1" applyBorder="1" applyAlignment="1" applyProtection="1"/>
    <xf numFmtId="0" fontId="39" fillId="38" borderId="0" xfId="0" applyFont="1" applyFill="1" applyBorder="1" applyAlignment="1" applyProtection="1"/>
    <xf numFmtId="40" fontId="45" fillId="5" borderId="4" xfId="44" applyNumberFormat="1" applyFont="1" applyFill="1" applyBorder="1" applyProtection="1"/>
    <xf numFmtId="175" fontId="35" fillId="0" borderId="73" xfId="1" applyNumberFormat="1" applyFont="1" applyFill="1" applyBorder="1" applyAlignment="1" applyProtection="1">
      <alignment vertical="center"/>
      <protection hidden="1"/>
    </xf>
    <xf numFmtId="175" fontId="35" fillId="0" borderId="74" xfId="1" applyNumberFormat="1" applyFont="1" applyFill="1" applyBorder="1" applyAlignment="1" applyProtection="1">
      <alignment vertical="center"/>
      <protection hidden="1"/>
    </xf>
    <xf numFmtId="175" fontId="35" fillId="0" borderId="72" xfId="1" applyNumberFormat="1" applyFont="1" applyFill="1" applyBorder="1" applyAlignment="1" applyProtection="1">
      <alignment vertical="center"/>
      <protection hidden="1"/>
    </xf>
    <xf numFmtId="38" fontId="35" fillId="38" borderId="34" xfId="1" applyNumberFormat="1" applyFont="1" applyFill="1" applyBorder="1" applyAlignment="1" applyProtection="1">
      <alignment horizontal="center" vertical="center"/>
      <protection locked="0"/>
    </xf>
    <xf numFmtId="38" fontId="35" fillId="38" borderId="34" xfId="1" applyNumberFormat="1" applyFont="1" applyFill="1" applyBorder="1" applyAlignment="1" applyProtection="1">
      <alignment horizontal="right" vertical="center"/>
      <protection hidden="1"/>
    </xf>
    <xf numFmtId="38" fontId="35" fillId="38" borderId="37" xfId="1" applyNumberFormat="1" applyFont="1" applyFill="1" applyBorder="1" applyAlignment="1" applyProtection="1">
      <alignment horizontal="center" vertical="center"/>
      <protection locked="0"/>
    </xf>
    <xf numFmtId="38" fontId="35" fillId="38" borderId="37" xfId="1" applyNumberFormat="1" applyFont="1" applyFill="1" applyBorder="1" applyAlignment="1" applyProtection="1">
      <alignment horizontal="right" vertical="center"/>
      <protection hidden="1"/>
    </xf>
    <xf numFmtId="175" fontId="35" fillId="0" borderId="75" xfId="1" applyNumberFormat="1" applyFont="1" applyFill="1" applyBorder="1" applyAlignment="1" applyProtection="1">
      <alignment vertical="center"/>
      <protection hidden="1"/>
    </xf>
    <xf numFmtId="175" fontId="35" fillId="0" borderId="76" xfId="1" applyNumberFormat="1" applyFont="1" applyFill="1" applyBorder="1" applyAlignment="1" applyProtection="1">
      <alignment vertical="center"/>
      <protection hidden="1"/>
    </xf>
    <xf numFmtId="175" fontId="35" fillId="0" borderId="77" xfId="1" applyNumberFormat="1" applyFont="1" applyFill="1" applyBorder="1" applyAlignment="1" applyProtection="1">
      <alignment vertical="center"/>
      <protection hidden="1"/>
    </xf>
    <xf numFmtId="0" fontId="0" fillId="38" borderId="0" xfId="0" applyFont="1" applyFill="1" applyBorder="1" applyProtection="1">
      <protection locked="0"/>
    </xf>
    <xf numFmtId="174" fontId="8" fillId="38" borderId="36" xfId="0" applyNumberFormat="1" applyFont="1" applyFill="1" applyBorder="1" applyAlignment="1" applyProtection="1">
      <alignment horizontal="center" vertical="center"/>
      <protection hidden="1"/>
    </xf>
    <xf numFmtId="175" fontId="35" fillId="38" borderId="37" xfId="0" applyNumberFormat="1" applyFont="1" applyFill="1" applyBorder="1" applyAlignment="1" applyProtection="1">
      <alignment horizontal="center" vertical="center"/>
      <protection locked="0"/>
    </xf>
    <xf numFmtId="175" fontId="35" fillId="38" borderId="37" xfId="1" applyNumberFormat="1" applyFont="1" applyFill="1" applyBorder="1" applyAlignment="1" applyProtection="1">
      <alignment horizontal="center" vertical="center"/>
    </xf>
    <xf numFmtId="175" fontId="35" fillId="38" borderId="37" xfId="1" applyNumberFormat="1" applyFont="1" applyFill="1" applyBorder="1" applyAlignment="1" applyProtection="1">
      <alignment vertical="center"/>
      <protection hidden="1"/>
    </xf>
    <xf numFmtId="175" fontId="35" fillId="38" borderId="76" xfId="1" applyNumberFormat="1" applyFont="1" applyFill="1" applyBorder="1" applyAlignment="1" applyProtection="1">
      <alignment vertical="center"/>
      <protection hidden="1"/>
    </xf>
    <xf numFmtId="175" fontId="35" fillId="38" borderId="38" xfId="1" applyNumberFormat="1" applyFont="1" applyFill="1" applyBorder="1" applyAlignment="1" applyProtection="1">
      <alignment vertical="center"/>
      <protection hidden="1"/>
    </xf>
    <xf numFmtId="38" fontId="0" fillId="38" borderId="0" xfId="0" applyNumberFormat="1" applyFont="1" applyFill="1" applyBorder="1" applyProtection="1">
      <protection hidden="1"/>
    </xf>
    <xf numFmtId="175" fontId="0" fillId="38" borderId="0" xfId="0" applyNumberFormat="1" applyFont="1" applyFill="1" applyBorder="1" applyProtection="1">
      <protection hidden="1"/>
    </xf>
    <xf numFmtId="1" fontId="0" fillId="38" borderId="0" xfId="0" applyNumberFormat="1" applyFont="1" applyFill="1" applyBorder="1" applyProtection="1">
      <protection hidden="1"/>
    </xf>
    <xf numFmtId="175" fontId="35" fillId="38" borderId="72" xfId="1" applyNumberFormat="1" applyFont="1" applyFill="1" applyBorder="1" applyAlignment="1" applyProtection="1">
      <alignment vertical="center"/>
      <protection hidden="1"/>
    </xf>
    <xf numFmtId="40" fontId="35" fillId="38" borderId="37" xfId="1" applyNumberFormat="1" applyFont="1" applyFill="1" applyBorder="1" applyAlignment="1" applyProtection="1">
      <alignment horizontal="center" vertical="center"/>
      <protection locked="0"/>
    </xf>
    <xf numFmtId="4" fontId="50" fillId="0" borderId="0" xfId="0" applyNumberFormat="1" applyFont="1" applyFill="1" applyBorder="1"/>
    <xf numFmtId="4" fontId="51" fillId="0" borderId="0" xfId="0" applyNumberFormat="1" applyFont="1" applyFill="1" applyBorder="1" applyAlignment="1">
      <alignment horizontal="right"/>
    </xf>
    <xf numFmtId="0" fontId="31" fillId="0" borderId="0" xfId="44" applyFont="1" applyAlignment="1" applyProtection="1">
      <alignment horizontal="right"/>
    </xf>
    <xf numFmtId="175" fontId="35" fillId="0" borderId="37" xfId="0" applyNumberFormat="1" applyFont="1" applyFill="1" applyBorder="1" applyAlignment="1" applyProtection="1">
      <alignment horizontal="right" vertical="center"/>
      <protection locked="0"/>
    </xf>
    <xf numFmtId="40" fontId="35" fillId="0" borderId="37" xfId="1" applyNumberFormat="1" applyFont="1" applyFill="1" applyBorder="1" applyAlignment="1" applyProtection="1">
      <alignment horizontal="center" vertical="center"/>
      <protection locked="0"/>
    </xf>
    <xf numFmtId="40" fontId="39" fillId="38" borderId="0" xfId="0" applyNumberFormat="1" applyFont="1" applyFill="1" applyBorder="1" applyAlignment="1" applyProtection="1">
      <alignment horizontal="center"/>
    </xf>
    <xf numFmtId="40" fontId="40" fillId="38" borderId="0" xfId="0" applyNumberFormat="1" applyFont="1" applyFill="1" applyBorder="1" applyAlignment="1" applyProtection="1">
      <alignment horizontal="center"/>
    </xf>
    <xf numFmtId="40" fontId="39" fillId="0" borderId="0" xfId="0" applyNumberFormat="1" applyFont="1" applyFill="1" applyBorder="1" applyAlignment="1" applyProtection="1">
      <alignment horizontal="center"/>
    </xf>
    <xf numFmtId="40" fontId="40" fillId="0" borderId="0" xfId="0" applyNumberFormat="1" applyFont="1" applyFill="1" applyBorder="1" applyAlignment="1" applyProtection="1">
      <alignment horizontal="center"/>
    </xf>
    <xf numFmtId="40" fontId="39" fillId="38" borderId="0" xfId="0" applyNumberFormat="1" applyFont="1" applyFill="1" applyBorder="1" applyAlignment="1" applyProtection="1">
      <alignment horizontal="center"/>
    </xf>
    <xf numFmtId="40" fontId="40" fillId="38" borderId="0" xfId="0" applyNumberFormat="1" applyFont="1" applyFill="1" applyBorder="1" applyAlignment="1" applyProtection="1">
      <alignment horizontal="center"/>
    </xf>
    <xf numFmtId="40" fontId="39" fillId="0" borderId="0" xfId="0" applyNumberFormat="1" applyFont="1" applyFill="1" applyBorder="1" applyAlignment="1" applyProtection="1">
      <alignment horizontal="center"/>
    </xf>
    <xf numFmtId="40" fontId="40" fillId="0" borderId="0" xfId="0" applyNumberFormat="1" applyFont="1" applyFill="1" applyBorder="1" applyAlignment="1" applyProtection="1">
      <alignment horizontal="center"/>
    </xf>
    <xf numFmtId="175" fontId="35" fillId="0" borderId="79" xfId="1" applyNumberFormat="1" applyFont="1" applyFill="1" applyBorder="1" applyAlignment="1" applyProtection="1">
      <alignment vertical="center"/>
      <protection hidden="1"/>
    </xf>
    <xf numFmtId="175" fontId="35" fillId="0" borderId="65" xfId="1" applyNumberFormat="1" applyFont="1" applyFill="1" applyBorder="1" applyAlignment="1" applyProtection="1">
      <alignment vertical="center"/>
      <protection hidden="1"/>
    </xf>
    <xf numFmtId="175" fontId="35" fillId="0" borderId="78" xfId="1" applyNumberFormat="1" applyFont="1" applyFill="1" applyBorder="1" applyAlignment="1" applyProtection="1">
      <alignment vertical="center"/>
      <protection hidden="1"/>
    </xf>
    <xf numFmtId="38" fontId="35" fillId="38" borderId="61" xfId="1" applyNumberFormat="1" applyFont="1" applyFill="1" applyBorder="1" applyAlignment="1" applyProtection="1">
      <alignment horizontal="right" vertical="center"/>
      <protection hidden="1"/>
    </xf>
    <xf numFmtId="38" fontId="35" fillId="0" borderId="40" xfId="0" applyNumberFormat="1" applyFont="1" applyBorder="1" applyAlignment="1" applyProtection="1">
      <alignment horizontal="center" vertical="center"/>
      <protection locked="0"/>
    </xf>
    <xf numFmtId="38" fontId="35" fillId="38" borderId="40" xfId="1" applyNumberFormat="1" applyFont="1" applyFill="1" applyBorder="1" applyAlignment="1" applyProtection="1">
      <alignment horizontal="right" vertical="center"/>
      <protection hidden="1"/>
    </xf>
    <xf numFmtId="40" fontId="39" fillId="38" borderId="0" xfId="0" applyNumberFormat="1" applyFont="1" applyFill="1" applyBorder="1" applyAlignment="1" applyProtection="1">
      <alignment horizontal="center"/>
    </xf>
    <xf numFmtId="40" fontId="40" fillId="38" borderId="0" xfId="0" applyNumberFormat="1" applyFont="1" applyFill="1" applyBorder="1" applyAlignment="1" applyProtection="1">
      <alignment horizontal="center"/>
    </xf>
    <xf numFmtId="40" fontId="39" fillId="0" borderId="0" xfId="0" applyNumberFormat="1" applyFont="1" applyFill="1" applyBorder="1" applyAlignment="1" applyProtection="1">
      <alignment horizontal="center"/>
    </xf>
    <xf numFmtId="40" fontId="40" fillId="0" borderId="0" xfId="0" applyNumberFormat="1" applyFont="1" applyFill="1" applyBorder="1" applyAlignment="1" applyProtection="1">
      <alignment horizontal="center"/>
    </xf>
    <xf numFmtId="40" fontId="39" fillId="38" borderId="0" xfId="0" applyNumberFormat="1" applyFont="1" applyFill="1" applyBorder="1" applyAlignment="1" applyProtection="1">
      <alignment horizontal="center"/>
    </xf>
    <xf numFmtId="40" fontId="40" fillId="38" borderId="0" xfId="0" applyNumberFormat="1" applyFont="1" applyFill="1" applyBorder="1" applyAlignment="1" applyProtection="1">
      <alignment horizontal="center"/>
    </xf>
    <xf numFmtId="40" fontId="39" fillId="0" borderId="0" xfId="0" applyNumberFormat="1" applyFont="1" applyFill="1" applyBorder="1" applyAlignment="1" applyProtection="1">
      <alignment horizontal="center"/>
    </xf>
    <xf numFmtId="40" fontId="40" fillId="0" borderId="0" xfId="0" applyNumberFormat="1" applyFont="1" applyFill="1" applyBorder="1" applyAlignment="1" applyProtection="1">
      <alignment horizontal="center"/>
    </xf>
    <xf numFmtId="175" fontId="35" fillId="0" borderId="76" xfId="1" applyNumberFormat="1" applyFont="1" applyFill="1" applyBorder="1" applyAlignment="1" applyProtection="1">
      <alignment horizontal="center" vertical="center"/>
    </xf>
    <xf numFmtId="175" fontId="35" fillId="0" borderId="80" xfId="1" applyNumberFormat="1" applyFont="1" applyFill="1" applyBorder="1" applyAlignment="1" applyProtection="1">
      <alignment vertical="center"/>
      <protection hidden="1"/>
    </xf>
    <xf numFmtId="40" fontId="45" fillId="38" borderId="4" xfId="44" applyNumberFormat="1" applyFont="1" applyFill="1" applyBorder="1" applyProtection="1">
      <protection locked="0"/>
    </xf>
    <xf numFmtId="40" fontId="39" fillId="38" borderId="0" xfId="0" applyNumberFormat="1" applyFont="1" applyFill="1" applyBorder="1" applyAlignment="1" applyProtection="1">
      <alignment horizontal="center"/>
    </xf>
    <xf numFmtId="40" fontId="40" fillId="38" borderId="0" xfId="0" applyNumberFormat="1" applyFont="1" applyFill="1" applyBorder="1" applyAlignment="1" applyProtection="1">
      <alignment horizontal="center"/>
    </xf>
    <xf numFmtId="40" fontId="39" fillId="0" borderId="0" xfId="0" applyNumberFormat="1" applyFont="1" applyFill="1" applyBorder="1" applyAlignment="1" applyProtection="1">
      <alignment horizontal="center"/>
    </xf>
    <xf numFmtId="40" fontId="40" fillId="0" borderId="0" xfId="0" applyNumberFormat="1" applyFont="1" applyFill="1" applyBorder="1" applyAlignment="1" applyProtection="1">
      <alignment horizontal="center"/>
    </xf>
    <xf numFmtId="40" fontId="5" fillId="0" borderId="82" xfId="44" applyNumberFormat="1" applyBorder="1" applyAlignment="1" applyProtection="1">
      <alignment horizontal="center" vertical="center"/>
    </xf>
    <xf numFmtId="40" fontId="45" fillId="0" borderId="81" xfId="44" applyNumberFormat="1" applyFont="1" applyFill="1" applyBorder="1" applyAlignment="1" applyProtection="1">
      <alignment horizontal="right" vertical="center" wrapText="1"/>
    </xf>
    <xf numFmtId="40" fontId="45" fillId="0" borderId="81" xfId="44" applyNumberFormat="1" applyFont="1" applyBorder="1" applyAlignment="1" applyProtection="1">
      <alignment horizontal="right" vertical="center" wrapText="1"/>
    </xf>
    <xf numFmtId="40" fontId="45" fillId="0" borderId="81" xfId="44" applyNumberFormat="1" applyFont="1" applyFill="1" applyBorder="1" applyAlignment="1" applyProtection="1">
      <alignment vertical="center"/>
    </xf>
    <xf numFmtId="38" fontId="35" fillId="0" borderId="81" xfId="44" applyNumberFormat="1" applyFont="1" applyBorder="1" applyAlignment="1" applyProtection="1">
      <alignment horizontal="center" vertical="center" wrapText="1"/>
    </xf>
    <xf numFmtId="175" fontId="45" fillId="0" borderId="81" xfId="44" applyNumberFormat="1" applyFont="1" applyBorder="1" applyAlignment="1" applyProtection="1">
      <alignment horizontal="right" vertical="center" wrapText="1"/>
    </xf>
    <xf numFmtId="40" fontId="45" fillId="0" borderId="37" xfId="44" applyNumberFormat="1" applyFont="1" applyBorder="1" applyAlignment="1" applyProtection="1">
      <alignment horizontal="right" vertical="center" wrapText="1"/>
    </xf>
    <xf numFmtId="175" fontId="45" fillId="0" borderId="37" xfId="44" applyNumberFormat="1" applyFont="1" applyBorder="1" applyAlignment="1" applyProtection="1">
      <alignment horizontal="right" vertical="center" wrapText="1"/>
    </xf>
    <xf numFmtId="40" fontId="45" fillId="0" borderId="37" xfId="44" applyNumberFormat="1" applyFont="1" applyFill="1" applyBorder="1" applyAlignment="1" applyProtection="1">
      <alignment horizontal="right" vertical="center" wrapText="1"/>
    </xf>
    <xf numFmtId="40" fontId="45" fillId="0" borderId="37" xfId="44" applyNumberFormat="1" applyFont="1" applyFill="1" applyBorder="1" applyAlignment="1" applyProtection="1">
      <alignment vertical="center"/>
    </xf>
    <xf numFmtId="175" fontId="34" fillId="5" borderId="48" xfId="0" applyNumberFormat="1" applyFont="1" applyFill="1" applyBorder="1" applyAlignment="1" applyProtection="1">
      <alignment horizontal="center" vertical="center"/>
      <protection hidden="1"/>
    </xf>
    <xf numFmtId="40" fontId="39" fillId="38" borderId="0" xfId="0" applyNumberFormat="1" applyFont="1" applyFill="1" applyBorder="1" applyAlignment="1" applyProtection="1">
      <alignment horizontal="center"/>
    </xf>
    <xf numFmtId="40" fontId="40" fillId="38" borderId="0" xfId="0" applyNumberFormat="1" applyFont="1" applyFill="1" applyBorder="1" applyAlignment="1" applyProtection="1">
      <alignment horizontal="center"/>
    </xf>
    <xf numFmtId="40" fontId="39" fillId="0" borderId="0" xfId="0" applyNumberFormat="1" applyFont="1" applyFill="1" applyBorder="1" applyAlignment="1" applyProtection="1">
      <alignment horizontal="center"/>
    </xf>
    <xf numFmtId="40" fontId="40" fillId="0" borderId="0" xfId="0" applyNumberFormat="1" applyFont="1" applyFill="1" applyBorder="1" applyAlignment="1" applyProtection="1">
      <alignment horizontal="center"/>
    </xf>
    <xf numFmtId="40" fontId="39" fillId="38" borderId="0" xfId="0" applyNumberFormat="1" applyFont="1" applyFill="1" applyBorder="1" applyAlignment="1" applyProtection="1">
      <alignment horizontal="center"/>
    </xf>
    <xf numFmtId="40" fontId="40" fillId="38" borderId="0" xfId="0" applyNumberFormat="1" applyFont="1" applyFill="1" applyBorder="1" applyAlignment="1" applyProtection="1">
      <alignment horizontal="center"/>
    </xf>
    <xf numFmtId="40" fontId="39" fillId="0" borderId="0" xfId="0" applyNumberFormat="1" applyFont="1" applyFill="1" applyBorder="1" applyAlignment="1" applyProtection="1">
      <alignment horizontal="center"/>
    </xf>
    <xf numFmtId="40" fontId="40" fillId="0" borderId="0" xfId="0" applyNumberFormat="1" applyFont="1" applyFill="1" applyBorder="1" applyAlignment="1" applyProtection="1">
      <alignment horizontal="center"/>
    </xf>
    <xf numFmtId="175" fontId="34" fillId="38" borderId="48" xfId="0" applyNumberFormat="1" applyFont="1" applyFill="1" applyBorder="1" applyAlignment="1" applyProtection="1">
      <alignment horizontal="center" vertical="center"/>
      <protection hidden="1"/>
    </xf>
    <xf numFmtId="40" fontId="39" fillId="38" borderId="0" xfId="0" applyNumberFormat="1" applyFont="1" applyFill="1" applyBorder="1" applyAlignment="1" applyProtection="1">
      <alignment horizontal="center"/>
    </xf>
    <xf numFmtId="40" fontId="40" fillId="38" borderId="0" xfId="0" applyNumberFormat="1" applyFont="1" applyFill="1" applyBorder="1" applyAlignment="1" applyProtection="1">
      <alignment horizontal="center"/>
    </xf>
    <xf numFmtId="40" fontId="39" fillId="0" borderId="0" xfId="0" applyNumberFormat="1" applyFont="1" applyFill="1" applyBorder="1" applyAlignment="1" applyProtection="1">
      <alignment horizontal="center"/>
    </xf>
    <xf numFmtId="40" fontId="40" fillId="0" borderId="0" xfId="0" applyNumberFormat="1" applyFont="1" applyFill="1" applyBorder="1" applyAlignment="1" applyProtection="1">
      <alignment horizontal="center"/>
    </xf>
    <xf numFmtId="40" fontId="39" fillId="38" borderId="0" xfId="0" applyNumberFormat="1" applyFont="1" applyFill="1" applyBorder="1" applyAlignment="1" applyProtection="1">
      <alignment horizontal="center"/>
    </xf>
    <xf numFmtId="40" fontId="40" fillId="38" borderId="0" xfId="0" applyNumberFormat="1" applyFont="1" applyFill="1" applyBorder="1" applyAlignment="1" applyProtection="1">
      <alignment horizontal="center"/>
    </xf>
    <xf numFmtId="40" fontId="39" fillId="0" borderId="0" xfId="0" applyNumberFormat="1" applyFont="1" applyFill="1" applyBorder="1" applyAlignment="1" applyProtection="1">
      <alignment horizontal="center"/>
    </xf>
    <xf numFmtId="40" fontId="40" fillId="0" borderId="0" xfId="0" applyNumberFormat="1" applyFont="1" applyFill="1" applyBorder="1" applyAlignment="1" applyProtection="1">
      <alignment horizontal="center"/>
    </xf>
    <xf numFmtId="4" fontId="51" fillId="0" borderId="0" xfId="0" applyNumberFormat="1" applyFont="1" applyFill="1" applyBorder="1" applyAlignment="1" applyProtection="1">
      <alignment horizontal="right"/>
      <protection locked="0"/>
    </xf>
    <xf numFmtId="175" fontId="35" fillId="3" borderId="37" xfId="1" applyNumberFormat="1" applyFont="1" applyFill="1" applyBorder="1" applyAlignment="1" applyProtection="1">
      <alignment horizontal="center" vertical="center"/>
      <protection locked="0"/>
    </xf>
    <xf numFmtId="40" fontId="39" fillId="38" borderId="0" xfId="0" applyNumberFormat="1" applyFont="1" applyFill="1" applyBorder="1" applyAlignment="1" applyProtection="1">
      <alignment horizontal="center"/>
    </xf>
    <xf numFmtId="40" fontId="40" fillId="38" borderId="0" xfId="0" applyNumberFormat="1" applyFont="1" applyFill="1" applyBorder="1" applyAlignment="1" applyProtection="1">
      <alignment horizontal="center"/>
    </xf>
    <xf numFmtId="40" fontId="39" fillId="0" borderId="0" xfId="0" applyNumberFormat="1" applyFont="1" applyFill="1" applyBorder="1" applyAlignment="1" applyProtection="1">
      <alignment horizontal="center"/>
    </xf>
    <xf numFmtId="40" fontId="40" fillId="0" borderId="0" xfId="0" applyNumberFormat="1" applyFont="1" applyFill="1" applyBorder="1" applyAlignment="1" applyProtection="1">
      <alignment horizontal="center"/>
    </xf>
    <xf numFmtId="38" fontId="35" fillId="0" borderId="79" xfId="1" applyNumberFormat="1" applyFont="1" applyFill="1" applyBorder="1" applyAlignment="1" applyProtection="1">
      <alignment horizontal="right" vertical="center"/>
      <protection hidden="1"/>
    </xf>
    <xf numFmtId="38" fontId="35" fillId="0" borderId="40" xfId="1" applyNumberFormat="1" applyFont="1" applyFill="1" applyBorder="1" applyAlignment="1" applyProtection="1">
      <alignment horizontal="right" vertical="center"/>
      <protection hidden="1"/>
    </xf>
    <xf numFmtId="38" fontId="35" fillId="41" borderId="37" xfId="1" applyNumberFormat="1" applyFont="1" applyFill="1" applyBorder="1" applyAlignment="1" applyProtection="1">
      <alignment horizontal="center" vertical="center"/>
      <protection locked="0"/>
    </xf>
    <xf numFmtId="38" fontId="35" fillId="41" borderId="34" xfId="1" applyNumberFormat="1" applyFont="1" applyFill="1" applyBorder="1" applyAlignment="1" applyProtection="1">
      <alignment horizontal="center" vertical="center"/>
      <protection locked="0"/>
    </xf>
    <xf numFmtId="40" fontId="35" fillId="0" borderId="37" xfId="1" applyNumberFormat="1" applyFont="1" applyFill="1" applyBorder="1" applyAlignment="1" applyProtection="1">
      <alignment horizontal="center" vertical="center"/>
      <protection locked="0"/>
    </xf>
    <xf numFmtId="40" fontId="34" fillId="5" borderId="48" xfId="0" applyNumberFormat="1" applyFont="1" applyFill="1" applyBorder="1" applyAlignment="1" applyProtection="1">
      <alignment horizontal="center" vertical="center"/>
      <protection hidden="1"/>
    </xf>
    <xf numFmtId="175" fontId="35" fillId="41" borderId="37" xfId="1" applyNumberFormat="1" applyFont="1" applyFill="1" applyBorder="1" applyAlignment="1" applyProtection="1">
      <alignment vertical="center"/>
      <protection locked="0"/>
    </xf>
    <xf numFmtId="175" fontId="35" fillId="41" borderId="37" xfId="1" applyNumberFormat="1" applyFont="1" applyFill="1" applyBorder="1" applyAlignment="1" applyProtection="1">
      <alignment horizontal="center" vertical="center"/>
      <protection locked="0"/>
    </xf>
    <xf numFmtId="38" fontId="35" fillId="0" borderId="37" xfId="48" applyNumberFormat="1" applyFont="1" applyFill="1" applyBorder="1" applyAlignment="1" applyProtection="1">
      <alignment horizontal="center" vertical="center"/>
      <protection locked="0"/>
    </xf>
    <xf numFmtId="0" fontId="0" fillId="0" borderId="37" xfId="0" applyFont="1" applyFill="1" applyBorder="1" applyAlignment="1" applyProtection="1">
      <alignment horizontal="center"/>
      <protection locked="0"/>
    </xf>
    <xf numFmtId="175" fontId="35" fillId="42" borderId="37" xfId="1" applyNumberFormat="1" applyFont="1" applyFill="1" applyBorder="1" applyAlignment="1" applyProtection="1">
      <alignment horizontal="center" vertical="center"/>
      <protection locked="0"/>
    </xf>
    <xf numFmtId="175" fontId="35" fillId="5" borderId="37" xfId="1" applyNumberFormat="1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10" fillId="38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 vertical="center"/>
    </xf>
    <xf numFmtId="165" fontId="7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174" fontId="46" fillId="0" borderId="2" xfId="44" applyNumberFormat="1" applyFont="1" applyBorder="1" applyAlignment="1" applyProtection="1">
      <alignment horizontal="left"/>
    </xf>
    <xf numFmtId="174" fontId="46" fillId="0" borderId="0" xfId="44" applyNumberFormat="1" applyFont="1" applyBorder="1" applyAlignment="1" applyProtection="1">
      <alignment horizontal="left"/>
    </xf>
    <xf numFmtId="0" fontId="5" fillId="0" borderId="0" xfId="44" applyAlignment="1" applyProtection="1">
      <alignment horizontal="center"/>
    </xf>
    <xf numFmtId="0" fontId="45" fillId="41" borderId="66" xfId="44" applyFont="1" applyFill="1" applyBorder="1" applyAlignment="1" applyProtection="1">
      <alignment horizontal="center"/>
    </xf>
    <xf numFmtId="0" fontId="45" fillId="41" borderId="67" xfId="44" applyFont="1" applyFill="1" applyBorder="1" applyAlignment="1" applyProtection="1">
      <alignment horizontal="center"/>
    </xf>
    <xf numFmtId="0" fontId="44" fillId="0" borderId="0" xfId="44" applyFont="1" applyAlignment="1" applyProtection="1">
      <alignment horizontal="center"/>
    </xf>
    <xf numFmtId="0" fontId="13" fillId="0" borderId="0" xfId="44" applyFont="1" applyAlignment="1" applyProtection="1">
      <alignment horizontal="center" vertical="center"/>
    </xf>
    <xf numFmtId="174" fontId="48" fillId="41" borderId="68" xfId="44" applyNumberFormat="1" applyFont="1" applyFill="1" applyBorder="1" applyAlignment="1" applyProtection="1">
      <alignment horizontal="left" vertical="center"/>
    </xf>
    <xf numFmtId="174" fontId="48" fillId="41" borderId="67" xfId="44" applyNumberFormat="1" applyFont="1" applyFill="1" applyBorder="1" applyAlignment="1" applyProtection="1">
      <alignment horizontal="left" vertical="center"/>
    </xf>
    <xf numFmtId="0" fontId="47" fillId="0" borderId="0" xfId="44" applyFont="1" applyBorder="1" applyAlignment="1" applyProtection="1">
      <alignment horizontal="center" vertical="center" wrapText="1"/>
    </xf>
    <xf numFmtId="0" fontId="49" fillId="0" borderId="2" xfId="44" applyFont="1" applyBorder="1" applyAlignment="1" applyProtection="1">
      <alignment horizontal="center" vertical="center" wrapText="1"/>
    </xf>
    <xf numFmtId="40" fontId="39" fillId="38" borderId="0" xfId="0" applyNumberFormat="1" applyFont="1" applyFill="1" applyBorder="1" applyAlignment="1" applyProtection="1">
      <alignment horizontal="center"/>
    </xf>
    <xf numFmtId="175" fontId="39" fillId="5" borderId="4" xfId="0" applyNumberFormat="1" applyFont="1" applyFill="1" applyBorder="1" applyAlignment="1" applyProtection="1">
      <alignment horizontal="center"/>
    </xf>
    <xf numFmtId="40" fontId="40" fillId="38" borderId="0" xfId="0" applyNumberFormat="1" applyFont="1" applyFill="1" applyBorder="1" applyAlignment="1" applyProtection="1">
      <alignment horizontal="center"/>
    </xf>
    <xf numFmtId="0" fontId="37" fillId="0" borderId="1" xfId="0" applyFont="1" applyFill="1" applyBorder="1" applyAlignment="1" applyProtection="1">
      <alignment horizontal="center" vertical="center"/>
      <protection locked="0"/>
    </xf>
    <xf numFmtId="0" fontId="37" fillId="0" borderId="7" xfId="0" applyFont="1" applyFill="1" applyBorder="1" applyAlignment="1" applyProtection="1">
      <alignment horizontal="center" vertical="center"/>
      <protection locked="0"/>
    </xf>
    <xf numFmtId="0" fontId="37" fillId="0" borderId="3" xfId="0" applyFont="1" applyFill="1" applyBorder="1" applyAlignment="1" applyProtection="1">
      <alignment horizontal="center" vertical="center"/>
      <protection locked="0"/>
    </xf>
    <xf numFmtId="175" fontId="40" fillId="38" borderId="5" xfId="0" applyNumberFormat="1" applyFont="1" applyFill="1" applyBorder="1" applyAlignment="1" applyProtection="1">
      <alignment horizontal="center"/>
    </xf>
    <xf numFmtId="40" fontId="40" fillId="38" borderId="5" xfId="0" applyNumberFormat="1" applyFont="1" applyFill="1" applyBorder="1" applyAlignment="1" applyProtection="1">
      <alignment horizontal="center"/>
    </xf>
    <xf numFmtId="40" fontId="40" fillId="38" borderId="71" xfId="0" applyNumberFormat="1" applyFont="1" applyFill="1" applyBorder="1" applyAlignment="1" applyProtection="1">
      <alignment horizontal="center"/>
    </xf>
    <xf numFmtId="40" fontId="39" fillId="38" borderId="71" xfId="0" applyNumberFormat="1" applyFont="1" applyFill="1" applyBorder="1" applyAlignment="1" applyProtection="1">
      <alignment horizontal="center"/>
    </xf>
    <xf numFmtId="40" fontId="39" fillId="41" borderId="0" xfId="0" applyNumberFormat="1" applyFont="1" applyFill="1" applyBorder="1" applyAlignment="1" applyProtection="1">
      <alignment horizontal="center" vertical="center"/>
    </xf>
    <xf numFmtId="0" fontId="35" fillId="0" borderId="0" xfId="0" applyFont="1" applyFill="1" applyBorder="1" applyAlignment="1" applyProtection="1">
      <alignment horizontal="center"/>
      <protection locked="0"/>
    </xf>
    <xf numFmtId="40" fontId="39" fillId="0" borderId="0" xfId="0" applyNumberFormat="1" applyFont="1" applyFill="1" applyBorder="1" applyAlignment="1" applyProtection="1">
      <alignment horizontal="center"/>
    </xf>
    <xf numFmtId="40" fontId="40" fillId="0" borderId="0" xfId="0" applyNumberFormat="1" applyFont="1" applyFill="1" applyBorder="1" applyAlignment="1" applyProtection="1">
      <alignment horizontal="center"/>
    </xf>
    <xf numFmtId="40" fontId="39" fillId="0" borderId="69" xfId="0" applyNumberFormat="1" applyFont="1" applyFill="1" applyBorder="1" applyAlignment="1" applyProtection="1">
      <alignment horizontal="center"/>
    </xf>
    <xf numFmtId="40" fontId="39" fillId="5" borderId="4" xfId="0" applyNumberFormat="1" applyFont="1" applyFill="1" applyBorder="1" applyAlignment="1" applyProtection="1">
      <alignment horizontal="center" vertical="center"/>
    </xf>
    <xf numFmtId="0" fontId="39" fillId="41" borderId="0" xfId="0" applyFont="1" applyFill="1" applyBorder="1" applyAlignment="1" applyProtection="1">
      <alignment horizontal="center" vertical="center"/>
    </xf>
    <xf numFmtId="40" fontId="39" fillId="38" borderId="69" xfId="0" applyNumberFormat="1" applyFont="1" applyFill="1" applyBorder="1" applyAlignment="1" applyProtection="1">
      <alignment horizontal="center"/>
    </xf>
    <xf numFmtId="40" fontId="39" fillId="5" borderId="4" xfId="0" applyNumberFormat="1" applyFont="1" applyFill="1" applyBorder="1" applyAlignment="1" applyProtection="1">
      <alignment horizontal="center"/>
    </xf>
    <xf numFmtId="40" fontId="35" fillId="0" borderId="0" xfId="0" applyNumberFormat="1" applyFont="1" applyFill="1" applyBorder="1" applyAlignment="1" applyProtection="1">
      <alignment horizontal="center"/>
      <protection locked="0"/>
    </xf>
    <xf numFmtId="40" fontId="40" fillId="38" borderId="69" xfId="0" applyNumberFormat="1" applyFont="1" applyFill="1" applyBorder="1" applyAlignment="1" applyProtection="1">
      <alignment horizontal="center"/>
    </xf>
    <xf numFmtId="40" fontId="40" fillId="0" borderId="5" xfId="0" applyNumberFormat="1" applyFont="1" applyFill="1" applyBorder="1" applyAlignment="1" applyProtection="1">
      <alignment horizontal="center"/>
    </xf>
    <xf numFmtId="40" fontId="40" fillId="0" borderId="69" xfId="0" applyNumberFormat="1" applyFont="1" applyFill="1" applyBorder="1" applyAlignment="1" applyProtection="1">
      <alignment horizontal="center"/>
    </xf>
    <xf numFmtId="0" fontId="53" fillId="0" borderId="0" xfId="46" applyFont="1" applyAlignment="1" applyProtection="1">
      <alignment horizontal="left"/>
      <protection locked="0"/>
    </xf>
    <xf numFmtId="172" fontId="7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2" xfId="45" xr:uid="{00000000-0005-0000-0000-00001C000000}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00000000-0005-0000-0000-000027000000}"/>
    <cellStyle name="Normal 3" xfId="44" xr:uid="{00000000-0005-0000-0000-000028000000}"/>
    <cellStyle name="Note 2" xfId="43" xr:uid="{00000000-0005-0000-0000-000029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  <cellStyle name="常规 2" xfId="46" xr:uid="{00000000-0005-0000-0000-000030000000}"/>
    <cellStyle name="千位分隔 2" xfId="47" xr:uid="{00000000-0005-0000-0000-00002E000000}"/>
    <cellStyle name="千位分隔 2 2" xfId="48" xr:uid="{00000000-0005-0000-0000-00002F000000}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Medium4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33"/>
  <sheetViews>
    <sheetView zoomScale="115" zoomScaleNormal="115" workbookViewId="0">
      <selection activeCell="A26" sqref="A26:G28"/>
    </sheetView>
  </sheetViews>
  <sheetFormatPr defaultRowHeight="15"/>
  <cols>
    <col min="1" max="1" width="16" style="7" bestFit="1" customWidth="1"/>
    <col min="2" max="2" width="16.140625" style="7" bestFit="1" customWidth="1"/>
    <col min="3" max="3" width="19.28515625" style="7" bestFit="1" customWidth="1"/>
    <col min="4" max="4" width="18.42578125" style="7" bestFit="1" customWidth="1"/>
    <col min="5" max="5" width="10.7109375" style="7" bestFit="1" customWidth="1"/>
    <col min="6" max="6" width="11.7109375" style="7" bestFit="1" customWidth="1"/>
    <col min="7" max="7" width="18.42578125" style="7" bestFit="1" customWidth="1"/>
    <col min="8" max="8" width="10" style="7" bestFit="1" customWidth="1"/>
    <col min="9" max="9" width="12" style="7" customWidth="1"/>
    <col min="10" max="16384" width="9.140625" style="7"/>
  </cols>
  <sheetData>
    <row r="1" spans="1:8" ht="18.75">
      <c r="A1" s="388" t="s">
        <v>0</v>
      </c>
      <c r="B1" s="388"/>
      <c r="C1" s="388"/>
      <c r="D1" s="388"/>
      <c r="E1" s="388"/>
      <c r="F1" s="388"/>
      <c r="G1" s="388"/>
      <c r="H1" s="388"/>
    </row>
    <row r="2" spans="1:8">
      <c r="A2" s="8" t="s">
        <v>33</v>
      </c>
      <c r="B2" s="8" t="s">
        <v>1</v>
      </c>
      <c r="C2" s="8" t="s">
        <v>32</v>
      </c>
      <c r="D2" s="8" t="s">
        <v>31</v>
      </c>
      <c r="E2" s="8" t="s">
        <v>30</v>
      </c>
      <c r="F2" s="8" t="s">
        <v>29</v>
      </c>
      <c r="G2" s="8" t="s">
        <v>28</v>
      </c>
      <c r="H2" s="8" t="s">
        <v>44</v>
      </c>
    </row>
    <row r="3" spans="1:8">
      <c r="A3" s="9">
        <v>11082</v>
      </c>
      <c r="B3" s="7" t="s">
        <v>2</v>
      </c>
      <c r="C3" s="7" t="s">
        <v>3</v>
      </c>
      <c r="D3" s="10">
        <v>1937.5</v>
      </c>
      <c r="E3" s="10">
        <v>2980</v>
      </c>
      <c r="F3" s="10">
        <v>0</v>
      </c>
      <c r="G3" s="11">
        <v>0.02</v>
      </c>
      <c r="H3" s="7">
        <f>(E3+F3)*G3</f>
        <v>59.6</v>
      </c>
    </row>
    <row r="4" spans="1:8">
      <c r="A4" s="9">
        <v>11132</v>
      </c>
      <c r="B4" s="7" t="s">
        <v>4</v>
      </c>
      <c r="C4" s="7" t="s">
        <v>5</v>
      </c>
      <c r="D4" s="10">
        <v>-36770.25</v>
      </c>
      <c r="E4" s="10">
        <v>0</v>
      </c>
      <c r="F4" s="10">
        <v>233648</v>
      </c>
      <c r="G4" s="11">
        <v>1.7000000000000001E-2</v>
      </c>
      <c r="H4" s="7">
        <f t="shared" ref="H4:H15" si="0">(E4+F4)*G4</f>
        <v>3972.0160000000001</v>
      </c>
    </row>
    <row r="5" spans="1:8">
      <c r="A5" s="9">
        <v>11160</v>
      </c>
      <c r="B5" s="7" t="s">
        <v>6</v>
      </c>
      <c r="C5" s="7" t="s">
        <v>7</v>
      </c>
      <c r="D5" s="10">
        <v>-470</v>
      </c>
      <c r="E5" s="10">
        <v>1115</v>
      </c>
      <c r="F5" s="10">
        <v>0</v>
      </c>
      <c r="G5" s="11">
        <v>0.02</v>
      </c>
      <c r="H5" s="7">
        <f t="shared" si="0"/>
        <v>22.3</v>
      </c>
    </row>
    <row r="6" spans="1:8">
      <c r="A6" s="9">
        <v>11161</v>
      </c>
      <c r="B6" s="7" t="s">
        <v>8</v>
      </c>
      <c r="C6" s="7" t="s">
        <v>9</v>
      </c>
      <c r="D6" s="10">
        <v>700</v>
      </c>
      <c r="E6" s="10">
        <v>0</v>
      </c>
      <c r="F6" s="10">
        <v>0</v>
      </c>
      <c r="G6" s="11">
        <v>0.02</v>
      </c>
      <c r="H6" s="7">
        <f t="shared" si="0"/>
        <v>0</v>
      </c>
    </row>
    <row r="7" spans="1:8">
      <c r="A7" s="9">
        <v>11516</v>
      </c>
      <c r="B7" s="7" t="s">
        <v>10</v>
      </c>
      <c r="C7" s="7" t="s">
        <v>11</v>
      </c>
      <c r="D7" s="10">
        <v>-2633.25</v>
      </c>
      <c r="E7" s="10">
        <v>10369</v>
      </c>
      <c r="F7" s="10">
        <v>92973</v>
      </c>
      <c r="G7" s="11">
        <v>1.7000000000000001E-2</v>
      </c>
      <c r="H7" s="7">
        <f t="shared" si="0"/>
        <v>1756.8140000000001</v>
      </c>
    </row>
    <row r="8" spans="1:8">
      <c r="A8" s="9">
        <v>11600</v>
      </c>
      <c r="B8" s="7" t="s">
        <v>12</v>
      </c>
      <c r="C8" s="7" t="s">
        <v>13</v>
      </c>
      <c r="D8" s="10">
        <v>-2759.25</v>
      </c>
      <c r="E8" s="10">
        <v>9065</v>
      </c>
      <c r="F8" s="10">
        <v>14445</v>
      </c>
      <c r="G8" s="11">
        <v>1.7000000000000001E-2</v>
      </c>
      <c r="H8" s="7">
        <f t="shared" si="0"/>
        <v>399.67</v>
      </c>
    </row>
    <row r="9" spans="1:8">
      <c r="A9" s="9">
        <v>11601</v>
      </c>
      <c r="B9" s="7" t="s">
        <v>14</v>
      </c>
      <c r="C9" s="7" t="s">
        <v>15</v>
      </c>
      <c r="D9" s="10">
        <v>193</v>
      </c>
      <c r="E9" s="10">
        <v>475</v>
      </c>
      <c r="F9" s="10">
        <v>2123</v>
      </c>
      <c r="G9" s="11">
        <v>1.7000000000000001E-2</v>
      </c>
      <c r="H9" s="7">
        <f t="shared" si="0"/>
        <v>44.166000000000004</v>
      </c>
    </row>
    <row r="10" spans="1:8">
      <c r="A10" s="9">
        <v>11602</v>
      </c>
      <c r="B10" s="7" t="s">
        <v>16</v>
      </c>
      <c r="C10" s="7" t="s">
        <v>17</v>
      </c>
      <c r="D10" s="10">
        <v>775</v>
      </c>
      <c r="E10" s="10">
        <v>4920</v>
      </c>
      <c r="F10" s="10">
        <v>0</v>
      </c>
      <c r="G10" s="11">
        <v>0.02</v>
      </c>
      <c r="H10" s="7">
        <f t="shared" si="0"/>
        <v>98.4</v>
      </c>
    </row>
    <row r="11" spans="1:8">
      <c r="A11" s="9">
        <v>11603</v>
      </c>
      <c r="B11" s="7" t="s">
        <v>18</v>
      </c>
      <c r="C11" s="7" t="s">
        <v>19</v>
      </c>
      <c r="D11" s="10">
        <v>910.75</v>
      </c>
      <c r="E11" s="10">
        <v>19187</v>
      </c>
      <c r="F11" s="10">
        <v>0</v>
      </c>
      <c r="G11" s="11">
        <v>0.02</v>
      </c>
      <c r="H11" s="7">
        <f t="shared" si="0"/>
        <v>383.74</v>
      </c>
    </row>
    <row r="12" spans="1:8">
      <c r="A12" s="9">
        <v>11614</v>
      </c>
      <c r="B12" s="7" t="s">
        <v>20</v>
      </c>
      <c r="C12" s="7" t="s">
        <v>21</v>
      </c>
      <c r="D12" s="10">
        <v>3265</v>
      </c>
      <c r="E12" s="10">
        <v>0</v>
      </c>
      <c r="F12" s="10">
        <v>0</v>
      </c>
      <c r="G12" s="11">
        <v>0.02</v>
      </c>
      <c r="H12" s="7">
        <f t="shared" si="0"/>
        <v>0</v>
      </c>
    </row>
    <row r="13" spans="1:8">
      <c r="A13" s="9">
        <v>11615</v>
      </c>
      <c r="B13" s="7" t="s">
        <v>22</v>
      </c>
      <c r="C13" s="7" t="s">
        <v>23</v>
      </c>
      <c r="D13" s="10">
        <v>-290</v>
      </c>
      <c r="E13" s="10">
        <v>0</v>
      </c>
      <c r="F13" s="10">
        <v>720</v>
      </c>
      <c r="G13" s="11">
        <v>1.7000000000000001E-2</v>
      </c>
      <c r="H13" s="7">
        <f t="shared" si="0"/>
        <v>12.24</v>
      </c>
    </row>
    <row r="14" spans="1:8">
      <c r="A14" s="9">
        <v>11616</v>
      </c>
      <c r="B14" s="7" t="s">
        <v>24</v>
      </c>
      <c r="C14" s="7" t="s">
        <v>25</v>
      </c>
      <c r="D14" s="10">
        <v>1531.75</v>
      </c>
      <c r="E14" s="10">
        <v>485</v>
      </c>
      <c r="F14" s="10">
        <v>0</v>
      </c>
      <c r="G14" s="11">
        <v>0.02</v>
      </c>
      <c r="H14" s="7">
        <f t="shared" si="0"/>
        <v>9.7000000000000011</v>
      </c>
    </row>
    <row r="15" spans="1:8" ht="15.75" thickBot="1">
      <c r="A15" s="12">
        <v>11617</v>
      </c>
      <c r="B15" s="13" t="s">
        <v>26</v>
      </c>
      <c r="C15" s="13" t="s">
        <v>27</v>
      </c>
      <c r="D15" s="14">
        <v>-1613.5</v>
      </c>
      <c r="E15" s="14">
        <v>0</v>
      </c>
      <c r="F15" s="14">
        <v>9218</v>
      </c>
      <c r="G15" s="15">
        <v>1.7000000000000001E-2</v>
      </c>
      <c r="H15" s="13">
        <f t="shared" si="0"/>
        <v>156.70600000000002</v>
      </c>
    </row>
    <row r="16" spans="1:8">
      <c r="C16" s="7" t="s">
        <v>31</v>
      </c>
      <c r="D16" s="16">
        <f>SUM(D3:D15)</f>
        <v>-35223.25</v>
      </c>
      <c r="E16" s="17">
        <f>SUM(E3:E15)</f>
        <v>48596</v>
      </c>
      <c r="F16" s="17">
        <f>SUM(F3:F15)</f>
        <v>353127</v>
      </c>
      <c r="G16" s="10"/>
      <c r="H16" s="26">
        <f>SUM(H3:H15)</f>
        <v>6915.3519999999999</v>
      </c>
    </row>
    <row r="17" spans="1:9">
      <c r="D17" s="11"/>
      <c r="E17" s="10"/>
    </row>
    <row r="18" spans="1:9">
      <c r="A18" s="1" t="s">
        <v>31</v>
      </c>
      <c r="B18" s="16">
        <f>D16</f>
        <v>-35223.25</v>
      </c>
      <c r="C18" s="18"/>
      <c r="D18" s="2" t="s">
        <v>34</v>
      </c>
      <c r="E18" s="17">
        <f>E16+F16</f>
        <v>401723</v>
      </c>
      <c r="G18" s="2" t="s">
        <v>39</v>
      </c>
      <c r="H18" s="27">
        <f>H16</f>
        <v>6915.3519999999999</v>
      </c>
    </row>
    <row r="19" spans="1:9">
      <c r="A19" s="1" t="s">
        <v>40</v>
      </c>
      <c r="B19" s="11">
        <v>0.3</v>
      </c>
      <c r="C19" s="19"/>
      <c r="D19" s="3" t="s">
        <v>38</v>
      </c>
      <c r="E19" s="11">
        <v>3.0000000000000001E-3</v>
      </c>
      <c r="G19" s="3" t="s">
        <v>36</v>
      </c>
      <c r="H19" s="20">
        <v>0.6</v>
      </c>
    </row>
    <row r="20" spans="1:9">
      <c r="A20" s="1" t="s">
        <v>36</v>
      </c>
      <c r="B20" s="21">
        <f>B18*B19</f>
        <v>-10566.975</v>
      </c>
      <c r="C20" s="22"/>
      <c r="D20" s="4" t="s">
        <v>35</v>
      </c>
      <c r="E20" s="7">
        <f>E18*E19</f>
        <v>1205.1690000000001</v>
      </c>
      <c r="G20" s="4" t="s">
        <v>41</v>
      </c>
      <c r="H20" s="7">
        <f>H18*H19</f>
        <v>4149.2111999999997</v>
      </c>
    </row>
    <row r="21" spans="1:9" ht="15.75" thickBot="1">
      <c r="A21" s="1"/>
      <c r="D21" s="4" t="s">
        <v>36</v>
      </c>
      <c r="E21" s="20">
        <v>0.4</v>
      </c>
      <c r="G21" s="6"/>
    </row>
    <row r="22" spans="1:9" ht="15.75" thickBot="1">
      <c r="A22" s="5" t="s">
        <v>43</v>
      </c>
      <c r="B22" s="28">
        <f>B20+H22</f>
        <v>-6899.8314000000009</v>
      </c>
      <c r="D22" s="4" t="s">
        <v>37</v>
      </c>
      <c r="E22" s="23">
        <f>-+E20*E21</f>
        <v>-482.06760000000008</v>
      </c>
      <c r="G22" s="6" t="s">
        <v>42</v>
      </c>
      <c r="H22" s="24">
        <f>H20+E22</f>
        <v>3667.1435999999994</v>
      </c>
    </row>
    <row r="23" spans="1:9">
      <c r="H23" s="25"/>
      <c r="I23" s="25"/>
    </row>
    <row r="24" spans="1:9">
      <c r="B24" s="1"/>
      <c r="F24" s="1"/>
      <c r="H24" s="25"/>
      <c r="I24" s="25"/>
    </row>
    <row r="25" spans="1:9">
      <c r="H25" s="25"/>
      <c r="I25" s="25"/>
    </row>
    <row r="26" spans="1:9" ht="15.75" thickBot="1">
      <c r="A26" s="1" t="s">
        <v>45</v>
      </c>
      <c r="B26" s="13"/>
      <c r="E26" s="1"/>
      <c r="F26" s="1" t="s">
        <v>46</v>
      </c>
      <c r="G26" s="13"/>
      <c r="H26" s="25"/>
      <c r="I26" s="25"/>
    </row>
    <row r="27" spans="1:9">
      <c r="F27" s="1"/>
      <c r="H27" s="25"/>
      <c r="I27" s="25"/>
    </row>
    <row r="28" spans="1:9" ht="15.75" thickBot="1">
      <c r="A28" s="1" t="s">
        <v>47</v>
      </c>
      <c r="B28" s="13"/>
      <c r="F28" s="1" t="s">
        <v>47</v>
      </c>
      <c r="G28" s="13"/>
      <c r="H28" s="25"/>
      <c r="I28" s="25"/>
    </row>
    <row r="29" spans="1:9">
      <c r="H29" s="25"/>
      <c r="I29" s="25"/>
    </row>
    <row r="30" spans="1:9">
      <c r="H30" s="25"/>
      <c r="I30" s="25"/>
    </row>
    <row r="31" spans="1:9">
      <c r="H31" s="25"/>
      <c r="I31" s="25"/>
    </row>
    <row r="32" spans="1:9">
      <c r="H32" s="25"/>
      <c r="I32" s="25"/>
    </row>
    <row r="33" spans="8:9">
      <c r="H33" s="25"/>
      <c r="I33" s="25"/>
    </row>
  </sheetData>
  <mergeCells count="1">
    <mergeCell ref="A1:H1"/>
  </mergeCells>
  <phoneticPr fontId="14" type="noConversion"/>
  <printOptions horizontalCentered="1" verticalCentered="1"/>
  <pageMargins left="0" right="0" top="0" bottom="0.7874015748031496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FFFF00"/>
    <pageSetUpPr fitToPage="1"/>
  </sheetPr>
  <dimension ref="B1:AI76"/>
  <sheetViews>
    <sheetView showGridLines="0" view="pageBreakPreview" zoomScale="70" zoomScaleNormal="90" zoomScaleSheetLayoutView="70" workbookViewId="0">
      <pane ySplit="3" topLeftCell="A34" activePane="bottomLeft" state="frozen"/>
      <selection activeCell="Q50" sqref="Q50"/>
      <selection pane="bottomLeft" activeCell="K38" sqref="K38"/>
    </sheetView>
  </sheetViews>
  <sheetFormatPr defaultRowHeight="15"/>
  <cols>
    <col min="1" max="1" width="1" style="124" customWidth="1"/>
    <col min="2" max="2" width="12.28515625" style="123" bestFit="1" customWidth="1"/>
    <col min="3" max="3" width="12.28515625" style="123" customWidth="1"/>
    <col min="4" max="4" width="12.28515625" style="123" hidden="1" customWidth="1"/>
    <col min="5" max="5" width="12.28515625" style="123" customWidth="1"/>
    <col min="6" max="6" width="14.140625" style="123" customWidth="1"/>
    <col min="7" max="7" width="16" style="123" bestFit="1" customWidth="1"/>
    <col min="8" max="8" width="14.85546875" style="123" customWidth="1"/>
    <col min="9" max="11" width="15.42578125" style="124" customWidth="1"/>
    <col min="12" max="14" width="17.42578125" style="124" customWidth="1"/>
    <col min="15" max="15" width="13.5703125" style="124" bestFit="1" customWidth="1"/>
    <col min="16" max="16" width="14.140625" style="124" bestFit="1" customWidth="1"/>
    <col min="17" max="19" width="19" style="124" customWidth="1"/>
    <col min="20" max="20" width="18.42578125" style="124" customWidth="1"/>
    <col min="21" max="21" width="13.85546875" style="124" customWidth="1"/>
    <col min="22" max="23" width="13.7109375" style="124" customWidth="1"/>
    <col min="24" max="24" width="24.140625" style="124" bestFit="1" customWidth="1"/>
    <col min="25" max="25" width="1.5703125" style="124" customWidth="1"/>
    <col min="26" max="26" width="9.140625" style="124" hidden="1" customWidth="1"/>
    <col min="27" max="27" width="8.85546875" style="124" hidden="1" customWidth="1"/>
    <col min="28" max="28" width="10.140625" style="124" hidden="1" customWidth="1"/>
    <col min="29" max="29" width="12.140625" style="124" hidden="1" customWidth="1"/>
    <col min="30" max="30" width="9.140625" style="124" hidden="1" customWidth="1"/>
    <col min="31" max="31" width="9.28515625" style="124" hidden="1" customWidth="1"/>
    <col min="32" max="32" width="11" style="124" hidden="1" customWidth="1"/>
    <col min="33" max="33" width="7.140625" style="124" hidden="1" customWidth="1"/>
    <col min="34" max="34" width="10.42578125" style="124" hidden="1" customWidth="1"/>
    <col min="35" max="35" width="10.5703125" style="124" hidden="1" customWidth="1"/>
    <col min="36" max="16384" width="9.140625" style="124"/>
  </cols>
  <sheetData>
    <row r="1" spans="2:34" ht="24.75" customHeight="1" thickBot="1"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</row>
    <row r="2" spans="2:34" ht="28.5" customHeight="1" thickBot="1">
      <c r="B2" s="414" t="s">
        <v>235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415"/>
      <c r="X2" s="416"/>
    </row>
    <row r="3" spans="2:34" ht="60.75" thickBot="1">
      <c r="B3" s="125" t="s">
        <v>94</v>
      </c>
      <c r="C3" s="126" t="s">
        <v>121</v>
      </c>
      <c r="D3" s="126" t="s">
        <v>216</v>
      </c>
      <c r="E3" s="126" t="s">
        <v>215</v>
      </c>
      <c r="F3" s="126" t="s">
        <v>188</v>
      </c>
      <c r="G3" s="126" t="s">
        <v>186</v>
      </c>
      <c r="H3" s="126" t="s">
        <v>163</v>
      </c>
      <c r="I3" s="127" t="s">
        <v>111</v>
      </c>
      <c r="J3" s="127" t="s">
        <v>217</v>
      </c>
      <c r="K3" s="127" t="s">
        <v>183</v>
      </c>
      <c r="L3" s="127" t="s">
        <v>180</v>
      </c>
      <c r="M3" s="127" t="s">
        <v>181</v>
      </c>
      <c r="N3" s="127" t="s">
        <v>182</v>
      </c>
      <c r="O3" s="128">
        <v>-0.5</v>
      </c>
      <c r="P3" s="157">
        <f>-100%-O3</f>
        <v>-0.5</v>
      </c>
      <c r="Q3" s="127" t="s">
        <v>141</v>
      </c>
      <c r="R3" s="127" t="s">
        <v>142</v>
      </c>
      <c r="S3" s="127" t="s">
        <v>208</v>
      </c>
      <c r="T3" s="127" t="s">
        <v>125</v>
      </c>
      <c r="U3" s="206" t="s">
        <v>143</v>
      </c>
      <c r="V3" s="127" t="s">
        <v>97</v>
      </c>
      <c r="W3" s="127" t="s">
        <v>144</v>
      </c>
      <c r="X3" s="129" t="s">
        <v>96</v>
      </c>
      <c r="AA3" s="130" t="s">
        <v>106</v>
      </c>
      <c r="AB3" s="130" t="s">
        <v>95</v>
      </c>
      <c r="AC3" s="130" t="s">
        <v>107</v>
      </c>
      <c r="AD3" s="131" t="s">
        <v>108</v>
      </c>
      <c r="AE3" s="131" t="s">
        <v>109</v>
      </c>
      <c r="AF3" s="130" t="s">
        <v>147</v>
      </c>
      <c r="AG3" s="130" t="s">
        <v>110</v>
      </c>
      <c r="AH3" s="130" t="s">
        <v>120</v>
      </c>
    </row>
    <row r="4" spans="2:34" ht="26.25" customHeight="1">
      <c r="B4" s="132">
        <v>44593</v>
      </c>
      <c r="C4" s="240">
        <v>-11458</v>
      </c>
      <c r="D4" s="240">
        <v>0</v>
      </c>
      <c r="E4" s="240">
        <v>0</v>
      </c>
      <c r="F4" s="240">
        <v>10000</v>
      </c>
      <c r="G4" s="240">
        <v>-5516</v>
      </c>
      <c r="H4" s="292">
        <f>-C4+F4+G4</f>
        <v>15942</v>
      </c>
      <c r="I4" s="133">
        <v>0</v>
      </c>
      <c r="J4" s="137">
        <v>0</v>
      </c>
      <c r="K4" s="133">
        <v>0</v>
      </c>
      <c r="L4" s="256">
        <f t="shared" ref="L4:L9" si="0">-F4-G4-I4-K4+E4</f>
        <v>-4484</v>
      </c>
      <c r="M4" s="133">
        <v>0</v>
      </c>
      <c r="N4" s="256">
        <f>L4+M4</f>
        <v>-4484</v>
      </c>
      <c r="O4" s="323">
        <f t="shared" ref="O4:O9" si="1">N4*$O$3</f>
        <v>2242</v>
      </c>
      <c r="P4" s="323">
        <f t="shared" ref="P4:P9" si="2">N4*$P$3</f>
        <v>2242</v>
      </c>
      <c r="Q4" s="210">
        <v>0</v>
      </c>
      <c r="R4" s="210">
        <f>Q4-S4</f>
        <v>0</v>
      </c>
      <c r="S4" s="134">
        <v>0</v>
      </c>
      <c r="T4" s="159">
        <f>S4*1.7%</f>
        <v>0</v>
      </c>
      <c r="U4" s="158">
        <f>R4*1.7%</f>
        <v>0</v>
      </c>
      <c r="V4" s="158">
        <f>SUM(T4:U4)</f>
        <v>0</v>
      </c>
      <c r="W4" s="293">
        <f>V4*50%</f>
        <v>0</v>
      </c>
      <c r="X4" s="286">
        <f>O4+W4-T4</f>
        <v>2242</v>
      </c>
      <c r="AA4" s="164">
        <f>H4</f>
        <v>15942</v>
      </c>
      <c r="AB4" s="165">
        <f>I4+K4</f>
        <v>0</v>
      </c>
      <c r="AC4" s="165">
        <f>R4</f>
        <v>0</v>
      </c>
      <c r="AD4" s="165">
        <f>W4</f>
        <v>0</v>
      </c>
      <c r="AE4" s="165">
        <f>N4</f>
        <v>-4484</v>
      </c>
      <c r="AF4" s="165">
        <f>S4</f>
        <v>0</v>
      </c>
      <c r="AG4" s="165"/>
      <c r="AH4" s="213">
        <f>C4</f>
        <v>-11458</v>
      </c>
    </row>
    <row r="5" spans="2:34" ht="26.25" customHeight="1">
      <c r="B5" s="166">
        <f>B4+1</f>
        <v>44594</v>
      </c>
      <c r="C5" s="221">
        <v>0</v>
      </c>
      <c r="D5" s="221">
        <v>0</v>
      </c>
      <c r="E5" s="221">
        <v>0</v>
      </c>
      <c r="F5" s="291">
        <v>0</v>
      </c>
      <c r="G5" s="291">
        <v>0</v>
      </c>
      <c r="H5" s="292">
        <f>-C5+F5+G5</f>
        <v>0</v>
      </c>
      <c r="I5" s="136">
        <v>0</v>
      </c>
      <c r="J5" s="137">
        <v>0</v>
      </c>
      <c r="K5" s="136">
        <v>0</v>
      </c>
      <c r="L5" s="256">
        <f t="shared" si="0"/>
        <v>0</v>
      </c>
      <c r="M5" s="136">
        <v>0</v>
      </c>
      <c r="N5" s="256">
        <f>L5+M5</f>
        <v>0</v>
      </c>
      <c r="O5" s="323">
        <f t="shared" si="1"/>
        <v>0</v>
      </c>
      <c r="P5" s="323">
        <f t="shared" si="2"/>
        <v>0</v>
      </c>
      <c r="Q5" s="135">
        <v>0</v>
      </c>
      <c r="R5" s="211">
        <f>Q5-S5</f>
        <v>0</v>
      </c>
      <c r="S5" s="135">
        <v>0</v>
      </c>
      <c r="T5" s="159">
        <f>S5*1.7%</f>
        <v>0</v>
      </c>
      <c r="U5" s="159">
        <f>R5*1.7%</f>
        <v>0</v>
      </c>
      <c r="V5" s="159">
        <f>SUM(T5:U5)</f>
        <v>0</v>
      </c>
      <c r="W5" s="294">
        <f>V5*50%</f>
        <v>0</v>
      </c>
      <c r="X5" s="162">
        <f>O5+W5-T5</f>
        <v>0</v>
      </c>
      <c r="AA5" s="164">
        <f t="shared" ref="AA5:AA34" si="3">AA4+H5</f>
        <v>15942</v>
      </c>
      <c r="AB5" s="165">
        <f t="shared" ref="AB5:AB34" si="4">AB4+I5+K5</f>
        <v>0</v>
      </c>
      <c r="AC5" s="165">
        <f t="shared" ref="AC5:AC34" si="5">R5+AC4</f>
        <v>0</v>
      </c>
      <c r="AD5" s="165">
        <f>W5+AD4</f>
        <v>0</v>
      </c>
      <c r="AE5" s="165">
        <f t="shared" ref="AE5:AE34" si="6">AE4+N5</f>
        <v>-4484</v>
      </c>
      <c r="AF5" s="165">
        <f t="shared" ref="AF5:AF34" si="7">S5+AF4</f>
        <v>0</v>
      </c>
      <c r="AG5" s="165"/>
      <c r="AH5" s="230">
        <f t="shared" ref="AH5:AH34" si="8">C5+AH4</f>
        <v>-11458</v>
      </c>
    </row>
    <row r="6" spans="2:34" ht="26.25" customHeight="1">
      <c r="B6" s="166">
        <f t="shared" ref="B6:B34" si="9">B5+1</f>
        <v>44595</v>
      </c>
      <c r="C6" s="221">
        <v>0</v>
      </c>
      <c r="D6" s="221">
        <v>0</v>
      </c>
      <c r="E6" s="221">
        <v>0</v>
      </c>
      <c r="F6" s="291">
        <v>0</v>
      </c>
      <c r="G6" s="291">
        <v>0</v>
      </c>
      <c r="H6" s="292">
        <f t="shared" ref="H6:H35" si="10">-C6+F6+G6</f>
        <v>0</v>
      </c>
      <c r="I6" s="136">
        <v>0</v>
      </c>
      <c r="J6" s="137">
        <v>0</v>
      </c>
      <c r="K6" s="136">
        <v>0</v>
      </c>
      <c r="L6" s="256">
        <f t="shared" si="0"/>
        <v>0</v>
      </c>
      <c r="M6" s="136">
        <v>0</v>
      </c>
      <c r="N6" s="256">
        <f t="shared" ref="N6:N34" si="11">L6+M6</f>
        <v>0</v>
      </c>
      <c r="O6" s="323">
        <f t="shared" si="1"/>
        <v>0</v>
      </c>
      <c r="P6" s="323">
        <f t="shared" si="2"/>
        <v>0</v>
      </c>
      <c r="Q6" s="135">
        <v>0</v>
      </c>
      <c r="R6" s="211">
        <f>Q6-S6</f>
        <v>0</v>
      </c>
      <c r="S6" s="135">
        <v>0</v>
      </c>
      <c r="T6" s="159">
        <f t="shared" ref="T6:T34" si="12">S6*1.7%</f>
        <v>0</v>
      </c>
      <c r="U6" s="159">
        <f t="shared" ref="U6:U34" si="13">R6*1.7%</f>
        <v>0</v>
      </c>
      <c r="V6" s="159">
        <f t="shared" ref="V6:V34" si="14">SUM(T6:U6)</f>
        <v>0</v>
      </c>
      <c r="W6" s="294">
        <f t="shared" ref="W6:W34" si="15">V6*50%</f>
        <v>0</v>
      </c>
      <c r="X6" s="162">
        <f t="shared" ref="X6:X34" si="16">O6+W6-T6</f>
        <v>0</v>
      </c>
      <c r="AA6" s="164">
        <f t="shared" si="3"/>
        <v>15942</v>
      </c>
      <c r="AB6" s="165">
        <f t="shared" si="4"/>
        <v>0</v>
      </c>
      <c r="AC6" s="165">
        <f t="shared" si="5"/>
        <v>0</v>
      </c>
      <c r="AD6" s="165">
        <f t="shared" ref="AD6:AD34" si="17">W6+AD5</f>
        <v>0</v>
      </c>
      <c r="AE6" s="165">
        <f t="shared" si="6"/>
        <v>-4484</v>
      </c>
      <c r="AF6" s="165">
        <f t="shared" si="7"/>
        <v>0</v>
      </c>
      <c r="AG6" s="165"/>
      <c r="AH6" s="230">
        <f t="shared" si="8"/>
        <v>-11458</v>
      </c>
    </row>
    <row r="7" spans="2:34" ht="26.25" customHeight="1">
      <c r="B7" s="166">
        <f t="shared" si="9"/>
        <v>44596</v>
      </c>
      <c r="C7" s="221">
        <v>11458</v>
      </c>
      <c r="D7" s="221">
        <v>0</v>
      </c>
      <c r="E7" s="221">
        <v>0</v>
      </c>
      <c r="F7" s="291">
        <v>0</v>
      </c>
      <c r="G7" s="291">
        <v>0</v>
      </c>
      <c r="H7" s="292">
        <f>-C7+F7+G7</f>
        <v>-11458</v>
      </c>
      <c r="I7" s="136">
        <v>0</v>
      </c>
      <c r="J7" s="137">
        <v>0</v>
      </c>
      <c r="K7" s="136">
        <v>0</v>
      </c>
      <c r="L7" s="256">
        <f t="shared" si="0"/>
        <v>0</v>
      </c>
      <c r="M7" s="136">
        <v>0</v>
      </c>
      <c r="N7" s="256">
        <f t="shared" si="11"/>
        <v>0</v>
      </c>
      <c r="O7" s="323">
        <f t="shared" si="1"/>
        <v>0</v>
      </c>
      <c r="P7" s="323">
        <f t="shared" si="2"/>
        <v>0</v>
      </c>
      <c r="Q7" s="135">
        <v>0</v>
      </c>
      <c r="R7" s="211">
        <f t="shared" ref="R7:R33" si="18">Q7-S7</f>
        <v>0</v>
      </c>
      <c r="S7" s="135">
        <v>0</v>
      </c>
      <c r="T7" s="159">
        <f t="shared" si="12"/>
        <v>0</v>
      </c>
      <c r="U7" s="159">
        <f t="shared" si="13"/>
        <v>0</v>
      </c>
      <c r="V7" s="159">
        <f t="shared" si="14"/>
        <v>0</v>
      </c>
      <c r="W7" s="294">
        <f t="shared" si="15"/>
        <v>0</v>
      </c>
      <c r="X7" s="162">
        <f t="shared" si="16"/>
        <v>0</v>
      </c>
      <c r="AA7" s="164">
        <f t="shared" si="3"/>
        <v>4484</v>
      </c>
      <c r="AB7" s="165">
        <f t="shared" si="4"/>
        <v>0</v>
      </c>
      <c r="AC7" s="165">
        <f t="shared" si="5"/>
        <v>0</v>
      </c>
      <c r="AD7" s="165">
        <f t="shared" si="17"/>
        <v>0</v>
      </c>
      <c r="AE7" s="165">
        <f t="shared" si="6"/>
        <v>-4484</v>
      </c>
      <c r="AF7" s="165">
        <f t="shared" si="7"/>
        <v>0</v>
      </c>
      <c r="AG7" s="165"/>
      <c r="AH7" s="230">
        <f t="shared" si="8"/>
        <v>0</v>
      </c>
    </row>
    <row r="8" spans="2:34" ht="26.25" customHeight="1">
      <c r="B8" s="166">
        <f t="shared" si="9"/>
        <v>44597</v>
      </c>
      <c r="C8" s="221">
        <v>0</v>
      </c>
      <c r="D8" s="221">
        <v>0</v>
      </c>
      <c r="E8" s="221">
        <v>0</v>
      </c>
      <c r="F8" s="221">
        <v>11260</v>
      </c>
      <c r="G8" s="221">
        <v>-10000</v>
      </c>
      <c r="H8" s="292">
        <f t="shared" si="10"/>
        <v>1260</v>
      </c>
      <c r="I8" s="137">
        <v>0</v>
      </c>
      <c r="J8" s="137">
        <v>0</v>
      </c>
      <c r="K8" s="137">
        <v>0</v>
      </c>
      <c r="L8" s="256">
        <f t="shared" si="0"/>
        <v>-1260</v>
      </c>
      <c r="M8" s="136">
        <v>0</v>
      </c>
      <c r="N8" s="256">
        <f t="shared" si="11"/>
        <v>-1260</v>
      </c>
      <c r="O8" s="323">
        <f t="shared" si="1"/>
        <v>630</v>
      </c>
      <c r="P8" s="323">
        <f t="shared" si="2"/>
        <v>630</v>
      </c>
      <c r="Q8" s="135">
        <v>0</v>
      </c>
      <c r="R8" s="211">
        <f t="shared" si="18"/>
        <v>0</v>
      </c>
      <c r="S8" s="135">
        <v>0</v>
      </c>
      <c r="T8" s="159">
        <f t="shared" si="12"/>
        <v>0</v>
      </c>
      <c r="U8" s="159">
        <f t="shared" si="13"/>
        <v>0</v>
      </c>
      <c r="V8" s="159">
        <f t="shared" si="14"/>
        <v>0</v>
      </c>
      <c r="W8" s="294">
        <f t="shared" si="15"/>
        <v>0</v>
      </c>
      <c r="X8" s="162">
        <f t="shared" si="16"/>
        <v>630</v>
      </c>
      <c r="AA8" s="164">
        <f t="shared" si="3"/>
        <v>5744</v>
      </c>
      <c r="AB8" s="165">
        <f t="shared" si="4"/>
        <v>0</v>
      </c>
      <c r="AC8" s="165">
        <f t="shared" si="5"/>
        <v>0</v>
      </c>
      <c r="AD8" s="165">
        <f t="shared" si="17"/>
        <v>0</v>
      </c>
      <c r="AE8" s="165">
        <f t="shared" si="6"/>
        <v>-5744</v>
      </c>
      <c r="AF8" s="165">
        <f t="shared" si="7"/>
        <v>0</v>
      </c>
      <c r="AG8" s="165"/>
      <c r="AH8" s="230">
        <f t="shared" si="8"/>
        <v>0</v>
      </c>
    </row>
    <row r="9" spans="2:34" ht="26.25" customHeight="1">
      <c r="B9" s="166">
        <f t="shared" si="9"/>
        <v>44598</v>
      </c>
      <c r="C9" s="221">
        <v>0</v>
      </c>
      <c r="D9" s="221">
        <v>0</v>
      </c>
      <c r="E9" s="221">
        <v>9966</v>
      </c>
      <c r="F9" s="221">
        <v>20000</v>
      </c>
      <c r="G9" s="221">
        <v>-25744</v>
      </c>
      <c r="H9" s="292">
        <f t="shared" si="10"/>
        <v>-5744</v>
      </c>
      <c r="I9" s="137">
        <v>0</v>
      </c>
      <c r="J9" s="137">
        <v>0</v>
      </c>
      <c r="K9" s="137">
        <v>0</v>
      </c>
      <c r="L9" s="256">
        <f t="shared" si="0"/>
        <v>15710</v>
      </c>
      <c r="M9" s="136">
        <v>0</v>
      </c>
      <c r="N9" s="256">
        <f t="shared" si="11"/>
        <v>15710</v>
      </c>
      <c r="O9" s="323">
        <f t="shared" si="1"/>
        <v>-7855</v>
      </c>
      <c r="P9" s="323">
        <f t="shared" si="2"/>
        <v>-7855</v>
      </c>
      <c r="Q9" s="135">
        <v>0</v>
      </c>
      <c r="R9" s="211">
        <f t="shared" si="18"/>
        <v>0</v>
      </c>
      <c r="S9" s="135">
        <v>0</v>
      </c>
      <c r="T9" s="159">
        <f t="shared" si="12"/>
        <v>0</v>
      </c>
      <c r="U9" s="159">
        <f t="shared" si="13"/>
        <v>0</v>
      </c>
      <c r="V9" s="159">
        <f t="shared" si="14"/>
        <v>0</v>
      </c>
      <c r="W9" s="294">
        <f t="shared" si="15"/>
        <v>0</v>
      </c>
      <c r="X9" s="162">
        <f t="shared" si="16"/>
        <v>-7855</v>
      </c>
      <c r="AA9" s="164">
        <f t="shared" si="3"/>
        <v>0</v>
      </c>
      <c r="AB9" s="165">
        <f t="shared" si="4"/>
        <v>0</v>
      </c>
      <c r="AC9" s="165">
        <f t="shared" si="5"/>
        <v>0</v>
      </c>
      <c r="AD9" s="165">
        <f t="shared" si="17"/>
        <v>0</v>
      </c>
      <c r="AE9" s="165">
        <f t="shared" si="6"/>
        <v>9966</v>
      </c>
      <c r="AF9" s="165">
        <f t="shared" si="7"/>
        <v>0</v>
      </c>
      <c r="AG9" s="165"/>
      <c r="AH9" s="230">
        <f t="shared" si="8"/>
        <v>0</v>
      </c>
    </row>
    <row r="10" spans="2:34" ht="26.25" customHeight="1">
      <c r="B10" s="166">
        <f t="shared" si="9"/>
        <v>44599</v>
      </c>
      <c r="C10" s="221">
        <v>0</v>
      </c>
      <c r="D10" s="221">
        <v>0</v>
      </c>
      <c r="E10" s="221">
        <v>13830</v>
      </c>
      <c r="F10" s="221">
        <v>15000</v>
      </c>
      <c r="G10" s="221">
        <v>-15000</v>
      </c>
      <c r="H10" s="292">
        <f t="shared" si="10"/>
        <v>0</v>
      </c>
      <c r="I10" s="137">
        <v>0</v>
      </c>
      <c r="J10" s="137">
        <v>0</v>
      </c>
      <c r="K10" s="137">
        <v>0</v>
      </c>
      <c r="L10" s="256">
        <f>-F10-G10-I10-K10+E10</f>
        <v>13830</v>
      </c>
      <c r="M10" s="136">
        <v>0</v>
      </c>
      <c r="N10" s="256">
        <f t="shared" si="11"/>
        <v>13830</v>
      </c>
      <c r="O10" s="323">
        <f>N10*$O$3</f>
        <v>-6915</v>
      </c>
      <c r="P10" s="323">
        <f t="shared" ref="P10:P34" si="19">N10*$P$3</f>
        <v>-6915</v>
      </c>
      <c r="Q10" s="135">
        <v>0</v>
      </c>
      <c r="R10" s="211">
        <f t="shared" si="18"/>
        <v>0</v>
      </c>
      <c r="S10" s="135">
        <v>0</v>
      </c>
      <c r="T10" s="159">
        <f t="shared" si="12"/>
        <v>0</v>
      </c>
      <c r="U10" s="159">
        <f t="shared" si="13"/>
        <v>0</v>
      </c>
      <c r="V10" s="159">
        <f t="shared" si="14"/>
        <v>0</v>
      </c>
      <c r="W10" s="294">
        <f t="shared" si="15"/>
        <v>0</v>
      </c>
      <c r="X10" s="162">
        <f t="shared" si="16"/>
        <v>-6915</v>
      </c>
      <c r="AA10" s="164">
        <f t="shared" si="3"/>
        <v>0</v>
      </c>
      <c r="AB10" s="165">
        <f t="shared" si="4"/>
        <v>0</v>
      </c>
      <c r="AC10" s="165">
        <f t="shared" si="5"/>
        <v>0</v>
      </c>
      <c r="AD10" s="165">
        <f t="shared" si="17"/>
        <v>0</v>
      </c>
      <c r="AE10" s="165">
        <f t="shared" si="6"/>
        <v>23796</v>
      </c>
      <c r="AF10" s="165">
        <f t="shared" si="7"/>
        <v>0</v>
      </c>
      <c r="AG10" s="165"/>
      <c r="AH10" s="230">
        <f>C10+AH9</f>
        <v>0</v>
      </c>
    </row>
    <row r="11" spans="2:34" ht="26.25" customHeight="1">
      <c r="B11" s="166">
        <f t="shared" si="9"/>
        <v>44600</v>
      </c>
      <c r="C11" s="221">
        <v>0</v>
      </c>
      <c r="D11" s="221">
        <v>0</v>
      </c>
      <c r="E11" s="221">
        <v>-6490</v>
      </c>
      <c r="F11" s="221">
        <v>0</v>
      </c>
      <c r="G11" s="221">
        <v>0</v>
      </c>
      <c r="H11" s="292">
        <f t="shared" si="10"/>
        <v>0</v>
      </c>
      <c r="I11" s="137">
        <v>0</v>
      </c>
      <c r="J11" s="137">
        <v>0</v>
      </c>
      <c r="K11" s="137">
        <v>0</v>
      </c>
      <c r="L11" s="256">
        <f t="shared" ref="L11:L34" si="20">-F11-G11-I11-K11+E11</f>
        <v>-6490</v>
      </c>
      <c r="M11" s="136">
        <v>0</v>
      </c>
      <c r="N11" s="256">
        <f t="shared" si="11"/>
        <v>-6490</v>
      </c>
      <c r="O11" s="323">
        <f t="shared" ref="O11:O34" si="21">N11*$O$3</f>
        <v>3245</v>
      </c>
      <c r="P11" s="323">
        <f t="shared" si="19"/>
        <v>3245</v>
      </c>
      <c r="Q11" s="135">
        <v>0</v>
      </c>
      <c r="R11" s="211">
        <f t="shared" si="18"/>
        <v>0</v>
      </c>
      <c r="S11" s="135">
        <v>0</v>
      </c>
      <c r="T11" s="159">
        <f t="shared" si="12"/>
        <v>0</v>
      </c>
      <c r="U11" s="159">
        <f t="shared" si="13"/>
        <v>0</v>
      </c>
      <c r="V11" s="159">
        <f t="shared" si="14"/>
        <v>0</v>
      </c>
      <c r="W11" s="294">
        <f t="shared" si="15"/>
        <v>0</v>
      </c>
      <c r="X11" s="162">
        <f t="shared" si="16"/>
        <v>3245</v>
      </c>
      <c r="AA11" s="164">
        <f t="shared" si="3"/>
        <v>0</v>
      </c>
      <c r="AB11" s="165">
        <f t="shared" si="4"/>
        <v>0</v>
      </c>
      <c r="AC11" s="165">
        <f t="shared" si="5"/>
        <v>0</v>
      </c>
      <c r="AD11" s="165">
        <f t="shared" si="17"/>
        <v>0</v>
      </c>
      <c r="AE11" s="165">
        <f t="shared" si="6"/>
        <v>17306</v>
      </c>
      <c r="AF11" s="165">
        <f t="shared" si="7"/>
        <v>0</v>
      </c>
      <c r="AG11" s="165"/>
      <c r="AH11" s="230">
        <f t="shared" si="8"/>
        <v>0</v>
      </c>
    </row>
    <row r="12" spans="2:34" ht="26.25" customHeight="1">
      <c r="B12" s="166">
        <f t="shared" si="9"/>
        <v>44601</v>
      </c>
      <c r="C12" s="221">
        <v>0</v>
      </c>
      <c r="D12" s="221">
        <v>0</v>
      </c>
      <c r="E12" s="221">
        <v>0</v>
      </c>
      <c r="F12" s="221">
        <v>0</v>
      </c>
      <c r="G12" s="221">
        <v>0</v>
      </c>
      <c r="H12" s="292">
        <f t="shared" si="10"/>
        <v>0</v>
      </c>
      <c r="I12" s="137">
        <v>0</v>
      </c>
      <c r="J12" s="137">
        <v>0</v>
      </c>
      <c r="K12" s="137">
        <v>0</v>
      </c>
      <c r="L12" s="256">
        <f t="shared" si="20"/>
        <v>0</v>
      </c>
      <c r="M12" s="136">
        <v>0</v>
      </c>
      <c r="N12" s="256">
        <f t="shared" si="11"/>
        <v>0</v>
      </c>
      <c r="O12" s="323">
        <f t="shared" si="21"/>
        <v>0</v>
      </c>
      <c r="P12" s="323">
        <f t="shared" si="19"/>
        <v>0</v>
      </c>
      <c r="Q12" s="135">
        <v>0</v>
      </c>
      <c r="R12" s="211">
        <f t="shared" si="18"/>
        <v>0</v>
      </c>
      <c r="S12" s="135">
        <v>0</v>
      </c>
      <c r="T12" s="159">
        <f t="shared" si="12"/>
        <v>0</v>
      </c>
      <c r="U12" s="159">
        <f t="shared" si="13"/>
        <v>0</v>
      </c>
      <c r="V12" s="159">
        <f t="shared" si="14"/>
        <v>0</v>
      </c>
      <c r="W12" s="294">
        <f t="shared" si="15"/>
        <v>0</v>
      </c>
      <c r="X12" s="162">
        <f t="shared" si="16"/>
        <v>0</v>
      </c>
      <c r="AA12" s="164">
        <f t="shared" si="3"/>
        <v>0</v>
      </c>
      <c r="AB12" s="165">
        <f t="shared" si="4"/>
        <v>0</v>
      </c>
      <c r="AC12" s="165">
        <f t="shared" si="5"/>
        <v>0</v>
      </c>
      <c r="AD12" s="165">
        <f t="shared" si="17"/>
        <v>0</v>
      </c>
      <c r="AE12" s="165">
        <f t="shared" si="6"/>
        <v>17306</v>
      </c>
      <c r="AF12" s="165">
        <f t="shared" si="7"/>
        <v>0</v>
      </c>
      <c r="AG12" s="165"/>
      <c r="AH12" s="230">
        <f t="shared" si="8"/>
        <v>0</v>
      </c>
    </row>
    <row r="13" spans="2:34" ht="26.25" customHeight="1">
      <c r="B13" s="166">
        <f t="shared" si="9"/>
        <v>44602</v>
      </c>
      <c r="C13" s="221">
        <v>0</v>
      </c>
      <c r="D13" s="221">
        <v>0</v>
      </c>
      <c r="E13" s="221">
        <v>-1375</v>
      </c>
      <c r="F13" s="221">
        <v>0</v>
      </c>
      <c r="G13" s="221">
        <v>0</v>
      </c>
      <c r="H13" s="292">
        <f t="shared" si="10"/>
        <v>0</v>
      </c>
      <c r="I13" s="137">
        <v>0</v>
      </c>
      <c r="J13" s="137">
        <v>0</v>
      </c>
      <c r="K13" s="137">
        <v>0</v>
      </c>
      <c r="L13" s="256">
        <f t="shared" si="20"/>
        <v>-1375</v>
      </c>
      <c r="M13" s="136">
        <v>0</v>
      </c>
      <c r="N13" s="256">
        <f t="shared" si="11"/>
        <v>-1375</v>
      </c>
      <c r="O13" s="323">
        <f t="shared" si="21"/>
        <v>687.5</v>
      </c>
      <c r="P13" s="323">
        <f t="shared" si="19"/>
        <v>687.5</v>
      </c>
      <c r="Q13" s="135">
        <v>0</v>
      </c>
      <c r="R13" s="211">
        <f t="shared" si="18"/>
        <v>0</v>
      </c>
      <c r="S13" s="135">
        <v>0</v>
      </c>
      <c r="T13" s="159">
        <f t="shared" si="12"/>
        <v>0</v>
      </c>
      <c r="U13" s="159">
        <f t="shared" si="13"/>
        <v>0</v>
      </c>
      <c r="V13" s="159">
        <f t="shared" si="14"/>
        <v>0</v>
      </c>
      <c r="W13" s="294">
        <f t="shared" si="15"/>
        <v>0</v>
      </c>
      <c r="X13" s="162">
        <f t="shared" si="16"/>
        <v>687.5</v>
      </c>
      <c r="AA13" s="164">
        <f t="shared" si="3"/>
        <v>0</v>
      </c>
      <c r="AB13" s="165">
        <f t="shared" si="4"/>
        <v>0</v>
      </c>
      <c r="AC13" s="165">
        <f>R13+AC12</f>
        <v>0</v>
      </c>
      <c r="AD13" s="165">
        <f t="shared" si="17"/>
        <v>0</v>
      </c>
      <c r="AE13" s="165">
        <f t="shared" si="6"/>
        <v>15931</v>
      </c>
      <c r="AF13" s="165">
        <f t="shared" si="7"/>
        <v>0</v>
      </c>
      <c r="AG13" s="165"/>
      <c r="AH13" s="230">
        <f t="shared" si="8"/>
        <v>0</v>
      </c>
    </row>
    <row r="14" spans="2:34" ht="26.25" customHeight="1">
      <c r="B14" s="166">
        <f t="shared" si="9"/>
        <v>44603</v>
      </c>
      <c r="C14" s="221">
        <v>0</v>
      </c>
      <c r="D14" s="221">
        <v>0</v>
      </c>
      <c r="E14" s="221">
        <v>-5800</v>
      </c>
      <c r="F14" s="221">
        <v>0</v>
      </c>
      <c r="G14" s="221">
        <v>0</v>
      </c>
      <c r="H14" s="292">
        <f t="shared" si="10"/>
        <v>0</v>
      </c>
      <c r="I14" s="137">
        <v>0</v>
      </c>
      <c r="J14" s="137">
        <v>0</v>
      </c>
      <c r="K14" s="137">
        <v>0</v>
      </c>
      <c r="L14" s="256">
        <f t="shared" si="20"/>
        <v>-5800</v>
      </c>
      <c r="M14" s="136">
        <v>0</v>
      </c>
      <c r="N14" s="256">
        <f t="shared" si="11"/>
        <v>-5800</v>
      </c>
      <c r="O14" s="323">
        <f t="shared" si="21"/>
        <v>2900</v>
      </c>
      <c r="P14" s="323">
        <f t="shared" si="19"/>
        <v>2900</v>
      </c>
      <c r="Q14" s="135">
        <v>0</v>
      </c>
      <c r="R14" s="211">
        <f t="shared" si="18"/>
        <v>0</v>
      </c>
      <c r="S14" s="135">
        <v>0</v>
      </c>
      <c r="T14" s="159">
        <f t="shared" si="12"/>
        <v>0</v>
      </c>
      <c r="U14" s="159">
        <f t="shared" si="13"/>
        <v>0</v>
      </c>
      <c r="V14" s="159">
        <f t="shared" si="14"/>
        <v>0</v>
      </c>
      <c r="W14" s="294">
        <f t="shared" si="15"/>
        <v>0</v>
      </c>
      <c r="X14" s="162">
        <f t="shared" si="16"/>
        <v>2900</v>
      </c>
      <c r="AA14" s="164">
        <f t="shared" si="3"/>
        <v>0</v>
      </c>
      <c r="AB14" s="165">
        <f t="shared" si="4"/>
        <v>0</v>
      </c>
      <c r="AC14" s="165">
        <f t="shared" si="5"/>
        <v>0</v>
      </c>
      <c r="AD14" s="165">
        <f t="shared" si="17"/>
        <v>0</v>
      </c>
      <c r="AE14" s="165">
        <f t="shared" si="6"/>
        <v>10131</v>
      </c>
      <c r="AF14" s="165">
        <f t="shared" si="7"/>
        <v>0</v>
      </c>
      <c r="AG14" s="165"/>
      <c r="AH14" s="230">
        <f t="shared" si="8"/>
        <v>0</v>
      </c>
    </row>
    <row r="15" spans="2:34" ht="26.25" customHeight="1">
      <c r="B15" s="166">
        <f t="shared" si="9"/>
        <v>44604</v>
      </c>
      <c r="C15" s="221">
        <v>0</v>
      </c>
      <c r="D15" s="221">
        <v>0</v>
      </c>
      <c r="E15" s="221">
        <v>0</v>
      </c>
      <c r="F15" s="221">
        <v>0</v>
      </c>
      <c r="G15" s="221">
        <v>0</v>
      </c>
      <c r="H15" s="292">
        <f t="shared" si="10"/>
        <v>0</v>
      </c>
      <c r="I15" s="137">
        <v>0</v>
      </c>
      <c r="J15" s="137">
        <v>0</v>
      </c>
      <c r="K15" s="137">
        <v>0</v>
      </c>
      <c r="L15" s="256">
        <f t="shared" si="20"/>
        <v>0</v>
      </c>
      <c r="M15" s="136">
        <v>0</v>
      </c>
      <c r="N15" s="256">
        <f>L15+M15</f>
        <v>0</v>
      </c>
      <c r="O15" s="323">
        <f t="shared" si="21"/>
        <v>0</v>
      </c>
      <c r="P15" s="323">
        <f t="shared" si="19"/>
        <v>0</v>
      </c>
      <c r="Q15" s="197">
        <v>0</v>
      </c>
      <c r="R15" s="279">
        <f t="shared" si="18"/>
        <v>0</v>
      </c>
      <c r="S15" s="197">
        <v>0</v>
      </c>
      <c r="T15" s="159">
        <f t="shared" si="12"/>
        <v>0</v>
      </c>
      <c r="U15" s="159">
        <f t="shared" si="13"/>
        <v>0</v>
      </c>
      <c r="V15" s="159">
        <f t="shared" si="14"/>
        <v>0</v>
      </c>
      <c r="W15" s="294">
        <f t="shared" si="15"/>
        <v>0</v>
      </c>
      <c r="X15" s="162">
        <f t="shared" si="16"/>
        <v>0</v>
      </c>
      <c r="AA15" s="164">
        <f t="shared" si="3"/>
        <v>0</v>
      </c>
      <c r="AB15" s="165">
        <f t="shared" si="4"/>
        <v>0</v>
      </c>
      <c r="AC15" s="165">
        <f t="shared" si="5"/>
        <v>0</v>
      </c>
      <c r="AD15" s="165">
        <f t="shared" si="17"/>
        <v>0</v>
      </c>
      <c r="AE15" s="165">
        <f t="shared" si="6"/>
        <v>10131</v>
      </c>
      <c r="AF15" s="165">
        <f t="shared" si="7"/>
        <v>0</v>
      </c>
      <c r="AG15" s="165"/>
      <c r="AH15" s="230">
        <f t="shared" si="8"/>
        <v>0</v>
      </c>
    </row>
    <row r="16" spans="2:34" ht="26.25" customHeight="1">
      <c r="B16" s="166">
        <f t="shared" si="9"/>
        <v>44605</v>
      </c>
      <c r="C16" s="221">
        <v>0</v>
      </c>
      <c r="D16" s="221">
        <v>0</v>
      </c>
      <c r="E16" s="221">
        <v>0</v>
      </c>
      <c r="F16" s="221">
        <v>0</v>
      </c>
      <c r="G16" s="221">
        <v>0</v>
      </c>
      <c r="H16" s="292">
        <f t="shared" si="10"/>
        <v>0</v>
      </c>
      <c r="I16" s="137">
        <v>0</v>
      </c>
      <c r="J16" s="137">
        <v>0</v>
      </c>
      <c r="K16" s="137">
        <v>0</v>
      </c>
      <c r="L16" s="256">
        <f t="shared" si="20"/>
        <v>0</v>
      </c>
      <c r="M16" s="136">
        <v>0</v>
      </c>
      <c r="N16" s="256">
        <f t="shared" si="11"/>
        <v>0</v>
      </c>
      <c r="O16" s="323">
        <f t="shared" si="21"/>
        <v>0</v>
      </c>
      <c r="P16" s="323">
        <f t="shared" si="19"/>
        <v>0</v>
      </c>
      <c r="Q16" s="197">
        <v>0</v>
      </c>
      <c r="R16" s="211">
        <f t="shared" si="18"/>
        <v>0</v>
      </c>
      <c r="S16" s="135">
        <v>0</v>
      </c>
      <c r="T16" s="159">
        <f t="shared" si="12"/>
        <v>0</v>
      </c>
      <c r="U16" s="159">
        <f t="shared" si="13"/>
        <v>0</v>
      </c>
      <c r="V16" s="159">
        <f t="shared" si="14"/>
        <v>0</v>
      </c>
      <c r="W16" s="294">
        <f t="shared" si="15"/>
        <v>0</v>
      </c>
      <c r="X16" s="162">
        <f t="shared" si="16"/>
        <v>0</v>
      </c>
      <c r="AA16" s="164">
        <f t="shared" si="3"/>
        <v>0</v>
      </c>
      <c r="AB16" s="165">
        <f t="shared" si="4"/>
        <v>0</v>
      </c>
      <c r="AC16" s="165">
        <f t="shared" si="5"/>
        <v>0</v>
      </c>
      <c r="AD16" s="165">
        <f t="shared" si="17"/>
        <v>0</v>
      </c>
      <c r="AE16" s="165">
        <f t="shared" si="6"/>
        <v>10131</v>
      </c>
      <c r="AF16" s="165">
        <f t="shared" si="7"/>
        <v>0</v>
      </c>
      <c r="AG16" s="165"/>
      <c r="AH16" s="230">
        <f t="shared" si="8"/>
        <v>0</v>
      </c>
    </row>
    <row r="17" spans="2:34" s="296" customFormat="1" ht="26.25" customHeight="1">
      <c r="B17" s="297">
        <f t="shared" si="9"/>
        <v>44606</v>
      </c>
      <c r="C17" s="221">
        <v>0</v>
      </c>
      <c r="D17" s="221">
        <v>0</v>
      </c>
      <c r="E17" s="221">
        <v>0</v>
      </c>
      <c r="F17" s="221">
        <v>0</v>
      </c>
      <c r="G17" s="221">
        <v>0</v>
      </c>
      <c r="H17" s="292">
        <f t="shared" si="10"/>
        <v>0</v>
      </c>
      <c r="I17" s="137">
        <v>0</v>
      </c>
      <c r="J17" s="137">
        <v>0</v>
      </c>
      <c r="K17" s="137">
        <v>0</v>
      </c>
      <c r="L17" s="256">
        <f t="shared" si="20"/>
        <v>0</v>
      </c>
      <c r="M17" s="136">
        <v>0</v>
      </c>
      <c r="N17" s="256">
        <f t="shared" si="11"/>
        <v>0</v>
      </c>
      <c r="O17" s="323">
        <f t="shared" si="21"/>
        <v>0</v>
      </c>
      <c r="P17" s="323">
        <f t="shared" si="19"/>
        <v>0</v>
      </c>
      <c r="Q17" s="197">
        <v>0</v>
      </c>
      <c r="R17" s="279">
        <f t="shared" si="18"/>
        <v>0</v>
      </c>
      <c r="S17" s="135">
        <v>0</v>
      </c>
      <c r="T17" s="300">
        <f t="shared" si="12"/>
        <v>0</v>
      </c>
      <c r="U17" s="300">
        <f t="shared" si="13"/>
        <v>0</v>
      </c>
      <c r="V17" s="300">
        <f t="shared" si="14"/>
        <v>0</v>
      </c>
      <c r="W17" s="301">
        <f t="shared" si="15"/>
        <v>0</v>
      </c>
      <c r="X17" s="302">
        <f t="shared" si="16"/>
        <v>0</v>
      </c>
      <c r="AA17" s="303">
        <f t="shared" si="3"/>
        <v>0</v>
      </c>
      <c r="AB17" s="304">
        <f t="shared" si="4"/>
        <v>0</v>
      </c>
      <c r="AC17" s="304">
        <f t="shared" si="5"/>
        <v>0</v>
      </c>
      <c r="AD17" s="165">
        <f t="shared" si="17"/>
        <v>0</v>
      </c>
      <c r="AE17" s="304">
        <f t="shared" si="6"/>
        <v>10131</v>
      </c>
      <c r="AF17" s="304">
        <f t="shared" si="7"/>
        <v>0</v>
      </c>
      <c r="AG17" s="304"/>
      <c r="AH17" s="305">
        <f t="shared" si="8"/>
        <v>0</v>
      </c>
    </row>
    <row r="18" spans="2:34" s="296" customFormat="1" ht="26.25" customHeight="1">
      <c r="B18" s="297">
        <f t="shared" si="9"/>
        <v>44607</v>
      </c>
      <c r="C18" s="221">
        <v>0</v>
      </c>
      <c r="D18" s="221">
        <v>0</v>
      </c>
      <c r="E18" s="221">
        <v>-7810</v>
      </c>
      <c r="F18" s="221">
        <v>15000</v>
      </c>
      <c r="G18" s="221">
        <v>-15000</v>
      </c>
      <c r="H18" s="292">
        <f t="shared" si="10"/>
        <v>0</v>
      </c>
      <c r="I18" s="137">
        <v>0</v>
      </c>
      <c r="J18" s="137">
        <v>0</v>
      </c>
      <c r="K18" s="137">
        <v>0</v>
      </c>
      <c r="L18" s="256">
        <f t="shared" si="20"/>
        <v>-7810</v>
      </c>
      <c r="M18" s="136">
        <v>0</v>
      </c>
      <c r="N18" s="256">
        <f t="shared" si="11"/>
        <v>-7810</v>
      </c>
      <c r="O18" s="323">
        <f t="shared" si="21"/>
        <v>3905</v>
      </c>
      <c r="P18" s="323">
        <f t="shared" si="19"/>
        <v>3905</v>
      </c>
      <c r="Q18" s="197">
        <v>0</v>
      </c>
      <c r="R18" s="279">
        <f t="shared" si="18"/>
        <v>0</v>
      </c>
      <c r="S18" s="197">
        <v>0</v>
      </c>
      <c r="T18" s="300">
        <f t="shared" si="12"/>
        <v>0</v>
      </c>
      <c r="U18" s="300">
        <f t="shared" si="13"/>
        <v>0</v>
      </c>
      <c r="V18" s="300">
        <f t="shared" si="14"/>
        <v>0</v>
      </c>
      <c r="W18" s="301">
        <f t="shared" si="15"/>
        <v>0</v>
      </c>
      <c r="X18" s="302">
        <f t="shared" si="16"/>
        <v>3905</v>
      </c>
      <c r="AA18" s="303">
        <f t="shared" si="3"/>
        <v>0</v>
      </c>
      <c r="AB18" s="304">
        <f t="shared" si="4"/>
        <v>0</v>
      </c>
      <c r="AC18" s="304">
        <f t="shared" si="5"/>
        <v>0</v>
      </c>
      <c r="AD18" s="304">
        <f t="shared" si="17"/>
        <v>0</v>
      </c>
      <c r="AE18" s="304">
        <f t="shared" si="6"/>
        <v>2321</v>
      </c>
      <c r="AF18" s="304">
        <f t="shared" si="7"/>
        <v>0</v>
      </c>
      <c r="AG18" s="304"/>
      <c r="AH18" s="305">
        <f t="shared" si="8"/>
        <v>0</v>
      </c>
    </row>
    <row r="19" spans="2:34" ht="26.25" customHeight="1">
      <c r="B19" s="166">
        <f t="shared" si="9"/>
        <v>44608</v>
      </c>
      <c r="C19" s="291">
        <v>0</v>
      </c>
      <c r="D19" s="291"/>
      <c r="E19" s="221">
        <v>20</v>
      </c>
      <c r="F19" s="221">
        <v>15000</v>
      </c>
      <c r="G19" s="221">
        <v>-15000</v>
      </c>
      <c r="H19" s="292">
        <f t="shared" si="10"/>
        <v>0</v>
      </c>
      <c r="I19" s="137">
        <v>0</v>
      </c>
      <c r="J19" s="137">
        <v>0</v>
      </c>
      <c r="K19" s="137">
        <v>0</v>
      </c>
      <c r="L19" s="256">
        <f t="shared" si="20"/>
        <v>20</v>
      </c>
      <c r="M19" s="136">
        <v>0</v>
      </c>
      <c r="N19" s="256">
        <f t="shared" si="11"/>
        <v>20</v>
      </c>
      <c r="O19" s="323">
        <f t="shared" si="21"/>
        <v>-10</v>
      </c>
      <c r="P19" s="323">
        <f t="shared" si="19"/>
        <v>-10</v>
      </c>
      <c r="Q19" s="135">
        <v>0</v>
      </c>
      <c r="R19" s="211">
        <f t="shared" si="18"/>
        <v>0</v>
      </c>
      <c r="S19" s="135">
        <v>0</v>
      </c>
      <c r="T19" s="159">
        <f t="shared" si="12"/>
        <v>0</v>
      </c>
      <c r="U19" s="159">
        <f t="shared" si="13"/>
        <v>0</v>
      </c>
      <c r="V19" s="159">
        <f t="shared" si="14"/>
        <v>0</v>
      </c>
      <c r="W19" s="294">
        <f t="shared" si="15"/>
        <v>0</v>
      </c>
      <c r="X19" s="162">
        <f t="shared" si="16"/>
        <v>-10</v>
      </c>
      <c r="AA19" s="164">
        <f t="shared" si="3"/>
        <v>0</v>
      </c>
      <c r="AB19" s="165">
        <f t="shared" si="4"/>
        <v>0</v>
      </c>
      <c r="AC19" s="165">
        <f t="shared" si="5"/>
        <v>0</v>
      </c>
      <c r="AD19" s="165">
        <f t="shared" si="17"/>
        <v>0</v>
      </c>
      <c r="AE19" s="165">
        <f t="shared" si="6"/>
        <v>2341</v>
      </c>
      <c r="AF19" s="165">
        <f t="shared" si="7"/>
        <v>0</v>
      </c>
      <c r="AG19" s="165"/>
      <c r="AH19" s="230">
        <f t="shared" si="8"/>
        <v>0</v>
      </c>
    </row>
    <row r="20" spans="2:34" ht="26.25" customHeight="1">
      <c r="B20" s="166">
        <f t="shared" si="9"/>
        <v>44609</v>
      </c>
      <c r="C20" s="291">
        <v>0</v>
      </c>
      <c r="D20" s="291"/>
      <c r="E20" s="221">
        <v>3590</v>
      </c>
      <c r="F20" s="221">
        <v>10000</v>
      </c>
      <c r="G20" s="221">
        <v>-10000</v>
      </c>
      <c r="H20" s="292">
        <f t="shared" si="10"/>
        <v>0</v>
      </c>
      <c r="I20" s="137">
        <v>0</v>
      </c>
      <c r="J20" s="137">
        <v>0</v>
      </c>
      <c r="K20" s="137">
        <v>0</v>
      </c>
      <c r="L20" s="256">
        <f t="shared" si="20"/>
        <v>3590</v>
      </c>
      <c r="M20" s="136">
        <v>0</v>
      </c>
      <c r="N20" s="256">
        <f t="shared" si="11"/>
        <v>3590</v>
      </c>
      <c r="O20" s="323">
        <f t="shared" si="21"/>
        <v>-1795</v>
      </c>
      <c r="P20" s="323">
        <f t="shared" si="19"/>
        <v>-1795</v>
      </c>
      <c r="Q20" s="135">
        <v>0</v>
      </c>
      <c r="R20" s="211">
        <f t="shared" si="18"/>
        <v>0</v>
      </c>
      <c r="S20" s="135">
        <v>0</v>
      </c>
      <c r="T20" s="159">
        <f t="shared" si="12"/>
        <v>0</v>
      </c>
      <c r="U20" s="159">
        <f t="shared" si="13"/>
        <v>0</v>
      </c>
      <c r="V20" s="159">
        <f t="shared" si="14"/>
        <v>0</v>
      </c>
      <c r="W20" s="294">
        <f t="shared" si="15"/>
        <v>0</v>
      </c>
      <c r="X20" s="162">
        <f t="shared" si="16"/>
        <v>-1795</v>
      </c>
      <c r="AA20" s="164">
        <f t="shared" si="3"/>
        <v>0</v>
      </c>
      <c r="AB20" s="165">
        <f t="shared" si="4"/>
        <v>0</v>
      </c>
      <c r="AC20" s="165">
        <f t="shared" si="5"/>
        <v>0</v>
      </c>
      <c r="AD20" s="165">
        <f t="shared" si="17"/>
        <v>0</v>
      </c>
      <c r="AE20" s="165">
        <f t="shared" si="6"/>
        <v>5931</v>
      </c>
      <c r="AF20" s="165">
        <f t="shared" si="7"/>
        <v>0</v>
      </c>
      <c r="AG20" s="165"/>
      <c r="AH20" s="230">
        <f t="shared" si="8"/>
        <v>0</v>
      </c>
    </row>
    <row r="21" spans="2:34" ht="26.25" customHeight="1">
      <c r="B21" s="166">
        <f t="shared" si="9"/>
        <v>44610</v>
      </c>
      <c r="C21" s="291">
        <v>0</v>
      </c>
      <c r="D21" s="291"/>
      <c r="E21" s="221">
        <v>-620</v>
      </c>
      <c r="F21" s="221">
        <v>10000</v>
      </c>
      <c r="G21" s="221">
        <v>-10000</v>
      </c>
      <c r="H21" s="292">
        <f t="shared" si="10"/>
        <v>0</v>
      </c>
      <c r="I21" s="137">
        <v>0</v>
      </c>
      <c r="J21" s="137">
        <v>0</v>
      </c>
      <c r="K21" s="137">
        <v>0</v>
      </c>
      <c r="L21" s="256">
        <f t="shared" si="20"/>
        <v>-620</v>
      </c>
      <c r="M21" s="136">
        <v>0</v>
      </c>
      <c r="N21" s="256">
        <f t="shared" si="11"/>
        <v>-620</v>
      </c>
      <c r="O21" s="323">
        <f t="shared" si="21"/>
        <v>310</v>
      </c>
      <c r="P21" s="323">
        <f t="shared" si="19"/>
        <v>310</v>
      </c>
      <c r="Q21" s="135">
        <v>0</v>
      </c>
      <c r="R21" s="211">
        <f t="shared" si="18"/>
        <v>0</v>
      </c>
      <c r="S21" s="135">
        <v>0</v>
      </c>
      <c r="T21" s="159">
        <f t="shared" si="12"/>
        <v>0</v>
      </c>
      <c r="U21" s="159">
        <f t="shared" si="13"/>
        <v>0</v>
      </c>
      <c r="V21" s="159">
        <f t="shared" si="14"/>
        <v>0</v>
      </c>
      <c r="W21" s="294">
        <f t="shared" si="15"/>
        <v>0</v>
      </c>
      <c r="X21" s="162">
        <f t="shared" si="16"/>
        <v>310</v>
      </c>
      <c r="AA21" s="164">
        <f t="shared" si="3"/>
        <v>0</v>
      </c>
      <c r="AB21" s="165">
        <f t="shared" si="4"/>
        <v>0</v>
      </c>
      <c r="AC21" s="165">
        <f t="shared" si="5"/>
        <v>0</v>
      </c>
      <c r="AD21" s="165">
        <f t="shared" si="17"/>
        <v>0</v>
      </c>
      <c r="AE21" s="165">
        <f t="shared" si="6"/>
        <v>5311</v>
      </c>
      <c r="AF21" s="165">
        <f t="shared" si="7"/>
        <v>0</v>
      </c>
      <c r="AG21" s="165"/>
      <c r="AH21" s="230">
        <f t="shared" si="8"/>
        <v>0</v>
      </c>
    </row>
    <row r="22" spans="2:34" ht="26.25" customHeight="1">
      <c r="B22" s="166">
        <f t="shared" si="9"/>
        <v>44611</v>
      </c>
      <c r="C22" s="291"/>
      <c r="D22" s="291"/>
      <c r="E22" s="221"/>
      <c r="F22" s="221"/>
      <c r="G22" s="221"/>
      <c r="H22" s="292">
        <f t="shared" si="10"/>
        <v>0</v>
      </c>
      <c r="I22" s="137"/>
      <c r="J22" s="137"/>
      <c r="K22" s="137"/>
      <c r="L22" s="256">
        <f t="shared" si="20"/>
        <v>0</v>
      </c>
      <c r="M22" s="136"/>
      <c r="N22" s="256">
        <f t="shared" si="11"/>
        <v>0</v>
      </c>
      <c r="O22" s="323">
        <f>N22*$O$3</f>
        <v>0</v>
      </c>
      <c r="P22" s="323">
        <f t="shared" si="19"/>
        <v>0</v>
      </c>
      <c r="Q22" s="135">
        <v>0</v>
      </c>
      <c r="R22" s="211">
        <f t="shared" si="18"/>
        <v>0</v>
      </c>
      <c r="S22" s="135"/>
      <c r="T22" s="159">
        <f t="shared" si="12"/>
        <v>0</v>
      </c>
      <c r="U22" s="159">
        <f t="shared" si="13"/>
        <v>0</v>
      </c>
      <c r="V22" s="159">
        <f t="shared" si="14"/>
        <v>0</v>
      </c>
      <c r="W22" s="294">
        <f t="shared" si="15"/>
        <v>0</v>
      </c>
      <c r="X22" s="162">
        <f t="shared" si="16"/>
        <v>0</v>
      </c>
      <c r="AA22" s="164">
        <f t="shared" si="3"/>
        <v>0</v>
      </c>
      <c r="AB22" s="165">
        <f t="shared" si="4"/>
        <v>0</v>
      </c>
      <c r="AC22" s="165">
        <f t="shared" si="5"/>
        <v>0</v>
      </c>
      <c r="AD22" s="165">
        <f t="shared" si="17"/>
        <v>0</v>
      </c>
      <c r="AE22" s="165">
        <f t="shared" si="6"/>
        <v>5311</v>
      </c>
      <c r="AF22" s="165">
        <f t="shared" si="7"/>
        <v>0</v>
      </c>
      <c r="AG22" s="165"/>
      <c r="AH22" s="230">
        <f t="shared" si="8"/>
        <v>0</v>
      </c>
    </row>
    <row r="23" spans="2:34" ht="26.25" customHeight="1">
      <c r="B23" s="166">
        <f t="shared" si="9"/>
        <v>44612</v>
      </c>
      <c r="C23" s="221"/>
      <c r="D23" s="221"/>
      <c r="E23" s="221"/>
      <c r="F23" s="221"/>
      <c r="G23" s="221"/>
      <c r="H23" s="292">
        <f t="shared" si="10"/>
        <v>0</v>
      </c>
      <c r="I23" s="137"/>
      <c r="J23" s="137"/>
      <c r="K23" s="137"/>
      <c r="L23" s="256">
        <f t="shared" si="20"/>
        <v>0</v>
      </c>
      <c r="M23" s="136"/>
      <c r="N23" s="256">
        <f t="shared" si="11"/>
        <v>0</v>
      </c>
      <c r="O23" s="323">
        <f t="shared" si="21"/>
        <v>0</v>
      </c>
      <c r="P23" s="323">
        <f t="shared" si="19"/>
        <v>0</v>
      </c>
      <c r="Q23" s="135">
        <v>0</v>
      </c>
      <c r="R23" s="211">
        <f t="shared" si="18"/>
        <v>0</v>
      </c>
      <c r="S23" s="135"/>
      <c r="T23" s="159">
        <f t="shared" si="12"/>
        <v>0</v>
      </c>
      <c r="U23" s="159">
        <f t="shared" si="13"/>
        <v>0</v>
      </c>
      <c r="V23" s="159">
        <f t="shared" si="14"/>
        <v>0</v>
      </c>
      <c r="W23" s="294">
        <f t="shared" si="15"/>
        <v>0</v>
      </c>
      <c r="X23" s="162">
        <f t="shared" si="16"/>
        <v>0</v>
      </c>
      <c r="AA23" s="164">
        <f t="shared" si="3"/>
        <v>0</v>
      </c>
      <c r="AB23" s="165">
        <f t="shared" si="4"/>
        <v>0</v>
      </c>
      <c r="AC23" s="165">
        <f t="shared" si="5"/>
        <v>0</v>
      </c>
      <c r="AD23" s="165">
        <f t="shared" si="17"/>
        <v>0</v>
      </c>
      <c r="AE23" s="165">
        <f t="shared" si="6"/>
        <v>5311</v>
      </c>
      <c r="AF23" s="165">
        <f t="shared" si="7"/>
        <v>0</v>
      </c>
      <c r="AG23" s="165"/>
      <c r="AH23" s="230">
        <f t="shared" si="8"/>
        <v>0</v>
      </c>
    </row>
    <row r="24" spans="2:34" ht="26.25" customHeight="1">
      <c r="B24" s="198">
        <f t="shared" si="9"/>
        <v>44613</v>
      </c>
      <c r="C24" s="221"/>
      <c r="D24" s="221"/>
      <c r="E24" s="221"/>
      <c r="F24" s="221"/>
      <c r="G24" s="221"/>
      <c r="H24" s="292">
        <f t="shared" si="10"/>
        <v>0</v>
      </c>
      <c r="I24" s="137"/>
      <c r="J24" s="137"/>
      <c r="K24" s="137"/>
      <c r="L24" s="256">
        <f t="shared" si="20"/>
        <v>0</v>
      </c>
      <c r="M24" s="136"/>
      <c r="N24" s="256">
        <f t="shared" si="11"/>
        <v>0</v>
      </c>
      <c r="O24" s="323">
        <f t="shared" si="21"/>
        <v>0</v>
      </c>
      <c r="P24" s="323">
        <f t="shared" si="19"/>
        <v>0</v>
      </c>
      <c r="Q24" s="135">
        <v>0</v>
      </c>
      <c r="R24" s="211">
        <f t="shared" si="18"/>
        <v>0</v>
      </c>
      <c r="S24" s="135"/>
      <c r="T24" s="159">
        <f t="shared" si="12"/>
        <v>0</v>
      </c>
      <c r="U24" s="159">
        <f t="shared" si="13"/>
        <v>0</v>
      </c>
      <c r="V24" s="159">
        <f t="shared" si="14"/>
        <v>0</v>
      </c>
      <c r="W24" s="294">
        <f t="shared" si="15"/>
        <v>0</v>
      </c>
      <c r="X24" s="162">
        <f t="shared" si="16"/>
        <v>0</v>
      </c>
      <c r="AA24" s="164">
        <f t="shared" si="3"/>
        <v>0</v>
      </c>
      <c r="AB24" s="165">
        <f t="shared" si="4"/>
        <v>0</v>
      </c>
      <c r="AC24" s="165">
        <f t="shared" si="5"/>
        <v>0</v>
      </c>
      <c r="AD24" s="165">
        <f t="shared" si="17"/>
        <v>0</v>
      </c>
      <c r="AE24" s="165">
        <f t="shared" si="6"/>
        <v>5311</v>
      </c>
      <c r="AF24" s="165">
        <f t="shared" si="7"/>
        <v>0</v>
      </c>
      <c r="AG24" s="165"/>
      <c r="AH24" s="230">
        <f t="shared" si="8"/>
        <v>0</v>
      </c>
    </row>
    <row r="25" spans="2:34" ht="26.25" customHeight="1">
      <c r="B25" s="198">
        <f t="shared" si="9"/>
        <v>44614</v>
      </c>
      <c r="C25" s="221"/>
      <c r="D25" s="221"/>
      <c r="E25" s="221"/>
      <c r="F25" s="221"/>
      <c r="G25" s="221"/>
      <c r="H25" s="292">
        <f t="shared" si="10"/>
        <v>0</v>
      </c>
      <c r="I25" s="137"/>
      <c r="J25" s="137"/>
      <c r="K25" s="137"/>
      <c r="L25" s="256">
        <f t="shared" si="20"/>
        <v>0</v>
      </c>
      <c r="M25" s="136"/>
      <c r="N25" s="256">
        <f t="shared" si="11"/>
        <v>0</v>
      </c>
      <c r="O25" s="323">
        <f t="shared" si="21"/>
        <v>0</v>
      </c>
      <c r="P25" s="323">
        <f t="shared" si="19"/>
        <v>0</v>
      </c>
      <c r="Q25" s="135">
        <v>0</v>
      </c>
      <c r="R25" s="211">
        <f t="shared" si="18"/>
        <v>0</v>
      </c>
      <c r="S25" s="135"/>
      <c r="T25" s="159">
        <f t="shared" si="12"/>
        <v>0</v>
      </c>
      <c r="U25" s="159">
        <f t="shared" si="13"/>
        <v>0</v>
      </c>
      <c r="V25" s="159">
        <f t="shared" si="14"/>
        <v>0</v>
      </c>
      <c r="W25" s="294">
        <f t="shared" si="15"/>
        <v>0</v>
      </c>
      <c r="X25" s="162">
        <f t="shared" si="16"/>
        <v>0</v>
      </c>
      <c r="AA25" s="164">
        <f t="shared" si="3"/>
        <v>0</v>
      </c>
      <c r="AB25" s="165">
        <f t="shared" si="4"/>
        <v>0</v>
      </c>
      <c r="AC25" s="165">
        <f t="shared" si="5"/>
        <v>0</v>
      </c>
      <c r="AD25" s="165">
        <f t="shared" si="17"/>
        <v>0</v>
      </c>
      <c r="AE25" s="165">
        <f t="shared" si="6"/>
        <v>5311</v>
      </c>
      <c r="AF25" s="165">
        <f t="shared" si="7"/>
        <v>0</v>
      </c>
      <c r="AG25" s="165"/>
      <c r="AH25" s="230">
        <f t="shared" si="8"/>
        <v>0</v>
      </c>
    </row>
    <row r="26" spans="2:34" ht="26.25" customHeight="1">
      <c r="B26" s="166">
        <f t="shared" si="9"/>
        <v>44615</v>
      </c>
      <c r="C26" s="221"/>
      <c r="D26" s="221"/>
      <c r="E26" s="221"/>
      <c r="F26" s="221"/>
      <c r="G26" s="221"/>
      <c r="H26" s="292">
        <f t="shared" si="10"/>
        <v>0</v>
      </c>
      <c r="I26" s="137"/>
      <c r="J26" s="137"/>
      <c r="K26" s="137"/>
      <c r="L26" s="256">
        <f t="shared" si="20"/>
        <v>0</v>
      </c>
      <c r="M26" s="136"/>
      <c r="N26" s="256">
        <f t="shared" si="11"/>
        <v>0</v>
      </c>
      <c r="O26" s="323">
        <f t="shared" si="21"/>
        <v>0</v>
      </c>
      <c r="P26" s="323">
        <f t="shared" si="19"/>
        <v>0</v>
      </c>
      <c r="Q26" s="135">
        <v>0</v>
      </c>
      <c r="R26" s="211">
        <f t="shared" si="18"/>
        <v>0</v>
      </c>
      <c r="S26" s="135"/>
      <c r="T26" s="159">
        <f t="shared" si="12"/>
        <v>0</v>
      </c>
      <c r="U26" s="159">
        <f t="shared" si="13"/>
        <v>0</v>
      </c>
      <c r="V26" s="159">
        <f t="shared" si="14"/>
        <v>0</v>
      </c>
      <c r="W26" s="294">
        <f t="shared" si="15"/>
        <v>0</v>
      </c>
      <c r="X26" s="162">
        <f t="shared" si="16"/>
        <v>0</v>
      </c>
      <c r="AA26" s="164">
        <f t="shared" si="3"/>
        <v>0</v>
      </c>
      <c r="AB26" s="165">
        <f t="shared" si="4"/>
        <v>0</v>
      </c>
      <c r="AC26" s="165">
        <f t="shared" si="5"/>
        <v>0</v>
      </c>
      <c r="AD26" s="165">
        <f t="shared" si="17"/>
        <v>0</v>
      </c>
      <c r="AE26" s="165">
        <f t="shared" si="6"/>
        <v>5311</v>
      </c>
      <c r="AF26" s="165">
        <f t="shared" si="7"/>
        <v>0</v>
      </c>
      <c r="AG26" s="165"/>
      <c r="AH26" s="230">
        <f t="shared" si="8"/>
        <v>0</v>
      </c>
    </row>
    <row r="27" spans="2:34" ht="26.25" customHeight="1">
      <c r="B27" s="166">
        <f t="shared" si="9"/>
        <v>44616</v>
      </c>
      <c r="C27" s="221"/>
      <c r="D27" s="221"/>
      <c r="E27" s="221"/>
      <c r="F27" s="221"/>
      <c r="G27" s="221"/>
      <c r="H27" s="292">
        <f t="shared" si="10"/>
        <v>0</v>
      </c>
      <c r="I27" s="137"/>
      <c r="J27" s="137"/>
      <c r="K27" s="137"/>
      <c r="L27" s="256">
        <f t="shared" si="20"/>
        <v>0</v>
      </c>
      <c r="M27" s="275"/>
      <c r="N27" s="256">
        <f t="shared" si="11"/>
        <v>0</v>
      </c>
      <c r="O27" s="323">
        <f t="shared" si="21"/>
        <v>0</v>
      </c>
      <c r="P27" s="323">
        <f t="shared" si="19"/>
        <v>0</v>
      </c>
      <c r="Q27" s="135">
        <v>0</v>
      </c>
      <c r="R27" s="211">
        <f t="shared" si="18"/>
        <v>0</v>
      </c>
      <c r="S27" s="135"/>
      <c r="T27" s="159">
        <f t="shared" si="12"/>
        <v>0</v>
      </c>
      <c r="U27" s="159">
        <f t="shared" si="13"/>
        <v>0</v>
      </c>
      <c r="V27" s="159">
        <f t="shared" si="14"/>
        <v>0</v>
      </c>
      <c r="W27" s="294">
        <f t="shared" si="15"/>
        <v>0</v>
      </c>
      <c r="X27" s="162">
        <f t="shared" si="16"/>
        <v>0</v>
      </c>
      <c r="AA27" s="164">
        <f t="shared" si="3"/>
        <v>0</v>
      </c>
      <c r="AB27" s="165">
        <f t="shared" si="4"/>
        <v>0</v>
      </c>
      <c r="AC27" s="165">
        <f t="shared" si="5"/>
        <v>0</v>
      </c>
      <c r="AD27" s="165">
        <f t="shared" si="17"/>
        <v>0</v>
      </c>
      <c r="AE27" s="165">
        <f t="shared" si="6"/>
        <v>5311</v>
      </c>
      <c r="AF27" s="165">
        <f t="shared" si="7"/>
        <v>0</v>
      </c>
      <c r="AG27" s="165"/>
      <c r="AH27" s="230">
        <f t="shared" si="8"/>
        <v>0</v>
      </c>
    </row>
    <row r="28" spans="2:34" ht="26.25" customHeight="1">
      <c r="B28" s="166">
        <f t="shared" si="9"/>
        <v>44617</v>
      </c>
      <c r="C28" s="221"/>
      <c r="D28" s="221"/>
      <c r="E28" s="221"/>
      <c r="F28" s="221"/>
      <c r="G28" s="221"/>
      <c r="H28" s="292">
        <f t="shared" si="10"/>
        <v>0</v>
      </c>
      <c r="I28" s="137"/>
      <c r="J28" s="137"/>
      <c r="K28" s="137"/>
      <c r="L28" s="256">
        <f t="shared" si="20"/>
        <v>0</v>
      </c>
      <c r="M28" s="275"/>
      <c r="N28" s="278">
        <f t="shared" si="11"/>
        <v>0</v>
      </c>
      <c r="O28" s="323">
        <f t="shared" si="21"/>
        <v>0</v>
      </c>
      <c r="P28" s="323">
        <f t="shared" si="19"/>
        <v>0</v>
      </c>
      <c r="Q28" s="135">
        <v>0</v>
      </c>
      <c r="R28" s="211">
        <f t="shared" si="18"/>
        <v>0</v>
      </c>
      <c r="S28" s="135"/>
      <c r="T28" s="159">
        <f t="shared" si="12"/>
        <v>0</v>
      </c>
      <c r="U28" s="159">
        <f t="shared" si="13"/>
        <v>0</v>
      </c>
      <c r="V28" s="159">
        <f t="shared" si="14"/>
        <v>0</v>
      </c>
      <c r="W28" s="294">
        <f t="shared" si="15"/>
        <v>0</v>
      </c>
      <c r="X28" s="162">
        <f t="shared" si="16"/>
        <v>0</v>
      </c>
      <c r="AA28" s="164">
        <f t="shared" si="3"/>
        <v>0</v>
      </c>
      <c r="AB28" s="165">
        <f t="shared" si="4"/>
        <v>0</v>
      </c>
      <c r="AC28" s="165">
        <f t="shared" si="5"/>
        <v>0</v>
      </c>
      <c r="AD28" s="165">
        <f t="shared" si="17"/>
        <v>0</v>
      </c>
      <c r="AE28" s="165">
        <f t="shared" si="6"/>
        <v>5311</v>
      </c>
      <c r="AF28" s="165">
        <f t="shared" si="7"/>
        <v>0</v>
      </c>
      <c r="AG28" s="165"/>
      <c r="AH28" s="230">
        <f t="shared" si="8"/>
        <v>0</v>
      </c>
    </row>
    <row r="29" spans="2:34" ht="26.25" customHeight="1">
      <c r="B29" s="166">
        <f t="shared" si="9"/>
        <v>44618</v>
      </c>
      <c r="C29" s="221"/>
      <c r="D29" s="221"/>
      <c r="E29" s="221"/>
      <c r="F29" s="221"/>
      <c r="G29" s="221"/>
      <c r="H29" s="292">
        <f t="shared" si="10"/>
        <v>0</v>
      </c>
      <c r="I29" s="137"/>
      <c r="J29" s="137"/>
      <c r="K29" s="137"/>
      <c r="L29" s="256">
        <f t="shared" si="20"/>
        <v>0</v>
      </c>
      <c r="M29" s="136"/>
      <c r="N29" s="256">
        <f t="shared" si="11"/>
        <v>0</v>
      </c>
      <c r="O29" s="323">
        <f>N29*$O$3</f>
        <v>0</v>
      </c>
      <c r="P29" s="323">
        <f t="shared" si="19"/>
        <v>0</v>
      </c>
      <c r="Q29" s="135">
        <v>0</v>
      </c>
      <c r="R29" s="211">
        <f t="shared" si="18"/>
        <v>0</v>
      </c>
      <c r="S29" s="135"/>
      <c r="T29" s="159">
        <f t="shared" si="12"/>
        <v>0</v>
      </c>
      <c r="U29" s="159">
        <f t="shared" si="13"/>
        <v>0</v>
      </c>
      <c r="V29" s="159">
        <f t="shared" si="14"/>
        <v>0</v>
      </c>
      <c r="W29" s="294">
        <f t="shared" si="15"/>
        <v>0</v>
      </c>
      <c r="X29" s="162">
        <f t="shared" si="16"/>
        <v>0</v>
      </c>
      <c r="AA29" s="164">
        <f t="shared" si="3"/>
        <v>0</v>
      </c>
      <c r="AB29" s="165">
        <f t="shared" si="4"/>
        <v>0</v>
      </c>
      <c r="AC29" s="165">
        <f t="shared" si="5"/>
        <v>0</v>
      </c>
      <c r="AD29" s="165">
        <f t="shared" si="17"/>
        <v>0</v>
      </c>
      <c r="AE29" s="165">
        <f t="shared" si="6"/>
        <v>5311</v>
      </c>
      <c r="AF29" s="165">
        <f t="shared" si="7"/>
        <v>0</v>
      </c>
      <c r="AG29" s="165"/>
      <c r="AH29" s="230">
        <f t="shared" si="8"/>
        <v>0</v>
      </c>
    </row>
    <row r="30" spans="2:34" ht="26.25" customHeight="1">
      <c r="B30" s="166">
        <f t="shared" si="9"/>
        <v>44619</v>
      </c>
      <c r="C30" s="221"/>
      <c r="D30" s="221"/>
      <c r="E30" s="221"/>
      <c r="F30" s="221"/>
      <c r="G30" s="221"/>
      <c r="H30" s="292">
        <f t="shared" si="10"/>
        <v>0</v>
      </c>
      <c r="I30" s="137"/>
      <c r="J30" s="137"/>
      <c r="K30" s="137"/>
      <c r="L30" s="256">
        <f t="shared" si="20"/>
        <v>0</v>
      </c>
      <c r="M30" s="136"/>
      <c r="N30" s="256">
        <f>L30+M30</f>
        <v>0</v>
      </c>
      <c r="O30" s="323">
        <f t="shared" si="21"/>
        <v>0</v>
      </c>
      <c r="P30" s="323">
        <f t="shared" si="19"/>
        <v>0</v>
      </c>
      <c r="Q30" s="135">
        <v>0</v>
      </c>
      <c r="R30" s="211">
        <f t="shared" si="18"/>
        <v>0</v>
      </c>
      <c r="S30" s="135"/>
      <c r="T30" s="159">
        <f t="shared" si="12"/>
        <v>0</v>
      </c>
      <c r="U30" s="159">
        <f t="shared" si="13"/>
        <v>0</v>
      </c>
      <c r="V30" s="159">
        <f t="shared" si="14"/>
        <v>0</v>
      </c>
      <c r="W30" s="294">
        <f t="shared" si="15"/>
        <v>0</v>
      </c>
      <c r="X30" s="162">
        <f t="shared" si="16"/>
        <v>0</v>
      </c>
      <c r="AA30" s="164">
        <f t="shared" si="3"/>
        <v>0</v>
      </c>
      <c r="AB30" s="165">
        <f t="shared" si="4"/>
        <v>0</v>
      </c>
      <c r="AC30" s="165">
        <f t="shared" si="5"/>
        <v>0</v>
      </c>
      <c r="AD30" s="165">
        <f t="shared" si="17"/>
        <v>0</v>
      </c>
      <c r="AE30" s="165">
        <f t="shared" si="6"/>
        <v>5311</v>
      </c>
      <c r="AF30" s="165">
        <f t="shared" si="7"/>
        <v>0</v>
      </c>
      <c r="AG30" s="165"/>
      <c r="AH30" s="230">
        <f t="shared" si="8"/>
        <v>0</v>
      </c>
    </row>
    <row r="31" spans="2:34" ht="26.25" customHeight="1">
      <c r="B31" s="166">
        <f t="shared" si="9"/>
        <v>44620</v>
      </c>
      <c r="C31" s="221"/>
      <c r="D31" s="221"/>
      <c r="E31" s="221"/>
      <c r="F31" s="221"/>
      <c r="G31" s="221"/>
      <c r="H31" s="292">
        <f t="shared" si="10"/>
        <v>0</v>
      </c>
      <c r="I31" s="137"/>
      <c r="J31" s="137"/>
      <c r="K31" s="137"/>
      <c r="L31" s="256">
        <f t="shared" si="20"/>
        <v>0</v>
      </c>
      <c r="M31" s="136"/>
      <c r="N31" s="256">
        <f>L31+M31</f>
        <v>0</v>
      </c>
      <c r="O31" s="323">
        <f t="shared" si="21"/>
        <v>0</v>
      </c>
      <c r="P31" s="323">
        <f t="shared" si="19"/>
        <v>0</v>
      </c>
      <c r="Q31" s="135">
        <v>0</v>
      </c>
      <c r="R31" s="211">
        <f t="shared" si="18"/>
        <v>0</v>
      </c>
      <c r="S31" s="135"/>
      <c r="T31" s="159">
        <f t="shared" si="12"/>
        <v>0</v>
      </c>
      <c r="U31" s="159">
        <f t="shared" si="13"/>
        <v>0</v>
      </c>
      <c r="V31" s="159">
        <f t="shared" si="14"/>
        <v>0</v>
      </c>
      <c r="W31" s="294">
        <f t="shared" si="15"/>
        <v>0</v>
      </c>
      <c r="X31" s="162">
        <f t="shared" si="16"/>
        <v>0</v>
      </c>
      <c r="AA31" s="164">
        <f t="shared" si="3"/>
        <v>0</v>
      </c>
      <c r="AB31" s="165">
        <f t="shared" si="4"/>
        <v>0</v>
      </c>
      <c r="AC31" s="165">
        <f t="shared" si="5"/>
        <v>0</v>
      </c>
      <c r="AD31" s="165">
        <f t="shared" si="17"/>
        <v>0</v>
      </c>
      <c r="AE31" s="165">
        <f t="shared" si="6"/>
        <v>5311</v>
      </c>
      <c r="AF31" s="165">
        <f t="shared" si="7"/>
        <v>0</v>
      </c>
      <c r="AG31" s="165"/>
      <c r="AH31" s="230">
        <f t="shared" si="8"/>
        <v>0</v>
      </c>
    </row>
    <row r="32" spans="2:34" ht="26.25" customHeight="1">
      <c r="B32" s="166">
        <f t="shared" si="9"/>
        <v>44621</v>
      </c>
      <c r="C32" s="221"/>
      <c r="D32" s="221"/>
      <c r="E32" s="221"/>
      <c r="F32" s="221"/>
      <c r="G32" s="221"/>
      <c r="H32" s="292">
        <f t="shared" si="10"/>
        <v>0</v>
      </c>
      <c r="I32" s="137"/>
      <c r="J32" s="137"/>
      <c r="K32" s="137"/>
      <c r="L32" s="256">
        <f t="shared" si="20"/>
        <v>0</v>
      </c>
      <c r="M32" s="136"/>
      <c r="N32" s="256">
        <f t="shared" si="11"/>
        <v>0</v>
      </c>
      <c r="O32" s="323">
        <f t="shared" si="21"/>
        <v>0</v>
      </c>
      <c r="P32" s="323">
        <f t="shared" si="19"/>
        <v>0</v>
      </c>
      <c r="Q32" s="135">
        <v>0</v>
      </c>
      <c r="R32" s="211">
        <f t="shared" si="18"/>
        <v>0</v>
      </c>
      <c r="S32" s="135"/>
      <c r="T32" s="159">
        <f t="shared" si="12"/>
        <v>0</v>
      </c>
      <c r="U32" s="159">
        <f t="shared" si="13"/>
        <v>0</v>
      </c>
      <c r="V32" s="159">
        <f t="shared" si="14"/>
        <v>0</v>
      </c>
      <c r="W32" s="294">
        <f t="shared" si="15"/>
        <v>0</v>
      </c>
      <c r="X32" s="162">
        <f t="shared" si="16"/>
        <v>0</v>
      </c>
      <c r="AA32" s="164">
        <f t="shared" si="3"/>
        <v>0</v>
      </c>
      <c r="AB32" s="165">
        <f t="shared" si="4"/>
        <v>0</v>
      </c>
      <c r="AC32" s="165">
        <f t="shared" si="5"/>
        <v>0</v>
      </c>
      <c r="AD32" s="165">
        <f t="shared" si="17"/>
        <v>0</v>
      </c>
      <c r="AE32" s="165">
        <f t="shared" si="6"/>
        <v>5311</v>
      </c>
      <c r="AF32" s="165">
        <f t="shared" si="7"/>
        <v>0</v>
      </c>
      <c r="AG32" s="165"/>
      <c r="AH32" s="230">
        <f t="shared" si="8"/>
        <v>0</v>
      </c>
    </row>
    <row r="33" spans="2:34" ht="26.25" customHeight="1">
      <c r="B33" s="166">
        <f t="shared" si="9"/>
        <v>44622</v>
      </c>
      <c r="C33" s="221"/>
      <c r="D33" s="221"/>
      <c r="E33" s="221"/>
      <c r="F33" s="221"/>
      <c r="G33" s="221"/>
      <c r="H33" s="292">
        <f t="shared" si="10"/>
        <v>0</v>
      </c>
      <c r="I33" s="137"/>
      <c r="J33" s="137"/>
      <c r="K33" s="137"/>
      <c r="L33" s="256">
        <f t="shared" si="20"/>
        <v>0</v>
      </c>
      <c r="M33" s="136"/>
      <c r="N33" s="256">
        <f>L33+M33</f>
        <v>0</v>
      </c>
      <c r="O33" s="323">
        <f t="shared" si="21"/>
        <v>0</v>
      </c>
      <c r="P33" s="323">
        <f t="shared" si="19"/>
        <v>0</v>
      </c>
      <c r="Q33" s="135">
        <v>0</v>
      </c>
      <c r="R33" s="211">
        <f t="shared" si="18"/>
        <v>0</v>
      </c>
      <c r="S33" s="135"/>
      <c r="T33" s="159">
        <f t="shared" si="12"/>
        <v>0</v>
      </c>
      <c r="U33" s="159">
        <f t="shared" si="13"/>
        <v>0</v>
      </c>
      <c r="V33" s="159">
        <f t="shared" si="14"/>
        <v>0</v>
      </c>
      <c r="W33" s="294">
        <f t="shared" si="15"/>
        <v>0</v>
      </c>
      <c r="X33" s="162">
        <f t="shared" si="16"/>
        <v>0</v>
      </c>
      <c r="AA33" s="164">
        <f t="shared" si="3"/>
        <v>0</v>
      </c>
      <c r="AB33" s="165">
        <f t="shared" si="4"/>
        <v>0</v>
      </c>
      <c r="AC33" s="165">
        <f t="shared" si="5"/>
        <v>0</v>
      </c>
      <c r="AD33" s="165">
        <f t="shared" si="17"/>
        <v>0</v>
      </c>
      <c r="AE33" s="165">
        <f t="shared" si="6"/>
        <v>5311</v>
      </c>
      <c r="AF33" s="165">
        <f t="shared" si="7"/>
        <v>0</v>
      </c>
      <c r="AG33" s="165"/>
      <c r="AH33" s="230">
        <f t="shared" si="8"/>
        <v>0</v>
      </c>
    </row>
    <row r="34" spans="2:34" ht="26.25" customHeight="1">
      <c r="B34" s="166">
        <f t="shared" si="9"/>
        <v>44623</v>
      </c>
      <c r="C34" s="221"/>
      <c r="D34" s="221"/>
      <c r="E34" s="221"/>
      <c r="F34" s="221"/>
      <c r="G34" s="221"/>
      <c r="H34" s="292">
        <f t="shared" si="10"/>
        <v>0</v>
      </c>
      <c r="I34" s="137"/>
      <c r="J34" s="137"/>
      <c r="K34" s="137"/>
      <c r="L34" s="256">
        <f t="shared" si="20"/>
        <v>0</v>
      </c>
      <c r="M34" s="136"/>
      <c r="N34" s="256">
        <f t="shared" si="11"/>
        <v>0</v>
      </c>
      <c r="O34" s="323">
        <f t="shared" si="21"/>
        <v>0</v>
      </c>
      <c r="P34" s="323">
        <f t="shared" si="19"/>
        <v>0</v>
      </c>
      <c r="Q34" s="135">
        <v>0</v>
      </c>
      <c r="R34" s="211">
        <f>Q34-S34</f>
        <v>0</v>
      </c>
      <c r="S34" s="135"/>
      <c r="T34" s="159">
        <f t="shared" si="12"/>
        <v>0</v>
      </c>
      <c r="U34" s="159">
        <f t="shared" si="13"/>
        <v>0</v>
      </c>
      <c r="V34" s="159">
        <f t="shared" si="14"/>
        <v>0</v>
      </c>
      <c r="W34" s="294">
        <f t="shared" si="15"/>
        <v>0</v>
      </c>
      <c r="X34" s="162">
        <f t="shared" si="16"/>
        <v>0</v>
      </c>
      <c r="AA34" s="164">
        <f t="shared" si="3"/>
        <v>0</v>
      </c>
      <c r="AB34" s="165">
        <f t="shared" si="4"/>
        <v>0</v>
      </c>
      <c r="AC34" s="165">
        <f t="shared" si="5"/>
        <v>0</v>
      </c>
      <c r="AD34" s="165">
        <f t="shared" si="17"/>
        <v>0</v>
      </c>
      <c r="AE34" s="165">
        <f t="shared" si="6"/>
        <v>5311</v>
      </c>
      <c r="AF34" s="165">
        <f t="shared" si="7"/>
        <v>0</v>
      </c>
      <c r="AG34" s="165"/>
      <c r="AH34" s="230">
        <f t="shared" si="8"/>
        <v>0</v>
      </c>
    </row>
    <row r="35" spans="2:34" ht="26.25" customHeight="1" thickBot="1">
      <c r="B35" s="138"/>
      <c r="C35" s="139"/>
      <c r="D35" s="139"/>
      <c r="E35" s="139"/>
      <c r="F35" s="140"/>
      <c r="G35" s="325"/>
      <c r="H35" s="326">
        <f t="shared" si="10"/>
        <v>0</v>
      </c>
      <c r="I35" s="142"/>
      <c r="J35" s="142"/>
      <c r="K35" s="142"/>
      <c r="L35" s="143"/>
      <c r="M35" s="143"/>
      <c r="N35" s="143"/>
      <c r="O35" s="322"/>
      <c r="P35" s="322"/>
      <c r="Q35" s="144"/>
      <c r="R35" s="212"/>
      <c r="S35" s="144"/>
      <c r="T35" s="160"/>
      <c r="U35" s="160"/>
      <c r="V35" s="160"/>
      <c r="W35" s="295"/>
      <c r="X35" s="163"/>
      <c r="AA35" s="164"/>
      <c r="AB35" s="165"/>
      <c r="AC35" s="165"/>
      <c r="AD35" s="165"/>
      <c r="AE35" s="165"/>
      <c r="AF35" s="165"/>
      <c r="AG35" s="165"/>
      <c r="AH35" s="230"/>
    </row>
    <row r="36" spans="2:34" ht="14.25" customHeight="1" thickBot="1">
      <c r="H36" s="324"/>
      <c r="AB36" s="165"/>
    </row>
    <row r="37" spans="2:34" ht="23.25" customHeight="1" thickBot="1">
      <c r="B37" s="145" t="s">
        <v>99</v>
      </c>
      <c r="C37" s="175">
        <f>SUM(C4:C35)</f>
        <v>0</v>
      </c>
      <c r="D37" s="175">
        <f t="shared" ref="D37:X37" si="22">SUM(D4:D35)</f>
        <v>0</v>
      </c>
      <c r="E37" s="175">
        <f t="shared" si="22"/>
        <v>5311</v>
      </c>
      <c r="F37" s="175">
        <f t="shared" si="22"/>
        <v>106260</v>
      </c>
      <c r="G37" s="175">
        <f t="shared" si="22"/>
        <v>-106260</v>
      </c>
      <c r="H37" s="175">
        <f t="shared" si="22"/>
        <v>0</v>
      </c>
      <c r="I37" s="175">
        <f>SUM(I4:I35)</f>
        <v>0</v>
      </c>
      <c r="J37" s="175">
        <f>SUM(J4:J35)</f>
        <v>0</v>
      </c>
      <c r="K37" s="175">
        <f t="shared" si="22"/>
        <v>0</v>
      </c>
      <c r="L37" s="175">
        <f>SUM(L4:L35)</f>
        <v>5311</v>
      </c>
      <c r="M37" s="277">
        <f t="shared" si="22"/>
        <v>0</v>
      </c>
      <c r="N37" s="277">
        <f t="shared" si="22"/>
        <v>5311</v>
      </c>
      <c r="O37" s="175">
        <f t="shared" si="22"/>
        <v>-2655.5</v>
      </c>
      <c r="P37" s="175">
        <f t="shared" si="22"/>
        <v>-2655.5</v>
      </c>
      <c r="Q37" s="175">
        <f t="shared" si="22"/>
        <v>0</v>
      </c>
      <c r="R37" s="175">
        <f t="shared" si="22"/>
        <v>0</v>
      </c>
      <c r="S37" s="175">
        <f t="shared" si="22"/>
        <v>0</v>
      </c>
      <c r="T37" s="175">
        <f t="shared" si="22"/>
        <v>0</v>
      </c>
      <c r="U37" s="175">
        <f t="shared" si="22"/>
        <v>0</v>
      </c>
      <c r="V37" s="175">
        <f t="shared" si="22"/>
        <v>0</v>
      </c>
      <c r="W37" s="175">
        <f t="shared" si="22"/>
        <v>0</v>
      </c>
      <c r="X37" s="274">
        <f t="shared" si="22"/>
        <v>-2655.5</v>
      </c>
    </row>
    <row r="38" spans="2:34" ht="19.5" customHeight="1">
      <c r="I38" s="146"/>
      <c r="J38" s="146"/>
      <c r="K38" s="146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</row>
    <row r="39" spans="2:34" ht="19.5" customHeight="1">
      <c r="I39" s="146"/>
      <c r="J39" s="146"/>
      <c r="K39" s="146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</row>
    <row r="40" spans="2:34" ht="24" customHeight="1">
      <c r="C40" s="242" t="s">
        <v>163</v>
      </c>
      <c r="D40" s="242"/>
      <c r="E40" s="242"/>
      <c r="F40" s="173"/>
      <c r="G40" s="173"/>
      <c r="H40" s="411">
        <f>-H37</f>
        <v>0</v>
      </c>
      <c r="I40" s="411"/>
      <c r="J40" s="317"/>
      <c r="K40" s="264"/>
      <c r="L40" s="264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</row>
    <row r="41" spans="2:34" ht="24" customHeight="1">
      <c r="C41" s="242" t="s">
        <v>178</v>
      </c>
      <c r="D41" s="242"/>
      <c r="E41" s="242"/>
      <c r="F41" s="150"/>
      <c r="G41" s="150"/>
      <c r="H41" s="418">
        <f>N37</f>
        <v>5311</v>
      </c>
      <c r="I41" s="418"/>
      <c r="J41" s="318"/>
      <c r="K41" s="264"/>
      <c r="L41" s="264"/>
      <c r="M41" s="173"/>
      <c r="N41" s="257" t="s">
        <v>167</v>
      </c>
      <c r="O41" s="173"/>
      <c r="P41" s="173"/>
      <c r="Q41" s="173"/>
      <c r="R41" s="173"/>
      <c r="S41" s="173"/>
      <c r="T41" s="257" t="s">
        <v>171</v>
      </c>
      <c r="U41" s="173"/>
      <c r="V41" s="173"/>
      <c r="W41" s="173"/>
      <c r="Y41" s="173"/>
      <c r="Z41" s="173"/>
      <c r="AA41" s="173"/>
    </row>
    <row r="42" spans="2:34" ht="24" customHeight="1" thickBot="1">
      <c r="C42" s="242" t="s">
        <v>176</v>
      </c>
      <c r="D42" s="242"/>
      <c r="E42" s="242"/>
      <c r="F42" s="150"/>
      <c r="G42" s="150"/>
      <c r="H42" s="419">
        <f>-ROUNDDOWN(H41*50%,0)</f>
        <v>-2655</v>
      </c>
      <c r="I42" s="419"/>
      <c r="J42" s="318"/>
      <c r="K42" s="264"/>
      <c r="L42" s="264"/>
      <c r="M42" s="173"/>
      <c r="N42" s="148" t="s">
        <v>168</v>
      </c>
      <c r="O42" s="246"/>
      <c r="P42" s="246"/>
      <c r="Q42" s="246"/>
      <c r="R42" s="173"/>
      <c r="S42" s="173"/>
      <c r="T42" s="148" t="s">
        <v>189</v>
      </c>
      <c r="U42" s="173"/>
      <c r="V42" s="173"/>
      <c r="W42" s="173"/>
      <c r="Y42" s="173"/>
      <c r="Z42" s="173"/>
      <c r="AA42" s="173"/>
    </row>
    <row r="43" spans="2:34" ht="8.25" customHeight="1" thickTop="1">
      <c r="C43" s="242"/>
      <c r="D43" s="242"/>
      <c r="E43" s="242"/>
      <c r="F43" s="150"/>
      <c r="G43" s="150"/>
      <c r="H43" s="173"/>
      <c r="I43" s="265"/>
      <c r="J43" s="265"/>
      <c r="K43" s="264"/>
      <c r="L43" s="264"/>
      <c r="M43" s="173"/>
      <c r="N43" s="148"/>
      <c r="O43" s="173"/>
      <c r="P43" s="173"/>
      <c r="Q43" s="173"/>
      <c r="R43" s="173"/>
      <c r="S43" s="173"/>
      <c r="T43" s="148"/>
      <c r="U43" s="173"/>
      <c r="V43" s="173"/>
      <c r="W43" s="173"/>
      <c r="Y43" s="173"/>
      <c r="Z43" s="173"/>
      <c r="AA43" s="173"/>
    </row>
    <row r="44" spans="2:34" ht="24" customHeight="1">
      <c r="C44" s="242" t="s">
        <v>164</v>
      </c>
      <c r="D44" s="242"/>
      <c r="E44" s="242"/>
      <c r="F44" s="150"/>
      <c r="G44" s="150"/>
      <c r="H44" s="413">
        <f>R37</f>
        <v>0</v>
      </c>
      <c r="I44" s="413"/>
      <c r="J44" s="318"/>
      <c r="K44" s="264"/>
      <c r="L44" s="264"/>
      <c r="M44" s="173"/>
      <c r="N44" s="257" t="s">
        <v>169</v>
      </c>
      <c r="O44" s="173"/>
      <c r="P44" s="173"/>
      <c r="Q44" s="173"/>
      <c r="R44" s="173"/>
      <c r="S44" s="173"/>
      <c r="T44" s="257" t="s">
        <v>169</v>
      </c>
      <c r="U44" s="173"/>
      <c r="V44" s="173"/>
      <c r="W44" s="173"/>
      <c r="Z44" s="173"/>
      <c r="AA44" s="173"/>
    </row>
    <row r="45" spans="2:34" ht="24" customHeight="1">
      <c r="C45" s="242" t="s">
        <v>200</v>
      </c>
      <c r="D45" s="242"/>
      <c r="E45" s="242"/>
      <c r="F45" s="150"/>
      <c r="G45" s="150"/>
      <c r="H45" s="413">
        <f>H44*1.7%</f>
        <v>0</v>
      </c>
      <c r="I45" s="413"/>
      <c r="J45" s="318"/>
      <c r="K45" s="264"/>
      <c r="L45" s="264"/>
      <c r="M45" s="173"/>
      <c r="N45" s="148" t="s">
        <v>170</v>
      </c>
      <c r="O45" s="246"/>
      <c r="P45" s="246"/>
      <c r="Q45" s="246"/>
      <c r="R45" s="173"/>
      <c r="S45" s="173"/>
      <c r="T45" s="148" t="s">
        <v>204</v>
      </c>
      <c r="U45" s="173"/>
      <c r="V45" s="173"/>
      <c r="W45" s="173"/>
      <c r="Z45" s="173"/>
      <c r="AA45" s="173"/>
    </row>
    <row r="46" spans="2:34" ht="24" customHeight="1">
      <c r="C46" s="242" t="s">
        <v>198</v>
      </c>
      <c r="D46" s="242"/>
      <c r="E46" s="242"/>
      <c r="F46" s="150"/>
      <c r="G46" s="150"/>
      <c r="H46" s="413">
        <f>-H45*50%</f>
        <v>0</v>
      </c>
      <c r="I46" s="413"/>
      <c r="J46" s="318"/>
      <c r="K46" s="264"/>
      <c r="L46" s="264"/>
      <c r="M46" s="173"/>
      <c r="N46" s="148"/>
      <c r="O46" s="173"/>
      <c r="P46" s="173"/>
      <c r="Q46" s="173"/>
      <c r="R46" s="173"/>
      <c r="S46" s="173"/>
      <c r="V46" s="148"/>
      <c r="W46" s="148"/>
      <c r="Z46" s="173"/>
      <c r="AA46" s="173"/>
    </row>
    <row r="47" spans="2:34" ht="24" customHeight="1">
      <c r="C47" s="242" t="s">
        <v>201</v>
      </c>
      <c r="D47" s="242"/>
      <c r="E47" s="242"/>
      <c r="F47" s="150"/>
      <c r="G47" s="150"/>
      <c r="H47" s="413">
        <f>S37</f>
        <v>0</v>
      </c>
      <c r="I47" s="413"/>
      <c r="J47" s="318"/>
      <c r="K47" s="264"/>
      <c r="L47" s="264"/>
      <c r="M47" s="173"/>
      <c r="N47" s="148"/>
      <c r="O47" s="173"/>
      <c r="P47" s="173"/>
      <c r="Q47" s="173"/>
      <c r="R47" s="173"/>
      <c r="S47" s="173"/>
      <c r="V47" s="148"/>
      <c r="W47" s="148"/>
      <c r="Z47" s="173"/>
      <c r="AA47" s="173"/>
    </row>
    <row r="48" spans="2:34" ht="24" customHeight="1">
      <c r="C48" s="242" t="s">
        <v>202</v>
      </c>
      <c r="D48" s="242"/>
      <c r="E48" s="242"/>
      <c r="F48" s="150"/>
      <c r="G48" s="150"/>
      <c r="H48" s="413">
        <f>T37</f>
        <v>0</v>
      </c>
      <c r="I48" s="413"/>
      <c r="J48" s="318"/>
      <c r="K48" s="264"/>
      <c r="L48" s="264"/>
      <c r="M48" s="173"/>
      <c r="N48" s="148"/>
      <c r="O48" s="173"/>
      <c r="P48" s="173"/>
      <c r="Q48" s="173"/>
      <c r="R48" s="173"/>
      <c r="S48" s="173"/>
      <c r="V48" s="148"/>
      <c r="W48" s="148"/>
      <c r="Z48" s="173"/>
      <c r="AA48" s="173"/>
    </row>
    <row r="49" spans="2:27" ht="24" customHeight="1">
      <c r="C49" s="242" t="s">
        <v>199</v>
      </c>
      <c r="D49" s="242"/>
      <c r="E49" s="242"/>
      <c r="F49" s="150"/>
      <c r="G49" s="150"/>
      <c r="H49" s="413">
        <f>-H48*50%</f>
        <v>0</v>
      </c>
      <c r="I49" s="413"/>
      <c r="J49" s="318"/>
      <c r="K49" s="264"/>
      <c r="L49" s="264"/>
      <c r="M49" s="173"/>
      <c r="N49" s="148"/>
      <c r="O49" s="173"/>
      <c r="P49" s="173"/>
      <c r="Q49" s="173"/>
      <c r="R49" s="173"/>
      <c r="S49" s="173"/>
      <c r="V49" s="148"/>
      <c r="W49" s="148"/>
      <c r="Z49" s="173"/>
      <c r="AA49" s="173"/>
    </row>
    <row r="50" spans="2:27" ht="24" customHeight="1">
      <c r="B50" s="149"/>
      <c r="C50" s="242" t="s">
        <v>177</v>
      </c>
      <c r="D50" s="124"/>
      <c r="E50" s="124"/>
      <c r="F50" s="124"/>
      <c r="G50" s="124"/>
      <c r="H50" s="413">
        <v>0</v>
      </c>
      <c r="I50" s="413"/>
      <c r="J50" s="318"/>
      <c r="K50" s="264"/>
      <c r="L50" s="264"/>
      <c r="M50" s="173"/>
      <c r="N50" s="320"/>
      <c r="O50" s="148"/>
      <c r="P50" s="173"/>
      <c r="Q50" s="173"/>
      <c r="R50" s="173"/>
      <c r="S50" s="173"/>
      <c r="V50" s="148"/>
      <c r="W50" s="148"/>
      <c r="Z50" s="173"/>
      <c r="AA50" s="173"/>
    </row>
    <row r="51" spans="2:27" ht="24" customHeight="1" thickBot="1">
      <c r="B51" s="149"/>
      <c r="C51" s="242"/>
      <c r="D51" s="242"/>
      <c r="E51" s="242"/>
      <c r="F51" s="173"/>
      <c r="G51" s="173"/>
      <c r="H51" s="420">
        <f>ROUNDDOWN(H45+H46+H49+H50,0)</f>
        <v>0</v>
      </c>
      <c r="I51" s="420"/>
      <c r="J51" s="318"/>
      <c r="K51" s="264"/>
      <c r="L51" s="264"/>
      <c r="M51" s="173"/>
      <c r="N51" s="257" t="s">
        <v>173</v>
      </c>
      <c r="O51" s="173"/>
      <c r="P51" s="173"/>
      <c r="Q51" s="173"/>
      <c r="R51" s="173"/>
      <c r="S51" s="173"/>
      <c r="T51" s="257" t="s">
        <v>45</v>
      </c>
      <c r="U51" s="173"/>
      <c r="V51" s="173"/>
      <c r="W51" s="173"/>
      <c r="Z51" s="173"/>
      <c r="AA51" s="173"/>
    </row>
    <row r="52" spans="2:27" ht="21.75" customHeight="1" thickTop="1">
      <c r="B52" s="149"/>
      <c r="C52" s="242"/>
      <c r="D52" s="242"/>
      <c r="E52" s="242"/>
      <c r="F52" s="173"/>
      <c r="G52" s="173"/>
      <c r="H52" s="173"/>
      <c r="I52" s="317"/>
      <c r="J52" s="318"/>
      <c r="K52" s="264"/>
      <c r="L52" s="264"/>
      <c r="M52" s="173"/>
      <c r="N52" s="148" t="s">
        <v>172</v>
      </c>
      <c r="O52" s="246"/>
      <c r="P52" s="246"/>
      <c r="Q52" s="246"/>
      <c r="R52" s="173"/>
      <c r="S52" s="173"/>
      <c r="T52" s="148" t="s">
        <v>191</v>
      </c>
      <c r="U52" s="173"/>
      <c r="V52" s="173"/>
      <c r="W52" s="173"/>
      <c r="Z52" s="173"/>
      <c r="AA52" s="173"/>
    </row>
    <row r="53" spans="2:27" ht="30" customHeight="1">
      <c r="B53" s="149"/>
      <c r="C53" s="242" t="s">
        <v>203</v>
      </c>
      <c r="D53" s="242"/>
      <c r="E53" s="242"/>
      <c r="F53" s="173"/>
      <c r="G53" s="173"/>
      <c r="H53" s="421">
        <f>H42+H51</f>
        <v>-2655</v>
      </c>
      <c r="I53" s="421"/>
      <c r="J53" s="318"/>
      <c r="K53" s="284"/>
      <c r="L53" s="284"/>
      <c r="M53" s="173"/>
      <c r="N53" s="148"/>
      <c r="O53" s="173"/>
      <c r="P53" s="173"/>
      <c r="Q53" s="173"/>
      <c r="R53" s="173"/>
      <c r="S53" s="173"/>
      <c r="T53" s="148"/>
      <c r="U53" s="173"/>
      <c r="V53" s="173"/>
      <c r="W53" s="173"/>
      <c r="Z53" s="173"/>
      <c r="AA53" s="173"/>
    </row>
    <row r="54" spans="2:27" ht="26.25" customHeight="1">
      <c r="B54" s="255"/>
      <c r="C54" s="242"/>
      <c r="D54" s="124"/>
      <c r="E54" s="124"/>
      <c r="F54" s="124"/>
      <c r="G54" s="124"/>
      <c r="H54" s="422"/>
      <c r="I54" s="422"/>
      <c r="J54" s="318"/>
      <c r="K54" s="283"/>
      <c r="L54" s="283"/>
      <c r="M54" s="173"/>
      <c r="N54" s="257" t="s">
        <v>169</v>
      </c>
      <c r="R54" s="173"/>
      <c r="S54" s="173"/>
      <c r="T54" s="257" t="s">
        <v>169</v>
      </c>
      <c r="U54" s="150"/>
      <c r="V54" s="150"/>
      <c r="W54" s="150"/>
      <c r="Z54" s="173"/>
      <c r="AA54" s="173"/>
    </row>
    <row r="55" spans="2:27" ht="26.25" customHeight="1">
      <c r="B55" s="254"/>
      <c r="C55" s="242" t="s">
        <v>175</v>
      </c>
      <c r="D55" s="242"/>
      <c r="E55" s="242"/>
      <c r="H55" s="412">
        <f>H40+H53</f>
        <v>-2655</v>
      </c>
      <c r="I55" s="412"/>
      <c r="J55" s="318"/>
      <c r="K55" s="283"/>
      <c r="L55" s="283"/>
      <c r="M55" s="173"/>
      <c r="N55" s="148" t="s">
        <v>170</v>
      </c>
      <c r="O55" s="248"/>
      <c r="P55" s="248"/>
      <c r="Q55" s="248"/>
      <c r="R55" s="173"/>
      <c r="S55" s="173"/>
      <c r="T55" s="148" t="s">
        <v>205</v>
      </c>
      <c r="U55" s="150"/>
      <c r="V55" s="150"/>
      <c r="W55" s="150"/>
      <c r="Z55" s="173"/>
      <c r="AA55" s="173"/>
    </row>
    <row r="56" spans="2:27" ht="25.5" customHeight="1">
      <c r="D56" s="242"/>
      <c r="E56" s="242"/>
      <c r="G56" s="254"/>
      <c r="K56" s="283"/>
      <c r="L56" s="283"/>
      <c r="M56" s="173"/>
      <c r="S56" s="173"/>
      <c r="Z56" s="150"/>
      <c r="AA56" s="150"/>
    </row>
    <row r="57" spans="2:27" ht="28.5">
      <c r="B57" s="124"/>
      <c r="C57" s="124"/>
      <c r="D57" s="124"/>
      <c r="E57" s="124"/>
      <c r="F57" s="124"/>
      <c r="I57" s="151"/>
      <c r="J57" s="151"/>
      <c r="K57" s="283"/>
      <c r="L57" s="283"/>
      <c r="M57" s="173"/>
      <c r="N57" s="148"/>
      <c r="O57" s="148"/>
      <c r="T57" s="148"/>
      <c r="U57" s="150"/>
      <c r="V57" s="150"/>
      <c r="W57" s="150"/>
      <c r="Y57" s="150"/>
      <c r="Z57" s="150"/>
      <c r="AA57" s="150"/>
    </row>
    <row r="58" spans="2:27" ht="28.5">
      <c r="B58" s="124"/>
      <c r="C58" s="124"/>
      <c r="D58" s="124"/>
      <c r="E58" s="124"/>
      <c r="F58" s="124"/>
      <c r="G58" s="124"/>
      <c r="H58" s="124"/>
      <c r="K58" s="283"/>
      <c r="L58" s="173"/>
      <c r="M58" s="319"/>
      <c r="N58" s="148"/>
      <c r="U58" s="148"/>
      <c r="V58" s="150"/>
      <c r="W58" s="150"/>
      <c r="X58" s="150"/>
      <c r="Y58" s="150"/>
      <c r="Z58" s="150"/>
    </row>
    <row r="59" spans="2:27" ht="28.5">
      <c r="B59" s="124"/>
      <c r="C59" s="124"/>
      <c r="D59" s="124"/>
      <c r="E59" s="124"/>
      <c r="F59" s="124"/>
      <c r="G59" s="124"/>
      <c r="H59" s="124"/>
      <c r="L59" s="153"/>
      <c r="N59" s="148"/>
      <c r="T59" s="148"/>
      <c r="U59" s="173"/>
      <c r="V59" s="173"/>
      <c r="W59" s="173"/>
      <c r="Y59" s="150"/>
    </row>
    <row r="60" spans="2:27" ht="23.25">
      <c r="G60" s="124"/>
      <c r="H60" s="124"/>
      <c r="L60" s="154"/>
      <c r="N60" s="257"/>
      <c r="T60" s="257"/>
      <c r="U60" s="150"/>
      <c r="V60" s="150"/>
      <c r="W60" s="150"/>
      <c r="Y60" s="150"/>
    </row>
    <row r="61" spans="2:27" ht="18.75">
      <c r="L61" s="155"/>
      <c r="M61" s="153"/>
      <c r="N61" s="148"/>
      <c r="T61" s="148"/>
      <c r="U61" s="150"/>
      <c r="V61" s="150"/>
      <c r="W61" s="150"/>
    </row>
    <row r="62" spans="2:27" ht="18.75">
      <c r="L62" s="156"/>
      <c r="M62" s="154"/>
      <c r="N62" s="247"/>
      <c r="T62" s="150"/>
      <c r="U62" s="150"/>
    </row>
    <row r="63" spans="2:27">
      <c r="L63" s="156"/>
      <c r="M63" s="155"/>
    </row>
    <row r="64" spans="2:27" ht="15.75">
      <c r="L64" s="156"/>
      <c r="M64" s="156"/>
      <c r="N64" s="153"/>
      <c r="Q64" s="152"/>
    </row>
    <row r="65" spans="9:24">
      <c r="L65" s="156"/>
      <c r="M65" s="156"/>
      <c r="N65" s="154"/>
    </row>
    <row r="66" spans="9:24">
      <c r="L66" s="156"/>
      <c r="M66" s="156"/>
      <c r="N66" s="155"/>
    </row>
    <row r="67" spans="9:24">
      <c r="L67" s="156"/>
      <c r="M67" s="156"/>
      <c r="N67" s="156"/>
    </row>
    <row r="68" spans="9:24">
      <c r="L68" s="156"/>
      <c r="M68" s="156"/>
      <c r="N68" s="156"/>
    </row>
    <row r="69" spans="9:24" s="123" customFormat="1">
      <c r="I69" s="124"/>
      <c r="J69" s="124"/>
      <c r="K69" s="124"/>
      <c r="L69" s="156"/>
      <c r="M69" s="156"/>
      <c r="N69" s="156"/>
      <c r="O69" s="124"/>
      <c r="P69" s="124"/>
      <c r="Q69" s="124"/>
      <c r="R69" s="124"/>
      <c r="S69" s="124"/>
      <c r="T69" s="124"/>
      <c r="U69" s="124"/>
      <c r="V69" s="124"/>
      <c r="W69" s="124"/>
      <c r="X69" s="124"/>
    </row>
    <row r="70" spans="9:24">
      <c r="L70" s="156"/>
      <c r="M70" s="156"/>
      <c r="N70" s="156"/>
    </row>
    <row r="71" spans="9:24">
      <c r="L71" s="156"/>
      <c r="M71" s="156"/>
      <c r="N71" s="156"/>
    </row>
    <row r="72" spans="9:24">
      <c r="M72" s="156"/>
      <c r="N72" s="156"/>
    </row>
    <row r="73" spans="9:24">
      <c r="M73" s="156"/>
      <c r="N73" s="156"/>
    </row>
    <row r="74" spans="9:24">
      <c r="N74" s="156"/>
    </row>
    <row r="75" spans="9:24">
      <c r="N75" s="156"/>
    </row>
    <row r="76" spans="9:24">
      <c r="N76" s="156"/>
    </row>
  </sheetData>
  <sheetProtection algorithmName="SHA-512" hashValue="NzH/iOOLM6AitXIJRf+jGRUO3pyna/W4EYbRB40Vw0golU2rrvgGxZL0kxnPUlWxpgXDRuDunBjJJVfjOz3zFg==" saltValue="gwRWBuf564k4Ooct+lqhMw==" spinCount="100000" sheet="1" objects="1" scenarios="1"/>
  <mergeCells count="15">
    <mergeCell ref="H53:I53"/>
    <mergeCell ref="H54:I54"/>
    <mergeCell ref="H55:I55"/>
    <mergeCell ref="B2:X2"/>
    <mergeCell ref="H42:I42"/>
    <mergeCell ref="H44:I44"/>
    <mergeCell ref="H45:I45"/>
    <mergeCell ref="H46:I46"/>
    <mergeCell ref="H41:I41"/>
    <mergeCell ref="H49:I49"/>
    <mergeCell ref="H51:I51"/>
    <mergeCell ref="H40:I40"/>
    <mergeCell ref="H47:I47"/>
    <mergeCell ref="H48:I48"/>
    <mergeCell ref="H50:I50"/>
  </mergeCells>
  <printOptions horizontalCentered="1"/>
  <pageMargins left="0" right="0" top="0" bottom="0" header="0" footer="0"/>
  <pageSetup scale="38" orientation="landscape" horizontalDpi="360" verticalDpi="36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FFFF00"/>
    <pageSetUpPr fitToPage="1"/>
  </sheetPr>
  <dimension ref="B1:AI88"/>
  <sheetViews>
    <sheetView showGridLines="0" view="pageBreakPreview" zoomScale="70" zoomScaleNormal="90" zoomScaleSheetLayoutView="70" workbookViewId="0">
      <pane ySplit="3" topLeftCell="A31" activePane="bottomLeft" state="frozen"/>
      <selection activeCell="Q50" sqref="Q50"/>
      <selection pane="bottomLeft" activeCell="H43" sqref="H43"/>
    </sheetView>
  </sheetViews>
  <sheetFormatPr defaultRowHeight="15"/>
  <cols>
    <col min="1" max="1" width="1" style="124" customWidth="1"/>
    <col min="2" max="2" width="12.28515625" style="123" bestFit="1" customWidth="1"/>
    <col min="3" max="3" width="12.28515625" style="123" customWidth="1"/>
    <col min="4" max="4" width="14.140625" style="123" customWidth="1"/>
    <col min="5" max="5" width="15.140625" style="123" customWidth="1"/>
    <col min="6" max="6" width="14.5703125" style="123" customWidth="1"/>
    <col min="7" max="7" width="14.28515625" style="123" customWidth="1"/>
    <col min="8" max="8" width="14.85546875" style="123" customWidth="1"/>
    <col min="9" max="10" width="15.42578125" style="124" customWidth="1"/>
    <col min="11" max="11" width="17.42578125" style="124" customWidth="1"/>
    <col min="12" max="12" width="17.42578125" style="124" hidden="1" customWidth="1"/>
    <col min="13" max="13" width="17.42578125" style="124" customWidth="1"/>
    <col min="14" max="14" width="15.85546875" style="124" bestFit="1" customWidth="1"/>
    <col min="15" max="15" width="15.42578125" style="124" customWidth="1"/>
    <col min="16" max="17" width="19" style="124" customWidth="1"/>
    <col min="18" max="18" width="19.85546875" style="124" customWidth="1"/>
    <col min="19" max="19" width="18.42578125" style="124" customWidth="1"/>
    <col min="20" max="20" width="16" style="124" customWidth="1"/>
    <col min="21" max="21" width="13.7109375" style="124" customWidth="1"/>
    <col min="22" max="22" width="14.7109375" style="124" bestFit="1" customWidth="1"/>
    <col min="23" max="23" width="20.140625" style="124" hidden="1" customWidth="1"/>
    <col min="24" max="24" width="20.85546875" style="124" customWidth="1"/>
    <col min="25" max="25" width="5.42578125" style="124" customWidth="1"/>
    <col min="26" max="35" width="16.5703125" style="124" hidden="1" customWidth="1"/>
    <col min="36" max="37" width="16.5703125" style="124" customWidth="1"/>
    <col min="38" max="16384" width="9.140625" style="124"/>
  </cols>
  <sheetData>
    <row r="1" spans="2:34" ht="24.75" customHeight="1" thickBot="1"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</row>
    <row r="2" spans="2:34" ht="28.5" customHeight="1" thickBot="1">
      <c r="B2" s="414" t="s">
        <v>236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415"/>
      <c r="X2" s="416"/>
    </row>
    <row r="3" spans="2:34" ht="66.75" customHeight="1" thickBot="1">
      <c r="B3" s="125" t="s">
        <v>94</v>
      </c>
      <c r="C3" s="126" t="s">
        <v>121</v>
      </c>
      <c r="D3" s="126" t="s">
        <v>185</v>
      </c>
      <c r="E3" s="126" t="s">
        <v>187</v>
      </c>
      <c r="F3" s="282" t="s">
        <v>213</v>
      </c>
      <c r="G3" s="126" t="s">
        <v>212</v>
      </c>
      <c r="H3" s="126" t="s">
        <v>163</v>
      </c>
      <c r="I3" s="127" t="s">
        <v>111</v>
      </c>
      <c r="J3" s="127" t="s">
        <v>183</v>
      </c>
      <c r="K3" s="127" t="s">
        <v>181</v>
      </c>
      <c r="L3" s="127" t="s">
        <v>181</v>
      </c>
      <c r="M3" s="127" t="s">
        <v>182</v>
      </c>
      <c r="N3" s="128">
        <v>-0.8</v>
      </c>
      <c r="O3" s="157">
        <f>-100%-N3</f>
        <v>-0.19999999999999996</v>
      </c>
      <c r="P3" s="127" t="s">
        <v>207</v>
      </c>
      <c r="Q3" s="127" t="s">
        <v>142</v>
      </c>
      <c r="R3" s="127" t="s">
        <v>208</v>
      </c>
      <c r="S3" s="127" t="s">
        <v>125</v>
      </c>
      <c r="T3" s="206" t="s">
        <v>209</v>
      </c>
      <c r="U3" s="127" t="s">
        <v>97</v>
      </c>
      <c r="V3" s="127" t="s">
        <v>144</v>
      </c>
      <c r="W3" s="127" t="s">
        <v>145</v>
      </c>
      <c r="X3" s="129" t="s">
        <v>96</v>
      </c>
      <c r="AA3" s="130" t="s">
        <v>106</v>
      </c>
      <c r="AB3" s="130" t="s">
        <v>95</v>
      </c>
      <c r="AC3" s="130" t="s">
        <v>107</v>
      </c>
      <c r="AD3" s="131" t="s">
        <v>108</v>
      </c>
      <c r="AE3" s="131" t="s">
        <v>109</v>
      </c>
      <c r="AF3" s="130" t="s">
        <v>147</v>
      </c>
      <c r="AG3" s="130" t="s">
        <v>110</v>
      </c>
      <c r="AH3" s="130" t="s">
        <v>120</v>
      </c>
    </row>
    <row r="4" spans="2:34" ht="26.25" customHeight="1">
      <c r="B4" s="132">
        <v>44593</v>
      </c>
      <c r="C4" s="240">
        <v>0</v>
      </c>
      <c r="D4" s="240">
        <v>100000</v>
      </c>
      <c r="E4" s="240">
        <v>-100000</v>
      </c>
      <c r="F4" s="240">
        <v>0</v>
      </c>
      <c r="G4" s="240">
        <v>60000</v>
      </c>
      <c r="H4" s="168">
        <f>D4+E4</f>
        <v>0</v>
      </c>
      <c r="I4" s="133">
        <v>0</v>
      </c>
      <c r="J4" s="133">
        <v>0</v>
      </c>
      <c r="K4" s="256">
        <f>-D4-E4+F4+G4+I4+J4</f>
        <v>60000</v>
      </c>
      <c r="L4" s="136">
        <v>0</v>
      </c>
      <c r="M4" s="256">
        <f>K4+L4</f>
        <v>60000</v>
      </c>
      <c r="N4" s="159">
        <f>M4*$N$3</f>
        <v>-48000</v>
      </c>
      <c r="O4" s="159">
        <f>M4*$O$3</f>
        <v>-11999.999999999998</v>
      </c>
      <c r="P4" s="134">
        <v>556250</v>
      </c>
      <c r="Q4" s="210">
        <f>P4-R4</f>
        <v>556250</v>
      </c>
      <c r="R4" s="134">
        <v>0</v>
      </c>
      <c r="S4" s="159">
        <v>0</v>
      </c>
      <c r="T4" s="159">
        <v>0</v>
      </c>
      <c r="U4" s="158">
        <f>SUM(S4:T4)</f>
        <v>0</v>
      </c>
      <c r="V4" s="159">
        <f>U4*50%</f>
        <v>0</v>
      </c>
      <c r="W4" s="159">
        <f>U4*50%</f>
        <v>0</v>
      </c>
      <c r="X4" s="161">
        <f>N4+W4-S4</f>
        <v>-48000</v>
      </c>
      <c r="AA4" s="164">
        <f>H4</f>
        <v>0</v>
      </c>
      <c r="AB4" s="165">
        <f>I4+J4</f>
        <v>0</v>
      </c>
      <c r="AC4" s="165">
        <f>Q4</f>
        <v>556250</v>
      </c>
      <c r="AD4" s="165">
        <f>W4-S4</f>
        <v>0</v>
      </c>
      <c r="AE4" s="165">
        <f>M4</f>
        <v>60000</v>
      </c>
      <c r="AF4" s="165">
        <f>R4</f>
        <v>0</v>
      </c>
      <c r="AG4" s="165"/>
      <c r="AH4" s="213">
        <f>C4</f>
        <v>0</v>
      </c>
    </row>
    <row r="5" spans="2:34" ht="26.25" customHeight="1">
      <c r="B5" s="166">
        <f>B4+1</f>
        <v>44594</v>
      </c>
      <c r="C5" s="221">
        <v>0</v>
      </c>
      <c r="D5" s="221">
        <v>320000</v>
      </c>
      <c r="E5" s="221">
        <v>-160000</v>
      </c>
      <c r="F5" s="221">
        <v>0</v>
      </c>
      <c r="G5" s="221">
        <v>99000</v>
      </c>
      <c r="H5" s="168">
        <f t="shared" ref="H5:H34" si="0">D5+E5</f>
        <v>160000</v>
      </c>
      <c r="I5" s="136">
        <v>0</v>
      </c>
      <c r="J5" s="136">
        <v>0</v>
      </c>
      <c r="K5" s="256">
        <f>-D5-E5+F5+G5+I5+J5</f>
        <v>-61000</v>
      </c>
      <c r="L5" s="136"/>
      <c r="M5" s="256">
        <f>K5+L5</f>
        <v>-61000</v>
      </c>
      <c r="N5" s="159">
        <f>M5*$N$3</f>
        <v>48800</v>
      </c>
      <c r="O5" s="159">
        <f>M5*$O$3</f>
        <v>12199.999999999998</v>
      </c>
      <c r="P5" s="135">
        <v>1350375</v>
      </c>
      <c r="Q5" s="211">
        <f>P5-R5</f>
        <v>1350375</v>
      </c>
      <c r="R5" s="135">
        <v>0</v>
      </c>
      <c r="S5" s="159">
        <v>0</v>
      </c>
      <c r="T5" s="159">
        <v>0</v>
      </c>
      <c r="U5" s="159">
        <f>SUM(S5:T5)</f>
        <v>0</v>
      </c>
      <c r="V5" s="159">
        <f>U5*50%</f>
        <v>0</v>
      </c>
      <c r="W5" s="159">
        <f>U5*50%</f>
        <v>0</v>
      </c>
      <c r="X5" s="162">
        <f>N5+V5-S5</f>
        <v>48800</v>
      </c>
      <c r="AA5" s="164">
        <f t="shared" ref="AA5:AA33" si="1">AA4+H5</f>
        <v>160000</v>
      </c>
      <c r="AB5" s="165">
        <f t="shared" ref="AB5:AB33" si="2">AB4+I5+J5</f>
        <v>0</v>
      </c>
      <c r="AC5" s="165">
        <f>Q5+AC4</f>
        <v>1906625</v>
      </c>
      <c r="AD5" s="165">
        <f>AD4+W5-S5</f>
        <v>0</v>
      </c>
      <c r="AE5" s="165">
        <f>AE4+M5</f>
        <v>-1000</v>
      </c>
      <c r="AF5" s="165">
        <f>R5+AF4</f>
        <v>0</v>
      </c>
      <c r="AG5" s="165"/>
      <c r="AH5" s="230">
        <f t="shared" ref="AH5:AH33" si="3">C5+AH4</f>
        <v>0</v>
      </c>
    </row>
    <row r="6" spans="2:34" ht="26.25" customHeight="1">
      <c r="B6" s="166">
        <f t="shared" ref="B6:B33" si="4">B5+1</f>
        <v>44595</v>
      </c>
      <c r="C6" s="221">
        <v>0</v>
      </c>
      <c r="D6" s="221">
        <v>0</v>
      </c>
      <c r="E6" s="221">
        <v>-160000</v>
      </c>
      <c r="F6" s="221">
        <v>0</v>
      </c>
      <c r="G6" s="221">
        <v>133000</v>
      </c>
      <c r="H6" s="168">
        <f t="shared" si="0"/>
        <v>-160000</v>
      </c>
      <c r="I6" s="136">
        <v>0</v>
      </c>
      <c r="J6" s="136">
        <v>0</v>
      </c>
      <c r="K6" s="256">
        <f t="shared" ref="K6:K34" si="5">-D6-E6+F6+G6+I6+J6</f>
        <v>293000</v>
      </c>
      <c r="L6" s="136"/>
      <c r="M6" s="256">
        <f>K6+L6</f>
        <v>293000</v>
      </c>
      <c r="N6" s="159">
        <f>M6*$N$3</f>
        <v>-234400</v>
      </c>
      <c r="O6" s="159">
        <f>M6*$O$3</f>
        <v>-58599.999999999985</v>
      </c>
      <c r="P6" s="135">
        <v>2240250</v>
      </c>
      <c r="Q6" s="211">
        <f>P6-R6</f>
        <v>2240250</v>
      </c>
      <c r="R6" s="135">
        <v>0</v>
      </c>
      <c r="S6" s="159">
        <v>0</v>
      </c>
      <c r="T6" s="159">
        <v>0</v>
      </c>
      <c r="U6" s="159">
        <f>SUM(S6:T6)</f>
        <v>0</v>
      </c>
      <c r="V6" s="159">
        <f>U6*50%</f>
        <v>0</v>
      </c>
      <c r="W6" s="159">
        <f>U6*50%</f>
        <v>0</v>
      </c>
      <c r="X6" s="162">
        <f>N6+V6-S6</f>
        <v>-234400</v>
      </c>
      <c r="AA6" s="164">
        <f t="shared" si="1"/>
        <v>0</v>
      </c>
      <c r="AB6" s="165">
        <f t="shared" si="2"/>
        <v>0</v>
      </c>
      <c r="AC6" s="165">
        <f t="shared" ref="AC6:AC33" si="6">Q6+AC5</f>
        <v>4146875</v>
      </c>
      <c r="AD6" s="165">
        <f>AD5+W6-S6</f>
        <v>0</v>
      </c>
      <c r="AE6" s="165">
        <f t="shared" ref="AE6:AE33" si="7">AE5+M6</f>
        <v>292000</v>
      </c>
      <c r="AF6" s="165">
        <f t="shared" ref="AF6:AF32" si="8">R6+AF5</f>
        <v>0</v>
      </c>
      <c r="AG6" s="165"/>
      <c r="AH6" s="230">
        <f t="shared" si="3"/>
        <v>0</v>
      </c>
    </row>
    <row r="7" spans="2:34" ht="26.25" customHeight="1">
      <c r="B7" s="166">
        <f t="shared" si="4"/>
        <v>44596</v>
      </c>
      <c r="C7" s="221">
        <v>0</v>
      </c>
      <c r="D7" s="221">
        <v>0</v>
      </c>
      <c r="E7" s="221">
        <v>0</v>
      </c>
      <c r="F7" s="221">
        <v>-290000</v>
      </c>
      <c r="G7" s="221">
        <v>380000</v>
      </c>
      <c r="H7" s="168">
        <f t="shared" si="0"/>
        <v>0</v>
      </c>
      <c r="I7" s="136">
        <v>0</v>
      </c>
      <c r="J7" s="136">
        <v>0</v>
      </c>
      <c r="K7" s="256">
        <f t="shared" si="5"/>
        <v>90000</v>
      </c>
      <c r="L7" s="136"/>
      <c r="M7" s="256">
        <f t="shared" ref="M7:M14" si="9">K7+L7</f>
        <v>90000</v>
      </c>
      <c r="N7" s="159">
        <f t="shared" ref="N7:N33" si="10">M7*$N$3</f>
        <v>-72000</v>
      </c>
      <c r="O7" s="159">
        <f t="shared" ref="O7:O33" si="11">M7*$O$3</f>
        <v>-17999.999999999996</v>
      </c>
      <c r="P7" s="197">
        <v>3159500</v>
      </c>
      <c r="Q7" s="211">
        <f t="shared" ref="Q7:Q32" si="12">P7-R7</f>
        <v>3159500</v>
      </c>
      <c r="R7" s="135">
        <v>0</v>
      </c>
      <c r="S7" s="159">
        <f t="shared" ref="S7:S32" si="13">R7*1.7%</f>
        <v>0</v>
      </c>
      <c r="T7" s="159">
        <v>0</v>
      </c>
      <c r="U7" s="159">
        <f t="shared" ref="U7:U34" si="14">SUM(S7:T7)</f>
        <v>0</v>
      </c>
      <c r="V7" s="159">
        <f t="shared" ref="V7:V34" si="15">U7*50%</f>
        <v>0</v>
      </c>
      <c r="W7" s="159">
        <f t="shared" ref="W7:W33" si="16">U7*50%</f>
        <v>0</v>
      </c>
      <c r="X7" s="162">
        <f t="shared" ref="X7:X33" si="17">N7+V7-S7</f>
        <v>-72000</v>
      </c>
      <c r="AA7" s="164">
        <f t="shared" si="1"/>
        <v>0</v>
      </c>
      <c r="AB7" s="165">
        <f t="shared" si="2"/>
        <v>0</v>
      </c>
      <c r="AC7" s="165">
        <f t="shared" si="6"/>
        <v>7306375</v>
      </c>
      <c r="AD7" s="165">
        <f t="shared" ref="AD7:AD33" si="18">AD6+W7-S7</f>
        <v>0</v>
      </c>
      <c r="AE7" s="165">
        <f t="shared" si="7"/>
        <v>382000</v>
      </c>
      <c r="AF7" s="165">
        <f t="shared" si="8"/>
        <v>0</v>
      </c>
      <c r="AG7" s="165"/>
      <c r="AH7" s="230">
        <f t="shared" si="3"/>
        <v>0</v>
      </c>
    </row>
    <row r="8" spans="2:34" ht="26.25" customHeight="1">
      <c r="B8" s="166">
        <f t="shared" si="4"/>
        <v>44597</v>
      </c>
      <c r="C8" s="221">
        <v>0</v>
      </c>
      <c r="D8" s="221">
        <v>0</v>
      </c>
      <c r="E8" s="221">
        <v>0</v>
      </c>
      <c r="F8" s="221">
        <v>-160000</v>
      </c>
      <c r="G8" s="221">
        <v>307000</v>
      </c>
      <c r="H8" s="168">
        <f t="shared" si="0"/>
        <v>0</v>
      </c>
      <c r="I8" s="136">
        <v>0</v>
      </c>
      <c r="J8" s="136">
        <v>0</v>
      </c>
      <c r="K8" s="256">
        <f t="shared" si="5"/>
        <v>147000</v>
      </c>
      <c r="L8" s="136"/>
      <c r="M8" s="256">
        <f>K8+L8</f>
        <v>147000</v>
      </c>
      <c r="N8" s="159">
        <f t="shared" si="10"/>
        <v>-117600</v>
      </c>
      <c r="O8" s="159">
        <f t="shared" si="11"/>
        <v>-29399.999999999993</v>
      </c>
      <c r="P8" s="197">
        <v>1807325</v>
      </c>
      <c r="Q8" s="211">
        <f t="shared" si="12"/>
        <v>1807325</v>
      </c>
      <c r="R8" s="135">
        <v>0</v>
      </c>
      <c r="S8" s="159">
        <f t="shared" si="13"/>
        <v>0</v>
      </c>
      <c r="T8" s="159">
        <v>0</v>
      </c>
      <c r="U8" s="159">
        <f>SUM(S8:T8)</f>
        <v>0</v>
      </c>
      <c r="V8" s="159">
        <f>U8*50%</f>
        <v>0</v>
      </c>
      <c r="W8" s="159">
        <f t="shared" si="16"/>
        <v>0</v>
      </c>
      <c r="X8" s="162">
        <f t="shared" si="17"/>
        <v>-117600</v>
      </c>
      <c r="AA8" s="164">
        <f t="shared" si="1"/>
        <v>0</v>
      </c>
      <c r="AB8" s="165">
        <f t="shared" si="2"/>
        <v>0</v>
      </c>
      <c r="AC8" s="165">
        <f t="shared" si="6"/>
        <v>9113700</v>
      </c>
      <c r="AD8" s="165">
        <f t="shared" si="18"/>
        <v>0</v>
      </c>
      <c r="AE8" s="165">
        <f t="shared" si="7"/>
        <v>529000</v>
      </c>
      <c r="AF8" s="165">
        <f t="shared" si="8"/>
        <v>0</v>
      </c>
      <c r="AG8" s="165"/>
      <c r="AH8" s="230">
        <f t="shared" si="3"/>
        <v>0</v>
      </c>
    </row>
    <row r="9" spans="2:34" ht="26.25" customHeight="1">
      <c r="B9" s="166">
        <f t="shared" si="4"/>
        <v>44598</v>
      </c>
      <c r="C9" s="221">
        <v>0</v>
      </c>
      <c r="D9" s="221">
        <v>0</v>
      </c>
      <c r="E9" s="221">
        <v>0</v>
      </c>
      <c r="F9" s="221">
        <v>-320000</v>
      </c>
      <c r="G9" s="221">
        <v>100000</v>
      </c>
      <c r="H9" s="168">
        <f t="shared" si="0"/>
        <v>0</v>
      </c>
      <c r="I9" s="136">
        <v>0</v>
      </c>
      <c r="J9" s="136">
        <v>0</v>
      </c>
      <c r="K9" s="256">
        <f t="shared" si="5"/>
        <v>-220000</v>
      </c>
      <c r="L9" s="136"/>
      <c r="M9" s="256">
        <f t="shared" si="9"/>
        <v>-220000</v>
      </c>
      <c r="N9" s="159">
        <f t="shared" si="10"/>
        <v>176000</v>
      </c>
      <c r="O9" s="159">
        <f t="shared" si="11"/>
        <v>43999.999999999993</v>
      </c>
      <c r="P9" s="197">
        <v>2292050</v>
      </c>
      <c r="Q9" s="211">
        <f t="shared" si="12"/>
        <v>2292050</v>
      </c>
      <c r="R9" s="135">
        <v>0</v>
      </c>
      <c r="S9" s="159">
        <f t="shared" si="13"/>
        <v>0</v>
      </c>
      <c r="T9" s="159">
        <v>0</v>
      </c>
      <c r="U9" s="159">
        <f t="shared" si="14"/>
        <v>0</v>
      </c>
      <c r="V9" s="159">
        <f t="shared" si="15"/>
        <v>0</v>
      </c>
      <c r="W9" s="159">
        <f t="shared" si="16"/>
        <v>0</v>
      </c>
      <c r="X9" s="162">
        <f t="shared" si="17"/>
        <v>176000</v>
      </c>
      <c r="AA9" s="164">
        <f t="shared" si="1"/>
        <v>0</v>
      </c>
      <c r="AB9" s="165">
        <f t="shared" si="2"/>
        <v>0</v>
      </c>
      <c r="AC9" s="165">
        <f t="shared" si="6"/>
        <v>11405750</v>
      </c>
      <c r="AD9" s="165">
        <f t="shared" si="18"/>
        <v>0</v>
      </c>
      <c r="AE9" s="165">
        <f t="shared" si="7"/>
        <v>309000</v>
      </c>
      <c r="AF9" s="165">
        <f t="shared" si="8"/>
        <v>0</v>
      </c>
      <c r="AG9" s="165"/>
      <c r="AH9" s="230">
        <f t="shared" si="3"/>
        <v>0</v>
      </c>
    </row>
    <row r="10" spans="2:34" ht="26.25" customHeight="1">
      <c r="B10" s="166">
        <f t="shared" si="4"/>
        <v>44599</v>
      </c>
      <c r="C10" s="221">
        <v>0</v>
      </c>
      <c r="D10" s="221">
        <v>0</v>
      </c>
      <c r="E10" s="221">
        <v>0</v>
      </c>
      <c r="F10" s="221">
        <v>-300000</v>
      </c>
      <c r="G10" s="221">
        <v>0</v>
      </c>
      <c r="H10" s="168">
        <f t="shared" si="0"/>
        <v>0</v>
      </c>
      <c r="I10" s="136">
        <v>0</v>
      </c>
      <c r="J10" s="136">
        <v>0</v>
      </c>
      <c r="K10" s="256">
        <f t="shared" si="5"/>
        <v>-300000</v>
      </c>
      <c r="L10" s="136"/>
      <c r="M10" s="256">
        <f t="shared" si="9"/>
        <v>-300000</v>
      </c>
      <c r="N10" s="159">
        <f t="shared" si="10"/>
        <v>240000</v>
      </c>
      <c r="O10" s="159">
        <f t="shared" si="11"/>
        <v>59999.999999999985</v>
      </c>
      <c r="P10" s="197">
        <v>3348050</v>
      </c>
      <c r="Q10" s="211">
        <f>P10-R10</f>
        <v>3348050</v>
      </c>
      <c r="R10" s="135">
        <v>0</v>
      </c>
      <c r="S10" s="159">
        <f t="shared" si="13"/>
        <v>0</v>
      </c>
      <c r="T10" s="159">
        <v>0</v>
      </c>
      <c r="U10" s="159">
        <f t="shared" si="14"/>
        <v>0</v>
      </c>
      <c r="V10" s="159">
        <f t="shared" si="15"/>
        <v>0</v>
      </c>
      <c r="W10" s="159">
        <f t="shared" si="16"/>
        <v>0</v>
      </c>
      <c r="X10" s="162">
        <f t="shared" si="17"/>
        <v>240000</v>
      </c>
      <c r="AA10" s="164">
        <f t="shared" si="1"/>
        <v>0</v>
      </c>
      <c r="AB10" s="165">
        <f t="shared" si="2"/>
        <v>0</v>
      </c>
      <c r="AC10" s="165">
        <f t="shared" si="6"/>
        <v>14753800</v>
      </c>
      <c r="AD10" s="165">
        <f t="shared" si="18"/>
        <v>0</v>
      </c>
      <c r="AE10" s="165">
        <f t="shared" si="7"/>
        <v>9000</v>
      </c>
      <c r="AF10" s="165">
        <f t="shared" si="8"/>
        <v>0</v>
      </c>
      <c r="AG10" s="165"/>
      <c r="AH10" s="230">
        <f t="shared" si="3"/>
        <v>0</v>
      </c>
    </row>
    <row r="11" spans="2:34" ht="26.25" customHeight="1">
      <c r="B11" s="166">
        <f t="shared" si="4"/>
        <v>44600</v>
      </c>
      <c r="C11" s="221">
        <v>0</v>
      </c>
      <c r="D11" s="221">
        <v>0</v>
      </c>
      <c r="E11" s="221">
        <v>0</v>
      </c>
      <c r="F11" s="221">
        <v>0</v>
      </c>
      <c r="G11" s="221">
        <v>0</v>
      </c>
      <c r="H11" s="168">
        <f t="shared" si="0"/>
        <v>0</v>
      </c>
      <c r="I11" s="136">
        <v>0</v>
      </c>
      <c r="J11" s="136">
        <v>0</v>
      </c>
      <c r="K11" s="256">
        <f t="shared" si="5"/>
        <v>0</v>
      </c>
      <c r="L11" s="136"/>
      <c r="M11" s="256">
        <f t="shared" si="9"/>
        <v>0</v>
      </c>
      <c r="N11" s="159">
        <f t="shared" si="10"/>
        <v>0</v>
      </c>
      <c r="O11" s="159">
        <f t="shared" si="11"/>
        <v>0</v>
      </c>
      <c r="P11" s="197">
        <v>0</v>
      </c>
      <c r="Q11" s="211">
        <f t="shared" si="12"/>
        <v>0</v>
      </c>
      <c r="R11" s="135">
        <v>0</v>
      </c>
      <c r="S11" s="159">
        <f t="shared" si="13"/>
        <v>0</v>
      </c>
      <c r="T11" s="159">
        <v>0</v>
      </c>
      <c r="U11" s="159">
        <f t="shared" si="14"/>
        <v>0</v>
      </c>
      <c r="V11" s="159">
        <f t="shared" si="15"/>
        <v>0</v>
      </c>
      <c r="W11" s="159">
        <f t="shared" si="16"/>
        <v>0</v>
      </c>
      <c r="X11" s="162">
        <f t="shared" si="17"/>
        <v>0</v>
      </c>
      <c r="AA11" s="164">
        <f t="shared" si="1"/>
        <v>0</v>
      </c>
      <c r="AB11" s="165">
        <f t="shared" si="2"/>
        <v>0</v>
      </c>
      <c r="AC11" s="165">
        <f t="shared" si="6"/>
        <v>14753800</v>
      </c>
      <c r="AD11" s="165">
        <f t="shared" si="18"/>
        <v>0</v>
      </c>
      <c r="AE11" s="165">
        <f t="shared" si="7"/>
        <v>9000</v>
      </c>
      <c r="AF11" s="165">
        <f t="shared" si="8"/>
        <v>0</v>
      </c>
      <c r="AG11" s="165"/>
      <c r="AH11" s="230">
        <f t="shared" si="3"/>
        <v>0</v>
      </c>
    </row>
    <row r="12" spans="2:34" ht="26.25" customHeight="1">
      <c r="B12" s="166">
        <f t="shared" si="4"/>
        <v>44601</v>
      </c>
      <c r="C12" s="221">
        <v>0</v>
      </c>
      <c r="D12" s="221">
        <v>1000000</v>
      </c>
      <c r="E12" s="221">
        <v>0</v>
      </c>
      <c r="F12" s="221">
        <v>0</v>
      </c>
      <c r="G12" s="221">
        <v>0</v>
      </c>
      <c r="H12" s="168">
        <f t="shared" si="0"/>
        <v>1000000</v>
      </c>
      <c r="I12" s="137">
        <v>0</v>
      </c>
      <c r="J12" s="137">
        <v>0</v>
      </c>
      <c r="K12" s="256">
        <f t="shared" si="5"/>
        <v>-1000000</v>
      </c>
      <c r="L12" s="136"/>
      <c r="M12" s="256">
        <f t="shared" si="9"/>
        <v>-1000000</v>
      </c>
      <c r="N12" s="159">
        <f t="shared" si="10"/>
        <v>800000</v>
      </c>
      <c r="O12" s="159">
        <f t="shared" si="11"/>
        <v>199999.99999999994</v>
      </c>
      <c r="P12" s="135">
        <v>4059075</v>
      </c>
      <c r="Q12" s="211">
        <f t="shared" si="12"/>
        <v>4059075</v>
      </c>
      <c r="R12" s="135">
        <v>0</v>
      </c>
      <c r="S12" s="159">
        <f t="shared" si="13"/>
        <v>0</v>
      </c>
      <c r="T12" s="159">
        <v>0</v>
      </c>
      <c r="U12" s="159">
        <f t="shared" si="14"/>
        <v>0</v>
      </c>
      <c r="V12" s="159">
        <f t="shared" si="15"/>
        <v>0</v>
      </c>
      <c r="W12" s="159">
        <f t="shared" si="16"/>
        <v>0</v>
      </c>
      <c r="X12" s="162">
        <f t="shared" si="17"/>
        <v>800000</v>
      </c>
      <c r="AA12" s="164">
        <f t="shared" si="1"/>
        <v>1000000</v>
      </c>
      <c r="AB12" s="165">
        <f t="shared" si="2"/>
        <v>0</v>
      </c>
      <c r="AC12" s="165">
        <f t="shared" si="6"/>
        <v>18812875</v>
      </c>
      <c r="AD12" s="165">
        <f t="shared" si="18"/>
        <v>0</v>
      </c>
      <c r="AE12" s="165">
        <f t="shared" si="7"/>
        <v>-991000</v>
      </c>
      <c r="AF12" s="165">
        <f t="shared" si="8"/>
        <v>0</v>
      </c>
      <c r="AG12" s="165"/>
      <c r="AH12" s="230">
        <f t="shared" si="3"/>
        <v>0</v>
      </c>
    </row>
    <row r="13" spans="2:34" ht="26.25" customHeight="1">
      <c r="B13" s="166">
        <f t="shared" si="4"/>
        <v>44602</v>
      </c>
      <c r="C13" s="221">
        <v>0</v>
      </c>
      <c r="D13" s="221">
        <v>0</v>
      </c>
      <c r="E13" s="221">
        <v>0</v>
      </c>
      <c r="F13" s="221">
        <v>0</v>
      </c>
      <c r="G13" s="221">
        <v>0</v>
      </c>
      <c r="H13" s="168">
        <f t="shared" si="0"/>
        <v>0</v>
      </c>
      <c r="I13" s="137">
        <v>0</v>
      </c>
      <c r="J13" s="137">
        <v>0</v>
      </c>
      <c r="K13" s="256">
        <f t="shared" si="5"/>
        <v>0</v>
      </c>
      <c r="L13" s="136"/>
      <c r="M13" s="256">
        <f t="shared" si="9"/>
        <v>0</v>
      </c>
      <c r="N13" s="159">
        <f t="shared" si="10"/>
        <v>0</v>
      </c>
      <c r="O13" s="159">
        <f t="shared" si="11"/>
        <v>0</v>
      </c>
      <c r="P13" s="135">
        <v>0</v>
      </c>
      <c r="Q13" s="211">
        <f t="shared" si="12"/>
        <v>0</v>
      </c>
      <c r="R13" s="135">
        <v>0</v>
      </c>
      <c r="S13" s="159">
        <f t="shared" si="13"/>
        <v>0</v>
      </c>
      <c r="T13" s="159">
        <v>0</v>
      </c>
      <c r="U13" s="159">
        <f t="shared" si="14"/>
        <v>0</v>
      </c>
      <c r="V13" s="159">
        <f t="shared" si="15"/>
        <v>0</v>
      </c>
      <c r="W13" s="159">
        <f t="shared" si="16"/>
        <v>0</v>
      </c>
      <c r="X13" s="162">
        <f t="shared" si="17"/>
        <v>0</v>
      </c>
      <c r="AA13" s="164">
        <f t="shared" si="1"/>
        <v>1000000</v>
      </c>
      <c r="AB13" s="165">
        <f t="shared" si="2"/>
        <v>0</v>
      </c>
      <c r="AC13" s="165">
        <f>Q13+AC12</f>
        <v>18812875</v>
      </c>
      <c r="AD13" s="165">
        <f t="shared" si="18"/>
        <v>0</v>
      </c>
      <c r="AE13" s="165">
        <f t="shared" si="7"/>
        <v>-991000</v>
      </c>
      <c r="AF13" s="165">
        <f t="shared" si="8"/>
        <v>0</v>
      </c>
      <c r="AG13" s="165"/>
      <c r="AH13" s="230">
        <f t="shared" si="3"/>
        <v>0</v>
      </c>
    </row>
    <row r="14" spans="2:34" ht="26.25" customHeight="1">
      <c r="B14" s="166">
        <f t="shared" si="4"/>
        <v>44603</v>
      </c>
      <c r="C14" s="221">
        <v>0</v>
      </c>
      <c r="D14" s="221">
        <v>200000</v>
      </c>
      <c r="E14" s="221">
        <v>0</v>
      </c>
      <c r="F14" s="221">
        <v>0</v>
      </c>
      <c r="G14" s="221">
        <v>0</v>
      </c>
      <c r="H14" s="168">
        <f t="shared" si="0"/>
        <v>200000</v>
      </c>
      <c r="I14" s="137">
        <v>0</v>
      </c>
      <c r="J14" s="137">
        <v>0</v>
      </c>
      <c r="K14" s="256">
        <f t="shared" si="5"/>
        <v>-200000</v>
      </c>
      <c r="L14" s="136"/>
      <c r="M14" s="256">
        <f t="shared" si="9"/>
        <v>-200000</v>
      </c>
      <c r="N14" s="159">
        <f t="shared" si="10"/>
        <v>160000</v>
      </c>
      <c r="O14" s="159">
        <f t="shared" si="11"/>
        <v>39999.999999999993</v>
      </c>
      <c r="P14" s="382">
        <v>434875</v>
      </c>
      <c r="Q14" s="211">
        <f>P14-R14</f>
        <v>434875</v>
      </c>
      <c r="R14" s="135">
        <v>0</v>
      </c>
      <c r="S14" s="159">
        <f t="shared" si="13"/>
        <v>0</v>
      </c>
      <c r="T14" s="159">
        <v>0</v>
      </c>
      <c r="U14" s="159">
        <f t="shared" si="14"/>
        <v>0</v>
      </c>
      <c r="V14" s="159">
        <f t="shared" si="15"/>
        <v>0</v>
      </c>
      <c r="W14" s="159">
        <f t="shared" si="16"/>
        <v>0</v>
      </c>
      <c r="X14" s="162">
        <f t="shared" si="17"/>
        <v>160000</v>
      </c>
      <c r="AA14" s="164">
        <f t="shared" si="1"/>
        <v>1200000</v>
      </c>
      <c r="AB14" s="165">
        <f t="shared" si="2"/>
        <v>0</v>
      </c>
      <c r="AC14" s="165">
        <f t="shared" si="6"/>
        <v>19247750</v>
      </c>
      <c r="AD14" s="165">
        <f t="shared" si="18"/>
        <v>0</v>
      </c>
      <c r="AE14" s="165">
        <f t="shared" si="7"/>
        <v>-1191000</v>
      </c>
      <c r="AF14" s="165">
        <f t="shared" si="8"/>
        <v>0</v>
      </c>
      <c r="AG14" s="165"/>
      <c r="AH14" s="230">
        <f t="shared" si="3"/>
        <v>0</v>
      </c>
    </row>
    <row r="15" spans="2:34" ht="26.25" customHeight="1">
      <c r="B15" s="166">
        <f t="shared" si="4"/>
        <v>44604</v>
      </c>
      <c r="C15" s="221">
        <v>0</v>
      </c>
      <c r="D15" s="221">
        <v>384000</v>
      </c>
      <c r="E15" s="221">
        <v>-500000</v>
      </c>
      <c r="F15" s="221">
        <v>-416000</v>
      </c>
      <c r="G15" s="221">
        <v>407000</v>
      </c>
      <c r="H15" s="168">
        <f t="shared" si="0"/>
        <v>-116000</v>
      </c>
      <c r="I15" s="137">
        <v>0</v>
      </c>
      <c r="J15" s="137">
        <v>0</v>
      </c>
      <c r="K15" s="256">
        <f t="shared" si="5"/>
        <v>107000</v>
      </c>
      <c r="L15" s="136"/>
      <c r="M15" s="256">
        <f>K15+L15</f>
        <v>107000</v>
      </c>
      <c r="N15" s="159">
        <f t="shared" si="10"/>
        <v>-85600</v>
      </c>
      <c r="O15" s="159">
        <f t="shared" si="11"/>
        <v>-21399.999999999996</v>
      </c>
      <c r="P15" s="135">
        <v>2318750</v>
      </c>
      <c r="Q15" s="279">
        <f>P15-R15</f>
        <v>2318750</v>
      </c>
      <c r="R15" s="197">
        <v>0</v>
      </c>
      <c r="S15" s="159">
        <f t="shared" si="13"/>
        <v>0</v>
      </c>
      <c r="T15" s="159">
        <v>0</v>
      </c>
      <c r="U15" s="159">
        <f t="shared" si="14"/>
        <v>0</v>
      </c>
      <c r="V15" s="159">
        <f t="shared" si="15"/>
        <v>0</v>
      </c>
      <c r="W15" s="159">
        <f t="shared" si="16"/>
        <v>0</v>
      </c>
      <c r="X15" s="162">
        <f t="shared" si="17"/>
        <v>-85600</v>
      </c>
      <c r="AA15" s="164">
        <f t="shared" si="1"/>
        <v>1084000</v>
      </c>
      <c r="AB15" s="165">
        <f t="shared" si="2"/>
        <v>0</v>
      </c>
      <c r="AC15" s="165">
        <f t="shared" si="6"/>
        <v>21566500</v>
      </c>
      <c r="AD15" s="165">
        <f t="shared" si="18"/>
        <v>0</v>
      </c>
      <c r="AE15" s="165">
        <f t="shared" si="7"/>
        <v>-1084000</v>
      </c>
      <c r="AF15" s="165">
        <f t="shared" si="8"/>
        <v>0</v>
      </c>
      <c r="AG15" s="165"/>
      <c r="AH15" s="230">
        <f t="shared" si="3"/>
        <v>0</v>
      </c>
    </row>
    <row r="16" spans="2:34" ht="26.25" customHeight="1">
      <c r="B16" s="166">
        <f t="shared" si="4"/>
        <v>44605</v>
      </c>
      <c r="C16" s="221">
        <v>0</v>
      </c>
      <c r="D16" s="221">
        <v>34000</v>
      </c>
      <c r="E16" s="221">
        <v>-584000</v>
      </c>
      <c r="F16" s="221">
        <v>0</v>
      </c>
      <c r="G16" s="221">
        <v>0</v>
      </c>
      <c r="H16" s="168">
        <f t="shared" si="0"/>
        <v>-550000</v>
      </c>
      <c r="I16" s="137">
        <v>0</v>
      </c>
      <c r="J16" s="137">
        <v>300</v>
      </c>
      <c r="K16" s="256">
        <f t="shared" si="5"/>
        <v>550300</v>
      </c>
      <c r="L16" s="136"/>
      <c r="M16" s="256">
        <f t="shared" ref="M16:M34" si="19">K16+L16</f>
        <v>550300</v>
      </c>
      <c r="N16" s="159">
        <f t="shared" si="10"/>
        <v>-440240</v>
      </c>
      <c r="O16" s="159">
        <f t="shared" si="11"/>
        <v>-110059.99999999997</v>
      </c>
      <c r="P16" s="135">
        <v>4786900</v>
      </c>
      <c r="Q16" s="211">
        <f t="shared" si="12"/>
        <v>4786900</v>
      </c>
      <c r="R16" s="135">
        <v>0</v>
      </c>
      <c r="S16" s="159">
        <f t="shared" si="13"/>
        <v>0</v>
      </c>
      <c r="T16" s="159">
        <v>0</v>
      </c>
      <c r="U16" s="159">
        <f t="shared" si="14"/>
        <v>0</v>
      </c>
      <c r="V16" s="159">
        <f t="shared" si="15"/>
        <v>0</v>
      </c>
      <c r="W16" s="159">
        <f t="shared" si="16"/>
        <v>0</v>
      </c>
      <c r="X16" s="162">
        <f t="shared" si="17"/>
        <v>-440240</v>
      </c>
      <c r="AA16" s="164">
        <f t="shared" si="1"/>
        <v>534000</v>
      </c>
      <c r="AB16" s="165">
        <f t="shared" si="2"/>
        <v>300</v>
      </c>
      <c r="AC16" s="165">
        <f t="shared" si="6"/>
        <v>26353400</v>
      </c>
      <c r="AD16" s="165">
        <f t="shared" si="18"/>
        <v>0</v>
      </c>
      <c r="AE16" s="165">
        <f t="shared" si="7"/>
        <v>-533700</v>
      </c>
      <c r="AF16" s="165">
        <f t="shared" si="8"/>
        <v>0</v>
      </c>
      <c r="AG16" s="165"/>
      <c r="AH16" s="230">
        <f t="shared" si="3"/>
        <v>0</v>
      </c>
    </row>
    <row r="17" spans="2:34" s="296" customFormat="1" ht="26.25" customHeight="1">
      <c r="B17" s="297">
        <f t="shared" si="4"/>
        <v>44606</v>
      </c>
      <c r="C17" s="221">
        <v>0</v>
      </c>
      <c r="D17" s="221">
        <v>632000</v>
      </c>
      <c r="E17" s="221">
        <v>-1134000</v>
      </c>
      <c r="F17" s="221">
        <v>0</v>
      </c>
      <c r="G17" s="221">
        <v>0</v>
      </c>
      <c r="H17" s="168">
        <f t="shared" si="0"/>
        <v>-502000</v>
      </c>
      <c r="I17" s="137">
        <v>1000</v>
      </c>
      <c r="J17" s="137">
        <v>0</v>
      </c>
      <c r="K17" s="256">
        <f t="shared" si="5"/>
        <v>503000</v>
      </c>
      <c r="L17" s="136"/>
      <c r="M17" s="256">
        <f t="shared" si="19"/>
        <v>503000</v>
      </c>
      <c r="N17" s="159">
        <f t="shared" si="10"/>
        <v>-402400</v>
      </c>
      <c r="O17" s="159">
        <f t="shared" si="11"/>
        <v>-100599.99999999997</v>
      </c>
      <c r="P17" s="197">
        <v>6020250</v>
      </c>
      <c r="Q17" s="279">
        <f t="shared" si="12"/>
        <v>6020250</v>
      </c>
      <c r="R17" s="197">
        <v>0</v>
      </c>
      <c r="S17" s="300">
        <f t="shared" si="13"/>
        <v>0</v>
      </c>
      <c r="T17" s="159">
        <v>0</v>
      </c>
      <c r="U17" s="300">
        <f t="shared" si="14"/>
        <v>0</v>
      </c>
      <c r="V17" s="300">
        <f t="shared" si="15"/>
        <v>0</v>
      </c>
      <c r="W17" s="300">
        <f t="shared" si="16"/>
        <v>0</v>
      </c>
      <c r="X17" s="302">
        <f t="shared" si="17"/>
        <v>-402400</v>
      </c>
      <c r="AA17" s="303">
        <f t="shared" si="1"/>
        <v>32000</v>
      </c>
      <c r="AB17" s="304">
        <f t="shared" si="2"/>
        <v>1300</v>
      </c>
      <c r="AC17" s="304">
        <f t="shared" si="6"/>
        <v>32373650</v>
      </c>
      <c r="AD17" s="304">
        <f t="shared" si="18"/>
        <v>0</v>
      </c>
      <c r="AE17" s="304">
        <f t="shared" si="7"/>
        <v>-30700</v>
      </c>
      <c r="AF17" s="304">
        <f t="shared" si="8"/>
        <v>0</v>
      </c>
      <c r="AG17" s="304"/>
      <c r="AH17" s="305">
        <f t="shared" si="3"/>
        <v>0</v>
      </c>
    </row>
    <row r="18" spans="2:34" s="296" customFormat="1" ht="26.25" customHeight="1">
      <c r="B18" s="297">
        <f t="shared" si="4"/>
        <v>44607</v>
      </c>
      <c r="C18" s="221">
        <v>0</v>
      </c>
      <c r="D18" s="221">
        <v>700000</v>
      </c>
      <c r="E18" s="221">
        <v>0</v>
      </c>
      <c r="F18" s="221">
        <v>0</v>
      </c>
      <c r="G18" s="221">
        <v>0</v>
      </c>
      <c r="H18" s="168">
        <f t="shared" si="0"/>
        <v>700000</v>
      </c>
      <c r="I18" s="137">
        <v>0</v>
      </c>
      <c r="J18" s="137">
        <v>0</v>
      </c>
      <c r="K18" s="256">
        <f t="shared" si="5"/>
        <v>-700000</v>
      </c>
      <c r="L18" s="136"/>
      <c r="M18" s="256">
        <f t="shared" si="19"/>
        <v>-700000</v>
      </c>
      <c r="N18" s="159">
        <f t="shared" si="10"/>
        <v>560000</v>
      </c>
      <c r="O18" s="159">
        <f t="shared" si="11"/>
        <v>139999.99999999997</v>
      </c>
      <c r="P18" s="197">
        <v>5884400</v>
      </c>
      <c r="Q18" s="279">
        <f>P18-R18</f>
        <v>5884400</v>
      </c>
      <c r="R18" s="197">
        <v>0</v>
      </c>
      <c r="S18" s="300">
        <f t="shared" si="13"/>
        <v>0</v>
      </c>
      <c r="T18" s="159">
        <v>0</v>
      </c>
      <c r="U18" s="300">
        <f t="shared" si="14"/>
        <v>0</v>
      </c>
      <c r="V18" s="300">
        <f t="shared" si="15"/>
        <v>0</v>
      </c>
      <c r="W18" s="300">
        <f t="shared" si="16"/>
        <v>0</v>
      </c>
      <c r="X18" s="302">
        <f t="shared" si="17"/>
        <v>560000</v>
      </c>
      <c r="AA18" s="303">
        <f t="shared" si="1"/>
        <v>732000</v>
      </c>
      <c r="AB18" s="304">
        <f t="shared" si="2"/>
        <v>1300</v>
      </c>
      <c r="AC18" s="304">
        <f t="shared" si="6"/>
        <v>38258050</v>
      </c>
      <c r="AD18" s="304">
        <f t="shared" si="18"/>
        <v>0</v>
      </c>
      <c r="AE18" s="304">
        <f t="shared" si="7"/>
        <v>-730700</v>
      </c>
      <c r="AF18" s="304">
        <f t="shared" si="8"/>
        <v>0</v>
      </c>
      <c r="AG18" s="304"/>
      <c r="AH18" s="305">
        <f t="shared" si="3"/>
        <v>0</v>
      </c>
    </row>
    <row r="19" spans="2:34" ht="26.25" customHeight="1">
      <c r="B19" s="166">
        <f t="shared" si="4"/>
        <v>44608</v>
      </c>
      <c r="C19" s="221">
        <v>0</v>
      </c>
      <c r="D19" s="221">
        <v>1584000</v>
      </c>
      <c r="E19" s="221">
        <v>-1532000</v>
      </c>
      <c r="F19" s="221">
        <v>0</v>
      </c>
      <c r="G19" s="221">
        <v>0</v>
      </c>
      <c r="H19" s="168">
        <f t="shared" si="0"/>
        <v>52000</v>
      </c>
      <c r="I19" s="137">
        <v>0</v>
      </c>
      <c r="J19" s="137">
        <v>0</v>
      </c>
      <c r="K19" s="256">
        <f t="shared" si="5"/>
        <v>-52000</v>
      </c>
      <c r="L19" s="136"/>
      <c r="M19" s="256">
        <f t="shared" si="19"/>
        <v>-52000</v>
      </c>
      <c r="N19" s="159">
        <f t="shared" si="10"/>
        <v>41600</v>
      </c>
      <c r="O19" s="159">
        <f t="shared" si="11"/>
        <v>10399.999999999998</v>
      </c>
      <c r="P19" s="197">
        <v>7547600</v>
      </c>
      <c r="Q19" s="211">
        <f t="shared" si="12"/>
        <v>7547600</v>
      </c>
      <c r="R19" s="197">
        <v>0</v>
      </c>
      <c r="S19" s="159">
        <f t="shared" si="13"/>
        <v>0</v>
      </c>
      <c r="T19" s="159">
        <v>0</v>
      </c>
      <c r="U19" s="159">
        <f t="shared" si="14"/>
        <v>0</v>
      </c>
      <c r="V19" s="159">
        <f t="shared" si="15"/>
        <v>0</v>
      </c>
      <c r="W19" s="159">
        <f t="shared" si="16"/>
        <v>0</v>
      </c>
      <c r="X19" s="162">
        <f t="shared" si="17"/>
        <v>41600</v>
      </c>
      <c r="AA19" s="164">
        <f t="shared" si="1"/>
        <v>784000</v>
      </c>
      <c r="AB19" s="165">
        <f t="shared" si="2"/>
        <v>1300</v>
      </c>
      <c r="AC19" s="165">
        <f t="shared" si="6"/>
        <v>45805650</v>
      </c>
      <c r="AD19" s="165">
        <f t="shared" si="18"/>
        <v>0</v>
      </c>
      <c r="AE19" s="165">
        <f t="shared" si="7"/>
        <v>-782700</v>
      </c>
      <c r="AF19" s="165">
        <f t="shared" si="8"/>
        <v>0</v>
      </c>
      <c r="AG19" s="165"/>
      <c r="AH19" s="230">
        <f t="shared" si="3"/>
        <v>0</v>
      </c>
    </row>
    <row r="20" spans="2:34" ht="26.25" customHeight="1">
      <c r="B20" s="166">
        <f t="shared" si="4"/>
        <v>44609</v>
      </c>
      <c r="C20" s="291">
        <v>0</v>
      </c>
      <c r="D20" s="291">
        <v>300000</v>
      </c>
      <c r="E20" s="291">
        <v>0</v>
      </c>
      <c r="F20" s="221">
        <v>0</v>
      </c>
      <c r="G20" s="221">
        <v>0</v>
      </c>
      <c r="H20" s="168">
        <f t="shared" si="0"/>
        <v>300000</v>
      </c>
      <c r="I20" s="137">
        <v>0</v>
      </c>
      <c r="J20" s="137">
        <v>0</v>
      </c>
      <c r="K20" s="256">
        <f t="shared" si="5"/>
        <v>-300000</v>
      </c>
      <c r="L20" s="136"/>
      <c r="M20" s="256">
        <f t="shared" si="19"/>
        <v>-300000</v>
      </c>
      <c r="N20" s="159">
        <f t="shared" si="10"/>
        <v>240000</v>
      </c>
      <c r="O20" s="159">
        <f t="shared" si="11"/>
        <v>59999.999999999985</v>
      </c>
      <c r="P20" s="135">
        <v>1744400</v>
      </c>
      <c r="Q20" s="211">
        <f>P20-R20</f>
        <v>1744400</v>
      </c>
      <c r="R20" s="135">
        <v>0</v>
      </c>
      <c r="S20" s="159">
        <f t="shared" si="13"/>
        <v>0</v>
      </c>
      <c r="T20" s="159">
        <v>0</v>
      </c>
      <c r="U20" s="159">
        <f t="shared" si="14"/>
        <v>0</v>
      </c>
      <c r="V20" s="159">
        <f t="shared" si="15"/>
        <v>0</v>
      </c>
      <c r="W20" s="159">
        <f t="shared" si="16"/>
        <v>0</v>
      </c>
      <c r="X20" s="162">
        <f t="shared" si="17"/>
        <v>240000</v>
      </c>
      <c r="AA20" s="164">
        <f t="shared" si="1"/>
        <v>1084000</v>
      </c>
      <c r="AB20" s="165">
        <f t="shared" si="2"/>
        <v>1300</v>
      </c>
      <c r="AC20" s="165">
        <f t="shared" si="6"/>
        <v>47550050</v>
      </c>
      <c r="AD20" s="165">
        <f t="shared" si="18"/>
        <v>0</v>
      </c>
      <c r="AE20" s="165">
        <f t="shared" si="7"/>
        <v>-1082700</v>
      </c>
      <c r="AF20" s="165">
        <f t="shared" si="8"/>
        <v>0</v>
      </c>
      <c r="AG20" s="165"/>
      <c r="AH20" s="230">
        <f t="shared" si="3"/>
        <v>0</v>
      </c>
    </row>
    <row r="21" spans="2:34" ht="26.25" customHeight="1">
      <c r="B21" s="166">
        <f t="shared" si="4"/>
        <v>44610</v>
      </c>
      <c r="C21" s="291">
        <v>0</v>
      </c>
      <c r="D21" s="291">
        <v>600000</v>
      </c>
      <c r="E21" s="291">
        <v>0</v>
      </c>
      <c r="F21" s="221">
        <v>0</v>
      </c>
      <c r="G21" s="221">
        <v>0</v>
      </c>
      <c r="H21" s="168">
        <f t="shared" si="0"/>
        <v>600000</v>
      </c>
      <c r="I21" s="137">
        <v>0</v>
      </c>
      <c r="J21" s="137">
        <v>0</v>
      </c>
      <c r="K21" s="256">
        <f t="shared" si="5"/>
        <v>-600000</v>
      </c>
      <c r="L21" s="136"/>
      <c r="M21" s="256">
        <f t="shared" si="19"/>
        <v>-600000</v>
      </c>
      <c r="N21" s="159">
        <f t="shared" si="10"/>
        <v>480000</v>
      </c>
      <c r="O21" s="159">
        <f t="shared" si="11"/>
        <v>119999.99999999997</v>
      </c>
      <c r="P21" s="135">
        <v>6376800</v>
      </c>
      <c r="Q21" s="211">
        <f t="shared" si="12"/>
        <v>6376800</v>
      </c>
      <c r="R21" s="135">
        <v>0</v>
      </c>
      <c r="S21" s="159">
        <f t="shared" si="13"/>
        <v>0</v>
      </c>
      <c r="T21" s="159">
        <v>0</v>
      </c>
      <c r="U21" s="159">
        <f t="shared" si="14"/>
        <v>0</v>
      </c>
      <c r="V21" s="159">
        <f t="shared" si="15"/>
        <v>0</v>
      </c>
      <c r="W21" s="159">
        <f t="shared" si="16"/>
        <v>0</v>
      </c>
      <c r="X21" s="162">
        <f t="shared" si="17"/>
        <v>480000</v>
      </c>
      <c r="AA21" s="164">
        <f t="shared" si="1"/>
        <v>1684000</v>
      </c>
      <c r="AB21" s="165">
        <f t="shared" si="2"/>
        <v>1300</v>
      </c>
      <c r="AC21" s="165">
        <f>Q21+AC20</f>
        <v>53926850</v>
      </c>
      <c r="AD21" s="165">
        <f t="shared" si="18"/>
        <v>0</v>
      </c>
      <c r="AE21" s="165">
        <f t="shared" si="7"/>
        <v>-1682700</v>
      </c>
      <c r="AF21" s="165">
        <f t="shared" si="8"/>
        <v>0</v>
      </c>
      <c r="AG21" s="165"/>
      <c r="AH21" s="230">
        <f t="shared" si="3"/>
        <v>0</v>
      </c>
    </row>
    <row r="22" spans="2:34" ht="26.25" customHeight="1">
      <c r="B22" s="166">
        <f t="shared" si="4"/>
        <v>44611</v>
      </c>
      <c r="C22" s="291"/>
      <c r="D22" s="221"/>
      <c r="E22" s="221"/>
      <c r="F22" s="221"/>
      <c r="G22" s="221"/>
      <c r="H22" s="168">
        <f t="shared" si="0"/>
        <v>0</v>
      </c>
      <c r="I22" s="137"/>
      <c r="J22" s="137"/>
      <c r="K22" s="256">
        <f t="shared" si="5"/>
        <v>0</v>
      </c>
      <c r="L22" s="136"/>
      <c r="M22" s="256">
        <f t="shared" si="19"/>
        <v>0</v>
      </c>
      <c r="N22" s="159">
        <f t="shared" si="10"/>
        <v>0</v>
      </c>
      <c r="O22" s="159">
        <f t="shared" si="11"/>
        <v>0</v>
      </c>
      <c r="P22" s="135"/>
      <c r="Q22" s="211">
        <f t="shared" si="12"/>
        <v>0</v>
      </c>
      <c r="R22" s="135"/>
      <c r="S22" s="159">
        <f t="shared" si="13"/>
        <v>0</v>
      </c>
      <c r="T22" s="159">
        <v>0</v>
      </c>
      <c r="U22" s="159">
        <f t="shared" si="14"/>
        <v>0</v>
      </c>
      <c r="V22" s="159">
        <f t="shared" si="15"/>
        <v>0</v>
      </c>
      <c r="W22" s="159">
        <f t="shared" si="16"/>
        <v>0</v>
      </c>
      <c r="X22" s="162">
        <f t="shared" si="17"/>
        <v>0</v>
      </c>
      <c r="AA22" s="164">
        <f t="shared" si="1"/>
        <v>1684000</v>
      </c>
      <c r="AB22" s="165">
        <f t="shared" si="2"/>
        <v>1300</v>
      </c>
      <c r="AC22" s="165">
        <f t="shared" si="6"/>
        <v>53926850</v>
      </c>
      <c r="AD22" s="165">
        <f t="shared" si="18"/>
        <v>0</v>
      </c>
      <c r="AE22" s="165">
        <f t="shared" si="7"/>
        <v>-1682700</v>
      </c>
      <c r="AF22" s="165">
        <f t="shared" si="8"/>
        <v>0</v>
      </c>
      <c r="AG22" s="165"/>
      <c r="AH22" s="230">
        <f t="shared" si="3"/>
        <v>0</v>
      </c>
    </row>
    <row r="23" spans="2:34" ht="26.25" customHeight="1">
      <c r="B23" s="166">
        <f t="shared" si="4"/>
        <v>44612</v>
      </c>
      <c r="C23" s="221"/>
      <c r="D23" s="221"/>
      <c r="E23" s="221"/>
      <c r="F23" s="221"/>
      <c r="G23" s="221"/>
      <c r="H23" s="168">
        <f t="shared" si="0"/>
        <v>0</v>
      </c>
      <c r="I23" s="137"/>
      <c r="J23" s="137"/>
      <c r="K23" s="256">
        <f t="shared" si="5"/>
        <v>0</v>
      </c>
      <c r="L23" s="136"/>
      <c r="M23" s="256">
        <f t="shared" si="19"/>
        <v>0</v>
      </c>
      <c r="N23" s="159">
        <f t="shared" si="10"/>
        <v>0</v>
      </c>
      <c r="O23" s="159">
        <f t="shared" si="11"/>
        <v>0</v>
      </c>
      <c r="P23" s="135"/>
      <c r="Q23" s="211">
        <f t="shared" si="12"/>
        <v>0</v>
      </c>
      <c r="R23" s="135"/>
      <c r="S23" s="159">
        <f t="shared" si="13"/>
        <v>0</v>
      </c>
      <c r="T23" s="159">
        <v>0</v>
      </c>
      <c r="U23" s="159">
        <f t="shared" si="14"/>
        <v>0</v>
      </c>
      <c r="V23" s="159">
        <f t="shared" si="15"/>
        <v>0</v>
      </c>
      <c r="W23" s="159">
        <f t="shared" si="16"/>
        <v>0</v>
      </c>
      <c r="X23" s="162">
        <f t="shared" si="17"/>
        <v>0</v>
      </c>
      <c r="AA23" s="164">
        <f t="shared" si="1"/>
        <v>1684000</v>
      </c>
      <c r="AB23" s="165">
        <f t="shared" si="2"/>
        <v>1300</v>
      </c>
      <c r="AC23" s="165">
        <f t="shared" si="6"/>
        <v>53926850</v>
      </c>
      <c r="AD23" s="165">
        <f t="shared" si="18"/>
        <v>0</v>
      </c>
      <c r="AE23" s="165">
        <f t="shared" si="7"/>
        <v>-1682700</v>
      </c>
      <c r="AF23" s="165">
        <f t="shared" si="8"/>
        <v>0</v>
      </c>
      <c r="AG23" s="165"/>
      <c r="AH23" s="230">
        <f t="shared" si="3"/>
        <v>0</v>
      </c>
    </row>
    <row r="24" spans="2:34" ht="26.25" customHeight="1">
      <c r="B24" s="198">
        <f t="shared" si="4"/>
        <v>44613</v>
      </c>
      <c r="C24" s="221"/>
      <c r="D24" s="221"/>
      <c r="E24" s="221"/>
      <c r="F24" s="221"/>
      <c r="G24" s="221"/>
      <c r="H24" s="168">
        <f t="shared" si="0"/>
        <v>0</v>
      </c>
      <c r="I24" s="137"/>
      <c r="J24" s="137"/>
      <c r="K24" s="256">
        <f t="shared" si="5"/>
        <v>0</v>
      </c>
      <c r="L24" s="312"/>
      <c r="M24" s="256">
        <f t="shared" si="19"/>
        <v>0</v>
      </c>
      <c r="N24" s="159">
        <f t="shared" si="10"/>
        <v>0</v>
      </c>
      <c r="O24" s="159">
        <f t="shared" si="11"/>
        <v>0</v>
      </c>
      <c r="P24" s="135"/>
      <c r="Q24" s="211">
        <f t="shared" si="12"/>
        <v>0</v>
      </c>
      <c r="R24" s="135"/>
      <c r="S24" s="159">
        <f t="shared" si="13"/>
        <v>0</v>
      </c>
      <c r="T24" s="159">
        <v>0</v>
      </c>
      <c r="U24" s="159">
        <f t="shared" si="14"/>
        <v>0</v>
      </c>
      <c r="V24" s="159">
        <f t="shared" si="15"/>
        <v>0</v>
      </c>
      <c r="W24" s="159">
        <f t="shared" si="16"/>
        <v>0</v>
      </c>
      <c r="X24" s="162">
        <f t="shared" si="17"/>
        <v>0</v>
      </c>
      <c r="AA24" s="164">
        <f t="shared" si="1"/>
        <v>1684000</v>
      </c>
      <c r="AB24" s="165">
        <f t="shared" si="2"/>
        <v>1300</v>
      </c>
      <c r="AC24" s="165">
        <f t="shared" si="6"/>
        <v>53926850</v>
      </c>
      <c r="AD24" s="165">
        <f t="shared" si="18"/>
        <v>0</v>
      </c>
      <c r="AE24" s="165">
        <f t="shared" si="7"/>
        <v>-1682700</v>
      </c>
      <c r="AF24" s="165">
        <f t="shared" si="8"/>
        <v>0</v>
      </c>
      <c r="AG24" s="165"/>
      <c r="AH24" s="230">
        <f t="shared" si="3"/>
        <v>0</v>
      </c>
    </row>
    <row r="25" spans="2:34" ht="26.25" customHeight="1">
      <c r="B25" s="198">
        <f t="shared" si="4"/>
        <v>44614</v>
      </c>
      <c r="C25" s="221"/>
      <c r="D25" s="221"/>
      <c r="E25" s="221"/>
      <c r="F25" s="221"/>
      <c r="G25" s="221"/>
      <c r="H25" s="168">
        <f>D25+E25</f>
        <v>0</v>
      </c>
      <c r="I25" s="137"/>
      <c r="J25" s="137"/>
      <c r="K25" s="256">
        <f t="shared" si="5"/>
        <v>0</v>
      </c>
      <c r="L25" s="312"/>
      <c r="M25" s="256">
        <f t="shared" si="19"/>
        <v>0</v>
      </c>
      <c r="N25" s="159">
        <f t="shared" si="10"/>
        <v>0</v>
      </c>
      <c r="O25" s="159">
        <f t="shared" si="11"/>
        <v>0</v>
      </c>
      <c r="P25" s="135"/>
      <c r="Q25" s="211">
        <f t="shared" si="12"/>
        <v>0</v>
      </c>
      <c r="R25" s="135"/>
      <c r="S25" s="159">
        <f t="shared" si="13"/>
        <v>0</v>
      </c>
      <c r="T25" s="159">
        <v>0</v>
      </c>
      <c r="U25" s="159">
        <f t="shared" si="14"/>
        <v>0</v>
      </c>
      <c r="V25" s="159">
        <f t="shared" si="15"/>
        <v>0</v>
      </c>
      <c r="W25" s="159">
        <f t="shared" si="16"/>
        <v>0</v>
      </c>
      <c r="X25" s="162">
        <f t="shared" si="17"/>
        <v>0</v>
      </c>
      <c r="AA25" s="164">
        <f t="shared" si="1"/>
        <v>1684000</v>
      </c>
      <c r="AB25" s="165">
        <f t="shared" si="2"/>
        <v>1300</v>
      </c>
      <c r="AC25" s="165">
        <f t="shared" si="6"/>
        <v>53926850</v>
      </c>
      <c r="AD25" s="165">
        <f t="shared" si="18"/>
        <v>0</v>
      </c>
      <c r="AE25" s="165">
        <f t="shared" si="7"/>
        <v>-1682700</v>
      </c>
      <c r="AF25" s="165">
        <f t="shared" si="8"/>
        <v>0</v>
      </c>
      <c r="AG25" s="165"/>
      <c r="AH25" s="230">
        <f t="shared" si="3"/>
        <v>0</v>
      </c>
    </row>
    <row r="26" spans="2:34" ht="26.25" customHeight="1">
      <c r="B26" s="166">
        <f t="shared" si="4"/>
        <v>44615</v>
      </c>
      <c r="C26" s="221"/>
      <c r="D26" s="221"/>
      <c r="E26" s="221"/>
      <c r="F26" s="221"/>
      <c r="G26" s="221"/>
      <c r="H26" s="168">
        <f t="shared" si="0"/>
        <v>0</v>
      </c>
      <c r="I26" s="137"/>
      <c r="J26" s="137"/>
      <c r="K26" s="256">
        <f t="shared" si="5"/>
        <v>0</v>
      </c>
      <c r="L26" s="312"/>
      <c r="M26" s="256">
        <f t="shared" si="19"/>
        <v>0</v>
      </c>
      <c r="N26" s="159">
        <f t="shared" si="10"/>
        <v>0</v>
      </c>
      <c r="O26" s="159">
        <f t="shared" si="11"/>
        <v>0</v>
      </c>
      <c r="P26" s="135"/>
      <c r="Q26" s="211">
        <f t="shared" si="12"/>
        <v>0</v>
      </c>
      <c r="R26" s="135"/>
      <c r="S26" s="159">
        <f t="shared" si="13"/>
        <v>0</v>
      </c>
      <c r="T26" s="159">
        <v>0</v>
      </c>
      <c r="U26" s="159">
        <f t="shared" si="14"/>
        <v>0</v>
      </c>
      <c r="V26" s="159">
        <f t="shared" si="15"/>
        <v>0</v>
      </c>
      <c r="W26" s="159">
        <f t="shared" si="16"/>
        <v>0</v>
      </c>
      <c r="X26" s="162">
        <f t="shared" si="17"/>
        <v>0</v>
      </c>
      <c r="AA26" s="164">
        <f t="shared" si="1"/>
        <v>1684000</v>
      </c>
      <c r="AB26" s="165">
        <f t="shared" si="2"/>
        <v>1300</v>
      </c>
      <c r="AC26" s="165">
        <f t="shared" si="6"/>
        <v>53926850</v>
      </c>
      <c r="AD26" s="165">
        <f t="shared" si="18"/>
        <v>0</v>
      </c>
      <c r="AE26" s="165">
        <f t="shared" si="7"/>
        <v>-1682700</v>
      </c>
      <c r="AF26" s="165">
        <f t="shared" si="8"/>
        <v>0</v>
      </c>
      <c r="AG26" s="165"/>
      <c r="AH26" s="230">
        <f t="shared" si="3"/>
        <v>0</v>
      </c>
    </row>
    <row r="27" spans="2:34" ht="26.25" customHeight="1">
      <c r="B27" s="166">
        <f t="shared" si="4"/>
        <v>44616</v>
      </c>
      <c r="C27" s="221"/>
      <c r="D27" s="221"/>
      <c r="E27" s="221"/>
      <c r="F27" s="221"/>
      <c r="G27" s="221"/>
      <c r="H27" s="168">
        <f t="shared" si="0"/>
        <v>0</v>
      </c>
      <c r="I27" s="137"/>
      <c r="J27" s="137"/>
      <c r="K27" s="256">
        <f t="shared" si="5"/>
        <v>0</v>
      </c>
      <c r="L27" s="312"/>
      <c r="M27" s="256">
        <f t="shared" si="19"/>
        <v>0</v>
      </c>
      <c r="N27" s="159">
        <f t="shared" si="10"/>
        <v>0</v>
      </c>
      <c r="O27" s="159">
        <f t="shared" si="11"/>
        <v>0</v>
      </c>
      <c r="P27" s="135"/>
      <c r="Q27" s="211">
        <f t="shared" si="12"/>
        <v>0</v>
      </c>
      <c r="R27" s="135"/>
      <c r="S27" s="159">
        <f t="shared" si="13"/>
        <v>0</v>
      </c>
      <c r="T27" s="159">
        <v>0</v>
      </c>
      <c r="U27" s="159">
        <f t="shared" si="14"/>
        <v>0</v>
      </c>
      <c r="V27" s="159">
        <f t="shared" si="15"/>
        <v>0</v>
      </c>
      <c r="W27" s="159">
        <f t="shared" si="16"/>
        <v>0</v>
      </c>
      <c r="X27" s="162">
        <f t="shared" si="17"/>
        <v>0</v>
      </c>
      <c r="AA27" s="164">
        <f t="shared" si="1"/>
        <v>1684000</v>
      </c>
      <c r="AB27" s="165">
        <f t="shared" si="2"/>
        <v>1300</v>
      </c>
      <c r="AC27" s="165">
        <f t="shared" si="6"/>
        <v>53926850</v>
      </c>
      <c r="AD27" s="165">
        <f t="shared" si="18"/>
        <v>0</v>
      </c>
      <c r="AE27" s="165">
        <f t="shared" si="7"/>
        <v>-1682700</v>
      </c>
      <c r="AF27" s="165">
        <f t="shared" si="8"/>
        <v>0</v>
      </c>
      <c r="AG27" s="165"/>
      <c r="AH27" s="230">
        <f t="shared" si="3"/>
        <v>0</v>
      </c>
    </row>
    <row r="28" spans="2:34" ht="26.25" customHeight="1">
      <c r="B28" s="166">
        <f t="shared" si="4"/>
        <v>44617</v>
      </c>
      <c r="C28" s="221"/>
      <c r="D28" s="221"/>
      <c r="E28" s="221"/>
      <c r="F28" s="221"/>
      <c r="G28" s="221"/>
      <c r="H28" s="168">
        <f t="shared" si="0"/>
        <v>0</v>
      </c>
      <c r="I28" s="137"/>
      <c r="J28" s="137"/>
      <c r="K28" s="256">
        <f t="shared" si="5"/>
        <v>0</v>
      </c>
      <c r="L28" s="312"/>
      <c r="M28" s="256">
        <f t="shared" si="19"/>
        <v>0</v>
      </c>
      <c r="N28" s="159">
        <f t="shared" si="10"/>
        <v>0</v>
      </c>
      <c r="O28" s="159">
        <f t="shared" si="11"/>
        <v>0</v>
      </c>
      <c r="P28" s="135"/>
      <c r="Q28" s="211">
        <f t="shared" si="12"/>
        <v>0</v>
      </c>
      <c r="R28" s="135"/>
      <c r="S28" s="159">
        <f t="shared" si="13"/>
        <v>0</v>
      </c>
      <c r="T28" s="159">
        <v>0</v>
      </c>
      <c r="U28" s="159">
        <f t="shared" si="14"/>
        <v>0</v>
      </c>
      <c r="V28" s="159">
        <f t="shared" si="15"/>
        <v>0</v>
      </c>
      <c r="W28" s="159">
        <f t="shared" si="16"/>
        <v>0</v>
      </c>
      <c r="X28" s="162">
        <f t="shared" si="17"/>
        <v>0</v>
      </c>
      <c r="AA28" s="164">
        <f t="shared" si="1"/>
        <v>1684000</v>
      </c>
      <c r="AB28" s="165">
        <f t="shared" si="2"/>
        <v>1300</v>
      </c>
      <c r="AC28" s="165">
        <f t="shared" si="6"/>
        <v>53926850</v>
      </c>
      <c r="AD28" s="165">
        <f t="shared" si="18"/>
        <v>0</v>
      </c>
      <c r="AE28" s="165">
        <f t="shared" si="7"/>
        <v>-1682700</v>
      </c>
      <c r="AF28" s="165">
        <f t="shared" si="8"/>
        <v>0</v>
      </c>
      <c r="AG28" s="165"/>
      <c r="AH28" s="230">
        <f t="shared" si="3"/>
        <v>0</v>
      </c>
    </row>
    <row r="29" spans="2:34" ht="26.25" customHeight="1">
      <c r="B29" s="166">
        <f t="shared" si="4"/>
        <v>44618</v>
      </c>
      <c r="C29" s="221"/>
      <c r="D29" s="221"/>
      <c r="E29" s="221"/>
      <c r="F29" s="221"/>
      <c r="G29" s="221"/>
      <c r="H29" s="168">
        <f t="shared" si="0"/>
        <v>0</v>
      </c>
      <c r="I29" s="137"/>
      <c r="J29" s="137"/>
      <c r="K29" s="256">
        <f t="shared" si="5"/>
        <v>0</v>
      </c>
      <c r="L29" s="312"/>
      <c r="M29" s="256">
        <f t="shared" si="19"/>
        <v>0</v>
      </c>
      <c r="N29" s="159">
        <f t="shared" si="10"/>
        <v>0</v>
      </c>
      <c r="O29" s="159">
        <f t="shared" si="11"/>
        <v>0</v>
      </c>
      <c r="P29" s="135"/>
      <c r="Q29" s="279">
        <f t="shared" si="12"/>
        <v>0</v>
      </c>
      <c r="R29" s="135"/>
      <c r="S29" s="159">
        <f t="shared" si="13"/>
        <v>0</v>
      </c>
      <c r="T29" s="159">
        <v>0</v>
      </c>
      <c r="U29" s="159">
        <f t="shared" si="14"/>
        <v>0</v>
      </c>
      <c r="V29" s="159">
        <f t="shared" si="15"/>
        <v>0</v>
      </c>
      <c r="W29" s="159">
        <f t="shared" si="16"/>
        <v>0</v>
      </c>
      <c r="X29" s="162">
        <f t="shared" si="17"/>
        <v>0</v>
      </c>
      <c r="AA29" s="164">
        <f t="shared" si="1"/>
        <v>1684000</v>
      </c>
      <c r="AB29" s="165">
        <f t="shared" si="2"/>
        <v>1300</v>
      </c>
      <c r="AC29" s="165">
        <f t="shared" si="6"/>
        <v>53926850</v>
      </c>
      <c r="AD29" s="165">
        <f t="shared" si="18"/>
        <v>0</v>
      </c>
      <c r="AE29" s="165">
        <f t="shared" si="7"/>
        <v>-1682700</v>
      </c>
      <c r="AF29" s="165">
        <f t="shared" si="8"/>
        <v>0</v>
      </c>
      <c r="AG29" s="165"/>
      <c r="AH29" s="230">
        <f t="shared" si="3"/>
        <v>0</v>
      </c>
    </row>
    <row r="30" spans="2:34" ht="26.25" customHeight="1">
      <c r="B30" s="166">
        <f t="shared" si="4"/>
        <v>44619</v>
      </c>
      <c r="C30" s="221"/>
      <c r="D30" s="221"/>
      <c r="E30" s="221"/>
      <c r="F30" s="221"/>
      <c r="G30" s="221"/>
      <c r="H30" s="168">
        <f t="shared" si="0"/>
        <v>0</v>
      </c>
      <c r="I30" s="137"/>
      <c r="J30" s="137"/>
      <c r="K30" s="256">
        <f t="shared" si="5"/>
        <v>0</v>
      </c>
      <c r="L30" s="312"/>
      <c r="M30" s="256">
        <f t="shared" si="19"/>
        <v>0</v>
      </c>
      <c r="N30" s="159">
        <f t="shared" si="10"/>
        <v>0</v>
      </c>
      <c r="O30" s="159">
        <f t="shared" si="11"/>
        <v>0</v>
      </c>
      <c r="P30" s="135"/>
      <c r="Q30" s="211">
        <f t="shared" si="12"/>
        <v>0</v>
      </c>
      <c r="R30" s="135"/>
      <c r="S30" s="159">
        <f t="shared" si="13"/>
        <v>0</v>
      </c>
      <c r="T30" s="159">
        <v>0</v>
      </c>
      <c r="U30" s="159">
        <f>SUM(S30:T30)</f>
        <v>0</v>
      </c>
      <c r="V30" s="159">
        <f>U30*50%</f>
        <v>0</v>
      </c>
      <c r="W30" s="159">
        <f t="shared" si="16"/>
        <v>0</v>
      </c>
      <c r="X30" s="162">
        <f t="shared" si="17"/>
        <v>0</v>
      </c>
      <c r="AA30" s="164">
        <f t="shared" si="1"/>
        <v>1684000</v>
      </c>
      <c r="AB30" s="165">
        <f t="shared" si="2"/>
        <v>1300</v>
      </c>
      <c r="AC30" s="165">
        <f t="shared" si="6"/>
        <v>53926850</v>
      </c>
      <c r="AD30" s="165">
        <f t="shared" si="18"/>
        <v>0</v>
      </c>
      <c r="AE30" s="165">
        <f t="shared" si="7"/>
        <v>-1682700</v>
      </c>
      <c r="AF30" s="165">
        <f t="shared" si="8"/>
        <v>0</v>
      </c>
      <c r="AG30" s="165"/>
      <c r="AH30" s="230">
        <f t="shared" si="3"/>
        <v>0</v>
      </c>
    </row>
    <row r="31" spans="2:34" ht="26.25" customHeight="1">
      <c r="B31" s="166">
        <f t="shared" si="4"/>
        <v>44620</v>
      </c>
      <c r="C31" s="221"/>
      <c r="D31" s="221"/>
      <c r="E31" s="221"/>
      <c r="F31" s="221"/>
      <c r="G31" s="221"/>
      <c r="H31" s="168">
        <f t="shared" si="0"/>
        <v>0</v>
      </c>
      <c r="I31" s="137"/>
      <c r="J31" s="137"/>
      <c r="K31" s="256">
        <f t="shared" si="5"/>
        <v>0</v>
      </c>
      <c r="L31" s="136"/>
      <c r="M31" s="256">
        <f t="shared" si="19"/>
        <v>0</v>
      </c>
      <c r="N31" s="159">
        <f t="shared" si="10"/>
        <v>0</v>
      </c>
      <c r="O31" s="159">
        <f t="shared" si="11"/>
        <v>0</v>
      </c>
      <c r="P31" s="135"/>
      <c r="Q31" s="211">
        <f t="shared" si="12"/>
        <v>0</v>
      </c>
      <c r="R31" s="135"/>
      <c r="S31" s="159">
        <f t="shared" si="13"/>
        <v>0</v>
      </c>
      <c r="T31" s="159">
        <v>0</v>
      </c>
      <c r="U31" s="159">
        <f t="shared" si="14"/>
        <v>0</v>
      </c>
      <c r="V31" s="159">
        <f t="shared" si="15"/>
        <v>0</v>
      </c>
      <c r="W31" s="159">
        <f t="shared" si="16"/>
        <v>0</v>
      </c>
      <c r="X31" s="162">
        <f t="shared" si="17"/>
        <v>0</v>
      </c>
      <c r="AA31" s="164">
        <f t="shared" si="1"/>
        <v>1684000</v>
      </c>
      <c r="AB31" s="165">
        <f t="shared" si="2"/>
        <v>1300</v>
      </c>
      <c r="AC31" s="165">
        <f t="shared" si="6"/>
        <v>53926850</v>
      </c>
      <c r="AD31" s="165">
        <f t="shared" si="18"/>
        <v>0</v>
      </c>
      <c r="AE31" s="165">
        <f t="shared" si="7"/>
        <v>-1682700</v>
      </c>
      <c r="AF31" s="165">
        <f t="shared" si="8"/>
        <v>0</v>
      </c>
      <c r="AG31" s="165"/>
      <c r="AH31" s="230">
        <f t="shared" si="3"/>
        <v>0</v>
      </c>
    </row>
    <row r="32" spans="2:34" ht="26.25" customHeight="1">
      <c r="B32" s="166">
        <f t="shared" si="4"/>
        <v>44621</v>
      </c>
      <c r="C32" s="221"/>
      <c r="D32" s="221"/>
      <c r="E32" s="221"/>
      <c r="F32" s="221"/>
      <c r="G32" s="221"/>
      <c r="H32" s="168">
        <f t="shared" si="0"/>
        <v>0</v>
      </c>
      <c r="I32" s="137"/>
      <c r="J32" s="137"/>
      <c r="K32" s="256">
        <f t="shared" si="5"/>
        <v>0</v>
      </c>
      <c r="L32" s="136"/>
      <c r="M32" s="256">
        <f t="shared" si="19"/>
        <v>0</v>
      </c>
      <c r="N32" s="159">
        <f t="shared" si="10"/>
        <v>0</v>
      </c>
      <c r="O32" s="159">
        <f t="shared" si="11"/>
        <v>0</v>
      </c>
      <c r="P32" s="135"/>
      <c r="Q32" s="211">
        <f t="shared" si="12"/>
        <v>0</v>
      </c>
      <c r="R32" s="135"/>
      <c r="S32" s="159">
        <f t="shared" si="13"/>
        <v>0</v>
      </c>
      <c r="T32" s="159">
        <v>0</v>
      </c>
      <c r="U32" s="159">
        <f t="shared" si="14"/>
        <v>0</v>
      </c>
      <c r="V32" s="159">
        <f t="shared" si="15"/>
        <v>0</v>
      </c>
      <c r="W32" s="159">
        <f t="shared" si="16"/>
        <v>0</v>
      </c>
      <c r="X32" s="162">
        <f t="shared" si="17"/>
        <v>0</v>
      </c>
      <c r="AA32" s="164">
        <f t="shared" si="1"/>
        <v>1684000</v>
      </c>
      <c r="AB32" s="165">
        <f t="shared" si="2"/>
        <v>1300</v>
      </c>
      <c r="AC32" s="165">
        <f t="shared" si="6"/>
        <v>53926850</v>
      </c>
      <c r="AD32" s="165">
        <f t="shared" si="18"/>
        <v>0</v>
      </c>
      <c r="AE32" s="165">
        <f t="shared" si="7"/>
        <v>-1682700</v>
      </c>
      <c r="AF32" s="165">
        <f t="shared" si="8"/>
        <v>0</v>
      </c>
      <c r="AG32" s="165"/>
      <c r="AH32" s="230">
        <f t="shared" si="3"/>
        <v>0</v>
      </c>
    </row>
    <row r="33" spans="2:34" ht="26.25" customHeight="1">
      <c r="B33" s="166">
        <f t="shared" si="4"/>
        <v>44622</v>
      </c>
      <c r="C33" s="221"/>
      <c r="D33" s="221"/>
      <c r="E33" s="221"/>
      <c r="F33" s="221"/>
      <c r="G33" s="221"/>
      <c r="H33" s="168">
        <f t="shared" si="0"/>
        <v>0</v>
      </c>
      <c r="I33" s="137"/>
      <c r="J33" s="137"/>
      <c r="K33" s="256">
        <f t="shared" si="5"/>
        <v>0</v>
      </c>
      <c r="L33" s="136"/>
      <c r="M33" s="256">
        <f t="shared" si="19"/>
        <v>0</v>
      </c>
      <c r="N33" s="159">
        <f t="shared" si="10"/>
        <v>0</v>
      </c>
      <c r="O33" s="159">
        <f t="shared" si="11"/>
        <v>0</v>
      </c>
      <c r="P33" s="135"/>
      <c r="Q33" s="211">
        <f>P33-R33</f>
        <v>0</v>
      </c>
      <c r="R33" s="135"/>
      <c r="S33" s="159">
        <f>R33*1.7%</f>
        <v>0</v>
      </c>
      <c r="T33" s="159">
        <v>0</v>
      </c>
      <c r="U33" s="159">
        <f t="shared" si="14"/>
        <v>0</v>
      </c>
      <c r="V33" s="159">
        <f t="shared" si="15"/>
        <v>0</v>
      </c>
      <c r="W33" s="159">
        <f t="shared" si="16"/>
        <v>0</v>
      </c>
      <c r="X33" s="162">
        <f t="shared" si="17"/>
        <v>0</v>
      </c>
      <c r="AA33" s="164">
        <f t="shared" si="1"/>
        <v>1684000</v>
      </c>
      <c r="AB33" s="165">
        <f t="shared" si="2"/>
        <v>1300</v>
      </c>
      <c r="AC33" s="165">
        <f t="shared" si="6"/>
        <v>53926850</v>
      </c>
      <c r="AD33" s="165">
        <f t="shared" si="18"/>
        <v>0</v>
      </c>
      <c r="AE33" s="165">
        <f t="shared" si="7"/>
        <v>-1682700</v>
      </c>
      <c r="AF33" s="165">
        <f>R33+AF32</f>
        <v>0</v>
      </c>
      <c r="AG33" s="165"/>
      <c r="AH33" s="230">
        <f t="shared" si="3"/>
        <v>0</v>
      </c>
    </row>
    <row r="34" spans="2:34" ht="26.25" customHeight="1">
      <c r="B34" s="166">
        <v>44561</v>
      </c>
      <c r="C34" s="221"/>
      <c r="D34" s="221"/>
      <c r="E34" s="221"/>
      <c r="F34" s="221"/>
      <c r="G34" s="221"/>
      <c r="H34" s="168">
        <f t="shared" si="0"/>
        <v>0</v>
      </c>
      <c r="I34" s="221"/>
      <c r="J34" s="221"/>
      <c r="K34" s="256">
        <f t="shared" si="5"/>
        <v>0</v>
      </c>
      <c r="L34" s="221"/>
      <c r="M34" s="221">
        <f t="shared" si="19"/>
        <v>0</v>
      </c>
      <c r="N34" s="221">
        <f>M34*$N$3</f>
        <v>0</v>
      </c>
      <c r="O34" s="221">
        <f>M34*$O$3</f>
        <v>0</v>
      </c>
      <c r="P34" s="135"/>
      <c r="Q34" s="211">
        <f>P34-R34</f>
        <v>0</v>
      </c>
      <c r="R34" s="135"/>
      <c r="S34" s="159">
        <f>R34*1.7%</f>
        <v>0</v>
      </c>
      <c r="T34" s="159">
        <v>0</v>
      </c>
      <c r="U34" s="159">
        <f t="shared" si="14"/>
        <v>0</v>
      </c>
      <c r="V34" s="159">
        <f t="shared" si="15"/>
        <v>0</v>
      </c>
      <c r="W34" s="221"/>
      <c r="X34" s="221"/>
      <c r="AA34" s="164"/>
      <c r="AB34" s="165"/>
      <c r="AC34" s="165"/>
      <c r="AD34" s="165"/>
      <c r="AE34" s="165"/>
      <c r="AF34" s="165"/>
      <c r="AG34" s="165"/>
      <c r="AH34" s="230"/>
    </row>
    <row r="35" spans="2:34" ht="26.25" customHeight="1" thickBot="1">
      <c r="B35" s="138"/>
      <c r="C35" s="139"/>
      <c r="D35" s="139"/>
      <c r="E35" s="139"/>
      <c r="F35" s="140"/>
      <c r="G35" s="140"/>
      <c r="H35" s="141"/>
      <c r="I35" s="142"/>
      <c r="J35" s="142"/>
      <c r="K35" s="143"/>
      <c r="L35" s="143"/>
      <c r="M35" s="143"/>
      <c r="N35" s="160"/>
      <c r="O35" s="160"/>
      <c r="P35" s="144"/>
      <c r="Q35" s="212"/>
      <c r="R35" s="144"/>
      <c r="S35" s="160"/>
      <c r="T35" s="160"/>
      <c r="U35" s="160"/>
      <c r="V35" s="160"/>
      <c r="W35" s="160"/>
      <c r="X35" s="163"/>
      <c r="AA35" s="164"/>
      <c r="AB35" s="165"/>
      <c r="AC35" s="165"/>
      <c r="AD35" s="165"/>
      <c r="AE35" s="165"/>
      <c r="AF35" s="165"/>
      <c r="AG35" s="165"/>
      <c r="AH35" s="230"/>
    </row>
    <row r="36" spans="2:34" ht="6.75" customHeight="1" thickBot="1">
      <c r="AB36" s="165"/>
    </row>
    <row r="37" spans="2:34" ht="23.25" customHeight="1" thickBot="1">
      <c r="B37" s="145" t="s">
        <v>99</v>
      </c>
      <c r="C37" s="175">
        <f>SUM(C4:C35)</f>
        <v>0</v>
      </c>
      <c r="D37" s="175">
        <f t="shared" ref="D37:X37" si="20">SUM(D4:D35)</f>
        <v>5854000</v>
      </c>
      <c r="E37" s="175">
        <f t="shared" si="20"/>
        <v>-4170000</v>
      </c>
      <c r="F37" s="175">
        <f t="shared" si="20"/>
        <v>-1486000</v>
      </c>
      <c r="G37" s="175">
        <f t="shared" si="20"/>
        <v>1486000</v>
      </c>
      <c r="H37" s="175">
        <f t="shared" si="20"/>
        <v>1684000</v>
      </c>
      <c r="I37" s="175">
        <f>SUM(I4:I35)</f>
        <v>1000</v>
      </c>
      <c r="J37" s="175">
        <f>SUM(J4:J35)</f>
        <v>300</v>
      </c>
      <c r="K37" s="175">
        <f>SUM(K4:K35)</f>
        <v>-1682700</v>
      </c>
      <c r="L37" s="175">
        <f>SUM(L4:L35)</f>
        <v>0</v>
      </c>
      <c r="M37" s="175">
        <f t="shared" si="20"/>
        <v>-1682700</v>
      </c>
      <c r="N37" s="175">
        <f t="shared" si="20"/>
        <v>1346160</v>
      </c>
      <c r="O37" s="175">
        <f t="shared" si="20"/>
        <v>336539.99999999988</v>
      </c>
      <c r="P37" s="175">
        <f t="shared" si="20"/>
        <v>53926850</v>
      </c>
      <c r="Q37" s="175">
        <f>SUM(Q4:Q35)</f>
        <v>53926850</v>
      </c>
      <c r="R37" s="175">
        <f t="shared" si="20"/>
        <v>0</v>
      </c>
      <c r="S37" s="175">
        <f>SUM(S4:S35)</f>
        <v>0</v>
      </c>
      <c r="T37" s="175">
        <f t="shared" si="20"/>
        <v>0</v>
      </c>
      <c r="U37" s="175">
        <f t="shared" si="20"/>
        <v>0</v>
      </c>
      <c r="V37" s="175">
        <f t="shared" si="20"/>
        <v>0</v>
      </c>
      <c r="W37" s="175">
        <f t="shared" si="20"/>
        <v>0</v>
      </c>
      <c r="X37" s="274">
        <f t="shared" si="20"/>
        <v>1346160</v>
      </c>
    </row>
    <row r="38" spans="2:34" ht="23.25" customHeight="1">
      <c r="B38" s="145"/>
      <c r="C38" s="270"/>
      <c r="D38" s="270"/>
      <c r="E38" s="270"/>
      <c r="F38" s="270"/>
      <c r="G38" s="270"/>
      <c r="H38" s="270"/>
      <c r="I38" s="271"/>
      <c r="J38" s="271"/>
      <c r="K38" s="272"/>
      <c r="L38" s="272"/>
      <c r="M38" s="272"/>
      <c r="N38" s="272"/>
      <c r="O38" s="272"/>
      <c r="P38" s="272"/>
      <c r="Q38" s="272"/>
      <c r="R38" s="272"/>
      <c r="S38" s="272"/>
      <c r="T38" s="272"/>
      <c r="U38" s="272"/>
      <c r="V38" s="272"/>
      <c r="W38" s="272"/>
      <c r="X38" s="273"/>
    </row>
    <row r="39" spans="2:34" ht="23.25" customHeight="1">
      <c r="B39" s="145"/>
      <c r="C39" s="270"/>
      <c r="D39" s="270"/>
      <c r="E39" s="270"/>
      <c r="F39" s="270"/>
      <c r="G39" s="270"/>
      <c r="H39" s="270"/>
      <c r="I39" s="271"/>
      <c r="J39" s="271"/>
      <c r="K39" s="272"/>
      <c r="L39" s="272"/>
      <c r="M39" s="272"/>
      <c r="N39" s="272"/>
      <c r="O39" s="272"/>
      <c r="P39" s="272"/>
      <c r="Q39" s="272"/>
      <c r="R39" s="272"/>
      <c r="S39" s="272"/>
      <c r="T39" s="272"/>
      <c r="U39" s="272"/>
      <c r="V39" s="272"/>
      <c r="W39" s="272"/>
      <c r="X39" s="273"/>
    </row>
    <row r="40" spans="2:34" ht="29.25" customHeight="1">
      <c r="C40" s="242" t="s">
        <v>163</v>
      </c>
      <c r="D40" s="242"/>
      <c r="E40" s="242"/>
      <c r="F40" s="242"/>
      <c r="H40" s="411">
        <f>-H37</f>
        <v>-1684000</v>
      </c>
      <c r="I40" s="411"/>
      <c r="J40" s="146"/>
      <c r="K40" s="146"/>
      <c r="L40" s="146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</row>
    <row r="41" spans="2:34" ht="24" customHeight="1">
      <c r="C41" s="242" t="s">
        <v>178</v>
      </c>
      <c r="D41" s="242"/>
      <c r="E41" s="242"/>
      <c r="F41" s="242"/>
      <c r="H41" s="418">
        <f>M37</f>
        <v>-1682700</v>
      </c>
      <c r="I41" s="418"/>
      <c r="J41" s="146"/>
      <c r="K41" s="146"/>
      <c r="L41" s="146"/>
      <c r="M41" s="257" t="s">
        <v>167</v>
      </c>
      <c r="N41" s="173"/>
      <c r="O41" s="173"/>
      <c r="P41" s="173"/>
      <c r="Q41" s="173"/>
      <c r="R41" s="147"/>
      <c r="S41" s="147"/>
      <c r="T41" s="257" t="s">
        <v>171</v>
      </c>
      <c r="U41" s="173"/>
      <c r="V41" s="173"/>
      <c r="W41" s="147"/>
      <c r="X41" s="173"/>
      <c r="Y41" s="173"/>
      <c r="Z41" s="173"/>
      <c r="AA41" s="173"/>
      <c r="AB41" s="173"/>
    </row>
    <row r="42" spans="2:34" ht="24" customHeight="1" thickBot="1">
      <c r="C42" s="242" t="s">
        <v>225</v>
      </c>
      <c r="D42" s="242"/>
      <c r="E42" s="242"/>
      <c r="F42" s="242"/>
      <c r="H42" s="431">
        <f>-ROUNDDOWN(H41*80%,0)</f>
        <v>1346160</v>
      </c>
      <c r="I42" s="431"/>
      <c r="J42" s="146"/>
      <c r="K42" s="146"/>
      <c r="L42" s="146"/>
      <c r="M42" s="148" t="s">
        <v>168</v>
      </c>
      <c r="N42" s="246"/>
      <c r="O42" s="246"/>
      <c r="P42" s="246"/>
      <c r="Q42" s="173"/>
      <c r="R42" s="147"/>
      <c r="S42" s="147"/>
      <c r="T42" s="148" t="s">
        <v>189</v>
      </c>
      <c r="U42" s="173"/>
      <c r="V42" s="173"/>
      <c r="W42" s="147"/>
      <c r="X42" s="173"/>
      <c r="Y42" s="173"/>
      <c r="Z42" s="173"/>
      <c r="AA42" s="173"/>
      <c r="AB42" s="173"/>
    </row>
    <row r="43" spans="2:34" ht="24" customHeight="1" thickTop="1">
      <c r="C43" s="242"/>
      <c r="D43" s="242"/>
      <c r="E43" s="242"/>
      <c r="F43" s="242"/>
      <c r="H43" s="265"/>
      <c r="I43" s="265"/>
      <c r="J43" s="146"/>
      <c r="K43" s="146"/>
      <c r="L43" s="146"/>
      <c r="M43" s="148"/>
      <c r="N43" s="173"/>
      <c r="O43" s="173"/>
      <c r="P43" s="173"/>
      <c r="Q43" s="173"/>
      <c r="R43" s="147"/>
      <c r="S43" s="147"/>
      <c r="T43" s="148"/>
      <c r="U43" s="173"/>
      <c r="V43" s="173"/>
      <c r="W43" s="147"/>
      <c r="X43" s="173"/>
      <c r="Y43" s="173"/>
      <c r="Z43" s="173"/>
      <c r="AA43" s="173"/>
      <c r="AB43" s="173"/>
    </row>
    <row r="44" spans="2:34" ht="23.25" customHeight="1">
      <c r="C44" s="242" t="s">
        <v>164</v>
      </c>
      <c r="D44" s="242"/>
      <c r="E44" s="242"/>
      <c r="F44" s="242"/>
      <c r="H44" s="413">
        <v>0</v>
      </c>
      <c r="I44" s="413"/>
      <c r="J44" s="146"/>
      <c r="K44" s="146"/>
      <c r="L44" s="146"/>
      <c r="M44" s="257" t="s">
        <v>169</v>
      </c>
      <c r="N44" s="173"/>
      <c r="O44" s="173"/>
      <c r="P44" s="173"/>
      <c r="Q44" s="173"/>
      <c r="R44" s="147"/>
      <c r="S44" s="147"/>
      <c r="T44" s="257" t="s">
        <v>169</v>
      </c>
      <c r="U44" s="173"/>
      <c r="V44" s="173"/>
      <c r="W44" s="147"/>
      <c r="X44" s="173"/>
      <c r="Y44" s="173"/>
      <c r="Z44" s="173"/>
      <c r="AA44" s="173"/>
      <c r="AB44" s="173"/>
    </row>
    <row r="45" spans="2:34" ht="24" customHeight="1">
      <c r="C45" s="242" t="s">
        <v>200</v>
      </c>
      <c r="D45" s="242"/>
      <c r="E45" s="242"/>
      <c r="F45" s="242"/>
      <c r="H45" s="413">
        <f>H44*1.7%</f>
        <v>0</v>
      </c>
      <c r="I45" s="413"/>
      <c r="J45" s="146"/>
      <c r="K45" s="146"/>
      <c r="L45" s="146"/>
      <c r="M45" s="148" t="s">
        <v>170</v>
      </c>
      <c r="N45" s="246"/>
      <c r="O45" s="246"/>
      <c r="P45" s="246"/>
      <c r="Q45" s="173"/>
      <c r="R45" s="147"/>
      <c r="S45" s="147"/>
      <c r="T45" s="148" t="s">
        <v>206</v>
      </c>
      <c r="U45" s="173"/>
      <c r="V45" s="173"/>
      <c r="W45" s="147"/>
      <c r="X45" s="173"/>
      <c r="AA45" s="173"/>
      <c r="AB45" s="173"/>
    </row>
    <row r="46" spans="2:34" ht="24" customHeight="1">
      <c r="C46" s="242" t="s">
        <v>218</v>
      </c>
      <c r="D46" s="242"/>
      <c r="E46" s="242"/>
      <c r="F46" s="242"/>
      <c r="H46" s="413">
        <v>0</v>
      </c>
      <c r="I46" s="413"/>
      <c r="J46" s="146"/>
      <c r="K46" s="146"/>
      <c r="L46" s="146"/>
      <c r="M46" s="148"/>
      <c r="N46" s="173"/>
      <c r="O46" s="173"/>
      <c r="P46" s="173"/>
      <c r="Q46" s="173"/>
      <c r="R46" s="147"/>
      <c r="S46" s="147"/>
      <c r="T46" s="148"/>
      <c r="U46" s="173"/>
      <c r="V46" s="173"/>
      <c r="W46" s="147"/>
      <c r="X46" s="173"/>
      <c r="AA46" s="173"/>
      <c r="AB46" s="173"/>
    </row>
    <row r="47" spans="2:34" ht="24" customHeight="1">
      <c r="C47" s="242" t="s">
        <v>201</v>
      </c>
      <c r="D47" s="242"/>
      <c r="E47" s="242"/>
      <c r="F47" s="242"/>
      <c r="H47" s="413">
        <f>R37</f>
        <v>0</v>
      </c>
      <c r="I47" s="413"/>
      <c r="J47" s="146"/>
      <c r="K47" s="146"/>
      <c r="L47" s="146"/>
      <c r="M47" s="148"/>
      <c r="N47" s="173"/>
      <c r="O47" s="173"/>
      <c r="P47" s="173"/>
      <c r="Q47" s="173"/>
      <c r="R47" s="147"/>
      <c r="S47" s="147"/>
      <c r="T47" s="148"/>
      <c r="U47" s="173"/>
      <c r="V47" s="173"/>
      <c r="W47" s="147"/>
      <c r="X47" s="173"/>
      <c r="AA47" s="173"/>
      <c r="AB47" s="173"/>
    </row>
    <row r="48" spans="2:34" ht="24" customHeight="1">
      <c r="C48" s="242" t="s">
        <v>202</v>
      </c>
      <c r="D48" s="242"/>
      <c r="E48" s="242"/>
      <c r="F48" s="242"/>
      <c r="H48" s="413">
        <f>H47*1.7%</f>
        <v>0</v>
      </c>
      <c r="I48" s="413"/>
      <c r="J48" s="146"/>
      <c r="K48" s="146"/>
      <c r="L48" s="146"/>
      <c r="M48" s="148"/>
      <c r="N48" s="173"/>
      <c r="O48" s="173"/>
      <c r="P48" s="173"/>
      <c r="Q48" s="173"/>
      <c r="R48" s="147"/>
      <c r="S48" s="147"/>
      <c r="T48" s="148"/>
      <c r="U48" s="173"/>
      <c r="V48" s="173"/>
      <c r="W48" s="147"/>
      <c r="X48" s="173"/>
      <c r="AA48" s="173"/>
      <c r="AB48" s="173"/>
    </row>
    <row r="49" spans="2:28" ht="24" customHeight="1">
      <c r="C49" s="242" t="s">
        <v>226</v>
      </c>
      <c r="D49" s="242"/>
      <c r="E49" s="242"/>
      <c r="F49" s="242"/>
      <c r="H49" s="413">
        <f>-H48/2</f>
        <v>0</v>
      </c>
      <c r="I49" s="413"/>
      <c r="J49" s="146"/>
      <c r="K49" s="146"/>
      <c r="L49" s="146"/>
      <c r="M49" s="148"/>
      <c r="N49" s="173"/>
      <c r="O49" s="173"/>
      <c r="P49" s="173"/>
      <c r="Q49" s="173"/>
      <c r="R49" s="147"/>
      <c r="S49" s="147"/>
      <c r="T49" s="148"/>
      <c r="U49" s="173"/>
      <c r="V49" s="173"/>
      <c r="W49" s="147"/>
      <c r="X49" s="173"/>
      <c r="AA49" s="173"/>
      <c r="AB49" s="173"/>
    </row>
    <row r="50" spans="2:28" ht="24" customHeight="1">
      <c r="C50" s="242" t="s">
        <v>177</v>
      </c>
      <c r="D50" s="242"/>
      <c r="E50" s="242"/>
      <c r="F50" s="242"/>
      <c r="H50" s="423">
        <v>0</v>
      </c>
      <c r="I50" s="423"/>
      <c r="J50" s="146"/>
      <c r="K50" s="146"/>
      <c r="L50" s="146"/>
      <c r="M50" s="148"/>
      <c r="N50" s="173"/>
      <c r="O50" s="173"/>
      <c r="P50" s="173"/>
      <c r="Q50" s="173"/>
      <c r="R50" s="147"/>
      <c r="S50" s="147"/>
      <c r="T50" s="148"/>
      <c r="U50" s="173"/>
      <c r="V50" s="173"/>
      <c r="W50" s="147"/>
      <c r="X50" s="173"/>
      <c r="AA50" s="173"/>
      <c r="AB50" s="173"/>
    </row>
    <row r="51" spans="2:28" ht="24" customHeight="1" thickBot="1">
      <c r="C51" s="242"/>
      <c r="D51" s="242"/>
      <c r="E51" s="242"/>
      <c r="F51" s="242"/>
      <c r="H51" s="428">
        <f>ROUNDDOWN(H45+H46+H49+H50,0)</f>
        <v>0</v>
      </c>
      <c r="I51" s="428"/>
      <c r="J51" s="146"/>
      <c r="K51" s="146"/>
      <c r="L51" s="146"/>
      <c r="M51" s="148"/>
      <c r="N51" s="173"/>
      <c r="O51" s="173"/>
      <c r="P51" s="173"/>
      <c r="Q51" s="173"/>
      <c r="R51" s="147"/>
      <c r="S51" s="147"/>
      <c r="T51" s="148"/>
      <c r="U51" s="173"/>
      <c r="V51" s="173"/>
      <c r="W51" s="147"/>
      <c r="X51" s="173"/>
      <c r="AA51" s="173"/>
      <c r="AB51" s="173"/>
    </row>
    <row r="52" spans="2:28" ht="26.25" customHeight="1" thickTop="1">
      <c r="C52" s="242"/>
      <c r="D52" s="242"/>
      <c r="E52" s="242"/>
      <c r="F52" s="242"/>
      <c r="H52" s="266"/>
      <c r="I52" s="266"/>
      <c r="J52" s="146"/>
      <c r="K52" s="146"/>
      <c r="L52" s="146"/>
      <c r="M52" s="257" t="s">
        <v>173</v>
      </c>
      <c r="N52" s="173"/>
      <c r="O52" s="173"/>
      <c r="P52" s="173"/>
      <c r="Q52" s="173"/>
      <c r="R52" s="147"/>
      <c r="S52" s="147"/>
      <c r="T52" s="257" t="s">
        <v>45</v>
      </c>
      <c r="U52" s="173"/>
      <c r="V52" s="173"/>
      <c r="W52" s="147"/>
      <c r="X52" s="173"/>
      <c r="AA52" s="173"/>
      <c r="AB52" s="173"/>
    </row>
    <row r="53" spans="2:28" ht="29.25" customHeight="1">
      <c r="C53" s="242" t="s">
        <v>203</v>
      </c>
      <c r="D53" s="242"/>
      <c r="E53" s="242"/>
      <c r="F53" s="242"/>
      <c r="H53" s="421">
        <f>H42+H51</f>
        <v>1346160</v>
      </c>
      <c r="I53" s="427"/>
      <c r="J53" s="146"/>
      <c r="K53" s="146"/>
      <c r="L53" s="146"/>
      <c r="M53" s="148" t="s">
        <v>172</v>
      </c>
      <c r="N53" s="246"/>
      <c r="O53" s="246"/>
      <c r="P53" s="246"/>
      <c r="Q53" s="173"/>
      <c r="R53" s="147"/>
      <c r="S53" s="147"/>
      <c r="T53" s="148" t="s">
        <v>191</v>
      </c>
      <c r="U53" s="173"/>
      <c r="V53" s="173"/>
      <c r="W53" s="147"/>
      <c r="X53" s="173"/>
      <c r="AA53" s="173"/>
      <c r="AB53" s="173"/>
    </row>
    <row r="54" spans="2:28" ht="24.75" customHeight="1">
      <c r="C54" s="124"/>
      <c r="D54" s="242"/>
      <c r="E54" s="242"/>
      <c r="F54" s="242"/>
      <c r="H54" s="124"/>
      <c r="J54" s="146"/>
      <c r="K54" s="146"/>
      <c r="L54" s="146"/>
      <c r="M54" s="148"/>
      <c r="N54" s="173"/>
      <c r="O54" s="173"/>
      <c r="P54" s="173"/>
      <c r="Q54" s="173"/>
      <c r="R54" s="147"/>
      <c r="S54" s="147"/>
      <c r="T54" s="148"/>
      <c r="U54" s="173"/>
      <c r="V54" s="173"/>
      <c r="W54" s="147"/>
      <c r="X54" s="173"/>
      <c r="AA54" s="173"/>
      <c r="AB54" s="173"/>
    </row>
    <row r="55" spans="2:28" ht="21.75" customHeight="1">
      <c r="C55" s="242"/>
      <c r="D55" s="242"/>
      <c r="E55" s="242"/>
      <c r="F55" s="242"/>
      <c r="H55" s="430"/>
      <c r="I55" s="422"/>
      <c r="J55" s="146"/>
      <c r="K55" s="146"/>
      <c r="L55" s="146"/>
      <c r="M55" s="257" t="s">
        <v>169</v>
      </c>
      <c r="R55" s="147"/>
      <c r="S55" s="147"/>
      <c r="T55" s="257" t="s">
        <v>169</v>
      </c>
      <c r="U55" s="150"/>
      <c r="V55" s="150"/>
      <c r="W55" s="147"/>
      <c r="X55" s="173"/>
      <c r="AA55" s="150"/>
      <c r="AB55" s="150"/>
    </row>
    <row r="56" spans="2:28" ht="22.5" customHeight="1">
      <c r="C56" s="242" t="s">
        <v>175</v>
      </c>
      <c r="D56" s="242"/>
      <c r="E56" s="242"/>
      <c r="F56" s="242"/>
      <c r="H56" s="429">
        <f>ROUNDUP(H40+H53,0)</f>
        <v>-337840</v>
      </c>
      <c r="I56" s="429"/>
      <c r="J56" s="146"/>
      <c r="K56" s="146"/>
      <c r="L56" s="146"/>
      <c r="M56" s="148" t="s">
        <v>170</v>
      </c>
      <c r="N56" s="248"/>
      <c r="O56" s="248"/>
      <c r="P56" s="248"/>
      <c r="R56" s="147"/>
      <c r="S56" s="147"/>
      <c r="T56" s="148" t="s">
        <v>190</v>
      </c>
      <c r="U56" s="150"/>
      <c r="V56" s="150"/>
      <c r="W56" s="147"/>
      <c r="X56" s="173"/>
      <c r="AA56" s="150"/>
      <c r="AB56" s="150"/>
    </row>
    <row r="57" spans="2:28" ht="24.75" customHeight="1">
      <c r="C57" s="124"/>
      <c r="D57" s="124"/>
      <c r="E57" s="124"/>
      <c r="F57" s="124"/>
      <c r="H57" s="124"/>
      <c r="K57" s="146"/>
      <c r="L57" s="146"/>
      <c r="M57" s="148"/>
      <c r="N57" s="269"/>
      <c r="O57" s="269"/>
      <c r="R57" s="147"/>
      <c r="S57" s="147"/>
      <c r="T57" s="148"/>
      <c r="U57" s="150"/>
      <c r="V57" s="150"/>
      <c r="W57" s="147"/>
      <c r="X57" s="173"/>
      <c r="AA57" s="150"/>
      <c r="AB57" s="150"/>
    </row>
    <row r="58" spans="2:28" ht="28.5">
      <c r="B58" s="124"/>
      <c r="C58" s="124"/>
      <c r="D58" s="124"/>
      <c r="E58" s="124"/>
      <c r="G58" s="124"/>
      <c r="H58" s="124"/>
      <c r="K58" s="146"/>
      <c r="L58" s="173"/>
      <c r="N58" s="148"/>
      <c r="O58" s="173"/>
      <c r="P58" s="147"/>
      <c r="Q58" s="147"/>
      <c r="T58" s="148"/>
      <c r="U58" s="147"/>
      <c r="V58" s="173"/>
      <c r="X58" s="150"/>
      <c r="Z58" s="150"/>
    </row>
    <row r="59" spans="2:28" ht="28.5">
      <c r="B59" s="124"/>
      <c r="G59" s="124"/>
      <c r="H59" s="124"/>
      <c r="K59" s="153"/>
      <c r="L59" s="153"/>
      <c r="M59" s="257"/>
      <c r="N59" s="173"/>
      <c r="O59" s="173"/>
      <c r="P59" s="147"/>
      <c r="S59" s="257"/>
      <c r="T59" s="150"/>
      <c r="U59" s="150"/>
      <c r="Y59" s="150"/>
    </row>
    <row r="60" spans="2:28" ht="28.5">
      <c r="K60" s="154"/>
      <c r="L60" s="154"/>
      <c r="M60" s="148"/>
      <c r="N60" s="173"/>
      <c r="O60" s="173"/>
      <c r="P60" s="147"/>
      <c r="S60" s="148"/>
      <c r="T60" s="150"/>
      <c r="U60" s="150"/>
    </row>
    <row r="61" spans="2:28" ht="28.5">
      <c r="K61" s="155"/>
      <c r="L61" s="155"/>
      <c r="M61" s="247"/>
      <c r="N61" s="173"/>
      <c r="O61" s="173"/>
      <c r="P61" s="173"/>
      <c r="S61" s="150"/>
      <c r="T61" s="150"/>
    </row>
    <row r="62" spans="2:28" ht="28.5">
      <c r="K62" s="156"/>
      <c r="L62" s="156"/>
      <c r="N62" s="173"/>
      <c r="O62" s="173"/>
      <c r="P62" s="173"/>
      <c r="V62" s="150"/>
    </row>
    <row r="63" spans="2:28" ht="28.5">
      <c r="K63" s="156"/>
      <c r="L63" s="156"/>
      <c r="M63" s="156"/>
      <c r="O63" s="173"/>
      <c r="P63" s="173"/>
    </row>
    <row r="64" spans="2:28">
      <c r="K64" s="156"/>
      <c r="L64" s="156"/>
      <c r="M64" s="156"/>
    </row>
    <row r="65" spans="6:25">
      <c r="K65" s="156"/>
      <c r="L65" s="156"/>
      <c r="M65" s="156"/>
    </row>
    <row r="66" spans="6:25">
      <c r="K66" s="156"/>
      <c r="L66" s="156"/>
      <c r="M66" s="156"/>
    </row>
    <row r="67" spans="6:25">
      <c r="K67" s="156"/>
      <c r="L67" s="156"/>
      <c r="M67" s="156"/>
    </row>
    <row r="68" spans="6:25">
      <c r="K68" s="156"/>
      <c r="L68" s="156"/>
      <c r="M68" s="156"/>
      <c r="Y68" s="123"/>
    </row>
    <row r="69" spans="6:25" s="123" customFormat="1">
      <c r="I69" s="124"/>
      <c r="J69" s="124"/>
      <c r="K69" s="156"/>
      <c r="L69" s="156"/>
      <c r="M69" s="156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</row>
    <row r="70" spans="6:25">
      <c r="K70" s="156"/>
      <c r="L70" s="156"/>
      <c r="M70" s="156"/>
    </row>
    <row r="71" spans="6:25">
      <c r="K71" s="156"/>
      <c r="L71" s="156"/>
    </row>
    <row r="72" spans="6:25" ht="21">
      <c r="F72" s="243"/>
    </row>
    <row r="73" spans="6:25">
      <c r="F73" s="267"/>
    </row>
    <row r="74" spans="6:25">
      <c r="F74" s="267"/>
    </row>
    <row r="75" spans="6:25">
      <c r="F75" s="267"/>
    </row>
    <row r="76" spans="6:25">
      <c r="F76" s="267"/>
    </row>
    <row r="77" spans="6:25">
      <c r="F77" s="267"/>
    </row>
    <row r="78" spans="6:25">
      <c r="F78" s="267"/>
    </row>
    <row r="79" spans="6:25">
      <c r="F79" s="267"/>
    </row>
    <row r="80" spans="6:25" ht="28.5">
      <c r="F80" s="264"/>
    </row>
    <row r="81" spans="6:6" ht="28.5">
      <c r="F81" s="264"/>
    </row>
    <row r="82" spans="6:6" ht="28.5">
      <c r="F82" s="264"/>
    </row>
    <row r="83" spans="6:6" ht="28.5">
      <c r="F83" s="264"/>
    </row>
    <row r="86" spans="6:6">
      <c r="F86" s="124"/>
    </row>
    <row r="87" spans="6:6">
      <c r="F87" s="124"/>
    </row>
    <row r="88" spans="6:6">
      <c r="F88" s="124"/>
    </row>
  </sheetData>
  <mergeCells count="15">
    <mergeCell ref="B2:X2"/>
    <mergeCell ref="H49:I49"/>
    <mergeCell ref="H51:I51"/>
    <mergeCell ref="H40:I40"/>
    <mergeCell ref="H56:I56"/>
    <mergeCell ref="H46:I46"/>
    <mergeCell ref="H47:I47"/>
    <mergeCell ref="H48:I48"/>
    <mergeCell ref="H50:I50"/>
    <mergeCell ref="H53:I53"/>
    <mergeCell ref="H55:I55"/>
    <mergeCell ref="H41:I41"/>
    <mergeCell ref="H42:I42"/>
    <mergeCell ref="H44:I44"/>
    <mergeCell ref="H45:I45"/>
  </mergeCells>
  <printOptions horizontalCentered="1"/>
  <pageMargins left="0" right="0" top="0" bottom="0" header="0" footer="0"/>
  <pageSetup scale="37" orientation="landscape" horizontalDpi="360" verticalDpi="36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>
    <tabColor rgb="FFFFFF00"/>
    <pageSetUpPr fitToPage="1"/>
  </sheetPr>
  <dimension ref="B1:AI76"/>
  <sheetViews>
    <sheetView showGridLines="0" tabSelected="1" view="pageBreakPreview" zoomScale="70" zoomScaleNormal="90" zoomScaleSheetLayoutView="70" workbookViewId="0">
      <pane ySplit="3" topLeftCell="A25" activePane="bottomLeft" state="frozen"/>
      <selection activeCell="I7" sqref="I7"/>
      <selection pane="bottomLeft" activeCell="G28" sqref="G28"/>
    </sheetView>
  </sheetViews>
  <sheetFormatPr defaultRowHeight="15"/>
  <cols>
    <col min="1" max="1" width="1" style="124" customWidth="1"/>
    <col min="2" max="2" width="12.28515625" style="123" bestFit="1" customWidth="1"/>
    <col min="3" max="5" width="12.28515625" style="123" customWidth="1"/>
    <col min="6" max="6" width="14.140625" style="123" customWidth="1"/>
    <col min="7" max="7" width="14.42578125" style="123" bestFit="1" customWidth="1"/>
    <col min="8" max="8" width="20.5703125" style="123" customWidth="1"/>
    <col min="9" max="9" width="13.5703125" style="124" hidden="1" customWidth="1"/>
    <col min="10" max="10" width="15.28515625" style="124" customWidth="1"/>
    <col min="11" max="11" width="15.42578125" style="124" customWidth="1"/>
    <col min="12" max="14" width="17.42578125" style="124" customWidth="1"/>
    <col min="15" max="15" width="13.5703125" style="124" bestFit="1" customWidth="1"/>
    <col min="16" max="16" width="14.140625" style="124" bestFit="1" customWidth="1"/>
    <col min="17" max="19" width="19" style="124" customWidth="1"/>
    <col min="20" max="20" width="18.42578125" style="124" customWidth="1"/>
    <col min="21" max="21" width="13.85546875" style="124" customWidth="1"/>
    <col min="22" max="23" width="13.7109375" style="124" customWidth="1"/>
    <col min="24" max="24" width="24.140625" style="124" bestFit="1" customWidth="1"/>
    <col min="25" max="25" width="1.5703125" style="124" customWidth="1"/>
    <col min="26" max="26" width="9.140625" style="124" hidden="1" customWidth="1"/>
    <col min="27" max="27" width="8.85546875" style="124" hidden="1" customWidth="1"/>
    <col min="28" max="28" width="10.140625" style="124" hidden="1" customWidth="1"/>
    <col min="29" max="29" width="12.140625" style="124" hidden="1" customWidth="1"/>
    <col min="30" max="30" width="9.140625" style="124" hidden="1" customWidth="1"/>
    <col min="31" max="31" width="9.28515625" style="124" hidden="1" customWidth="1"/>
    <col min="32" max="32" width="11" style="124" hidden="1" customWidth="1"/>
    <col min="33" max="33" width="7.140625" style="124" hidden="1" customWidth="1"/>
    <col min="34" max="34" width="10.42578125" style="124" hidden="1" customWidth="1"/>
    <col min="35" max="35" width="10.5703125" style="124" hidden="1" customWidth="1"/>
    <col min="36" max="16384" width="9.140625" style="124"/>
  </cols>
  <sheetData>
    <row r="1" spans="2:34" ht="24.75" customHeight="1" thickBot="1"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</row>
    <row r="2" spans="2:34" ht="28.5" customHeight="1" thickBot="1">
      <c r="B2" s="414" t="s">
        <v>237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415"/>
      <c r="X2" s="416"/>
    </row>
    <row r="3" spans="2:34" ht="60.75" thickBot="1">
      <c r="B3" s="125" t="s">
        <v>94</v>
      </c>
      <c r="C3" s="126" t="s">
        <v>121</v>
      </c>
      <c r="D3" s="126" t="s">
        <v>185</v>
      </c>
      <c r="E3" s="126" t="s">
        <v>187</v>
      </c>
      <c r="F3" s="126" t="s">
        <v>188</v>
      </c>
      <c r="G3" s="126" t="s">
        <v>186</v>
      </c>
      <c r="H3" s="126" t="s">
        <v>163</v>
      </c>
      <c r="I3" s="127" t="s">
        <v>111</v>
      </c>
      <c r="J3" s="127" t="s">
        <v>217</v>
      </c>
      <c r="K3" s="127" t="s">
        <v>221</v>
      </c>
      <c r="L3" s="127" t="s">
        <v>180</v>
      </c>
      <c r="M3" s="127" t="s">
        <v>181</v>
      </c>
      <c r="N3" s="127" t="s">
        <v>182</v>
      </c>
      <c r="O3" s="128">
        <v>-0.5</v>
      </c>
      <c r="P3" s="157">
        <f>-100%-O3</f>
        <v>-0.5</v>
      </c>
      <c r="Q3" s="127" t="s">
        <v>141</v>
      </c>
      <c r="R3" s="127" t="s">
        <v>142</v>
      </c>
      <c r="S3" s="127" t="s">
        <v>208</v>
      </c>
      <c r="T3" s="127" t="s">
        <v>125</v>
      </c>
      <c r="U3" s="206" t="s">
        <v>143</v>
      </c>
      <c r="V3" s="127" t="s">
        <v>97</v>
      </c>
      <c r="W3" s="127" t="s">
        <v>144</v>
      </c>
      <c r="X3" s="129" t="s">
        <v>96</v>
      </c>
      <c r="AA3" s="130" t="s">
        <v>106</v>
      </c>
      <c r="AB3" s="130" t="s">
        <v>95</v>
      </c>
      <c r="AC3" s="130" t="s">
        <v>107</v>
      </c>
      <c r="AD3" s="131" t="s">
        <v>108</v>
      </c>
      <c r="AE3" s="131" t="s">
        <v>109</v>
      </c>
      <c r="AF3" s="130" t="s">
        <v>147</v>
      </c>
      <c r="AG3" s="130" t="s">
        <v>110</v>
      </c>
      <c r="AH3" s="130" t="s">
        <v>120</v>
      </c>
    </row>
    <row r="4" spans="2:34" ht="26.25" customHeight="1">
      <c r="B4" s="132">
        <v>44593</v>
      </c>
      <c r="C4" s="240">
        <v>-120500</v>
      </c>
      <c r="D4" s="240">
        <v>0</v>
      </c>
      <c r="E4" s="240">
        <v>0</v>
      </c>
      <c r="F4" s="240">
        <v>60000</v>
      </c>
      <c r="G4" s="240">
        <v>-60000</v>
      </c>
      <c r="H4" s="292">
        <f>SUM(F4:G4)+C4</f>
        <v>-120500</v>
      </c>
      <c r="I4" s="133">
        <v>0</v>
      </c>
      <c r="J4" s="137">
        <f t="shared" ref="J4:J9" si="0">SUM(D4:E4)</f>
        <v>0</v>
      </c>
      <c r="K4" s="133">
        <v>0</v>
      </c>
      <c r="L4" s="256">
        <f t="shared" ref="L4:L9" si="1">-F4-G4-I4-K4+E4</f>
        <v>0</v>
      </c>
      <c r="M4" s="133">
        <v>0</v>
      </c>
      <c r="N4" s="256">
        <f>L4+M4</f>
        <v>0</v>
      </c>
      <c r="O4" s="321">
        <f>N4*$O$3</f>
        <v>0</v>
      </c>
      <c r="P4" s="321">
        <f>N4*$P$3</f>
        <v>0</v>
      </c>
      <c r="Q4" s="134">
        <v>36600</v>
      </c>
      <c r="R4" s="210">
        <f>Q4-S4</f>
        <v>36600</v>
      </c>
      <c r="S4" s="134">
        <v>0</v>
      </c>
      <c r="T4" s="159">
        <f>S4*1.7%</f>
        <v>0</v>
      </c>
      <c r="U4" s="158">
        <f>R4*1.7%</f>
        <v>622.20000000000005</v>
      </c>
      <c r="V4" s="158">
        <f>SUM(T4:U4)</f>
        <v>622.20000000000005</v>
      </c>
      <c r="W4" s="293">
        <f>V4*50%</f>
        <v>311.10000000000002</v>
      </c>
      <c r="X4" s="286">
        <f>O4+W4-T4</f>
        <v>311.10000000000002</v>
      </c>
      <c r="AA4" s="164">
        <f>H4</f>
        <v>-120500</v>
      </c>
      <c r="AB4" s="165">
        <f>I4+K4</f>
        <v>0</v>
      </c>
      <c r="AC4" s="165">
        <f>R4</f>
        <v>36600</v>
      </c>
      <c r="AD4" s="165">
        <f>W4</f>
        <v>311.10000000000002</v>
      </c>
      <c r="AE4" s="165">
        <f>N4</f>
        <v>0</v>
      </c>
      <c r="AF4" s="165">
        <f>S4</f>
        <v>0</v>
      </c>
      <c r="AG4" s="165"/>
      <c r="AH4" s="213">
        <f>C4</f>
        <v>-120500</v>
      </c>
    </row>
    <row r="5" spans="2:34" ht="26.25" customHeight="1">
      <c r="B5" s="166">
        <f>B4+1</f>
        <v>44594</v>
      </c>
      <c r="C5" s="221">
        <v>120500</v>
      </c>
      <c r="D5" s="221">
        <v>0</v>
      </c>
      <c r="E5" s="221">
        <v>0</v>
      </c>
      <c r="F5" s="291">
        <v>0</v>
      </c>
      <c r="G5" s="291">
        <v>0</v>
      </c>
      <c r="H5" s="292">
        <f>SUM(F5:G5)+C5</f>
        <v>120500</v>
      </c>
      <c r="I5" s="136">
        <v>0</v>
      </c>
      <c r="J5" s="137">
        <f t="shared" si="0"/>
        <v>0</v>
      </c>
      <c r="K5" s="136">
        <v>0</v>
      </c>
      <c r="L5" s="256">
        <f t="shared" si="1"/>
        <v>0</v>
      </c>
      <c r="M5" s="136">
        <v>-2000</v>
      </c>
      <c r="N5" s="256">
        <f>L5+M5</f>
        <v>-2000</v>
      </c>
      <c r="O5" s="323">
        <f t="shared" ref="O5:O34" si="2">N5*$O$3</f>
        <v>1000</v>
      </c>
      <c r="P5" s="323">
        <f t="shared" ref="P5:P34" si="3">N5*$P$3</f>
        <v>1000</v>
      </c>
      <c r="Q5" s="135">
        <v>0</v>
      </c>
      <c r="R5" s="211">
        <f>Q5-S5</f>
        <v>0</v>
      </c>
      <c r="S5" s="135">
        <v>0</v>
      </c>
      <c r="T5" s="159">
        <f>S5*1.7%</f>
        <v>0</v>
      </c>
      <c r="U5" s="159">
        <f>R5*1.7%</f>
        <v>0</v>
      </c>
      <c r="V5" s="159">
        <f>SUM(T5:U5)</f>
        <v>0</v>
      </c>
      <c r="W5" s="294">
        <f>V5*50%</f>
        <v>0</v>
      </c>
      <c r="X5" s="162">
        <f>O5+W5-T5</f>
        <v>1000</v>
      </c>
      <c r="AA5" s="164">
        <f t="shared" ref="AA5:AA34" si="4">AA4+H5</f>
        <v>0</v>
      </c>
      <c r="AB5" s="165">
        <f t="shared" ref="AB5:AB34" si="5">AB4+I5+K5</f>
        <v>0</v>
      </c>
      <c r="AC5" s="165">
        <f t="shared" ref="AC5:AC34" si="6">R5+AC4</f>
        <v>36600</v>
      </c>
      <c r="AD5" s="165">
        <f>W5+AD4</f>
        <v>311.10000000000002</v>
      </c>
      <c r="AE5" s="165">
        <f t="shared" ref="AE5:AE34" si="7">AE4+N5</f>
        <v>-2000</v>
      </c>
      <c r="AF5" s="165">
        <f t="shared" ref="AF5:AF34" si="8">S5+AF4</f>
        <v>0</v>
      </c>
      <c r="AG5" s="165"/>
      <c r="AH5" s="230">
        <f t="shared" ref="AH5:AH34" si="9">C5+AH4</f>
        <v>0</v>
      </c>
    </row>
    <row r="6" spans="2:34" ht="26.25" customHeight="1">
      <c r="B6" s="166">
        <f t="shared" ref="B6:B34" si="10">B5+1</f>
        <v>44595</v>
      </c>
      <c r="C6" s="221">
        <v>0</v>
      </c>
      <c r="D6" s="221">
        <v>0</v>
      </c>
      <c r="E6" s="221">
        <v>0</v>
      </c>
      <c r="F6" s="291">
        <v>0</v>
      </c>
      <c r="G6" s="291">
        <v>0</v>
      </c>
      <c r="H6" s="292">
        <f>SUM(C6:G6)</f>
        <v>0</v>
      </c>
      <c r="I6" s="136">
        <v>0</v>
      </c>
      <c r="J6" s="137">
        <f t="shared" si="0"/>
        <v>0</v>
      </c>
      <c r="K6" s="136">
        <v>0</v>
      </c>
      <c r="L6" s="256">
        <f t="shared" si="1"/>
        <v>0</v>
      </c>
      <c r="M6" s="136">
        <v>-29000</v>
      </c>
      <c r="N6" s="256">
        <f t="shared" ref="N6:N34" si="11">L6+M6</f>
        <v>-29000</v>
      </c>
      <c r="O6" s="323">
        <f t="shared" si="2"/>
        <v>14500</v>
      </c>
      <c r="P6" s="323">
        <f t="shared" si="3"/>
        <v>14500</v>
      </c>
      <c r="Q6" s="135">
        <v>0</v>
      </c>
      <c r="R6" s="211">
        <f>Q6-S6</f>
        <v>0</v>
      </c>
      <c r="S6" s="135">
        <v>0</v>
      </c>
      <c r="T6" s="159">
        <f t="shared" ref="T6:T34" si="12">S6*1.7%</f>
        <v>0</v>
      </c>
      <c r="U6" s="159">
        <f t="shared" ref="U6:U34" si="13">R6*1.7%</f>
        <v>0</v>
      </c>
      <c r="V6" s="159">
        <f t="shared" ref="V6:V34" si="14">SUM(T6:U6)</f>
        <v>0</v>
      </c>
      <c r="W6" s="294">
        <f t="shared" ref="W6:W34" si="15">V6*50%</f>
        <v>0</v>
      </c>
      <c r="X6" s="162">
        <f t="shared" ref="X6:X34" si="16">O6+W6-T6</f>
        <v>14500</v>
      </c>
      <c r="AA6" s="164">
        <f t="shared" si="4"/>
        <v>0</v>
      </c>
      <c r="AB6" s="165">
        <f t="shared" si="5"/>
        <v>0</v>
      </c>
      <c r="AC6" s="165">
        <f t="shared" si="6"/>
        <v>36600</v>
      </c>
      <c r="AD6" s="165">
        <f t="shared" ref="AD6:AD34" si="17">W6+AD5</f>
        <v>311.10000000000002</v>
      </c>
      <c r="AE6" s="165">
        <f t="shared" si="7"/>
        <v>-31000</v>
      </c>
      <c r="AF6" s="165">
        <f t="shared" si="8"/>
        <v>0</v>
      </c>
      <c r="AG6" s="165"/>
      <c r="AH6" s="230">
        <f t="shared" si="9"/>
        <v>0</v>
      </c>
    </row>
    <row r="7" spans="2:34" ht="26.25" customHeight="1">
      <c r="B7" s="166">
        <f t="shared" si="10"/>
        <v>44596</v>
      </c>
      <c r="C7" s="221">
        <v>0</v>
      </c>
      <c r="D7" s="221">
        <v>0</v>
      </c>
      <c r="E7" s="221">
        <v>0</v>
      </c>
      <c r="F7" s="291">
        <v>0</v>
      </c>
      <c r="G7" s="291">
        <v>0</v>
      </c>
      <c r="H7" s="292">
        <f t="shared" ref="H7:H34" si="18">SUM(C7:G7)</f>
        <v>0</v>
      </c>
      <c r="I7" s="136">
        <v>0</v>
      </c>
      <c r="J7" s="137">
        <f t="shared" si="0"/>
        <v>0</v>
      </c>
      <c r="K7" s="136">
        <v>0</v>
      </c>
      <c r="L7" s="256">
        <f t="shared" si="1"/>
        <v>0</v>
      </c>
      <c r="M7" s="383">
        <v>0</v>
      </c>
      <c r="N7" s="256">
        <f t="shared" si="11"/>
        <v>0</v>
      </c>
      <c r="O7" s="323">
        <f t="shared" si="2"/>
        <v>0</v>
      </c>
      <c r="P7" s="323">
        <f t="shared" si="3"/>
        <v>0</v>
      </c>
      <c r="Q7" s="382">
        <v>0</v>
      </c>
      <c r="R7" s="211">
        <f t="shared" ref="R7:R33" si="19">Q7-S7</f>
        <v>0</v>
      </c>
      <c r="S7" s="135">
        <v>0</v>
      </c>
      <c r="T7" s="159">
        <f t="shared" si="12"/>
        <v>0</v>
      </c>
      <c r="U7" s="159">
        <f t="shared" si="13"/>
        <v>0</v>
      </c>
      <c r="V7" s="159">
        <f t="shared" si="14"/>
        <v>0</v>
      </c>
      <c r="W7" s="294">
        <f t="shared" si="15"/>
        <v>0</v>
      </c>
      <c r="X7" s="162">
        <f t="shared" si="16"/>
        <v>0</v>
      </c>
      <c r="AA7" s="164">
        <f t="shared" si="4"/>
        <v>0</v>
      </c>
      <c r="AB7" s="165">
        <f t="shared" si="5"/>
        <v>0</v>
      </c>
      <c r="AC7" s="165">
        <f t="shared" si="6"/>
        <v>36600</v>
      </c>
      <c r="AD7" s="165">
        <f t="shared" si="17"/>
        <v>311.10000000000002</v>
      </c>
      <c r="AE7" s="165">
        <f t="shared" si="7"/>
        <v>-31000</v>
      </c>
      <c r="AF7" s="165">
        <f t="shared" si="8"/>
        <v>0</v>
      </c>
      <c r="AG7" s="165"/>
      <c r="AH7" s="230">
        <f t="shared" si="9"/>
        <v>0</v>
      </c>
    </row>
    <row r="8" spans="2:34" ht="26.25" customHeight="1">
      <c r="B8" s="166">
        <f t="shared" si="10"/>
        <v>44597</v>
      </c>
      <c r="C8" s="221">
        <v>0</v>
      </c>
      <c r="D8" s="221">
        <v>0</v>
      </c>
      <c r="E8" s="221">
        <v>0</v>
      </c>
      <c r="F8" s="291">
        <v>0</v>
      </c>
      <c r="G8" s="291">
        <v>0</v>
      </c>
      <c r="H8" s="292">
        <f t="shared" si="18"/>
        <v>0</v>
      </c>
      <c r="I8" s="137">
        <v>0</v>
      </c>
      <c r="J8" s="137">
        <f t="shared" si="0"/>
        <v>0</v>
      </c>
      <c r="K8" s="136">
        <v>0</v>
      </c>
      <c r="L8" s="256">
        <f t="shared" si="1"/>
        <v>0</v>
      </c>
      <c r="M8" s="136">
        <v>-55000</v>
      </c>
      <c r="N8" s="256">
        <f t="shared" si="11"/>
        <v>-55000</v>
      </c>
      <c r="O8" s="323">
        <f t="shared" si="2"/>
        <v>27500</v>
      </c>
      <c r="P8" s="323">
        <f t="shared" si="3"/>
        <v>27500</v>
      </c>
      <c r="Q8" s="135">
        <v>237750</v>
      </c>
      <c r="R8" s="211">
        <f t="shared" si="19"/>
        <v>30000</v>
      </c>
      <c r="S8" s="135">
        <v>207750</v>
      </c>
      <c r="T8" s="159">
        <f t="shared" si="12"/>
        <v>3531.7500000000005</v>
      </c>
      <c r="U8" s="159">
        <f t="shared" si="13"/>
        <v>510.00000000000006</v>
      </c>
      <c r="V8" s="159">
        <f t="shared" si="14"/>
        <v>4041.7500000000005</v>
      </c>
      <c r="W8" s="294">
        <f t="shared" si="15"/>
        <v>2020.8750000000002</v>
      </c>
      <c r="X8" s="162">
        <f t="shared" si="16"/>
        <v>25989.125</v>
      </c>
      <c r="AA8" s="164">
        <f t="shared" si="4"/>
        <v>0</v>
      </c>
      <c r="AB8" s="165">
        <f t="shared" si="5"/>
        <v>0</v>
      </c>
      <c r="AC8" s="165">
        <f t="shared" si="6"/>
        <v>66600</v>
      </c>
      <c r="AD8" s="165">
        <f t="shared" si="17"/>
        <v>2331.9750000000004</v>
      </c>
      <c r="AE8" s="165">
        <f t="shared" si="7"/>
        <v>-86000</v>
      </c>
      <c r="AF8" s="165">
        <f t="shared" si="8"/>
        <v>207750</v>
      </c>
      <c r="AG8" s="165"/>
      <c r="AH8" s="230">
        <f t="shared" si="9"/>
        <v>0</v>
      </c>
    </row>
    <row r="9" spans="2:34" ht="26.25" customHeight="1">
      <c r="B9" s="166">
        <f t="shared" si="10"/>
        <v>44598</v>
      </c>
      <c r="C9" s="221">
        <v>0</v>
      </c>
      <c r="D9" s="221">
        <v>0</v>
      </c>
      <c r="E9" s="221">
        <v>0</v>
      </c>
      <c r="F9" s="291">
        <v>0</v>
      </c>
      <c r="G9" s="291">
        <v>0</v>
      </c>
      <c r="H9" s="292">
        <f t="shared" si="18"/>
        <v>0</v>
      </c>
      <c r="I9" s="137">
        <v>0</v>
      </c>
      <c r="J9" s="137">
        <f t="shared" si="0"/>
        <v>0</v>
      </c>
      <c r="K9" s="136">
        <v>0</v>
      </c>
      <c r="L9" s="256">
        <f t="shared" si="1"/>
        <v>0</v>
      </c>
      <c r="M9" s="136">
        <v>0</v>
      </c>
      <c r="N9" s="256">
        <f t="shared" si="11"/>
        <v>0</v>
      </c>
      <c r="O9" s="323">
        <f t="shared" si="2"/>
        <v>0</v>
      </c>
      <c r="P9" s="323">
        <f t="shared" si="3"/>
        <v>0</v>
      </c>
      <c r="Q9" s="135">
        <v>0</v>
      </c>
      <c r="R9" s="211">
        <f t="shared" si="19"/>
        <v>0</v>
      </c>
      <c r="S9" s="135">
        <v>0</v>
      </c>
      <c r="T9" s="159">
        <f t="shared" si="12"/>
        <v>0</v>
      </c>
      <c r="U9" s="159">
        <f t="shared" si="13"/>
        <v>0</v>
      </c>
      <c r="V9" s="159">
        <f t="shared" si="14"/>
        <v>0</v>
      </c>
      <c r="W9" s="294">
        <f t="shared" si="15"/>
        <v>0</v>
      </c>
      <c r="X9" s="162">
        <f t="shared" si="16"/>
        <v>0</v>
      </c>
      <c r="AA9" s="164">
        <f t="shared" si="4"/>
        <v>0</v>
      </c>
      <c r="AB9" s="165">
        <f t="shared" si="5"/>
        <v>0</v>
      </c>
      <c r="AC9" s="165">
        <f t="shared" si="6"/>
        <v>66600</v>
      </c>
      <c r="AD9" s="165">
        <f t="shared" si="17"/>
        <v>2331.9750000000004</v>
      </c>
      <c r="AE9" s="165">
        <f t="shared" si="7"/>
        <v>-86000</v>
      </c>
      <c r="AF9" s="165">
        <f t="shared" si="8"/>
        <v>207750</v>
      </c>
      <c r="AG9" s="165"/>
      <c r="AH9" s="230">
        <f t="shared" si="9"/>
        <v>0</v>
      </c>
    </row>
    <row r="10" spans="2:34" ht="26.25" customHeight="1">
      <c r="B10" s="166">
        <f t="shared" si="10"/>
        <v>44599</v>
      </c>
      <c r="C10" s="221">
        <v>0</v>
      </c>
      <c r="D10" s="221">
        <v>0</v>
      </c>
      <c r="E10" s="221">
        <v>0</v>
      </c>
      <c r="F10" s="291">
        <v>0</v>
      </c>
      <c r="G10" s="291">
        <v>0</v>
      </c>
      <c r="H10" s="292">
        <f t="shared" si="18"/>
        <v>0</v>
      </c>
      <c r="I10" s="137">
        <v>0</v>
      </c>
      <c r="J10" s="137">
        <f t="shared" ref="J10:J35" si="20">SUM(D10:E10)</f>
        <v>0</v>
      </c>
      <c r="K10" s="136">
        <v>0</v>
      </c>
      <c r="L10" s="256">
        <f>-F10-G10-I10-K10+E10</f>
        <v>0</v>
      </c>
      <c r="M10" s="136">
        <v>0</v>
      </c>
      <c r="N10" s="335">
        <f t="shared" si="11"/>
        <v>0</v>
      </c>
      <c r="O10" s="336">
        <f t="shared" si="2"/>
        <v>0</v>
      </c>
      <c r="P10" s="323">
        <f t="shared" si="3"/>
        <v>0</v>
      </c>
      <c r="Q10" s="135">
        <v>0</v>
      </c>
      <c r="R10" s="211">
        <f t="shared" si="19"/>
        <v>0</v>
      </c>
      <c r="S10" s="135">
        <v>0</v>
      </c>
      <c r="T10" s="159">
        <f t="shared" si="12"/>
        <v>0</v>
      </c>
      <c r="U10" s="159">
        <f t="shared" si="13"/>
        <v>0</v>
      </c>
      <c r="V10" s="159">
        <f t="shared" si="14"/>
        <v>0</v>
      </c>
      <c r="W10" s="294">
        <f t="shared" si="15"/>
        <v>0</v>
      </c>
      <c r="X10" s="162">
        <f t="shared" si="16"/>
        <v>0</v>
      </c>
      <c r="AA10" s="164">
        <f t="shared" si="4"/>
        <v>0</v>
      </c>
      <c r="AB10" s="165">
        <f t="shared" si="5"/>
        <v>0</v>
      </c>
      <c r="AC10" s="165">
        <f t="shared" si="6"/>
        <v>66600</v>
      </c>
      <c r="AD10" s="165">
        <f t="shared" si="17"/>
        <v>2331.9750000000004</v>
      </c>
      <c r="AE10" s="165">
        <f t="shared" si="7"/>
        <v>-86000</v>
      </c>
      <c r="AF10" s="165">
        <f t="shared" si="8"/>
        <v>207750</v>
      </c>
      <c r="AG10" s="165"/>
      <c r="AH10" s="230">
        <f>C10+AH9</f>
        <v>0</v>
      </c>
    </row>
    <row r="11" spans="2:34" ht="26.25" customHeight="1">
      <c r="B11" s="166">
        <f t="shared" si="10"/>
        <v>44600</v>
      </c>
      <c r="C11" s="221">
        <v>0</v>
      </c>
      <c r="D11" s="221">
        <v>0</v>
      </c>
      <c r="E11" s="221">
        <v>0</v>
      </c>
      <c r="F11" s="291">
        <v>0</v>
      </c>
      <c r="G11" s="291">
        <v>0</v>
      </c>
      <c r="H11" s="292">
        <f t="shared" si="18"/>
        <v>0</v>
      </c>
      <c r="I11" s="137">
        <v>0</v>
      </c>
      <c r="J11" s="137">
        <f t="shared" si="20"/>
        <v>0</v>
      </c>
      <c r="K11" s="136">
        <v>0</v>
      </c>
      <c r="L11" s="256">
        <f t="shared" ref="L11:L34" si="21">-F11-G11-I11-K11+E11</f>
        <v>0</v>
      </c>
      <c r="M11" s="136">
        <v>-1600</v>
      </c>
      <c r="N11" s="256">
        <f t="shared" si="11"/>
        <v>-1600</v>
      </c>
      <c r="O11" s="323">
        <f t="shared" si="2"/>
        <v>800</v>
      </c>
      <c r="P11" s="323">
        <f t="shared" si="3"/>
        <v>800</v>
      </c>
      <c r="Q11" s="135">
        <v>5900</v>
      </c>
      <c r="R11" s="211">
        <f t="shared" si="19"/>
        <v>5900</v>
      </c>
      <c r="S11" s="135">
        <v>0</v>
      </c>
      <c r="T11" s="159">
        <f t="shared" si="12"/>
        <v>0</v>
      </c>
      <c r="U11" s="159">
        <f t="shared" si="13"/>
        <v>100.30000000000001</v>
      </c>
      <c r="V11" s="159">
        <f t="shared" si="14"/>
        <v>100.30000000000001</v>
      </c>
      <c r="W11" s="294">
        <f t="shared" si="15"/>
        <v>50.150000000000006</v>
      </c>
      <c r="X11" s="162">
        <f t="shared" si="16"/>
        <v>850.15</v>
      </c>
      <c r="AA11" s="164">
        <f t="shared" si="4"/>
        <v>0</v>
      </c>
      <c r="AB11" s="165">
        <f t="shared" si="5"/>
        <v>0</v>
      </c>
      <c r="AC11" s="165">
        <f t="shared" si="6"/>
        <v>72500</v>
      </c>
      <c r="AD11" s="165">
        <f t="shared" si="17"/>
        <v>2382.1250000000005</v>
      </c>
      <c r="AE11" s="165">
        <f t="shared" si="7"/>
        <v>-87600</v>
      </c>
      <c r="AF11" s="165">
        <f t="shared" si="8"/>
        <v>207750</v>
      </c>
      <c r="AG11" s="165"/>
      <c r="AH11" s="230">
        <f t="shared" si="9"/>
        <v>0</v>
      </c>
    </row>
    <row r="12" spans="2:34" ht="26.25" customHeight="1">
      <c r="B12" s="166">
        <f t="shared" si="10"/>
        <v>44601</v>
      </c>
      <c r="C12" s="221">
        <v>0</v>
      </c>
      <c r="D12" s="221">
        <v>0</v>
      </c>
      <c r="E12" s="221">
        <v>0</v>
      </c>
      <c r="F12" s="221">
        <v>50000</v>
      </c>
      <c r="G12" s="221">
        <v>-50000</v>
      </c>
      <c r="H12" s="292">
        <f t="shared" si="18"/>
        <v>0</v>
      </c>
      <c r="I12" s="137">
        <v>0</v>
      </c>
      <c r="J12" s="137">
        <f t="shared" si="20"/>
        <v>0</v>
      </c>
      <c r="K12" s="137">
        <v>0</v>
      </c>
      <c r="L12" s="256">
        <f t="shared" si="21"/>
        <v>0</v>
      </c>
      <c r="M12" s="136">
        <v>7250</v>
      </c>
      <c r="N12" s="256">
        <f t="shared" si="11"/>
        <v>7250</v>
      </c>
      <c r="O12" s="323">
        <f t="shared" si="2"/>
        <v>-3625</v>
      </c>
      <c r="P12" s="323">
        <f t="shared" si="3"/>
        <v>-3625</v>
      </c>
      <c r="Q12" s="135">
        <v>80225</v>
      </c>
      <c r="R12" s="211">
        <f t="shared" si="19"/>
        <v>-50675</v>
      </c>
      <c r="S12" s="135">
        <v>130900</v>
      </c>
      <c r="T12" s="159">
        <f t="shared" si="12"/>
        <v>2225.3000000000002</v>
      </c>
      <c r="U12" s="159">
        <f t="shared" si="13"/>
        <v>-861.47500000000002</v>
      </c>
      <c r="V12" s="159">
        <f t="shared" si="14"/>
        <v>1363.8250000000003</v>
      </c>
      <c r="W12" s="294">
        <f t="shared" si="15"/>
        <v>681.91250000000014</v>
      </c>
      <c r="X12" s="162">
        <f t="shared" si="16"/>
        <v>-5168.3874999999998</v>
      </c>
      <c r="AA12" s="164">
        <f t="shared" si="4"/>
        <v>0</v>
      </c>
      <c r="AB12" s="165">
        <f t="shared" si="5"/>
        <v>0</v>
      </c>
      <c r="AC12" s="165">
        <f t="shared" si="6"/>
        <v>21825</v>
      </c>
      <c r="AD12" s="165">
        <f t="shared" si="17"/>
        <v>3064.0375000000004</v>
      </c>
      <c r="AE12" s="165">
        <f t="shared" si="7"/>
        <v>-80350</v>
      </c>
      <c r="AF12" s="165">
        <f t="shared" si="8"/>
        <v>338650</v>
      </c>
      <c r="AG12" s="165"/>
      <c r="AH12" s="230">
        <f t="shared" si="9"/>
        <v>0</v>
      </c>
    </row>
    <row r="13" spans="2:34" ht="26.25" customHeight="1">
      <c r="B13" s="166">
        <f t="shared" si="10"/>
        <v>44602</v>
      </c>
      <c r="C13" s="221">
        <v>0</v>
      </c>
      <c r="D13" s="221">
        <v>0</v>
      </c>
      <c r="E13" s="221">
        <v>0</v>
      </c>
      <c r="F13" s="221">
        <v>0</v>
      </c>
      <c r="G13" s="221">
        <v>0</v>
      </c>
      <c r="H13" s="292">
        <f t="shared" si="18"/>
        <v>0</v>
      </c>
      <c r="I13" s="137">
        <v>0</v>
      </c>
      <c r="J13" s="137">
        <f t="shared" si="20"/>
        <v>0</v>
      </c>
      <c r="K13" s="137">
        <v>0</v>
      </c>
      <c r="L13" s="256">
        <f t="shared" si="21"/>
        <v>0</v>
      </c>
      <c r="M13" s="136">
        <v>3103</v>
      </c>
      <c r="N13" s="256">
        <f t="shared" si="11"/>
        <v>3103</v>
      </c>
      <c r="O13" s="323">
        <f t="shared" si="2"/>
        <v>-1551.5</v>
      </c>
      <c r="P13" s="323">
        <f t="shared" si="3"/>
        <v>-1551.5</v>
      </c>
      <c r="Q13" s="135">
        <v>16059.5</v>
      </c>
      <c r="R13" s="211">
        <f t="shared" si="19"/>
        <v>16059.5</v>
      </c>
      <c r="S13" s="135">
        <v>0</v>
      </c>
      <c r="T13" s="159">
        <f t="shared" si="12"/>
        <v>0</v>
      </c>
      <c r="U13" s="159">
        <f t="shared" si="13"/>
        <v>273.01150000000001</v>
      </c>
      <c r="V13" s="159">
        <f t="shared" si="14"/>
        <v>273.01150000000001</v>
      </c>
      <c r="W13" s="294">
        <f t="shared" si="15"/>
        <v>136.50575000000001</v>
      </c>
      <c r="X13" s="162">
        <f t="shared" si="16"/>
        <v>-1414.99425</v>
      </c>
      <c r="AA13" s="164">
        <f t="shared" si="4"/>
        <v>0</v>
      </c>
      <c r="AB13" s="165">
        <f t="shared" si="5"/>
        <v>0</v>
      </c>
      <c r="AC13" s="165">
        <f>R13+AC12</f>
        <v>37884.5</v>
      </c>
      <c r="AD13" s="165">
        <f t="shared" si="17"/>
        <v>3200.5432500000002</v>
      </c>
      <c r="AE13" s="165">
        <f t="shared" si="7"/>
        <v>-77247</v>
      </c>
      <c r="AF13" s="165">
        <f t="shared" si="8"/>
        <v>338650</v>
      </c>
      <c r="AG13" s="165"/>
      <c r="AH13" s="230">
        <f t="shared" si="9"/>
        <v>0</v>
      </c>
    </row>
    <row r="14" spans="2:34" ht="26.25" customHeight="1">
      <c r="B14" s="166">
        <f t="shared" si="10"/>
        <v>44603</v>
      </c>
      <c r="C14" s="221">
        <v>0</v>
      </c>
      <c r="D14" s="221">
        <v>0</v>
      </c>
      <c r="E14" s="221">
        <v>0</v>
      </c>
      <c r="F14" s="221">
        <v>100000</v>
      </c>
      <c r="G14" s="221">
        <v>-100000</v>
      </c>
      <c r="H14" s="292">
        <f t="shared" si="18"/>
        <v>0</v>
      </c>
      <c r="I14" s="137">
        <v>0</v>
      </c>
      <c r="J14" s="137">
        <f t="shared" si="20"/>
        <v>0</v>
      </c>
      <c r="K14" s="137">
        <v>-165</v>
      </c>
      <c r="L14" s="256">
        <f t="shared" si="21"/>
        <v>165</v>
      </c>
      <c r="M14" s="136">
        <v>-6040</v>
      </c>
      <c r="N14" s="256">
        <f t="shared" si="11"/>
        <v>-5875</v>
      </c>
      <c r="O14" s="323">
        <f t="shared" si="2"/>
        <v>2937.5</v>
      </c>
      <c r="P14" s="323">
        <f t="shared" si="3"/>
        <v>2937.5</v>
      </c>
      <c r="Q14" s="135">
        <v>280290</v>
      </c>
      <c r="R14" s="211">
        <f t="shared" si="19"/>
        <v>280290</v>
      </c>
      <c r="S14" s="135">
        <v>0</v>
      </c>
      <c r="T14" s="159">
        <f t="shared" si="12"/>
        <v>0</v>
      </c>
      <c r="U14" s="159">
        <f t="shared" si="13"/>
        <v>4764.93</v>
      </c>
      <c r="V14" s="159">
        <f t="shared" si="14"/>
        <v>4764.93</v>
      </c>
      <c r="W14" s="294">
        <f t="shared" si="15"/>
        <v>2382.4650000000001</v>
      </c>
      <c r="X14" s="162">
        <f t="shared" si="16"/>
        <v>5319.9650000000001</v>
      </c>
      <c r="AA14" s="164">
        <f t="shared" si="4"/>
        <v>0</v>
      </c>
      <c r="AB14" s="165">
        <f t="shared" si="5"/>
        <v>-165</v>
      </c>
      <c r="AC14" s="165">
        <f t="shared" si="6"/>
        <v>318174.5</v>
      </c>
      <c r="AD14" s="165">
        <f t="shared" si="17"/>
        <v>5583.0082500000008</v>
      </c>
      <c r="AE14" s="165">
        <f t="shared" si="7"/>
        <v>-83122</v>
      </c>
      <c r="AF14" s="165">
        <f t="shared" si="8"/>
        <v>338650</v>
      </c>
      <c r="AG14" s="165"/>
      <c r="AH14" s="230">
        <f t="shared" si="9"/>
        <v>0</v>
      </c>
    </row>
    <row r="15" spans="2:34" ht="26.25" customHeight="1">
      <c r="B15" s="166">
        <f t="shared" si="10"/>
        <v>44604</v>
      </c>
      <c r="C15" s="221">
        <v>0</v>
      </c>
      <c r="D15" s="221">
        <v>0</v>
      </c>
      <c r="E15" s="221">
        <v>0</v>
      </c>
      <c r="F15" s="221">
        <v>0</v>
      </c>
      <c r="G15" s="221">
        <v>0</v>
      </c>
      <c r="H15" s="292">
        <f t="shared" si="18"/>
        <v>0</v>
      </c>
      <c r="I15" s="137">
        <v>0</v>
      </c>
      <c r="J15" s="137">
        <f t="shared" si="20"/>
        <v>0</v>
      </c>
      <c r="K15" s="298">
        <v>0</v>
      </c>
      <c r="L15" s="256">
        <f t="shared" si="21"/>
        <v>0</v>
      </c>
      <c r="M15" s="275">
        <v>2987</v>
      </c>
      <c r="N15" s="299">
        <f>L15+M15</f>
        <v>2987</v>
      </c>
      <c r="O15" s="323">
        <f t="shared" si="2"/>
        <v>-1493.5</v>
      </c>
      <c r="P15" s="323">
        <f t="shared" si="3"/>
        <v>-1493.5</v>
      </c>
      <c r="Q15" s="197">
        <v>26371</v>
      </c>
      <c r="R15" s="279">
        <f t="shared" si="19"/>
        <v>26371</v>
      </c>
      <c r="S15" s="197">
        <v>0</v>
      </c>
      <c r="T15" s="159">
        <f t="shared" si="12"/>
        <v>0</v>
      </c>
      <c r="U15" s="159">
        <f t="shared" si="13"/>
        <v>448.30700000000002</v>
      </c>
      <c r="V15" s="159">
        <f t="shared" si="14"/>
        <v>448.30700000000002</v>
      </c>
      <c r="W15" s="294">
        <f t="shared" si="15"/>
        <v>224.15350000000001</v>
      </c>
      <c r="X15" s="162">
        <f t="shared" si="16"/>
        <v>-1269.3465000000001</v>
      </c>
      <c r="AA15" s="164">
        <f t="shared" si="4"/>
        <v>0</v>
      </c>
      <c r="AB15" s="165">
        <f t="shared" si="5"/>
        <v>-165</v>
      </c>
      <c r="AC15" s="165">
        <f t="shared" si="6"/>
        <v>344545.5</v>
      </c>
      <c r="AD15" s="165">
        <f t="shared" si="17"/>
        <v>5807.1617500000011</v>
      </c>
      <c r="AE15" s="165">
        <f t="shared" si="7"/>
        <v>-80135</v>
      </c>
      <c r="AF15" s="165">
        <f t="shared" si="8"/>
        <v>338650</v>
      </c>
      <c r="AG15" s="165"/>
      <c r="AH15" s="230">
        <f t="shared" si="9"/>
        <v>0</v>
      </c>
    </row>
    <row r="16" spans="2:34" ht="26.25" customHeight="1">
      <c r="B16" s="166">
        <f t="shared" si="10"/>
        <v>44605</v>
      </c>
      <c r="C16" s="221">
        <v>0</v>
      </c>
      <c r="D16" s="221">
        <v>0</v>
      </c>
      <c r="E16" s="221">
        <v>0</v>
      </c>
      <c r="F16" s="221">
        <v>0</v>
      </c>
      <c r="G16" s="221">
        <v>0</v>
      </c>
      <c r="H16" s="292">
        <f t="shared" si="18"/>
        <v>0</v>
      </c>
      <c r="I16" s="137">
        <v>0</v>
      </c>
      <c r="J16" s="137">
        <f t="shared" si="20"/>
        <v>0</v>
      </c>
      <c r="K16" s="137">
        <v>0</v>
      </c>
      <c r="L16" s="256">
        <f t="shared" si="21"/>
        <v>0</v>
      </c>
      <c r="M16" s="275">
        <v>-16269.5</v>
      </c>
      <c r="N16" s="256">
        <f t="shared" si="11"/>
        <v>-16269.5</v>
      </c>
      <c r="O16" s="323">
        <f t="shared" si="2"/>
        <v>8134.75</v>
      </c>
      <c r="P16" s="323">
        <f t="shared" si="3"/>
        <v>8134.75</v>
      </c>
      <c r="Q16" s="197">
        <v>35396.5</v>
      </c>
      <c r="R16" s="211">
        <f t="shared" si="19"/>
        <v>-64255.5</v>
      </c>
      <c r="S16" s="135">
        <v>99652</v>
      </c>
      <c r="T16" s="159">
        <f t="shared" si="12"/>
        <v>1694.0840000000001</v>
      </c>
      <c r="U16" s="159">
        <f t="shared" si="13"/>
        <v>-1092.3435000000002</v>
      </c>
      <c r="V16" s="159">
        <f t="shared" si="14"/>
        <v>601.74049999999988</v>
      </c>
      <c r="W16" s="294">
        <f t="shared" si="15"/>
        <v>300.87024999999994</v>
      </c>
      <c r="X16" s="162">
        <f t="shared" si="16"/>
        <v>6741.5362500000001</v>
      </c>
      <c r="AA16" s="164">
        <f t="shared" si="4"/>
        <v>0</v>
      </c>
      <c r="AB16" s="165">
        <f t="shared" si="5"/>
        <v>-165</v>
      </c>
      <c r="AC16" s="165">
        <f t="shared" si="6"/>
        <v>280290</v>
      </c>
      <c r="AD16" s="165">
        <f t="shared" si="17"/>
        <v>6108.0320000000011</v>
      </c>
      <c r="AE16" s="165">
        <f t="shared" si="7"/>
        <v>-96404.5</v>
      </c>
      <c r="AF16" s="165">
        <f t="shared" si="8"/>
        <v>438302</v>
      </c>
      <c r="AG16" s="165"/>
      <c r="AH16" s="230">
        <f t="shared" si="9"/>
        <v>0</v>
      </c>
    </row>
    <row r="17" spans="2:34" s="296" customFormat="1" ht="26.25" customHeight="1">
      <c r="B17" s="297">
        <f t="shared" si="10"/>
        <v>44606</v>
      </c>
      <c r="C17" s="221">
        <v>0</v>
      </c>
      <c r="D17" s="221">
        <v>0</v>
      </c>
      <c r="E17" s="221">
        <v>0</v>
      </c>
      <c r="F17" s="221">
        <v>0</v>
      </c>
      <c r="G17" s="221">
        <v>0</v>
      </c>
      <c r="H17" s="292">
        <f t="shared" si="18"/>
        <v>0</v>
      </c>
      <c r="I17" s="298">
        <v>0</v>
      </c>
      <c r="J17" s="137">
        <f t="shared" si="20"/>
        <v>0</v>
      </c>
      <c r="K17" s="137">
        <v>0</v>
      </c>
      <c r="L17" s="256">
        <f t="shared" si="21"/>
        <v>0</v>
      </c>
      <c r="M17" s="275">
        <v>290</v>
      </c>
      <c r="N17" s="299">
        <f t="shared" si="11"/>
        <v>290</v>
      </c>
      <c r="O17" s="323">
        <f t="shared" si="2"/>
        <v>-145</v>
      </c>
      <c r="P17" s="323">
        <f t="shared" si="3"/>
        <v>-145</v>
      </c>
      <c r="Q17" s="197">
        <v>250</v>
      </c>
      <c r="R17" s="279">
        <f t="shared" si="19"/>
        <v>250</v>
      </c>
      <c r="S17" s="197">
        <v>0</v>
      </c>
      <c r="T17" s="300">
        <f t="shared" si="12"/>
        <v>0</v>
      </c>
      <c r="U17" s="300">
        <f t="shared" si="13"/>
        <v>4.25</v>
      </c>
      <c r="V17" s="300">
        <f t="shared" si="14"/>
        <v>4.25</v>
      </c>
      <c r="W17" s="301">
        <f t="shared" si="15"/>
        <v>2.125</v>
      </c>
      <c r="X17" s="302">
        <f t="shared" si="16"/>
        <v>-142.875</v>
      </c>
      <c r="AA17" s="303">
        <f t="shared" si="4"/>
        <v>0</v>
      </c>
      <c r="AB17" s="304">
        <f t="shared" si="5"/>
        <v>-165</v>
      </c>
      <c r="AC17" s="304">
        <f t="shared" si="6"/>
        <v>280540</v>
      </c>
      <c r="AD17" s="165">
        <f t="shared" si="17"/>
        <v>6110.1570000000011</v>
      </c>
      <c r="AE17" s="304">
        <f t="shared" si="7"/>
        <v>-96114.5</v>
      </c>
      <c r="AF17" s="304">
        <f t="shared" si="8"/>
        <v>438302</v>
      </c>
      <c r="AG17" s="304"/>
      <c r="AH17" s="305">
        <f t="shared" si="9"/>
        <v>0</v>
      </c>
    </row>
    <row r="18" spans="2:34" s="296" customFormat="1" ht="26.25" customHeight="1">
      <c r="B18" s="297">
        <f t="shared" si="10"/>
        <v>44607</v>
      </c>
      <c r="C18" s="221">
        <v>0</v>
      </c>
      <c r="D18" s="221">
        <v>0</v>
      </c>
      <c r="E18" s="221">
        <v>0</v>
      </c>
      <c r="F18" s="221">
        <v>50000</v>
      </c>
      <c r="G18" s="221">
        <v>0</v>
      </c>
      <c r="H18" s="292">
        <f t="shared" si="18"/>
        <v>50000</v>
      </c>
      <c r="I18" s="298">
        <v>0</v>
      </c>
      <c r="J18" s="137">
        <f t="shared" si="20"/>
        <v>0</v>
      </c>
      <c r="K18" s="298">
        <v>0</v>
      </c>
      <c r="L18" s="256">
        <f t="shared" si="21"/>
        <v>-50000</v>
      </c>
      <c r="M18" s="275">
        <v>0</v>
      </c>
      <c r="N18" s="299">
        <f t="shared" si="11"/>
        <v>-50000</v>
      </c>
      <c r="O18" s="323">
        <f t="shared" si="2"/>
        <v>25000</v>
      </c>
      <c r="P18" s="323">
        <f t="shared" si="3"/>
        <v>25000</v>
      </c>
      <c r="Q18" s="197">
        <v>140375</v>
      </c>
      <c r="R18" s="279">
        <f t="shared" si="19"/>
        <v>140375</v>
      </c>
      <c r="S18" s="197">
        <v>0</v>
      </c>
      <c r="T18" s="300">
        <f t="shared" si="12"/>
        <v>0</v>
      </c>
      <c r="U18" s="300">
        <f t="shared" si="13"/>
        <v>2386.375</v>
      </c>
      <c r="V18" s="300">
        <f t="shared" si="14"/>
        <v>2386.375</v>
      </c>
      <c r="W18" s="301">
        <f t="shared" si="15"/>
        <v>1193.1875</v>
      </c>
      <c r="X18" s="302">
        <f t="shared" si="16"/>
        <v>26193.1875</v>
      </c>
      <c r="AA18" s="303">
        <f t="shared" si="4"/>
        <v>50000</v>
      </c>
      <c r="AB18" s="304">
        <f t="shared" si="5"/>
        <v>-165</v>
      </c>
      <c r="AC18" s="304">
        <f t="shared" si="6"/>
        <v>420915</v>
      </c>
      <c r="AD18" s="304">
        <f t="shared" si="17"/>
        <v>7303.3445000000011</v>
      </c>
      <c r="AE18" s="304">
        <f t="shared" si="7"/>
        <v>-146114.5</v>
      </c>
      <c r="AF18" s="304">
        <f t="shared" si="8"/>
        <v>438302</v>
      </c>
      <c r="AG18" s="304"/>
      <c r="AH18" s="305">
        <f t="shared" si="9"/>
        <v>0</v>
      </c>
    </row>
    <row r="19" spans="2:34" ht="26.25" customHeight="1">
      <c r="B19" s="166">
        <f t="shared" si="10"/>
        <v>44608</v>
      </c>
      <c r="C19" s="221">
        <v>0</v>
      </c>
      <c r="D19" s="221">
        <v>0</v>
      </c>
      <c r="E19" s="221">
        <v>0</v>
      </c>
      <c r="F19" s="221">
        <v>0</v>
      </c>
      <c r="G19" s="221">
        <v>0</v>
      </c>
      <c r="H19" s="292">
        <f t="shared" si="18"/>
        <v>0</v>
      </c>
      <c r="I19" s="137">
        <v>0</v>
      </c>
      <c r="J19" s="137">
        <f t="shared" si="20"/>
        <v>0</v>
      </c>
      <c r="K19" s="298">
        <v>0</v>
      </c>
      <c r="L19" s="256">
        <f t="shared" si="21"/>
        <v>0</v>
      </c>
      <c r="M19" s="275">
        <v>0</v>
      </c>
      <c r="N19" s="256">
        <f t="shared" si="11"/>
        <v>0</v>
      </c>
      <c r="O19" s="323">
        <f t="shared" si="2"/>
        <v>0</v>
      </c>
      <c r="P19" s="323">
        <f t="shared" si="3"/>
        <v>0</v>
      </c>
      <c r="Q19" s="135">
        <v>0</v>
      </c>
      <c r="R19" s="211">
        <f t="shared" si="19"/>
        <v>0</v>
      </c>
      <c r="S19" s="135">
        <v>0</v>
      </c>
      <c r="T19" s="159">
        <f t="shared" si="12"/>
        <v>0</v>
      </c>
      <c r="U19" s="159">
        <f t="shared" si="13"/>
        <v>0</v>
      </c>
      <c r="V19" s="159">
        <f t="shared" si="14"/>
        <v>0</v>
      </c>
      <c r="W19" s="294">
        <f t="shared" si="15"/>
        <v>0</v>
      </c>
      <c r="X19" s="162">
        <f t="shared" si="16"/>
        <v>0</v>
      </c>
      <c r="AA19" s="164">
        <f t="shared" si="4"/>
        <v>50000</v>
      </c>
      <c r="AB19" s="165">
        <f t="shared" si="5"/>
        <v>-165</v>
      </c>
      <c r="AC19" s="165">
        <f t="shared" si="6"/>
        <v>420915</v>
      </c>
      <c r="AD19" s="165">
        <f t="shared" si="17"/>
        <v>7303.3445000000011</v>
      </c>
      <c r="AE19" s="165">
        <f t="shared" si="7"/>
        <v>-146114.5</v>
      </c>
      <c r="AF19" s="165">
        <f t="shared" si="8"/>
        <v>438302</v>
      </c>
      <c r="AG19" s="165"/>
      <c r="AH19" s="230">
        <f t="shared" si="9"/>
        <v>0</v>
      </c>
    </row>
    <row r="20" spans="2:34" ht="26.25" customHeight="1">
      <c r="B20" s="166">
        <f t="shared" si="10"/>
        <v>44609</v>
      </c>
      <c r="C20" s="291">
        <v>0</v>
      </c>
      <c r="D20" s="291">
        <v>0</v>
      </c>
      <c r="E20" s="291">
        <v>0</v>
      </c>
      <c r="F20" s="221">
        <v>0</v>
      </c>
      <c r="G20" s="221">
        <v>0</v>
      </c>
      <c r="H20" s="292">
        <f t="shared" si="18"/>
        <v>0</v>
      </c>
      <c r="I20" s="137">
        <v>0</v>
      </c>
      <c r="J20" s="137">
        <f t="shared" si="20"/>
        <v>0</v>
      </c>
      <c r="K20" s="137">
        <v>0</v>
      </c>
      <c r="L20" s="256">
        <f t="shared" si="21"/>
        <v>0</v>
      </c>
      <c r="M20" s="275">
        <v>0</v>
      </c>
      <c r="N20" s="256">
        <f t="shared" si="11"/>
        <v>0</v>
      </c>
      <c r="O20" s="323">
        <f t="shared" si="2"/>
        <v>0</v>
      </c>
      <c r="P20" s="323">
        <f t="shared" si="3"/>
        <v>0</v>
      </c>
      <c r="Q20" s="135">
        <v>0</v>
      </c>
      <c r="R20" s="211">
        <f t="shared" si="19"/>
        <v>0</v>
      </c>
      <c r="S20" s="135">
        <v>0</v>
      </c>
      <c r="T20" s="159">
        <f t="shared" si="12"/>
        <v>0</v>
      </c>
      <c r="U20" s="159">
        <f t="shared" si="13"/>
        <v>0</v>
      </c>
      <c r="V20" s="159">
        <f t="shared" si="14"/>
        <v>0</v>
      </c>
      <c r="W20" s="294">
        <f t="shared" si="15"/>
        <v>0</v>
      </c>
      <c r="X20" s="162">
        <f t="shared" si="16"/>
        <v>0</v>
      </c>
      <c r="AA20" s="164">
        <f t="shared" si="4"/>
        <v>50000</v>
      </c>
      <c r="AB20" s="165">
        <f t="shared" si="5"/>
        <v>-165</v>
      </c>
      <c r="AC20" s="165">
        <f t="shared" si="6"/>
        <v>420915</v>
      </c>
      <c r="AD20" s="165">
        <f t="shared" si="17"/>
        <v>7303.3445000000011</v>
      </c>
      <c r="AE20" s="165">
        <f t="shared" si="7"/>
        <v>-146114.5</v>
      </c>
      <c r="AF20" s="165">
        <f t="shared" si="8"/>
        <v>438302</v>
      </c>
      <c r="AG20" s="165"/>
      <c r="AH20" s="230">
        <f t="shared" si="9"/>
        <v>0</v>
      </c>
    </row>
    <row r="21" spans="2:34" ht="26.25" customHeight="1">
      <c r="B21" s="166">
        <f t="shared" si="10"/>
        <v>44610</v>
      </c>
      <c r="C21" s="291">
        <v>0</v>
      </c>
      <c r="D21" s="291">
        <v>0</v>
      </c>
      <c r="E21" s="291">
        <v>0</v>
      </c>
      <c r="F21" s="221">
        <v>0</v>
      </c>
      <c r="G21" s="221">
        <v>0</v>
      </c>
      <c r="H21" s="292">
        <f t="shared" si="18"/>
        <v>0</v>
      </c>
      <c r="I21" s="137">
        <v>0</v>
      </c>
      <c r="J21" s="137">
        <f t="shared" si="20"/>
        <v>0</v>
      </c>
      <c r="K21" s="137">
        <v>0</v>
      </c>
      <c r="L21" s="256">
        <f t="shared" si="21"/>
        <v>0</v>
      </c>
      <c r="M21" s="275">
        <v>-3400</v>
      </c>
      <c r="N21" s="256">
        <f t="shared" si="11"/>
        <v>-3400</v>
      </c>
      <c r="O21" s="323">
        <f t="shared" si="2"/>
        <v>1700</v>
      </c>
      <c r="P21" s="323">
        <f t="shared" si="3"/>
        <v>1700</v>
      </c>
      <c r="Q21" s="197">
        <v>3400</v>
      </c>
      <c r="R21" s="211">
        <f t="shared" si="19"/>
        <v>3400</v>
      </c>
      <c r="S21" s="135">
        <v>0</v>
      </c>
      <c r="T21" s="159">
        <f t="shared" si="12"/>
        <v>0</v>
      </c>
      <c r="U21" s="159">
        <f t="shared" si="13"/>
        <v>57.800000000000004</v>
      </c>
      <c r="V21" s="159">
        <f t="shared" si="14"/>
        <v>57.800000000000004</v>
      </c>
      <c r="W21" s="294">
        <f t="shared" si="15"/>
        <v>28.900000000000002</v>
      </c>
      <c r="X21" s="162">
        <f t="shared" si="16"/>
        <v>1728.9</v>
      </c>
      <c r="AA21" s="164">
        <f t="shared" si="4"/>
        <v>50000</v>
      </c>
      <c r="AB21" s="165">
        <f t="shared" si="5"/>
        <v>-165</v>
      </c>
      <c r="AC21" s="165">
        <f t="shared" si="6"/>
        <v>424315</v>
      </c>
      <c r="AD21" s="165">
        <f t="shared" si="17"/>
        <v>7332.2445000000007</v>
      </c>
      <c r="AE21" s="165">
        <f t="shared" si="7"/>
        <v>-149514.5</v>
      </c>
      <c r="AF21" s="165">
        <f t="shared" si="8"/>
        <v>438302</v>
      </c>
      <c r="AG21" s="165"/>
      <c r="AH21" s="230">
        <f t="shared" si="9"/>
        <v>0</v>
      </c>
    </row>
    <row r="22" spans="2:34" ht="26.25" customHeight="1">
      <c r="B22" s="166">
        <f t="shared" si="10"/>
        <v>44611</v>
      </c>
      <c r="C22" s="291"/>
      <c r="D22" s="291"/>
      <c r="E22" s="291"/>
      <c r="F22" s="221"/>
      <c r="G22" s="221"/>
      <c r="H22" s="292">
        <f t="shared" si="18"/>
        <v>0</v>
      </c>
      <c r="I22" s="137">
        <v>0</v>
      </c>
      <c r="J22" s="137">
        <f t="shared" si="20"/>
        <v>0</v>
      </c>
      <c r="K22" s="137"/>
      <c r="L22" s="256">
        <f t="shared" si="21"/>
        <v>0</v>
      </c>
      <c r="M22" s="275"/>
      <c r="N22" s="256">
        <f t="shared" si="11"/>
        <v>0</v>
      </c>
      <c r="O22" s="323">
        <f t="shared" si="2"/>
        <v>0</v>
      </c>
      <c r="P22" s="323">
        <f t="shared" si="3"/>
        <v>0</v>
      </c>
      <c r="Q22" s="135"/>
      <c r="R22" s="211">
        <f t="shared" si="19"/>
        <v>0</v>
      </c>
      <c r="S22" s="135"/>
      <c r="T22" s="159">
        <f t="shared" si="12"/>
        <v>0</v>
      </c>
      <c r="U22" s="159">
        <f t="shared" si="13"/>
        <v>0</v>
      </c>
      <c r="V22" s="159">
        <f t="shared" si="14"/>
        <v>0</v>
      </c>
      <c r="W22" s="294">
        <f t="shared" si="15"/>
        <v>0</v>
      </c>
      <c r="X22" s="162">
        <f t="shared" si="16"/>
        <v>0</v>
      </c>
      <c r="AA22" s="164">
        <f t="shared" si="4"/>
        <v>50000</v>
      </c>
      <c r="AB22" s="165">
        <f t="shared" si="5"/>
        <v>-165</v>
      </c>
      <c r="AC22" s="165">
        <f t="shared" si="6"/>
        <v>424315</v>
      </c>
      <c r="AD22" s="165">
        <f t="shared" si="17"/>
        <v>7332.2445000000007</v>
      </c>
      <c r="AE22" s="165">
        <f t="shared" si="7"/>
        <v>-149514.5</v>
      </c>
      <c r="AF22" s="165">
        <f t="shared" si="8"/>
        <v>438302</v>
      </c>
      <c r="AG22" s="165"/>
      <c r="AH22" s="230">
        <f t="shared" si="9"/>
        <v>0</v>
      </c>
    </row>
    <row r="23" spans="2:34" ht="26.25" customHeight="1">
      <c r="B23" s="166">
        <f t="shared" si="10"/>
        <v>44612</v>
      </c>
      <c r="C23" s="221"/>
      <c r="D23" s="221"/>
      <c r="E23" s="221"/>
      <c r="F23" s="221"/>
      <c r="G23" s="221"/>
      <c r="H23" s="292">
        <f t="shared" si="18"/>
        <v>0</v>
      </c>
      <c r="I23" s="137">
        <v>0</v>
      </c>
      <c r="J23" s="137">
        <f t="shared" si="20"/>
        <v>0</v>
      </c>
      <c r="K23" s="137"/>
      <c r="L23" s="256">
        <f t="shared" si="21"/>
        <v>0</v>
      </c>
      <c r="M23" s="275"/>
      <c r="N23" s="256">
        <f t="shared" si="11"/>
        <v>0</v>
      </c>
      <c r="O23" s="323">
        <f t="shared" si="2"/>
        <v>0</v>
      </c>
      <c r="P23" s="323">
        <f t="shared" si="3"/>
        <v>0</v>
      </c>
      <c r="Q23" s="135"/>
      <c r="R23" s="211">
        <f t="shared" si="19"/>
        <v>0</v>
      </c>
      <c r="S23" s="135"/>
      <c r="T23" s="159">
        <f t="shared" si="12"/>
        <v>0</v>
      </c>
      <c r="U23" s="159">
        <f t="shared" si="13"/>
        <v>0</v>
      </c>
      <c r="V23" s="159">
        <f t="shared" si="14"/>
        <v>0</v>
      </c>
      <c r="W23" s="294">
        <f t="shared" si="15"/>
        <v>0</v>
      </c>
      <c r="X23" s="162">
        <f t="shared" si="16"/>
        <v>0</v>
      </c>
      <c r="AA23" s="164">
        <f t="shared" si="4"/>
        <v>50000</v>
      </c>
      <c r="AB23" s="165">
        <f t="shared" si="5"/>
        <v>-165</v>
      </c>
      <c r="AC23" s="165">
        <f t="shared" si="6"/>
        <v>424315</v>
      </c>
      <c r="AD23" s="165">
        <f t="shared" si="17"/>
        <v>7332.2445000000007</v>
      </c>
      <c r="AE23" s="165">
        <f t="shared" si="7"/>
        <v>-149514.5</v>
      </c>
      <c r="AF23" s="165">
        <f t="shared" si="8"/>
        <v>438302</v>
      </c>
      <c r="AG23" s="165"/>
      <c r="AH23" s="230">
        <f t="shared" si="9"/>
        <v>0</v>
      </c>
    </row>
    <row r="24" spans="2:34" ht="26.25" customHeight="1">
      <c r="B24" s="198">
        <f t="shared" si="10"/>
        <v>44613</v>
      </c>
      <c r="C24" s="221"/>
      <c r="D24" s="221"/>
      <c r="E24" s="221"/>
      <c r="F24" s="221"/>
      <c r="G24" s="221"/>
      <c r="H24" s="292">
        <f t="shared" si="18"/>
        <v>0</v>
      </c>
      <c r="I24" s="137">
        <v>0</v>
      </c>
      <c r="J24" s="137">
        <f t="shared" si="20"/>
        <v>0</v>
      </c>
      <c r="K24" s="137"/>
      <c r="L24" s="256">
        <f t="shared" si="21"/>
        <v>0</v>
      </c>
      <c r="M24" s="275"/>
      <c r="N24" s="256">
        <f t="shared" si="11"/>
        <v>0</v>
      </c>
      <c r="O24" s="323">
        <f t="shared" si="2"/>
        <v>0</v>
      </c>
      <c r="P24" s="323">
        <f t="shared" si="3"/>
        <v>0</v>
      </c>
      <c r="Q24" s="135"/>
      <c r="R24" s="211">
        <f t="shared" si="19"/>
        <v>0</v>
      </c>
      <c r="S24" s="135"/>
      <c r="T24" s="159">
        <f t="shared" si="12"/>
        <v>0</v>
      </c>
      <c r="U24" s="159">
        <f t="shared" si="13"/>
        <v>0</v>
      </c>
      <c r="V24" s="159">
        <f t="shared" si="14"/>
        <v>0</v>
      </c>
      <c r="W24" s="294">
        <f t="shared" si="15"/>
        <v>0</v>
      </c>
      <c r="X24" s="162">
        <f t="shared" si="16"/>
        <v>0</v>
      </c>
      <c r="AA24" s="164">
        <f t="shared" si="4"/>
        <v>50000</v>
      </c>
      <c r="AB24" s="165">
        <f t="shared" si="5"/>
        <v>-165</v>
      </c>
      <c r="AC24" s="165">
        <f t="shared" si="6"/>
        <v>424315</v>
      </c>
      <c r="AD24" s="165">
        <f t="shared" si="17"/>
        <v>7332.2445000000007</v>
      </c>
      <c r="AE24" s="165">
        <f t="shared" si="7"/>
        <v>-149514.5</v>
      </c>
      <c r="AF24" s="165">
        <f t="shared" si="8"/>
        <v>438302</v>
      </c>
      <c r="AG24" s="165"/>
      <c r="AH24" s="230">
        <f t="shared" si="9"/>
        <v>0</v>
      </c>
    </row>
    <row r="25" spans="2:34" ht="26.25" customHeight="1">
      <c r="B25" s="198">
        <f t="shared" si="10"/>
        <v>44614</v>
      </c>
      <c r="C25" s="221"/>
      <c r="D25" s="221"/>
      <c r="E25" s="221"/>
      <c r="F25" s="221"/>
      <c r="G25" s="221"/>
      <c r="H25" s="292">
        <f t="shared" si="18"/>
        <v>0</v>
      </c>
      <c r="I25" s="137">
        <v>0</v>
      </c>
      <c r="J25" s="137">
        <f t="shared" si="20"/>
        <v>0</v>
      </c>
      <c r="K25" s="137"/>
      <c r="L25" s="256">
        <f t="shared" si="21"/>
        <v>0</v>
      </c>
      <c r="M25" s="275"/>
      <c r="N25" s="256">
        <f t="shared" si="11"/>
        <v>0</v>
      </c>
      <c r="O25" s="323">
        <f t="shared" si="2"/>
        <v>0</v>
      </c>
      <c r="P25" s="323">
        <f t="shared" si="3"/>
        <v>0</v>
      </c>
      <c r="Q25" s="135"/>
      <c r="R25" s="211">
        <f t="shared" si="19"/>
        <v>0</v>
      </c>
      <c r="S25" s="135"/>
      <c r="T25" s="159">
        <f t="shared" si="12"/>
        <v>0</v>
      </c>
      <c r="U25" s="159">
        <f t="shared" si="13"/>
        <v>0</v>
      </c>
      <c r="V25" s="159">
        <f t="shared" si="14"/>
        <v>0</v>
      </c>
      <c r="W25" s="294">
        <f t="shared" si="15"/>
        <v>0</v>
      </c>
      <c r="X25" s="162">
        <f t="shared" si="16"/>
        <v>0</v>
      </c>
      <c r="AA25" s="164">
        <f t="shared" si="4"/>
        <v>50000</v>
      </c>
      <c r="AB25" s="165">
        <f t="shared" si="5"/>
        <v>-165</v>
      </c>
      <c r="AC25" s="165">
        <f t="shared" si="6"/>
        <v>424315</v>
      </c>
      <c r="AD25" s="165">
        <f t="shared" si="17"/>
        <v>7332.2445000000007</v>
      </c>
      <c r="AE25" s="165">
        <f t="shared" si="7"/>
        <v>-149514.5</v>
      </c>
      <c r="AF25" s="165">
        <f t="shared" si="8"/>
        <v>438302</v>
      </c>
      <c r="AG25" s="165"/>
      <c r="AH25" s="230">
        <f t="shared" si="9"/>
        <v>0</v>
      </c>
    </row>
    <row r="26" spans="2:34" ht="26.25" customHeight="1">
      <c r="B26" s="166">
        <f t="shared" si="10"/>
        <v>44615</v>
      </c>
      <c r="C26" s="221"/>
      <c r="D26" s="221"/>
      <c r="E26" s="221"/>
      <c r="F26" s="221"/>
      <c r="G26" s="221"/>
      <c r="H26" s="292">
        <f t="shared" si="18"/>
        <v>0</v>
      </c>
      <c r="I26" s="137">
        <v>0</v>
      </c>
      <c r="J26" s="137">
        <f t="shared" si="20"/>
        <v>0</v>
      </c>
      <c r="K26" s="137"/>
      <c r="L26" s="256">
        <f t="shared" si="21"/>
        <v>0</v>
      </c>
      <c r="M26" s="275"/>
      <c r="N26" s="256">
        <f t="shared" si="11"/>
        <v>0</v>
      </c>
      <c r="O26" s="323">
        <f t="shared" si="2"/>
        <v>0</v>
      </c>
      <c r="P26" s="323">
        <f t="shared" si="3"/>
        <v>0</v>
      </c>
      <c r="Q26" s="135"/>
      <c r="R26" s="211">
        <f t="shared" si="19"/>
        <v>0</v>
      </c>
      <c r="S26" s="135"/>
      <c r="T26" s="159">
        <f t="shared" si="12"/>
        <v>0</v>
      </c>
      <c r="U26" s="159">
        <f t="shared" si="13"/>
        <v>0</v>
      </c>
      <c r="V26" s="159">
        <f t="shared" si="14"/>
        <v>0</v>
      </c>
      <c r="W26" s="294">
        <f t="shared" si="15"/>
        <v>0</v>
      </c>
      <c r="X26" s="162">
        <f t="shared" si="16"/>
        <v>0</v>
      </c>
      <c r="AA26" s="164">
        <f t="shared" si="4"/>
        <v>50000</v>
      </c>
      <c r="AB26" s="165">
        <f t="shared" si="5"/>
        <v>-165</v>
      </c>
      <c r="AC26" s="165">
        <f t="shared" si="6"/>
        <v>424315</v>
      </c>
      <c r="AD26" s="165">
        <f t="shared" si="17"/>
        <v>7332.2445000000007</v>
      </c>
      <c r="AE26" s="165">
        <f t="shared" si="7"/>
        <v>-149514.5</v>
      </c>
      <c r="AF26" s="165">
        <f t="shared" si="8"/>
        <v>438302</v>
      </c>
      <c r="AG26" s="165"/>
      <c r="AH26" s="230">
        <f t="shared" si="9"/>
        <v>0</v>
      </c>
    </row>
    <row r="27" spans="2:34" ht="26.25" customHeight="1">
      <c r="B27" s="166">
        <f t="shared" si="10"/>
        <v>44616</v>
      </c>
      <c r="C27" s="221"/>
      <c r="D27" s="221"/>
      <c r="E27" s="221"/>
      <c r="F27" s="221"/>
      <c r="G27" s="221"/>
      <c r="H27" s="292">
        <f t="shared" si="18"/>
        <v>0</v>
      </c>
      <c r="I27" s="137">
        <v>0</v>
      </c>
      <c r="J27" s="137">
        <f t="shared" si="20"/>
        <v>0</v>
      </c>
      <c r="K27" s="137"/>
      <c r="L27" s="256">
        <f t="shared" si="21"/>
        <v>0</v>
      </c>
      <c r="M27" s="275"/>
      <c r="N27" s="256">
        <f t="shared" si="11"/>
        <v>0</v>
      </c>
      <c r="O27" s="323">
        <f t="shared" si="2"/>
        <v>0</v>
      </c>
      <c r="P27" s="323">
        <f t="shared" si="3"/>
        <v>0</v>
      </c>
      <c r="Q27" s="135"/>
      <c r="R27" s="211">
        <f t="shared" si="19"/>
        <v>0</v>
      </c>
      <c r="S27" s="197"/>
      <c r="T27" s="159">
        <f t="shared" si="12"/>
        <v>0</v>
      </c>
      <c r="U27" s="159">
        <f t="shared" si="13"/>
        <v>0</v>
      </c>
      <c r="V27" s="159">
        <f t="shared" si="14"/>
        <v>0</v>
      </c>
      <c r="W27" s="294">
        <f t="shared" si="15"/>
        <v>0</v>
      </c>
      <c r="X27" s="162">
        <f t="shared" si="16"/>
        <v>0</v>
      </c>
      <c r="AA27" s="164">
        <f t="shared" si="4"/>
        <v>50000</v>
      </c>
      <c r="AB27" s="165">
        <f t="shared" si="5"/>
        <v>-165</v>
      </c>
      <c r="AC27" s="165">
        <f t="shared" si="6"/>
        <v>424315</v>
      </c>
      <c r="AD27" s="165">
        <f t="shared" si="17"/>
        <v>7332.2445000000007</v>
      </c>
      <c r="AE27" s="165">
        <f t="shared" si="7"/>
        <v>-149514.5</v>
      </c>
      <c r="AF27" s="165">
        <f t="shared" si="8"/>
        <v>438302</v>
      </c>
      <c r="AG27" s="165"/>
      <c r="AH27" s="230">
        <f t="shared" si="9"/>
        <v>0</v>
      </c>
    </row>
    <row r="28" spans="2:34" ht="26.25" customHeight="1">
      <c r="B28" s="166">
        <f t="shared" si="10"/>
        <v>44617</v>
      </c>
      <c r="C28" s="221"/>
      <c r="D28" s="221"/>
      <c r="E28" s="221"/>
      <c r="F28" s="221"/>
      <c r="G28" s="221"/>
      <c r="H28" s="292">
        <f t="shared" si="18"/>
        <v>0</v>
      </c>
      <c r="I28" s="137">
        <v>0</v>
      </c>
      <c r="J28" s="137">
        <f t="shared" si="20"/>
        <v>0</v>
      </c>
      <c r="K28" s="137"/>
      <c r="L28" s="256">
        <f t="shared" si="21"/>
        <v>0</v>
      </c>
      <c r="M28" s="307"/>
      <c r="N28" s="278">
        <f t="shared" si="11"/>
        <v>0</v>
      </c>
      <c r="O28" s="323">
        <f t="shared" si="2"/>
        <v>0</v>
      </c>
      <c r="P28" s="323">
        <f t="shared" si="3"/>
        <v>0</v>
      </c>
      <c r="Q28" s="135"/>
      <c r="R28" s="211">
        <f t="shared" si="19"/>
        <v>0</v>
      </c>
      <c r="S28" s="135"/>
      <c r="T28" s="159">
        <f t="shared" si="12"/>
        <v>0</v>
      </c>
      <c r="U28" s="159">
        <f t="shared" si="13"/>
        <v>0</v>
      </c>
      <c r="V28" s="159">
        <f t="shared" si="14"/>
        <v>0</v>
      </c>
      <c r="W28" s="294">
        <f t="shared" si="15"/>
        <v>0</v>
      </c>
      <c r="X28" s="162">
        <f t="shared" si="16"/>
        <v>0</v>
      </c>
      <c r="AA28" s="164">
        <f t="shared" si="4"/>
        <v>50000</v>
      </c>
      <c r="AB28" s="165">
        <f t="shared" si="5"/>
        <v>-165</v>
      </c>
      <c r="AC28" s="165">
        <f t="shared" si="6"/>
        <v>424315</v>
      </c>
      <c r="AD28" s="165">
        <f t="shared" si="17"/>
        <v>7332.2445000000007</v>
      </c>
      <c r="AE28" s="165">
        <f t="shared" si="7"/>
        <v>-149514.5</v>
      </c>
      <c r="AF28" s="165">
        <f t="shared" si="8"/>
        <v>438302</v>
      </c>
      <c r="AG28" s="165"/>
      <c r="AH28" s="230">
        <f t="shared" si="9"/>
        <v>0</v>
      </c>
    </row>
    <row r="29" spans="2:34" ht="26.25" customHeight="1">
      <c r="B29" s="166">
        <f t="shared" si="10"/>
        <v>44618</v>
      </c>
      <c r="C29" s="221"/>
      <c r="D29" s="221"/>
      <c r="E29" s="221"/>
      <c r="F29" s="221"/>
      <c r="G29" s="221"/>
      <c r="H29" s="292">
        <f t="shared" si="18"/>
        <v>0</v>
      </c>
      <c r="I29" s="137">
        <v>0</v>
      </c>
      <c r="J29" s="137">
        <f t="shared" si="20"/>
        <v>0</v>
      </c>
      <c r="K29" s="137"/>
      <c r="L29" s="256">
        <f t="shared" si="21"/>
        <v>0</v>
      </c>
      <c r="M29" s="136"/>
      <c r="N29" s="256">
        <f t="shared" si="11"/>
        <v>0</v>
      </c>
      <c r="O29" s="323">
        <f t="shared" si="2"/>
        <v>0</v>
      </c>
      <c r="P29" s="323">
        <f t="shared" si="3"/>
        <v>0</v>
      </c>
      <c r="Q29" s="135"/>
      <c r="R29" s="211">
        <f t="shared" si="19"/>
        <v>0</v>
      </c>
      <c r="S29" s="135"/>
      <c r="T29" s="159">
        <f t="shared" si="12"/>
        <v>0</v>
      </c>
      <c r="U29" s="159">
        <f t="shared" si="13"/>
        <v>0</v>
      </c>
      <c r="V29" s="159">
        <f t="shared" si="14"/>
        <v>0</v>
      </c>
      <c r="W29" s="294">
        <f t="shared" si="15"/>
        <v>0</v>
      </c>
      <c r="X29" s="162">
        <f t="shared" si="16"/>
        <v>0</v>
      </c>
      <c r="AA29" s="164">
        <f t="shared" si="4"/>
        <v>50000</v>
      </c>
      <c r="AB29" s="165">
        <f t="shared" si="5"/>
        <v>-165</v>
      </c>
      <c r="AC29" s="165">
        <f t="shared" si="6"/>
        <v>424315</v>
      </c>
      <c r="AD29" s="165">
        <f t="shared" si="17"/>
        <v>7332.2445000000007</v>
      </c>
      <c r="AE29" s="165">
        <f t="shared" si="7"/>
        <v>-149514.5</v>
      </c>
      <c r="AF29" s="165">
        <f t="shared" si="8"/>
        <v>438302</v>
      </c>
      <c r="AG29" s="165"/>
      <c r="AH29" s="230">
        <f t="shared" si="9"/>
        <v>0</v>
      </c>
    </row>
    <row r="30" spans="2:34" ht="26.25" customHeight="1">
      <c r="B30" s="166">
        <f t="shared" si="10"/>
        <v>44619</v>
      </c>
      <c r="C30" s="221"/>
      <c r="D30" s="221"/>
      <c r="E30" s="221"/>
      <c r="F30" s="221"/>
      <c r="G30" s="221"/>
      <c r="H30" s="292">
        <f t="shared" si="18"/>
        <v>0</v>
      </c>
      <c r="I30" s="137">
        <v>0</v>
      </c>
      <c r="J30" s="137">
        <f t="shared" si="20"/>
        <v>0</v>
      </c>
      <c r="K30" s="137"/>
      <c r="L30" s="256">
        <f t="shared" si="21"/>
        <v>0</v>
      </c>
      <c r="M30" s="136"/>
      <c r="N30" s="256">
        <f>L30+M30</f>
        <v>0</v>
      </c>
      <c r="O30" s="323">
        <f t="shared" si="2"/>
        <v>0</v>
      </c>
      <c r="P30" s="323">
        <f t="shared" si="3"/>
        <v>0</v>
      </c>
      <c r="Q30" s="135"/>
      <c r="R30" s="211">
        <f t="shared" si="19"/>
        <v>0</v>
      </c>
      <c r="S30" s="135"/>
      <c r="T30" s="159">
        <f t="shared" si="12"/>
        <v>0</v>
      </c>
      <c r="U30" s="159">
        <f t="shared" si="13"/>
        <v>0</v>
      </c>
      <c r="V30" s="159">
        <f t="shared" si="14"/>
        <v>0</v>
      </c>
      <c r="W30" s="294">
        <f t="shared" si="15"/>
        <v>0</v>
      </c>
      <c r="X30" s="162">
        <f t="shared" si="16"/>
        <v>0</v>
      </c>
      <c r="AA30" s="164">
        <f t="shared" si="4"/>
        <v>50000</v>
      </c>
      <c r="AB30" s="165">
        <f t="shared" si="5"/>
        <v>-165</v>
      </c>
      <c r="AC30" s="165">
        <f t="shared" si="6"/>
        <v>424315</v>
      </c>
      <c r="AD30" s="165">
        <f t="shared" si="17"/>
        <v>7332.2445000000007</v>
      </c>
      <c r="AE30" s="165">
        <f t="shared" si="7"/>
        <v>-149514.5</v>
      </c>
      <c r="AF30" s="165">
        <f t="shared" si="8"/>
        <v>438302</v>
      </c>
      <c r="AG30" s="165"/>
      <c r="AH30" s="230">
        <f t="shared" si="9"/>
        <v>0</v>
      </c>
    </row>
    <row r="31" spans="2:34" ht="26.25" customHeight="1">
      <c r="B31" s="166">
        <f t="shared" si="10"/>
        <v>44620</v>
      </c>
      <c r="C31" s="221"/>
      <c r="D31" s="221"/>
      <c r="E31" s="221"/>
      <c r="F31" s="221"/>
      <c r="G31" s="221"/>
      <c r="H31" s="292">
        <f t="shared" si="18"/>
        <v>0</v>
      </c>
      <c r="I31" s="137">
        <v>0</v>
      </c>
      <c r="J31" s="137">
        <f t="shared" si="20"/>
        <v>0</v>
      </c>
      <c r="K31" s="137"/>
      <c r="L31" s="256">
        <f t="shared" si="21"/>
        <v>0</v>
      </c>
      <c r="M31" s="136"/>
      <c r="N31" s="256">
        <f>L31+M31</f>
        <v>0</v>
      </c>
      <c r="O31" s="323">
        <f t="shared" si="2"/>
        <v>0</v>
      </c>
      <c r="P31" s="323">
        <f t="shared" si="3"/>
        <v>0</v>
      </c>
      <c r="Q31" s="135"/>
      <c r="R31" s="211">
        <f t="shared" si="19"/>
        <v>0</v>
      </c>
      <c r="S31" s="135"/>
      <c r="T31" s="159">
        <f t="shared" si="12"/>
        <v>0</v>
      </c>
      <c r="U31" s="159">
        <f t="shared" si="13"/>
        <v>0</v>
      </c>
      <c r="V31" s="159">
        <f t="shared" si="14"/>
        <v>0</v>
      </c>
      <c r="W31" s="294">
        <f t="shared" si="15"/>
        <v>0</v>
      </c>
      <c r="X31" s="162">
        <f t="shared" si="16"/>
        <v>0</v>
      </c>
      <c r="AA31" s="164">
        <f t="shared" si="4"/>
        <v>50000</v>
      </c>
      <c r="AB31" s="165">
        <f t="shared" si="5"/>
        <v>-165</v>
      </c>
      <c r="AC31" s="165">
        <f t="shared" si="6"/>
        <v>424315</v>
      </c>
      <c r="AD31" s="165">
        <f t="shared" si="17"/>
        <v>7332.2445000000007</v>
      </c>
      <c r="AE31" s="165">
        <f t="shared" si="7"/>
        <v>-149514.5</v>
      </c>
      <c r="AF31" s="165">
        <f t="shared" si="8"/>
        <v>438302</v>
      </c>
      <c r="AG31" s="165"/>
      <c r="AH31" s="230">
        <f t="shared" si="9"/>
        <v>0</v>
      </c>
    </row>
    <row r="32" spans="2:34" ht="26.25" customHeight="1">
      <c r="B32" s="166">
        <f t="shared" si="10"/>
        <v>44621</v>
      </c>
      <c r="C32" s="221"/>
      <c r="D32" s="221"/>
      <c r="E32" s="221"/>
      <c r="F32" s="221"/>
      <c r="G32" s="221"/>
      <c r="H32" s="292">
        <f t="shared" si="18"/>
        <v>0</v>
      </c>
      <c r="I32" s="137"/>
      <c r="J32" s="137">
        <f t="shared" si="20"/>
        <v>0</v>
      </c>
      <c r="K32" s="137"/>
      <c r="L32" s="256">
        <f t="shared" si="21"/>
        <v>0</v>
      </c>
      <c r="M32" s="136"/>
      <c r="N32" s="256">
        <f t="shared" si="11"/>
        <v>0</v>
      </c>
      <c r="O32" s="323">
        <f t="shared" si="2"/>
        <v>0</v>
      </c>
      <c r="P32" s="323">
        <f t="shared" si="3"/>
        <v>0</v>
      </c>
      <c r="Q32" s="135"/>
      <c r="R32" s="211">
        <f t="shared" si="19"/>
        <v>0</v>
      </c>
      <c r="S32" s="135"/>
      <c r="T32" s="159">
        <f t="shared" si="12"/>
        <v>0</v>
      </c>
      <c r="U32" s="159">
        <f t="shared" si="13"/>
        <v>0</v>
      </c>
      <c r="V32" s="159">
        <f t="shared" si="14"/>
        <v>0</v>
      </c>
      <c r="W32" s="294">
        <f t="shared" si="15"/>
        <v>0</v>
      </c>
      <c r="X32" s="162">
        <f t="shared" si="16"/>
        <v>0</v>
      </c>
      <c r="AA32" s="164">
        <f t="shared" si="4"/>
        <v>50000</v>
      </c>
      <c r="AB32" s="165">
        <f t="shared" si="5"/>
        <v>-165</v>
      </c>
      <c r="AC32" s="165">
        <f t="shared" si="6"/>
        <v>424315</v>
      </c>
      <c r="AD32" s="165">
        <f t="shared" si="17"/>
        <v>7332.2445000000007</v>
      </c>
      <c r="AE32" s="165">
        <f t="shared" si="7"/>
        <v>-149514.5</v>
      </c>
      <c r="AF32" s="165">
        <f t="shared" si="8"/>
        <v>438302</v>
      </c>
      <c r="AG32" s="165"/>
      <c r="AH32" s="230">
        <f t="shared" si="9"/>
        <v>0</v>
      </c>
    </row>
    <row r="33" spans="2:34" ht="26.25" customHeight="1">
      <c r="B33" s="166">
        <f t="shared" si="10"/>
        <v>44622</v>
      </c>
      <c r="C33" s="221"/>
      <c r="D33" s="221"/>
      <c r="E33" s="221"/>
      <c r="F33" s="221"/>
      <c r="G33" s="221"/>
      <c r="H33" s="292">
        <f t="shared" si="18"/>
        <v>0</v>
      </c>
      <c r="I33" s="137"/>
      <c r="J33" s="137">
        <f t="shared" si="20"/>
        <v>0</v>
      </c>
      <c r="K33" s="137"/>
      <c r="L33" s="256">
        <f t="shared" si="21"/>
        <v>0</v>
      </c>
      <c r="M33" s="136"/>
      <c r="N33" s="256">
        <f>L33+M33</f>
        <v>0</v>
      </c>
      <c r="O33" s="323">
        <f t="shared" si="2"/>
        <v>0</v>
      </c>
      <c r="P33" s="323">
        <f t="shared" si="3"/>
        <v>0</v>
      </c>
      <c r="Q33" s="135"/>
      <c r="R33" s="211">
        <f t="shared" si="19"/>
        <v>0</v>
      </c>
      <c r="S33" s="135"/>
      <c r="T33" s="159">
        <f t="shared" si="12"/>
        <v>0</v>
      </c>
      <c r="U33" s="159">
        <f t="shared" si="13"/>
        <v>0</v>
      </c>
      <c r="V33" s="159">
        <f t="shared" si="14"/>
        <v>0</v>
      </c>
      <c r="W33" s="294">
        <f t="shared" si="15"/>
        <v>0</v>
      </c>
      <c r="X33" s="162">
        <f t="shared" si="16"/>
        <v>0</v>
      </c>
      <c r="AA33" s="164">
        <f t="shared" si="4"/>
        <v>50000</v>
      </c>
      <c r="AB33" s="165">
        <f t="shared" si="5"/>
        <v>-165</v>
      </c>
      <c r="AC33" s="165">
        <f t="shared" si="6"/>
        <v>424315</v>
      </c>
      <c r="AD33" s="165">
        <f t="shared" si="17"/>
        <v>7332.2445000000007</v>
      </c>
      <c r="AE33" s="165">
        <f t="shared" si="7"/>
        <v>-149514.5</v>
      </c>
      <c r="AF33" s="165">
        <f t="shared" si="8"/>
        <v>438302</v>
      </c>
      <c r="AG33" s="165"/>
      <c r="AH33" s="230">
        <f t="shared" si="9"/>
        <v>0</v>
      </c>
    </row>
    <row r="34" spans="2:34" ht="26.25" customHeight="1">
      <c r="B34" s="166">
        <f t="shared" si="10"/>
        <v>44623</v>
      </c>
      <c r="C34" s="221"/>
      <c r="D34" s="221"/>
      <c r="E34" s="221"/>
      <c r="F34" s="221"/>
      <c r="G34" s="221"/>
      <c r="H34" s="292">
        <f t="shared" si="18"/>
        <v>0</v>
      </c>
      <c r="I34" s="137"/>
      <c r="J34" s="137">
        <f t="shared" si="20"/>
        <v>0</v>
      </c>
      <c r="K34" s="137"/>
      <c r="L34" s="256">
        <f t="shared" si="21"/>
        <v>0</v>
      </c>
      <c r="M34" s="136"/>
      <c r="N34" s="256">
        <f t="shared" si="11"/>
        <v>0</v>
      </c>
      <c r="O34" s="323">
        <f t="shared" si="2"/>
        <v>0</v>
      </c>
      <c r="P34" s="323">
        <f t="shared" si="3"/>
        <v>0</v>
      </c>
      <c r="Q34" s="135"/>
      <c r="R34" s="211">
        <f>Q34-S34</f>
        <v>0</v>
      </c>
      <c r="S34" s="135"/>
      <c r="T34" s="159">
        <f t="shared" si="12"/>
        <v>0</v>
      </c>
      <c r="U34" s="159">
        <f t="shared" si="13"/>
        <v>0</v>
      </c>
      <c r="V34" s="159">
        <f t="shared" si="14"/>
        <v>0</v>
      </c>
      <c r="W34" s="294">
        <f t="shared" si="15"/>
        <v>0</v>
      </c>
      <c r="X34" s="162">
        <f t="shared" si="16"/>
        <v>0</v>
      </c>
      <c r="AA34" s="164">
        <f t="shared" si="4"/>
        <v>50000</v>
      </c>
      <c r="AB34" s="165">
        <f t="shared" si="5"/>
        <v>-165</v>
      </c>
      <c r="AC34" s="165">
        <f t="shared" si="6"/>
        <v>424315</v>
      </c>
      <c r="AD34" s="165">
        <f t="shared" si="17"/>
        <v>7332.2445000000007</v>
      </c>
      <c r="AE34" s="165">
        <f t="shared" si="7"/>
        <v>-149514.5</v>
      </c>
      <c r="AF34" s="165">
        <f t="shared" si="8"/>
        <v>438302</v>
      </c>
      <c r="AG34" s="165"/>
      <c r="AH34" s="230">
        <f t="shared" si="9"/>
        <v>0</v>
      </c>
    </row>
    <row r="35" spans="2:34" ht="26.25" customHeight="1" thickBot="1">
      <c r="B35" s="138"/>
      <c r="C35" s="139"/>
      <c r="D35" s="139"/>
      <c r="E35" s="139"/>
      <c r="F35" s="140"/>
      <c r="G35" s="325"/>
      <c r="H35" s="326">
        <f t="shared" ref="H35" si="22">SUM(F35:G35)</f>
        <v>0</v>
      </c>
      <c r="I35" s="142"/>
      <c r="J35" s="142">
        <f t="shared" si="20"/>
        <v>0</v>
      </c>
      <c r="K35" s="142"/>
      <c r="L35" s="143"/>
      <c r="M35" s="143"/>
      <c r="N35" s="143"/>
      <c r="O35" s="322"/>
      <c r="P35" s="322"/>
      <c r="Q35" s="144"/>
      <c r="R35" s="212"/>
      <c r="S35" s="144"/>
      <c r="T35" s="160"/>
      <c r="U35" s="160"/>
      <c r="V35" s="160"/>
      <c r="W35" s="295"/>
      <c r="X35" s="163"/>
      <c r="AA35" s="164"/>
      <c r="AB35" s="165"/>
      <c r="AC35" s="165"/>
      <c r="AD35" s="165"/>
      <c r="AE35" s="165"/>
      <c r="AF35" s="165"/>
      <c r="AG35" s="165"/>
      <c r="AH35" s="230"/>
    </row>
    <row r="36" spans="2:34" ht="14.25" customHeight="1" thickBot="1">
      <c r="H36" s="324"/>
      <c r="AB36" s="165"/>
    </row>
    <row r="37" spans="2:34" ht="23.25" customHeight="1" thickBot="1">
      <c r="B37" s="145" t="s">
        <v>99</v>
      </c>
      <c r="C37" s="175">
        <f>SUM(C4:C35)</f>
        <v>0</v>
      </c>
      <c r="D37" s="175">
        <f t="shared" ref="D37:X37" si="23">SUM(D4:D35)</f>
        <v>0</v>
      </c>
      <c r="E37" s="175">
        <f t="shared" si="23"/>
        <v>0</v>
      </c>
      <c r="F37" s="175">
        <f t="shared" si="23"/>
        <v>260000</v>
      </c>
      <c r="G37" s="175">
        <f t="shared" si="23"/>
        <v>-210000</v>
      </c>
      <c r="H37" s="175">
        <f t="shared" si="23"/>
        <v>50000</v>
      </c>
      <c r="I37" s="175">
        <f>SUM(I4:I35)</f>
        <v>0</v>
      </c>
      <c r="J37" s="175">
        <f>SUM(J4:J35)</f>
        <v>0</v>
      </c>
      <c r="K37" s="175">
        <f t="shared" si="23"/>
        <v>-165</v>
      </c>
      <c r="L37" s="175">
        <f>SUM(L4:L35)</f>
        <v>-49835</v>
      </c>
      <c r="M37" s="277">
        <f t="shared" si="23"/>
        <v>-99679.5</v>
      </c>
      <c r="N37" s="277">
        <f t="shared" si="23"/>
        <v>-149514.5</v>
      </c>
      <c r="O37" s="175">
        <f t="shared" si="23"/>
        <v>74757.25</v>
      </c>
      <c r="P37" s="175">
        <f t="shared" si="23"/>
        <v>74757.25</v>
      </c>
      <c r="Q37" s="175">
        <f t="shared" si="23"/>
        <v>862617</v>
      </c>
      <c r="R37" s="175">
        <f t="shared" si="23"/>
        <v>424315</v>
      </c>
      <c r="S37" s="361">
        <f t="shared" si="23"/>
        <v>438302</v>
      </c>
      <c r="T37" s="175">
        <f t="shared" si="23"/>
        <v>7451.1340000000009</v>
      </c>
      <c r="U37" s="175">
        <f t="shared" si="23"/>
        <v>7213.3550000000005</v>
      </c>
      <c r="V37" s="175">
        <f t="shared" si="23"/>
        <v>14664.489000000001</v>
      </c>
      <c r="W37" s="175">
        <f t="shared" si="23"/>
        <v>7332.2445000000007</v>
      </c>
      <c r="X37" s="274">
        <f t="shared" si="23"/>
        <v>74638.360499999981</v>
      </c>
    </row>
    <row r="38" spans="2:34" ht="19.5" customHeight="1">
      <c r="I38" s="146"/>
      <c r="J38" s="146"/>
      <c r="K38" s="146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</row>
    <row r="39" spans="2:34" ht="19.5" customHeight="1">
      <c r="I39" s="146"/>
      <c r="J39" s="146"/>
      <c r="K39" s="146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</row>
    <row r="40" spans="2:34" ht="24" customHeight="1">
      <c r="C40" s="242" t="s">
        <v>163</v>
      </c>
      <c r="D40" s="242"/>
      <c r="E40" s="242"/>
      <c r="F40" s="173"/>
      <c r="G40" s="173"/>
      <c r="H40" s="411">
        <f>H37</f>
        <v>50000</v>
      </c>
      <c r="I40" s="411"/>
      <c r="J40" s="327"/>
      <c r="K40" s="264"/>
      <c r="L40" s="264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</row>
    <row r="41" spans="2:34" ht="24" customHeight="1">
      <c r="C41" s="242" t="s">
        <v>178</v>
      </c>
      <c r="D41" s="242"/>
      <c r="E41" s="242"/>
      <c r="F41" s="150"/>
      <c r="G41" s="150"/>
      <c r="H41" s="418">
        <f>N37</f>
        <v>-149514.5</v>
      </c>
      <c r="I41" s="418"/>
      <c r="J41" s="328"/>
      <c r="K41" s="264"/>
      <c r="L41" s="264"/>
      <c r="M41" s="173"/>
      <c r="N41" s="257" t="s">
        <v>167</v>
      </c>
      <c r="O41" s="173"/>
      <c r="P41" s="173"/>
      <c r="Q41" s="173"/>
      <c r="R41" s="173"/>
      <c r="S41" s="173"/>
      <c r="T41" s="257" t="s">
        <v>171</v>
      </c>
      <c r="U41" s="173"/>
      <c r="V41" s="173"/>
      <c r="W41" s="173"/>
      <c r="Y41" s="173"/>
      <c r="Z41" s="173"/>
      <c r="AA41" s="173"/>
    </row>
    <row r="42" spans="2:34" ht="24" customHeight="1" thickBot="1">
      <c r="C42" s="242" t="s">
        <v>176</v>
      </c>
      <c r="D42" s="242"/>
      <c r="E42" s="242"/>
      <c r="F42" s="150"/>
      <c r="G42" s="150"/>
      <c r="H42" s="419">
        <f>-ROUNDDOWN(H41*50%,0)</f>
        <v>74757</v>
      </c>
      <c r="I42" s="419"/>
      <c r="J42" s="328"/>
      <c r="K42" s="264"/>
      <c r="L42" s="264"/>
      <c r="M42" s="173"/>
      <c r="N42" s="148" t="s">
        <v>168</v>
      </c>
      <c r="O42" s="246"/>
      <c r="P42" s="246"/>
      <c r="Q42" s="246"/>
      <c r="R42" s="173"/>
      <c r="S42" s="173"/>
      <c r="T42" s="148" t="s">
        <v>189</v>
      </c>
      <c r="U42" s="173"/>
      <c r="V42" s="173"/>
      <c r="W42" s="173"/>
      <c r="Y42" s="173"/>
      <c r="Z42" s="173"/>
      <c r="AA42" s="173"/>
    </row>
    <row r="43" spans="2:34" ht="8.25" customHeight="1" thickTop="1">
      <c r="C43" s="242"/>
      <c r="D43" s="242"/>
      <c r="E43" s="242"/>
      <c r="F43" s="150"/>
      <c r="G43" s="150"/>
      <c r="H43" s="173"/>
      <c r="I43" s="265"/>
      <c r="J43" s="265"/>
      <c r="K43" s="264"/>
      <c r="L43" s="264"/>
      <c r="M43" s="173"/>
      <c r="N43" s="148"/>
      <c r="O43" s="173"/>
      <c r="P43" s="173"/>
      <c r="Q43" s="173"/>
      <c r="R43" s="173"/>
      <c r="S43" s="173"/>
      <c r="T43" s="148"/>
      <c r="U43" s="173"/>
      <c r="V43" s="173"/>
      <c r="W43" s="173"/>
      <c r="Y43" s="173"/>
      <c r="Z43" s="173"/>
      <c r="AA43" s="173"/>
    </row>
    <row r="44" spans="2:34" ht="24" customHeight="1">
      <c r="C44" s="242" t="s">
        <v>164</v>
      </c>
      <c r="D44" s="242"/>
      <c r="E44" s="242"/>
      <c r="F44" s="150"/>
      <c r="G44" s="150"/>
      <c r="H44" s="413">
        <f>R37</f>
        <v>424315</v>
      </c>
      <c r="I44" s="413"/>
      <c r="J44" s="328"/>
      <c r="K44" s="264"/>
      <c r="L44" s="264"/>
      <c r="M44" s="173"/>
      <c r="N44" s="257" t="s">
        <v>169</v>
      </c>
      <c r="O44" s="173"/>
      <c r="P44" s="173"/>
      <c r="Q44" s="173"/>
      <c r="R44" s="173"/>
      <c r="S44" s="173"/>
      <c r="T44" s="257" t="s">
        <v>169</v>
      </c>
      <c r="U44" s="173"/>
      <c r="V44" s="173"/>
      <c r="W44" s="173"/>
      <c r="Z44" s="173"/>
      <c r="AA44" s="173"/>
    </row>
    <row r="45" spans="2:34" ht="24" customHeight="1">
      <c r="C45" s="242" t="s">
        <v>200</v>
      </c>
      <c r="D45" s="242"/>
      <c r="E45" s="242"/>
      <c r="F45" s="150"/>
      <c r="G45" s="150"/>
      <c r="H45" s="413">
        <f>H44*1.7%</f>
        <v>7213.3550000000005</v>
      </c>
      <c r="I45" s="413"/>
      <c r="J45" s="328"/>
      <c r="K45" s="264"/>
      <c r="L45" s="264"/>
      <c r="M45" s="173"/>
      <c r="N45" s="148" t="s">
        <v>170</v>
      </c>
      <c r="O45" s="246"/>
      <c r="P45" s="246"/>
      <c r="Q45" s="246"/>
      <c r="R45" s="173"/>
      <c r="S45" s="173"/>
      <c r="T45" s="148" t="s">
        <v>204</v>
      </c>
      <c r="U45" s="173"/>
      <c r="V45" s="173"/>
      <c r="W45" s="173"/>
      <c r="Z45" s="173"/>
      <c r="AA45" s="173"/>
    </row>
    <row r="46" spans="2:34" ht="24" customHeight="1">
      <c r="C46" s="242" t="s">
        <v>198</v>
      </c>
      <c r="D46" s="242"/>
      <c r="E46" s="242"/>
      <c r="F46" s="150"/>
      <c r="G46" s="150"/>
      <c r="H46" s="413">
        <f>-H45*50%</f>
        <v>-3606.6775000000002</v>
      </c>
      <c r="I46" s="413"/>
      <c r="J46" s="328"/>
      <c r="K46" s="264"/>
      <c r="L46" s="264"/>
      <c r="M46" s="173"/>
      <c r="N46" s="148"/>
      <c r="O46" s="173"/>
      <c r="P46" s="173"/>
      <c r="Q46" s="173"/>
      <c r="R46" s="173"/>
      <c r="S46" s="173"/>
      <c r="V46" s="148"/>
      <c r="W46" s="148"/>
      <c r="Z46" s="173"/>
      <c r="AA46" s="173"/>
    </row>
    <row r="47" spans="2:34" ht="24" customHeight="1">
      <c r="C47" s="242" t="s">
        <v>201</v>
      </c>
      <c r="D47" s="242"/>
      <c r="E47" s="242"/>
      <c r="F47" s="150"/>
      <c r="G47" s="150"/>
      <c r="H47" s="413">
        <f>S37</f>
        <v>438302</v>
      </c>
      <c r="I47" s="413"/>
      <c r="J47" s="328"/>
      <c r="K47" s="264"/>
      <c r="L47" s="264"/>
      <c r="M47" s="173"/>
      <c r="N47" s="148"/>
      <c r="O47" s="173"/>
      <c r="P47" s="173"/>
      <c r="Q47" s="173"/>
      <c r="R47" s="173"/>
      <c r="S47" s="173"/>
      <c r="V47" s="148"/>
      <c r="W47" s="148"/>
      <c r="Z47" s="173"/>
      <c r="AA47" s="173"/>
    </row>
    <row r="48" spans="2:34" ht="24" customHeight="1">
      <c r="C48" s="242" t="s">
        <v>202</v>
      </c>
      <c r="D48" s="242"/>
      <c r="E48" s="242"/>
      <c r="F48" s="150"/>
      <c r="G48" s="150"/>
      <c r="H48" s="413">
        <f>T37</f>
        <v>7451.1340000000009</v>
      </c>
      <c r="I48" s="413"/>
      <c r="J48" s="328"/>
      <c r="K48" s="264"/>
      <c r="L48" s="264"/>
      <c r="M48" s="173"/>
      <c r="N48" s="148"/>
      <c r="O48" s="173"/>
      <c r="P48" s="173"/>
      <c r="Q48" s="173"/>
      <c r="R48" s="173"/>
      <c r="S48" s="173"/>
      <c r="V48" s="148"/>
      <c r="W48" s="148"/>
      <c r="Z48" s="173"/>
      <c r="AA48" s="173"/>
    </row>
    <row r="49" spans="2:27" ht="24" customHeight="1">
      <c r="C49" s="242" t="s">
        <v>199</v>
      </c>
      <c r="D49" s="242"/>
      <c r="E49" s="242"/>
      <c r="F49" s="150"/>
      <c r="G49" s="150"/>
      <c r="H49" s="413">
        <f>-H48*50%</f>
        <v>-3725.5670000000005</v>
      </c>
      <c r="I49" s="413"/>
      <c r="J49" s="328"/>
      <c r="K49" s="264"/>
      <c r="L49" s="264"/>
      <c r="M49" s="173"/>
      <c r="N49" s="148"/>
      <c r="O49" s="173"/>
      <c r="P49" s="173"/>
      <c r="Q49" s="173"/>
      <c r="R49" s="173"/>
      <c r="S49" s="173"/>
      <c r="V49" s="148"/>
      <c r="W49" s="148"/>
      <c r="Z49" s="173"/>
      <c r="AA49" s="173"/>
    </row>
    <row r="50" spans="2:27" ht="24" customHeight="1">
      <c r="B50" s="149"/>
      <c r="C50" s="242" t="s">
        <v>177</v>
      </c>
      <c r="D50" s="124"/>
      <c r="E50" s="124"/>
      <c r="F50" s="124"/>
      <c r="G50" s="124"/>
      <c r="H50" s="413">
        <v>0</v>
      </c>
      <c r="I50" s="413"/>
      <c r="J50" s="328"/>
      <c r="K50" s="264"/>
      <c r="L50" s="264"/>
      <c r="M50" s="173"/>
      <c r="N50" s="330"/>
      <c r="O50" s="148"/>
      <c r="P50" s="173"/>
      <c r="Q50" s="173"/>
      <c r="R50" s="173"/>
      <c r="S50" s="173"/>
      <c r="V50" s="148"/>
      <c r="W50" s="148"/>
      <c r="Z50" s="173"/>
      <c r="AA50" s="173"/>
    </row>
    <row r="51" spans="2:27" ht="24" customHeight="1" thickBot="1">
      <c r="B51" s="149"/>
      <c r="C51" s="242"/>
      <c r="D51" s="242"/>
      <c r="E51" s="242"/>
      <c r="F51" s="173"/>
      <c r="G51" s="173"/>
      <c r="H51" s="420">
        <f>ROUNDDOWN(H45+H46+H49+H50,0)</f>
        <v>-118</v>
      </c>
      <c r="I51" s="420"/>
      <c r="J51" s="328"/>
      <c r="K51" s="264"/>
      <c r="L51" s="264"/>
      <c r="M51" s="173"/>
      <c r="N51" s="257" t="s">
        <v>173</v>
      </c>
      <c r="O51" s="173"/>
      <c r="P51" s="173"/>
      <c r="Q51" s="173"/>
      <c r="R51" s="173"/>
      <c r="S51" s="173"/>
      <c r="T51" s="257" t="s">
        <v>45</v>
      </c>
      <c r="U51" s="173"/>
      <c r="V51" s="173"/>
      <c r="W51" s="173"/>
      <c r="Z51" s="173"/>
      <c r="AA51" s="173"/>
    </row>
    <row r="52" spans="2:27" ht="21.75" customHeight="1" thickTop="1">
      <c r="B52" s="149"/>
      <c r="C52" s="242"/>
      <c r="D52" s="242"/>
      <c r="E52" s="242"/>
      <c r="F52" s="173"/>
      <c r="G52" s="173"/>
      <c r="H52" s="173"/>
      <c r="I52" s="327"/>
      <c r="J52" s="328"/>
      <c r="K52" s="264"/>
      <c r="L52" s="264"/>
      <c r="M52" s="173"/>
      <c r="N52" s="148" t="s">
        <v>172</v>
      </c>
      <c r="O52" s="246"/>
      <c r="P52" s="246"/>
      <c r="Q52" s="246"/>
      <c r="R52" s="173"/>
      <c r="S52" s="173"/>
      <c r="T52" s="148" t="s">
        <v>191</v>
      </c>
      <c r="U52" s="173"/>
      <c r="V52" s="173"/>
      <c r="W52" s="173"/>
      <c r="Z52" s="173"/>
      <c r="AA52" s="173"/>
    </row>
    <row r="53" spans="2:27" ht="30" customHeight="1">
      <c r="B53" s="149"/>
      <c r="C53" s="242" t="s">
        <v>203</v>
      </c>
      <c r="D53" s="242"/>
      <c r="E53" s="242"/>
      <c r="F53" s="173"/>
      <c r="G53" s="173"/>
      <c r="H53" s="421">
        <f>H42+H51</f>
        <v>74639</v>
      </c>
      <c r="I53" s="421"/>
      <c r="J53" s="328"/>
      <c r="K53" s="284"/>
      <c r="L53" s="284"/>
      <c r="M53" s="173"/>
      <c r="N53" s="148"/>
      <c r="O53" s="173"/>
      <c r="P53" s="173"/>
      <c r="Q53" s="173"/>
      <c r="R53" s="173"/>
      <c r="S53" s="173"/>
      <c r="T53" s="148"/>
      <c r="U53" s="173"/>
      <c r="V53" s="173"/>
      <c r="W53" s="173"/>
      <c r="Z53" s="173"/>
      <c r="AA53" s="173"/>
    </row>
    <row r="54" spans="2:27" ht="26.25" customHeight="1">
      <c r="B54" s="255"/>
      <c r="C54" s="242"/>
      <c r="D54" s="124"/>
      <c r="E54" s="124"/>
      <c r="F54" s="124"/>
      <c r="G54" s="124"/>
      <c r="H54" s="422"/>
      <c r="I54" s="422"/>
      <c r="J54" s="328"/>
      <c r="K54" s="283"/>
      <c r="L54" s="283"/>
      <c r="M54" s="173"/>
      <c r="N54" s="257" t="s">
        <v>169</v>
      </c>
      <c r="R54" s="173"/>
      <c r="S54" s="173"/>
      <c r="T54" s="257" t="s">
        <v>169</v>
      </c>
      <c r="U54" s="150"/>
      <c r="V54" s="150"/>
      <c r="W54" s="150"/>
      <c r="Z54" s="173"/>
      <c r="AA54" s="173"/>
    </row>
    <row r="55" spans="2:27" ht="26.25" customHeight="1">
      <c r="B55" s="254"/>
      <c r="C55" s="242" t="s">
        <v>175</v>
      </c>
      <c r="D55" s="242"/>
      <c r="E55" s="242"/>
      <c r="H55" s="412">
        <f>H40+H53</f>
        <v>124639</v>
      </c>
      <c r="I55" s="412"/>
      <c r="J55" s="328"/>
      <c r="K55" s="283"/>
      <c r="L55" s="283"/>
      <c r="M55" s="173"/>
      <c r="N55" s="148" t="s">
        <v>170</v>
      </c>
      <c r="O55" s="248"/>
      <c r="P55" s="248"/>
      <c r="Q55" s="248"/>
      <c r="R55" s="173"/>
      <c r="S55" s="173"/>
      <c r="T55" s="148" t="s">
        <v>205</v>
      </c>
      <c r="U55" s="150"/>
      <c r="V55" s="150"/>
      <c r="W55" s="150"/>
      <c r="Z55" s="173"/>
      <c r="AA55" s="173"/>
    </row>
    <row r="56" spans="2:27" ht="25.5" customHeight="1">
      <c r="D56" s="242"/>
      <c r="E56" s="242"/>
      <c r="G56" s="254"/>
      <c r="K56" s="283"/>
      <c r="L56" s="283"/>
      <c r="M56" s="173"/>
      <c r="S56" s="173"/>
      <c r="Z56" s="150"/>
      <c r="AA56" s="150"/>
    </row>
    <row r="57" spans="2:27" ht="28.5">
      <c r="B57" s="124"/>
      <c r="C57" s="124"/>
      <c r="D57" s="124"/>
      <c r="E57" s="124"/>
      <c r="F57" s="124"/>
      <c r="I57" s="151"/>
      <c r="J57" s="151"/>
      <c r="K57" s="283"/>
      <c r="L57" s="283"/>
      <c r="M57" s="173"/>
      <c r="N57" s="148"/>
      <c r="O57" s="148"/>
      <c r="T57" s="148"/>
      <c r="U57" s="150"/>
      <c r="V57" s="150"/>
      <c r="W57" s="150"/>
      <c r="Y57" s="150"/>
      <c r="Z57" s="150"/>
      <c r="AA57" s="150"/>
    </row>
    <row r="58" spans="2:27" ht="28.5">
      <c r="B58" s="124"/>
      <c r="C58" s="124"/>
      <c r="D58" s="124"/>
      <c r="E58" s="124"/>
      <c r="F58" s="124"/>
      <c r="G58" s="124"/>
      <c r="H58" s="124"/>
      <c r="K58" s="283"/>
      <c r="L58" s="173"/>
      <c r="M58" s="329"/>
      <c r="N58" s="148"/>
      <c r="U58" s="148"/>
      <c r="V58" s="150"/>
      <c r="W58" s="150"/>
      <c r="X58" s="150"/>
      <c r="Y58" s="150"/>
      <c r="Z58" s="150"/>
    </row>
    <row r="59" spans="2:27" ht="28.5">
      <c r="B59" s="124"/>
      <c r="C59" s="124"/>
      <c r="D59" s="124"/>
      <c r="E59" s="124"/>
      <c r="F59" s="124"/>
      <c r="G59" s="124"/>
      <c r="H59" s="124"/>
      <c r="L59" s="153"/>
      <c r="N59" s="148"/>
      <c r="T59" s="148"/>
      <c r="U59" s="173"/>
      <c r="V59" s="173"/>
      <c r="W59" s="173"/>
      <c r="Y59" s="150"/>
    </row>
    <row r="60" spans="2:27" ht="23.25">
      <c r="G60" s="124"/>
      <c r="H60" s="124"/>
      <c r="L60" s="154"/>
      <c r="N60" s="257"/>
      <c r="T60" s="257"/>
      <c r="U60" s="150"/>
      <c r="V60" s="150"/>
      <c r="W60" s="150"/>
      <c r="Y60" s="150"/>
    </row>
    <row r="61" spans="2:27" ht="18.75">
      <c r="L61" s="155"/>
      <c r="M61" s="153"/>
      <c r="N61" s="148"/>
      <c r="T61" s="148"/>
      <c r="U61" s="150"/>
      <c r="V61" s="150"/>
      <c r="W61" s="150"/>
    </row>
    <row r="62" spans="2:27" ht="18.75">
      <c r="L62" s="156"/>
      <c r="M62" s="154"/>
      <c r="N62" s="247"/>
      <c r="T62" s="150"/>
      <c r="U62" s="150"/>
    </row>
    <row r="63" spans="2:27">
      <c r="L63" s="156"/>
      <c r="M63" s="155"/>
    </row>
    <row r="64" spans="2:27" ht="15.75">
      <c r="L64" s="156"/>
      <c r="M64" s="156"/>
      <c r="N64" s="153"/>
      <c r="Q64" s="152"/>
    </row>
    <row r="65" spans="9:24">
      <c r="L65" s="156"/>
      <c r="M65" s="156"/>
      <c r="N65" s="154"/>
    </row>
    <row r="66" spans="9:24">
      <c r="L66" s="156"/>
      <c r="M66" s="156"/>
      <c r="N66" s="155"/>
    </row>
    <row r="67" spans="9:24">
      <c r="L67" s="156"/>
      <c r="M67" s="156"/>
      <c r="N67" s="156"/>
    </row>
    <row r="68" spans="9:24">
      <c r="L68" s="156"/>
      <c r="M68" s="156"/>
      <c r="N68" s="156"/>
    </row>
    <row r="69" spans="9:24" s="123" customFormat="1">
      <c r="I69" s="124"/>
      <c r="J69" s="124"/>
      <c r="K69" s="124"/>
      <c r="L69" s="156"/>
      <c r="M69" s="156"/>
      <c r="N69" s="156"/>
      <c r="O69" s="124"/>
      <c r="P69" s="124"/>
      <c r="Q69" s="124"/>
      <c r="R69" s="124"/>
      <c r="S69" s="124"/>
      <c r="T69" s="124"/>
      <c r="U69" s="124"/>
      <c r="V69" s="124"/>
      <c r="W69" s="124"/>
      <c r="X69" s="124"/>
    </row>
    <row r="70" spans="9:24">
      <c r="L70" s="156"/>
      <c r="M70" s="156"/>
      <c r="N70" s="156"/>
    </row>
    <row r="71" spans="9:24">
      <c r="L71" s="156"/>
      <c r="M71" s="156"/>
      <c r="N71" s="156"/>
    </row>
    <row r="72" spans="9:24">
      <c r="M72" s="156"/>
      <c r="N72" s="156"/>
    </row>
    <row r="73" spans="9:24">
      <c r="M73" s="156"/>
      <c r="N73" s="156"/>
    </row>
    <row r="74" spans="9:24">
      <c r="N74" s="156"/>
    </row>
    <row r="75" spans="9:24">
      <c r="N75" s="156"/>
    </row>
    <row r="76" spans="9:24">
      <c r="N76" s="156"/>
    </row>
  </sheetData>
  <sheetProtection algorithmName="SHA-512" hashValue="Sv+ZgW5IDPUa+4sSfv90rr7/uZl+BTMuh0dujDg8nzZ6n+PDcxW7NGAzg4rgbmg9h609La09P464+rY3aQqV8A==" saltValue="6o/Ucw5wdkWU4dpzVVy17Q==" spinCount="100000" sheet="1" objects="1" scenarios="1"/>
  <mergeCells count="15">
    <mergeCell ref="H45:I45"/>
    <mergeCell ref="B2:X2"/>
    <mergeCell ref="H40:I40"/>
    <mergeCell ref="H41:I41"/>
    <mergeCell ref="H42:I42"/>
    <mergeCell ref="H44:I44"/>
    <mergeCell ref="H53:I53"/>
    <mergeCell ref="H54:I54"/>
    <mergeCell ref="H55:I55"/>
    <mergeCell ref="H46:I46"/>
    <mergeCell ref="H47:I47"/>
    <mergeCell ref="H48:I48"/>
    <mergeCell ref="H49:I49"/>
    <mergeCell ref="H50:I50"/>
    <mergeCell ref="H51:I51"/>
  </mergeCells>
  <printOptions horizontalCentered="1"/>
  <pageMargins left="0" right="0" top="0" bottom="0" header="0" footer="0"/>
  <pageSetup scale="38" orientation="landscape" horizontalDpi="360" verticalDpi="36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>
    <tabColor rgb="FFFFFF00"/>
    <pageSetUpPr fitToPage="1"/>
  </sheetPr>
  <dimension ref="B1:AI76"/>
  <sheetViews>
    <sheetView showGridLines="0" view="pageBreakPreview" zoomScale="80" zoomScaleNormal="90" zoomScaleSheetLayoutView="80" workbookViewId="0">
      <pane ySplit="3" topLeftCell="A4" activePane="bottomLeft" state="frozen"/>
      <selection activeCell="Q50" sqref="Q50"/>
      <selection pane="bottomLeft" activeCell="G17" sqref="G17"/>
    </sheetView>
  </sheetViews>
  <sheetFormatPr defaultRowHeight="15"/>
  <cols>
    <col min="1" max="1" width="1" style="124" customWidth="1"/>
    <col min="2" max="2" width="12.28515625" style="123" bestFit="1" customWidth="1"/>
    <col min="3" max="5" width="12.28515625" style="123" customWidth="1"/>
    <col min="6" max="6" width="14.140625" style="123" customWidth="1"/>
    <col min="7" max="7" width="14.42578125" style="123" bestFit="1" customWidth="1"/>
    <col min="8" max="8" width="14.85546875" style="123" customWidth="1"/>
    <col min="9" max="11" width="15.42578125" style="124" customWidth="1"/>
    <col min="12" max="14" width="17.42578125" style="124" customWidth="1"/>
    <col min="15" max="15" width="13.5703125" style="124" bestFit="1" customWidth="1"/>
    <col min="16" max="16" width="14.140625" style="124" bestFit="1" customWidth="1"/>
    <col min="17" max="19" width="19" style="124" customWidth="1"/>
    <col min="20" max="20" width="18.42578125" style="124" customWidth="1"/>
    <col min="21" max="21" width="13.85546875" style="124" customWidth="1"/>
    <col min="22" max="23" width="13.7109375" style="124" customWidth="1"/>
    <col min="24" max="24" width="24.140625" style="124" bestFit="1" customWidth="1"/>
    <col min="25" max="25" width="1.5703125" style="124" customWidth="1"/>
    <col min="26" max="26" width="9.140625" style="124" hidden="1" customWidth="1"/>
    <col min="27" max="27" width="8.85546875" style="124" hidden="1" customWidth="1"/>
    <col min="28" max="28" width="10.140625" style="124" hidden="1" customWidth="1"/>
    <col min="29" max="29" width="12.140625" style="124" hidden="1" customWidth="1"/>
    <col min="30" max="30" width="9.140625" style="124" hidden="1" customWidth="1"/>
    <col min="31" max="31" width="9.28515625" style="124" hidden="1" customWidth="1"/>
    <col min="32" max="32" width="11" style="124" hidden="1" customWidth="1"/>
    <col min="33" max="33" width="7.140625" style="124" hidden="1" customWidth="1"/>
    <col min="34" max="34" width="10.42578125" style="124" hidden="1" customWidth="1"/>
    <col min="35" max="35" width="10.5703125" style="124" hidden="1" customWidth="1"/>
    <col min="36" max="16384" width="9.140625" style="124"/>
  </cols>
  <sheetData>
    <row r="1" spans="2:34" ht="24.75" customHeight="1" thickBot="1"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</row>
    <row r="2" spans="2:34" ht="28.5" customHeight="1" thickBot="1">
      <c r="B2" s="414" t="s">
        <v>220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415"/>
      <c r="X2" s="416"/>
    </row>
    <row r="3" spans="2:34" ht="60.75" thickBot="1">
      <c r="B3" s="125" t="s">
        <v>94</v>
      </c>
      <c r="C3" s="126" t="s">
        <v>121</v>
      </c>
      <c r="D3" s="126" t="s">
        <v>216</v>
      </c>
      <c r="E3" s="126" t="s">
        <v>215</v>
      </c>
      <c r="F3" s="126" t="s">
        <v>188</v>
      </c>
      <c r="G3" s="126" t="s">
        <v>186</v>
      </c>
      <c r="H3" s="126" t="s">
        <v>163</v>
      </c>
      <c r="I3" s="127" t="s">
        <v>111</v>
      </c>
      <c r="J3" s="127" t="s">
        <v>217</v>
      </c>
      <c r="K3" s="127" t="s">
        <v>183</v>
      </c>
      <c r="L3" s="127" t="s">
        <v>180</v>
      </c>
      <c r="M3" s="127" t="s">
        <v>181</v>
      </c>
      <c r="N3" s="127" t="s">
        <v>182</v>
      </c>
      <c r="O3" s="128">
        <v>-0.5</v>
      </c>
      <c r="P3" s="157">
        <f>-100%-O3</f>
        <v>-0.5</v>
      </c>
      <c r="Q3" s="127" t="s">
        <v>141</v>
      </c>
      <c r="R3" s="127" t="s">
        <v>142</v>
      </c>
      <c r="S3" s="127" t="s">
        <v>208</v>
      </c>
      <c r="T3" s="127" t="s">
        <v>125</v>
      </c>
      <c r="U3" s="206" t="s">
        <v>143</v>
      </c>
      <c r="V3" s="127" t="s">
        <v>97</v>
      </c>
      <c r="W3" s="127" t="s">
        <v>144</v>
      </c>
      <c r="X3" s="129" t="s">
        <v>96</v>
      </c>
      <c r="AA3" s="130" t="s">
        <v>106</v>
      </c>
      <c r="AB3" s="130" t="s">
        <v>95</v>
      </c>
      <c r="AC3" s="130" t="s">
        <v>107</v>
      </c>
      <c r="AD3" s="131" t="s">
        <v>108</v>
      </c>
      <c r="AE3" s="131" t="s">
        <v>109</v>
      </c>
      <c r="AF3" s="130" t="s">
        <v>147</v>
      </c>
      <c r="AG3" s="130" t="s">
        <v>110</v>
      </c>
      <c r="AH3" s="130" t="s">
        <v>120</v>
      </c>
    </row>
    <row r="4" spans="2:34" ht="26.25" customHeight="1">
      <c r="B4" s="132">
        <v>44593</v>
      </c>
      <c r="C4" s="240"/>
      <c r="D4" s="240"/>
      <c r="E4" s="240"/>
      <c r="F4" s="240"/>
      <c r="G4" s="240"/>
      <c r="H4" s="292">
        <f t="shared" ref="H4:H9" si="0">SUM(F4:G4)</f>
        <v>0</v>
      </c>
      <c r="I4" s="133"/>
      <c r="J4" s="137">
        <f t="shared" ref="J4:J9" si="1">SUM(D4:E4)</f>
        <v>0</v>
      </c>
      <c r="K4" s="133"/>
      <c r="L4" s="256">
        <f t="shared" ref="L4:L9" si="2">-F4-G4-I4-K4+E4</f>
        <v>0</v>
      </c>
      <c r="M4" s="133"/>
      <c r="N4" s="256">
        <f>L4+M4</f>
        <v>0</v>
      </c>
      <c r="O4" s="321">
        <f>N4*$O$3-J4</f>
        <v>0</v>
      </c>
      <c r="P4" s="321">
        <f>N4*$P$3-J4</f>
        <v>0</v>
      </c>
      <c r="Q4" s="210"/>
      <c r="R4" s="210">
        <f>Q4-S4</f>
        <v>0</v>
      </c>
      <c r="S4" s="134"/>
      <c r="T4" s="159">
        <f>S4*1.7%</f>
        <v>0</v>
      </c>
      <c r="U4" s="158">
        <f>R4*1.7%</f>
        <v>0</v>
      </c>
      <c r="V4" s="158">
        <f>SUM(T4:U4)</f>
        <v>0</v>
      </c>
      <c r="W4" s="293">
        <f>V4*50%</f>
        <v>0</v>
      </c>
      <c r="X4" s="286">
        <f>O4+W4-T4</f>
        <v>0</v>
      </c>
      <c r="AA4" s="164">
        <f>H4</f>
        <v>0</v>
      </c>
      <c r="AB4" s="165">
        <f>I4+K4</f>
        <v>0</v>
      </c>
      <c r="AC4" s="165">
        <f>R4</f>
        <v>0</v>
      </c>
      <c r="AD4" s="165">
        <f>W4</f>
        <v>0</v>
      </c>
      <c r="AE4" s="165">
        <f>N4</f>
        <v>0</v>
      </c>
      <c r="AF4" s="165">
        <f>S4</f>
        <v>0</v>
      </c>
      <c r="AG4" s="165"/>
      <c r="AH4" s="213">
        <f>C4</f>
        <v>0</v>
      </c>
    </row>
    <row r="5" spans="2:34" ht="26.25" customHeight="1">
      <c r="B5" s="166">
        <f>B4+1</f>
        <v>44594</v>
      </c>
      <c r="C5" s="221"/>
      <c r="D5" s="221"/>
      <c r="E5" s="221"/>
      <c r="F5" s="291"/>
      <c r="G5" s="291"/>
      <c r="H5" s="292">
        <f t="shared" si="0"/>
        <v>0</v>
      </c>
      <c r="I5" s="136"/>
      <c r="J5" s="137">
        <f t="shared" si="1"/>
        <v>0</v>
      </c>
      <c r="K5" s="136"/>
      <c r="L5" s="256">
        <f t="shared" si="2"/>
        <v>0</v>
      </c>
      <c r="M5" s="136"/>
      <c r="N5" s="256">
        <f>L5+M5</f>
        <v>0</v>
      </c>
      <c r="O5" s="323">
        <f t="shared" ref="O5:O34" si="3">N5*$O$3-J5</f>
        <v>0</v>
      </c>
      <c r="P5" s="323">
        <f t="shared" ref="P5:P34" si="4">N5*$P$3-J5</f>
        <v>0</v>
      </c>
      <c r="Q5" s="135"/>
      <c r="R5" s="211">
        <f>Q5-S5</f>
        <v>0</v>
      </c>
      <c r="S5" s="135"/>
      <c r="T5" s="159">
        <f>S5*1.7%</f>
        <v>0</v>
      </c>
      <c r="U5" s="159">
        <f>R5*1.7%</f>
        <v>0</v>
      </c>
      <c r="V5" s="159">
        <f>SUM(T5:U5)</f>
        <v>0</v>
      </c>
      <c r="W5" s="294">
        <f>V5*50%</f>
        <v>0</v>
      </c>
      <c r="X5" s="162">
        <f>O5+W5-T5</f>
        <v>0</v>
      </c>
      <c r="AA5" s="164">
        <f t="shared" ref="AA5:AA34" si="5">AA4+H5</f>
        <v>0</v>
      </c>
      <c r="AB5" s="165">
        <f t="shared" ref="AB5:AB34" si="6">AB4+I5+K5</f>
        <v>0</v>
      </c>
      <c r="AC5" s="165">
        <f t="shared" ref="AC5:AC34" si="7">R5+AC4</f>
        <v>0</v>
      </c>
      <c r="AD5" s="165">
        <f>W5+AD4</f>
        <v>0</v>
      </c>
      <c r="AE5" s="165">
        <f t="shared" ref="AE5:AE34" si="8">AE4+N5</f>
        <v>0</v>
      </c>
      <c r="AF5" s="165">
        <f t="shared" ref="AF5:AF34" si="9">S5+AF4</f>
        <v>0</v>
      </c>
      <c r="AG5" s="165"/>
      <c r="AH5" s="230">
        <f t="shared" ref="AH5:AH34" si="10">C5+AH4</f>
        <v>0</v>
      </c>
    </row>
    <row r="6" spans="2:34" ht="26.25" customHeight="1">
      <c r="B6" s="166">
        <f t="shared" ref="B6:B34" si="11">B5+1</f>
        <v>44595</v>
      </c>
      <c r="C6" s="221"/>
      <c r="D6" s="221"/>
      <c r="E6" s="221"/>
      <c r="F6" s="291"/>
      <c r="G6" s="291"/>
      <c r="H6" s="292">
        <f t="shared" si="0"/>
        <v>0</v>
      </c>
      <c r="I6" s="136"/>
      <c r="J6" s="137">
        <f t="shared" si="1"/>
        <v>0</v>
      </c>
      <c r="K6" s="136"/>
      <c r="L6" s="256">
        <f t="shared" si="2"/>
        <v>0</v>
      </c>
      <c r="M6" s="136"/>
      <c r="N6" s="256">
        <f t="shared" ref="N6:N34" si="12">L6+M6</f>
        <v>0</v>
      </c>
      <c r="O6" s="323">
        <f t="shared" si="3"/>
        <v>0</v>
      </c>
      <c r="P6" s="323">
        <f t="shared" si="4"/>
        <v>0</v>
      </c>
      <c r="Q6" s="135"/>
      <c r="R6" s="211">
        <f>Q6-S6</f>
        <v>0</v>
      </c>
      <c r="S6" s="135"/>
      <c r="T6" s="159">
        <f t="shared" ref="T6:T34" si="13">S6*1.7%</f>
        <v>0</v>
      </c>
      <c r="U6" s="159">
        <f t="shared" ref="U6:U34" si="14">R6*1.7%</f>
        <v>0</v>
      </c>
      <c r="V6" s="159">
        <f t="shared" ref="V6:V34" si="15">SUM(T6:U6)</f>
        <v>0</v>
      </c>
      <c r="W6" s="294">
        <f t="shared" ref="W6:W34" si="16">V6*50%</f>
        <v>0</v>
      </c>
      <c r="X6" s="162">
        <f t="shared" ref="X6:X34" si="17">O6+W6-T6</f>
        <v>0</v>
      </c>
      <c r="AA6" s="164">
        <f t="shared" si="5"/>
        <v>0</v>
      </c>
      <c r="AB6" s="165">
        <f t="shared" si="6"/>
        <v>0</v>
      </c>
      <c r="AC6" s="165">
        <f t="shared" si="7"/>
        <v>0</v>
      </c>
      <c r="AD6" s="165">
        <f t="shared" ref="AD6:AD34" si="18">W6+AD5</f>
        <v>0</v>
      </c>
      <c r="AE6" s="165">
        <f t="shared" si="8"/>
        <v>0</v>
      </c>
      <c r="AF6" s="165">
        <f t="shared" si="9"/>
        <v>0</v>
      </c>
      <c r="AG6" s="165"/>
      <c r="AH6" s="230">
        <f t="shared" si="10"/>
        <v>0</v>
      </c>
    </row>
    <row r="7" spans="2:34" ht="26.25" customHeight="1">
      <c r="B7" s="166">
        <f t="shared" si="11"/>
        <v>44596</v>
      </c>
      <c r="C7" s="221"/>
      <c r="D7" s="221"/>
      <c r="E7" s="221"/>
      <c r="F7" s="291"/>
      <c r="G7" s="291"/>
      <c r="H7" s="292">
        <f t="shared" si="0"/>
        <v>0</v>
      </c>
      <c r="I7" s="136"/>
      <c r="J7" s="137">
        <f t="shared" si="1"/>
        <v>0</v>
      </c>
      <c r="K7" s="136"/>
      <c r="L7" s="256">
        <f t="shared" si="2"/>
        <v>0</v>
      </c>
      <c r="M7" s="136"/>
      <c r="N7" s="256">
        <f t="shared" si="12"/>
        <v>0</v>
      </c>
      <c r="O7" s="323">
        <f t="shared" si="3"/>
        <v>0</v>
      </c>
      <c r="P7" s="323">
        <f t="shared" si="4"/>
        <v>0</v>
      </c>
      <c r="Q7" s="135"/>
      <c r="R7" s="211">
        <f t="shared" ref="R7:R33" si="19">Q7-S7</f>
        <v>0</v>
      </c>
      <c r="S7" s="135"/>
      <c r="T7" s="159">
        <f t="shared" si="13"/>
        <v>0</v>
      </c>
      <c r="U7" s="159">
        <f t="shared" si="14"/>
        <v>0</v>
      </c>
      <c r="V7" s="159">
        <f t="shared" si="15"/>
        <v>0</v>
      </c>
      <c r="W7" s="294">
        <f t="shared" si="16"/>
        <v>0</v>
      </c>
      <c r="X7" s="162">
        <f t="shared" si="17"/>
        <v>0</v>
      </c>
      <c r="AA7" s="164">
        <f t="shared" si="5"/>
        <v>0</v>
      </c>
      <c r="AB7" s="165">
        <f t="shared" si="6"/>
        <v>0</v>
      </c>
      <c r="AC7" s="165">
        <f t="shared" si="7"/>
        <v>0</v>
      </c>
      <c r="AD7" s="165">
        <f t="shared" si="18"/>
        <v>0</v>
      </c>
      <c r="AE7" s="165">
        <f t="shared" si="8"/>
        <v>0</v>
      </c>
      <c r="AF7" s="165">
        <f t="shared" si="9"/>
        <v>0</v>
      </c>
      <c r="AG7" s="165"/>
      <c r="AH7" s="230">
        <f t="shared" si="10"/>
        <v>0</v>
      </c>
    </row>
    <row r="8" spans="2:34" ht="26.25" customHeight="1">
      <c r="B8" s="166">
        <f t="shared" si="11"/>
        <v>44597</v>
      </c>
      <c r="C8" s="221"/>
      <c r="D8" s="221"/>
      <c r="E8" s="221"/>
      <c r="F8" s="221"/>
      <c r="G8" s="221"/>
      <c r="H8" s="292">
        <f t="shared" si="0"/>
        <v>0</v>
      </c>
      <c r="I8" s="137"/>
      <c r="J8" s="137">
        <f t="shared" si="1"/>
        <v>0</v>
      </c>
      <c r="K8" s="137"/>
      <c r="L8" s="256">
        <f t="shared" si="2"/>
        <v>0</v>
      </c>
      <c r="M8" s="136"/>
      <c r="N8" s="256">
        <f t="shared" si="12"/>
        <v>0</v>
      </c>
      <c r="O8" s="323">
        <f t="shared" si="3"/>
        <v>0</v>
      </c>
      <c r="P8" s="323">
        <f t="shared" si="4"/>
        <v>0</v>
      </c>
      <c r="Q8" s="135"/>
      <c r="R8" s="211">
        <f t="shared" si="19"/>
        <v>0</v>
      </c>
      <c r="S8" s="135"/>
      <c r="T8" s="159">
        <f t="shared" si="13"/>
        <v>0</v>
      </c>
      <c r="U8" s="159">
        <f t="shared" si="14"/>
        <v>0</v>
      </c>
      <c r="V8" s="159">
        <f t="shared" si="15"/>
        <v>0</v>
      </c>
      <c r="W8" s="294">
        <f t="shared" si="16"/>
        <v>0</v>
      </c>
      <c r="X8" s="162">
        <f t="shared" si="17"/>
        <v>0</v>
      </c>
      <c r="AA8" s="164">
        <f t="shared" si="5"/>
        <v>0</v>
      </c>
      <c r="AB8" s="165">
        <f t="shared" si="6"/>
        <v>0</v>
      </c>
      <c r="AC8" s="165">
        <f t="shared" si="7"/>
        <v>0</v>
      </c>
      <c r="AD8" s="165">
        <f t="shared" si="18"/>
        <v>0</v>
      </c>
      <c r="AE8" s="165">
        <f t="shared" si="8"/>
        <v>0</v>
      </c>
      <c r="AF8" s="165">
        <f t="shared" si="9"/>
        <v>0</v>
      </c>
      <c r="AG8" s="165"/>
      <c r="AH8" s="230">
        <f t="shared" si="10"/>
        <v>0</v>
      </c>
    </row>
    <row r="9" spans="2:34" ht="26.25" customHeight="1">
      <c r="B9" s="166">
        <f t="shared" si="11"/>
        <v>44598</v>
      </c>
      <c r="C9" s="221"/>
      <c r="D9" s="221"/>
      <c r="E9" s="221"/>
      <c r="F9" s="221"/>
      <c r="G9" s="221"/>
      <c r="H9" s="292">
        <f t="shared" si="0"/>
        <v>0</v>
      </c>
      <c r="I9" s="137"/>
      <c r="J9" s="137">
        <f t="shared" si="1"/>
        <v>0</v>
      </c>
      <c r="K9" s="137"/>
      <c r="L9" s="256">
        <f t="shared" si="2"/>
        <v>0</v>
      </c>
      <c r="M9" s="136"/>
      <c r="N9" s="256">
        <f t="shared" si="12"/>
        <v>0</v>
      </c>
      <c r="O9" s="323">
        <f t="shared" si="3"/>
        <v>0</v>
      </c>
      <c r="P9" s="323">
        <f t="shared" si="4"/>
        <v>0</v>
      </c>
      <c r="Q9" s="135"/>
      <c r="R9" s="211">
        <f t="shared" si="19"/>
        <v>0</v>
      </c>
      <c r="S9" s="135"/>
      <c r="T9" s="159">
        <f t="shared" si="13"/>
        <v>0</v>
      </c>
      <c r="U9" s="159">
        <f t="shared" si="14"/>
        <v>0</v>
      </c>
      <c r="V9" s="159">
        <f t="shared" si="15"/>
        <v>0</v>
      </c>
      <c r="W9" s="294">
        <f t="shared" si="16"/>
        <v>0</v>
      </c>
      <c r="X9" s="162">
        <f t="shared" si="17"/>
        <v>0</v>
      </c>
      <c r="AA9" s="164">
        <f t="shared" si="5"/>
        <v>0</v>
      </c>
      <c r="AB9" s="165">
        <f t="shared" si="6"/>
        <v>0</v>
      </c>
      <c r="AC9" s="165">
        <f t="shared" si="7"/>
        <v>0</v>
      </c>
      <c r="AD9" s="165">
        <f t="shared" si="18"/>
        <v>0</v>
      </c>
      <c r="AE9" s="165">
        <f t="shared" si="8"/>
        <v>0</v>
      </c>
      <c r="AF9" s="165">
        <f t="shared" si="9"/>
        <v>0</v>
      </c>
      <c r="AG9" s="165"/>
      <c r="AH9" s="230">
        <f t="shared" si="10"/>
        <v>0</v>
      </c>
    </row>
    <row r="10" spans="2:34" ht="26.25" customHeight="1">
      <c r="B10" s="166">
        <f t="shared" si="11"/>
        <v>44599</v>
      </c>
      <c r="C10" s="221"/>
      <c r="D10" s="221"/>
      <c r="E10" s="221"/>
      <c r="F10" s="221"/>
      <c r="G10" s="221"/>
      <c r="H10" s="292">
        <f t="shared" ref="H10:H35" si="20">SUM(F10:G10)</f>
        <v>0</v>
      </c>
      <c r="I10" s="137"/>
      <c r="J10" s="137">
        <f t="shared" ref="J10:J35" si="21">SUM(D10:E10)</f>
        <v>0</v>
      </c>
      <c r="K10" s="137"/>
      <c r="L10" s="256">
        <f>-F10-G10-I10-K10+E10</f>
        <v>0</v>
      </c>
      <c r="M10" s="136"/>
      <c r="N10" s="256">
        <f t="shared" si="12"/>
        <v>0</v>
      </c>
      <c r="O10" s="323">
        <f t="shared" si="3"/>
        <v>0</v>
      </c>
      <c r="P10" s="323">
        <f t="shared" si="4"/>
        <v>0</v>
      </c>
      <c r="Q10" s="135"/>
      <c r="R10" s="211">
        <f t="shared" si="19"/>
        <v>0</v>
      </c>
      <c r="S10" s="135"/>
      <c r="T10" s="159">
        <f t="shared" si="13"/>
        <v>0</v>
      </c>
      <c r="U10" s="159">
        <f t="shared" si="14"/>
        <v>0</v>
      </c>
      <c r="V10" s="159">
        <f t="shared" si="15"/>
        <v>0</v>
      </c>
      <c r="W10" s="294">
        <f t="shared" si="16"/>
        <v>0</v>
      </c>
      <c r="X10" s="162">
        <f t="shared" si="17"/>
        <v>0</v>
      </c>
      <c r="AA10" s="164">
        <f t="shared" si="5"/>
        <v>0</v>
      </c>
      <c r="AB10" s="165">
        <f t="shared" si="6"/>
        <v>0</v>
      </c>
      <c r="AC10" s="165">
        <f t="shared" si="7"/>
        <v>0</v>
      </c>
      <c r="AD10" s="165">
        <f t="shared" si="18"/>
        <v>0</v>
      </c>
      <c r="AE10" s="165">
        <f t="shared" si="8"/>
        <v>0</v>
      </c>
      <c r="AF10" s="165">
        <f t="shared" si="9"/>
        <v>0</v>
      </c>
      <c r="AG10" s="165"/>
      <c r="AH10" s="230">
        <f>C10+AH9</f>
        <v>0</v>
      </c>
    </row>
    <row r="11" spans="2:34" ht="26.25" customHeight="1">
      <c r="B11" s="166">
        <f t="shared" si="11"/>
        <v>44600</v>
      </c>
      <c r="C11" s="221"/>
      <c r="D11" s="221"/>
      <c r="E11" s="221"/>
      <c r="F11" s="221"/>
      <c r="G11" s="221"/>
      <c r="H11" s="292">
        <f t="shared" si="20"/>
        <v>0</v>
      </c>
      <c r="I11" s="137"/>
      <c r="J11" s="137">
        <f t="shared" si="21"/>
        <v>0</v>
      </c>
      <c r="K11" s="137"/>
      <c r="L11" s="256">
        <f t="shared" ref="L11:L34" si="22">-F11-G11-I11-K11+E11</f>
        <v>0</v>
      </c>
      <c r="M11" s="136"/>
      <c r="N11" s="256">
        <f t="shared" si="12"/>
        <v>0</v>
      </c>
      <c r="O11" s="323">
        <f t="shared" si="3"/>
        <v>0</v>
      </c>
      <c r="P11" s="323">
        <f t="shared" si="4"/>
        <v>0</v>
      </c>
      <c r="Q11" s="135"/>
      <c r="R11" s="211">
        <f t="shared" si="19"/>
        <v>0</v>
      </c>
      <c r="S11" s="135"/>
      <c r="T11" s="159">
        <f t="shared" si="13"/>
        <v>0</v>
      </c>
      <c r="U11" s="159">
        <f t="shared" si="14"/>
        <v>0</v>
      </c>
      <c r="V11" s="159">
        <f t="shared" si="15"/>
        <v>0</v>
      </c>
      <c r="W11" s="294">
        <f t="shared" si="16"/>
        <v>0</v>
      </c>
      <c r="X11" s="162">
        <f t="shared" si="17"/>
        <v>0</v>
      </c>
      <c r="AA11" s="164">
        <f t="shared" si="5"/>
        <v>0</v>
      </c>
      <c r="AB11" s="165">
        <f t="shared" si="6"/>
        <v>0</v>
      </c>
      <c r="AC11" s="165">
        <f t="shared" si="7"/>
        <v>0</v>
      </c>
      <c r="AD11" s="165">
        <f t="shared" si="18"/>
        <v>0</v>
      </c>
      <c r="AE11" s="165">
        <f t="shared" si="8"/>
        <v>0</v>
      </c>
      <c r="AF11" s="165">
        <f t="shared" si="9"/>
        <v>0</v>
      </c>
      <c r="AG11" s="165"/>
      <c r="AH11" s="230">
        <f t="shared" si="10"/>
        <v>0</v>
      </c>
    </row>
    <row r="12" spans="2:34" ht="26.25" customHeight="1">
      <c r="B12" s="166">
        <f t="shared" si="11"/>
        <v>44601</v>
      </c>
      <c r="C12" s="221"/>
      <c r="D12" s="221"/>
      <c r="E12" s="221"/>
      <c r="F12" s="221"/>
      <c r="G12" s="221"/>
      <c r="H12" s="292">
        <f t="shared" si="20"/>
        <v>0</v>
      </c>
      <c r="I12" s="137"/>
      <c r="J12" s="137">
        <f t="shared" si="21"/>
        <v>0</v>
      </c>
      <c r="K12" s="137"/>
      <c r="L12" s="256">
        <f t="shared" si="22"/>
        <v>0</v>
      </c>
      <c r="M12" s="136"/>
      <c r="N12" s="256">
        <f t="shared" si="12"/>
        <v>0</v>
      </c>
      <c r="O12" s="323">
        <f t="shared" si="3"/>
        <v>0</v>
      </c>
      <c r="P12" s="323">
        <f t="shared" si="4"/>
        <v>0</v>
      </c>
      <c r="Q12" s="135"/>
      <c r="R12" s="211">
        <f t="shared" si="19"/>
        <v>0</v>
      </c>
      <c r="S12" s="135"/>
      <c r="T12" s="159">
        <f t="shared" si="13"/>
        <v>0</v>
      </c>
      <c r="U12" s="159">
        <f t="shared" si="14"/>
        <v>0</v>
      </c>
      <c r="V12" s="159">
        <f t="shared" si="15"/>
        <v>0</v>
      </c>
      <c r="W12" s="294">
        <f t="shared" si="16"/>
        <v>0</v>
      </c>
      <c r="X12" s="162">
        <f t="shared" si="17"/>
        <v>0</v>
      </c>
      <c r="AA12" s="164">
        <f t="shared" si="5"/>
        <v>0</v>
      </c>
      <c r="AB12" s="165">
        <f t="shared" si="6"/>
        <v>0</v>
      </c>
      <c r="AC12" s="165">
        <f t="shared" si="7"/>
        <v>0</v>
      </c>
      <c r="AD12" s="165">
        <f t="shared" si="18"/>
        <v>0</v>
      </c>
      <c r="AE12" s="165">
        <f t="shared" si="8"/>
        <v>0</v>
      </c>
      <c r="AF12" s="165">
        <f t="shared" si="9"/>
        <v>0</v>
      </c>
      <c r="AG12" s="165"/>
      <c r="AH12" s="230">
        <f t="shared" si="10"/>
        <v>0</v>
      </c>
    </row>
    <row r="13" spans="2:34" ht="26.25" customHeight="1">
      <c r="B13" s="166">
        <f t="shared" si="11"/>
        <v>44602</v>
      </c>
      <c r="C13" s="221"/>
      <c r="D13" s="221"/>
      <c r="E13" s="221"/>
      <c r="F13" s="221"/>
      <c r="G13" s="221"/>
      <c r="H13" s="292">
        <f t="shared" si="20"/>
        <v>0</v>
      </c>
      <c r="I13" s="137"/>
      <c r="J13" s="137">
        <f t="shared" si="21"/>
        <v>0</v>
      </c>
      <c r="K13" s="137"/>
      <c r="L13" s="256">
        <f t="shared" si="22"/>
        <v>0</v>
      </c>
      <c r="M13" s="136"/>
      <c r="N13" s="256">
        <f t="shared" si="12"/>
        <v>0</v>
      </c>
      <c r="O13" s="323">
        <f t="shared" si="3"/>
        <v>0</v>
      </c>
      <c r="P13" s="323">
        <f t="shared" si="4"/>
        <v>0</v>
      </c>
      <c r="Q13" s="135"/>
      <c r="R13" s="211">
        <f t="shared" si="19"/>
        <v>0</v>
      </c>
      <c r="S13" s="135"/>
      <c r="T13" s="159">
        <f t="shared" si="13"/>
        <v>0</v>
      </c>
      <c r="U13" s="159">
        <f t="shared" si="14"/>
        <v>0</v>
      </c>
      <c r="V13" s="159">
        <f t="shared" si="15"/>
        <v>0</v>
      </c>
      <c r="W13" s="294">
        <f t="shared" si="16"/>
        <v>0</v>
      </c>
      <c r="X13" s="162">
        <f t="shared" si="17"/>
        <v>0</v>
      </c>
      <c r="AA13" s="164">
        <f t="shared" si="5"/>
        <v>0</v>
      </c>
      <c r="AB13" s="165">
        <f t="shared" si="6"/>
        <v>0</v>
      </c>
      <c r="AC13" s="165">
        <f>R13+AC12</f>
        <v>0</v>
      </c>
      <c r="AD13" s="165">
        <f t="shared" si="18"/>
        <v>0</v>
      </c>
      <c r="AE13" s="165">
        <f t="shared" si="8"/>
        <v>0</v>
      </c>
      <c r="AF13" s="165">
        <f t="shared" si="9"/>
        <v>0</v>
      </c>
      <c r="AG13" s="165"/>
      <c r="AH13" s="230">
        <f t="shared" si="10"/>
        <v>0</v>
      </c>
    </row>
    <row r="14" spans="2:34" ht="26.25" customHeight="1">
      <c r="B14" s="166">
        <f t="shared" si="11"/>
        <v>44603</v>
      </c>
      <c r="C14" s="221"/>
      <c r="D14" s="221"/>
      <c r="E14" s="221"/>
      <c r="F14" s="221"/>
      <c r="G14" s="221"/>
      <c r="H14" s="292">
        <f t="shared" si="20"/>
        <v>0</v>
      </c>
      <c r="I14" s="137"/>
      <c r="J14" s="137">
        <f t="shared" si="21"/>
        <v>0</v>
      </c>
      <c r="K14" s="137"/>
      <c r="L14" s="256">
        <f t="shared" si="22"/>
        <v>0</v>
      </c>
      <c r="M14" s="136"/>
      <c r="N14" s="256">
        <f t="shared" si="12"/>
        <v>0</v>
      </c>
      <c r="O14" s="323">
        <f t="shared" si="3"/>
        <v>0</v>
      </c>
      <c r="P14" s="323">
        <f t="shared" si="4"/>
        <v>0</v>
      </c>
      <c r="Q14" s="135"/>
      <c r="R14" s="211">
        <f t="shared" si="19"/>
        <v>0</v>
      </c>
      <c r="S14" s="135"/>
      <c r="T14" s="159">
        <f t="shared" si="13"/>
        <v>0</v>
      </c>
      <c r="U14" s="159">
        <f t="shared" si="14"/>
        <v>0</v>
      </c>
      <c r="V14" s="159">
        <f t="shared" si="15"/>
        <v>0</v>
      </c>
      <c r="W14" s="294">
        <f t="shared" si="16"/>
        <v>0</v>
      </c>
      <c r="X14" s="162">
        <f t="shared" si="17"/>
        <v>0</v>
      </c>
      <c r="AA14" s="164">
        <f t="shared" si="5"/>
        <v>0</v>
      </c>
      <c r="AB14" s="165">
        <f t="shared" si="6"/>
        <v>0</v>
      </c>
      <c r="AC14" s="165">
        <f t="shared" si="7"/>
        <v>0</v>
      </c>
      <c r="AD14" s="165">
        <f t="shared" si="18"/>
        <v>0</v>
      </c>
      <c r="AE14" s="165">
        <f t="shared" si="8"/>
        <v>0</v>
      </c>
      <c r="AF14" s="165">
        <f t="shared" si="9"/>
        <v>0</v>
      </c>
      <c r="AG14" s="165"/>
      <c r="AH14" s="230">
        <f t="shared" si="10"/>
        <v>0</v>
      </c>
    </row>
    <row r="15" spans="2:34" ht="26.25" customHeight="1">
      <c r="B15" s="166">
        <f t="shared" si="11"/>
        <v>44604</v>
      </c>
      <c r="C15" s="221"/>
      <c r="D15" s="221"/>
      <c r="E15" s="221"/>
      <c r="F15" s="221"/>
      <c r="G15" s="221"/>
      <c r="H15" s="292">
        <f t="shared" si="20"/>
        <v>0</v>
      </c>
      <c r="I15" s="137"/>
      <c r="J15" s="137">
        <f t="shared" si="21"/>
        <v>0</v>
      </c>
      <c r="K15" s="298"/>
      <c r="L15" s="256">
        <f t="shared" si="22"/>
        <v>0</v>
      </c>
      <c r="M15" s="136"/>
      <c r="N15" s="299">
        <f>L15+M15</f>
        <v>0</v>
      </c>
      <c r="O15" s="323">
        <f t="shared" si="3"/>
        <v>0</v>
      </c>
      <c r="P15" s="323">
        <f t="shared" si="4"/>
        <v>0</v>
      </c>
      <c r="Q15" s="197"/>
      <c r="R15" s="279">
        <f t="shared" si="19"/>
        <v>0</v>
      </c>
      <c r="S15" s="197"/>
      <c r="T15" s="159">
        <f t="shared" si="13"/>
        <v>0</v>
      </c>
      <c r="U15" s="159">
        <f t="shared" si="14"/>
        <v>0</v>
      </c>
      <c r="V15" s="159">
        <f t="shared" si="15"/>
        <v>0</v>
      </c>
      <c r="W15" s="294">
        <f t="shared" si="16"/>
        <v>0</v>
      </c>
      <c r="X15" s="162">
        <f t="shared" si="17"/>
        <v>0</v>
      </c>
      <c r="AA15" s="164">
        <f t="shared" si="5"/>
        <v>0</v>
      </c>
      <c r="AB15" s="165">
        <f t="shared" si="6"/>
        <v>0</v>
      </c>
      <c r="AC15" s="165">
        <f t="shared" si="7"/>
        <v>0</v>
      </c>
      <c r="AD15" s="165">
        <f t="shared" si="18"/>
        <v>0</v>
      </c>
      <c r="AE15" s="165">
        <f t="shared" si="8"/>
        <v>0</v>
      </c>
      <c r="AF15" s="165">
        <f t="shared" si="9"/>
        <v>0</v>
      </c>
      <c r="AG15" s="165"/>
      <c r="AH15" s="230">
        <f t="shared" si="10"/>
        <v>0</v>
      </c>
    </row>
    <row r="16" spans="2:34" ht="26.25" customHeight="1">
      <c r="B16" s="166">
        <f t="shared" si="11"/>
        <v>44605</v>
      </c>
      <c r="C16" s="221"/>
      <c r="D16" s="221"/>
      <c r="E16" s="221"/>
      <c r="F16" s="221"/>
      <c r="G16" s="221"/>
      <c r="H16" s="292">
        <f t="shared" si="20"/>
        <v>0</v>
      </c>
      <c r="I16" s="137"/>
      <c r="J16" s="137">
        <f t="shared" si="21"/>
        <v>0</v>
      </c>
      <c r="K16" s="137"/>
      <c r="L16" s="256">
        <f t="shared" si="22"/>
        <v>0</v>
      </c>
      <c r="M16" s="136"/>
      <c r="N16" s="256">
        <f t="shared" si="12"/>
        <v>0</v>
      </c>
      <c r="O16" s="323">
        <f t="shared" si="3"/>
        <v>0</v>
      </c>
      <c r="P16" s="323">
        <f t="shared" si="4"/>
        <v>0</v>
      </c>
      <c r="Q16" s="197"/>
      <c r="R16" s="211">
        <f t="shared" si="19"/>
        <v>0</v>
      </c>
      <c r="S16" s="135"/>
      <c r="T16" s="159">
        <f t="shared" si="13"/>
        <v>0</v>
      </c>
      <c r="U16" s="159">
        <f t="shared" si="14"/>
        <v>0</v>
      </c>
      <c r="V16" s="159">
        <f t="shared" si="15"/>
        <v>0</v>
      </c>
      <c r="W16" s="294">
        <f t="shared" si="16"/>
        <v>0</v>
      </c>
      <c r="X16" s="162">
        <f t="shared" si="17"/>
        <v>0</v>
      </c>
      <c r="AA16" s="164">
        <f t="shared" si="5"/>
        <v>0</v>
      </c>
      <c r="AB16" s="165">
        <f t="shared" si="6"/>
        <v>0</v>
      </c>
      <c r="AC16" s="165">
        <f t="shared" si="7"/>
        <v>0</v>
      </c>
      <c r="AD16" s="165">
        <f t="shared" si="18"/>
        <v>0</v>
      </c>
      <c r="AE16" s="165">
        <f t="shared" si="8"/>
        <v>0</v>
      </c>
      <c r="AF16" s="165">
        <f t="shared" si="9"/>
        <v>0</v>
      </c>
      <c r="AG16" s="165"/>
      <c r="AH16" s="230">
        <f t="shared" si="10"/>
        <v>0</v>
      </c>
    </row>
    <row r="17" spans="2:34" s="296" customFormat="1" ht="26.25" customHeight="1">
      <c r="B17" s="297">
        <f t="shared" si="11"/>
        <v>44606</v>
      </c>
      <c r="C17" s="221"/>
      <c r="D17" s="221"/>
      <c r="E17" s="221"/>
      <c r="F17" s="221"/>
      <c r="G17" s="221"/>
      <c r="H17" s="292">
        <f t="shared" si="20"/>
        <v>0</v>
      </c>
      <c r="I17" s="137"/>
      <c r="J17" s="137">
        <f t="shared" si="21"/>
        <v>0</v>
      </c>
      <c r="K17" s="137"/>
      <c r="L17" s="256">
        <f t="shared" si="22"/>
        <v>0</v>
      </c>
      <c r="M17" s="136"/>
      <c r="N17" s="299">
        <f t="shared" si="12"/>
        <v>0</v>
      </c>
      <c r="O17" s="323">
        <f t="shared" si="3"/>
        <v>0</v>
      </c>
      <c r="P17" s="323">
        <f t="shared" si="4"/>
        <v>0</v>
      </c>
      <c r="Q17" s="197"/>
      <c r="R17" s="279">
        <f t="shared" si="19"/>
        <v>0</v>
      </c>
      <c r="S17" s="197"/>
      <c r="T17" s="300">
        <f t="shared" si="13"/>
        <v>0</v>
      </c>
      <c r="U17" s="300">
        <f t="shared" si="14"/>
        <v>0</v>
      </c>
      <c r="V17" s="300">
        <f t="shared" si="15"/>
        <v>0</v>
      </c>
      <c r="W17" s="301">
        <f t="shared" si="16"/>
        <v>0</v>
      </c>
      <c r="X17" s="302">
        <f t="shared" si="17"/>
        <v>0</v>
      </c>
      <c r="AA17" s="303">
        <f t="shared" si="5"/>
        <v>0</v>
      </c>
      <c r="AB17" s="304">
        <f t="shared" si="6"/>
        <v>0</v>
      </c>
      <c r="AC17" s="304">
        <f t="shared" si="7"/>
        <v>0</v>
      </c>
      <c r="AD17" s="165">
        <f t="shared" si="18"/>
        <v>0</v>
      </c>
      <c r="AE17" s="304">
        <f t="shared" si="8"/>
        <v>0</v>
      </c>
      <c r="AF17" s="304">
        <f t="shared" si="9"/>
        <v>0</v>
      </c>
      <c r="AG17" s="304"/>
      <c r="AH17" s="305">
        <f t="shared" si="10"/>
        <v>0</v>
      </c>
    </row>
    <row r="18" spans="2:34" s="296" customFormat="1" ht="26.25" customHeight="1">
      <c r="B18" s="297">
        <f t="shared" si="11"/>
        <v>44607</v>
      </c>
      <c r="C18" s="291"/>
      <c r="D18" s="291"/>
      <c r="E18" s="291"/>
      <c r="F18" s="221"/>
      <c r="G18" s="291"/>
      <c r="H18" s="292">
        <f t="shared" si="20"/>
        <v>0</v>
      </c>
      <c r="I18" s="298"/>
      <c r="J18" s="137">
        <f t="shared" si="21"/>
        <v>0</v>
      </c>
      <c r="K18" s="298"/>
      <c r="L18" s="256">
        <f t="shared" si="22"/>
        <v>0</v>
      </c>
      <c r="M18" s="136"/>
      <c r="N18" s="299">
        <f t="shared" si="12"/>
        <v>0</v>
      </c>
      <c r="O18" s="323">
        <f t="shared" si="3"/>
        <v>0</v>
      </c>
      <c r="P18" s="323">
        <f t="shared" si="4"/>
        <v>0</v>
      </c>
      <c r="Q18" s="197"/>
      <c r="R18" s="279">
        <f t="shared" si="19"/>
        <v>0</v>
      </c>
      <c r="S18" s="197"/>
      <c r="T18" s="300">
        <f t="shared" si="13"/>
        <v>0</v>
      </c>
      <c r="U18" s="300">
        <f t="shared" si="14"/>
        <v>0</v>
      </c>
      <c r="V18" s="300">
        <f t="shared" si="15"/>
        <v>0</v>
      </c>
      <c r="W18" s="301">
        <f t="shared" si="16"/>
        <v>0</v>
      </c>
      <c r="X18" s="302">
        <f t="shared" si="17"/>
        <v>0</v>
      </c>
      <c r="AA18" s="303">
        <f t="shared" si="5"/>
        <v>0</v>
      </c>
      <c r="AB18" s="304">
        <f t="shared" si="6"/>
        <v>0</v>
      </c>
      <c r="AC18" s="304">
        <f t="shared" si="7"/>
        <v>0</v>
      </c>
      <c r="AD18" s="304">
        <f t="shared" si="18"/>
        <v>0</v>
      </c>
      <c r="AE18" s="304">
        <f t="shared" si="8"/>
        <v>0</v>
      </c>
      <c r="AF18" s="304">
        <f t="shared" si="9"/>
        <v>0</v>
      </c>
      <c r="AG18" s="304"/>
      <c r="AH18" s="305">
        <f t="shared" si="10"/>
        <v>0</v>
      </c>
    </row>
    <row r="19" spans="2:34" ht="26.25" customHeight="1">
      <c r="B19" s="166">
        <f t="shared" si="11"/>
        <v>44608</v>
      </c>
      <c r="C19" s="291"/>
      <c r="D19" s="291"/>
      <c r="E19" s="291"/>
      <c r="F19" s="221"/>
      <c r="G19" s="221"/>
      <c r="H19" s="292">
        <f t="shared" si="20"/>
        <v>0</v>
      </c>
      <c r="I19" s="137"/>
      <c r="J19" s="137">
        <f t="shared" si="21"/>
        <v>0</v>
      </c>
      <c r="K19" s="137"/>
      <c r="L19" s="256">
        <f t="shared" si="22"/>
        <v>0</v>
      </c>
      <c r="M19" s="136"/>
      <c r="N19" s="256">
        <f t="shared" si="12"/>
        <v>0</v>
      </c>
      <c r="O19" s="323">
        <f t="shared" si="3"/>
        <v>0</v>
      </c>
      <c r="P19" s="323">
        <f t="shared" si="4"/>
        <v>0</v>
      </c>
      <c r="Q19" s="135"/>
      <c r="R19" s="211">
        <f t="shared" si="19"/>
        <v>0</v>
      </c>
      <c r="S19" s="135"/>
      <c r="T19" s="159">
        <f t="shared" si="13"/>
        <v>0</v>
      </c>
      <c r="U19" s="159">
        <f t="shared" si="14"/>
        <v>0</v>
      </c>
      <c r="V19" s="159">
        <f t="shared" si="15"/>
        <v>0</v>
      </c>
      <c r="W19" s="294">
        <f t="shared" si="16"/>
        <v>0</v>
      </c>
      <c r="X19" s="162">
        <f t="shared" si="17"/>
        <v>0</v>
      </c>
      <c r="AA19" s="164">
        <f t="shared" si="5"/>
        <v>0</v>
      </c>
      <c r="AB19" s="165">
        <f t="shared" si="6"/>
        <v>0</v>
      </c>
      <c r="AC19" s="165">
        <f t="shared" si="7"/>
        <v>0</v>
      </c>
      <c r="AD19" s="165">
        <f t="shared" si="18"/>
        <v>0</v>
      </c>
      <c r="AE19" s="165">
        <f t="shared" si="8"/>
        <v>0</v>
      </c>
      <c r="AF19" s="165">
        <f t="shared" si="9"/>
        <v>0</v>
      </c>
      <c r="AG19" s="165"/>
      <c r="AH19" s="230">
        <f t="shared" si="10"/>
        <v>0</v>
      </c>
    </row>
    <row r="20" spans="2:34" ht="26.25" customHeight="1">
      <c r="B20" s="166">
        <f t="shared" si="11"/>
        <v>44609</v>
      </c>
      <c r="C20" s="291"/>
      <c r="D20" s="291"/>
      <c r="E20" s="291"/>
      <c r="F20" s="221"/>
      <c r="G20" s="221"/>
      <c r="H20" s="292">
        <f t="shared" si="20"/>
        <v>0</v>
      </c>
      <c r="I20" s="137"/>
      <c r="J20" s="137">
        <f t="shared" si="21"/>
        <v>0</v>
      </c>
      <c r="K20" s="137"/>
      <c r="L20" s="256">
        <f t="shared" si="22"/>
        <v>0</v>
      </c>
      <c r="M20" s="136"/>
      <c r="N20" s="256">
        <f t="shared" si="12"/>
        <v>0</v>
      </c>
      <c r="O20" s="323">
        <f t="shared" si="3"/>
        <v>0</v>
      </c>
      <c r="P20" s="323">
        <f t="shared" si="4"/>
        <v>0</v>
      </c>
      <c r="Q20" s="135"/>
      <c r="R20" s="211">
        <f t="shared" si="19"/>
        <v>0</v>
      </c>
      <c r="S20" s="135"/>
      <c r="T20" s="159">
        <f t="shared" si="13"/>
        <v>0</v>
      </c>
      <c r="U20" s="159">
        <f t="shared" si="14"/>
        <v>0</v>
      </c>
      <c r="V20" s="159">
        <f t="shared" si="15"/>
        <v>0</v>
      </c>
      <c r="W20" s="294">
        <f t="shared" si="16"/>
        <v>0</v>
      </c>
      <c r="X20" s="162">
        <f t="shared" si="17"/>
        <v>0</v>
      </c>
      <c r="AA20" s="164">
        <f t="shared" si="5"/>
        <v>0</v>
      </c>
      <c r="AB20" s="165">
        <f t="shared" si="6"/>
        <v>0</v>
      </c>
      <c r="AC20" s="165">
        <f t="shared" si="7"/>
        <v>0</v>
      </c>
      <c r="AD20" s="165">
        <f t="shared" si="18"/>
        <v>0</v>
      </c>
      <c r="AE20" s="165">
        <f t="shared" si="8"/>
        <v>0</v>
      </c>
      <c r="AF20" s="165">
        <f t="shared" si="9"/>
        <v>0</v>
      </c>
      <c r="AG20" s="165"/>
      <c r="AH20" s="230">
        <f t="shared" si="10"/>
        <v>0</v>
      </c>
    </row>
    <row r="21" spans="2:34" ht="26.25" customHeight="1">
      <c r="B21" s="166">
        <f t="shared" si="11"/>
        <v>44610</v>
      </c>
      <c r="C21" s="291"/>
      <c r="D21" s="291"/>
      <c r="E21" s="291"/>
      <c r="F21" s="221"/>
      <c r="G21" s="221"/>
      <c r="H21" s="292">
        <f t="shared" si="20"/>
        <v>0</v>
      </c>
      <c r="I21" s="137"/>
      <c r="J21" s="137">
        <f t="shared" si="21"/>
        <v>0</v>
      </c>
      <c r="K21" s="137"/>
      <c r="L21" s="256">
        <f t="shared" si="22"/>
        <v>0</v>
      </c>
      <c r="M21" s="136"/>
      <c r="N21" s="256">
        <f t="shared" si="12"/>
        <v>0</v>
      </c>
      <c r="O21" s="323">
        <f t="shared" si="3"/>
        <v>0</v>
      </c>
      <c r="P21" s="323">
        <f t="shared" si="4"/>
        <v>0</v>
      </c>
      <c r="Q21" s="135"/>
      <c r="R21" s="211">
        <f t="shared" si="19"/>
        <v>0</v>
      </c>
      <c r="S21" s="135"/>
      <c r="T21" s="159">
        <f t="shared" si="13"/>
        <v>0</v>
      </c>
      <c r="U21" s="159">
        <f t="shared" si="14"/>
        <v>0</v>
      </c>
      <c r="V21" s="159">
        <f t="shared" si="15"/>
        <v>0</v>
      </c>
      <c r="W21" s="294">
        <f t="shared" si="16"/>
        <v>0</v>
      </c>
      <c r="X21" s="162">
        <f t="shared" si="17"/>
        <v>0</v>
      </c>
      <c r="AA21" s="164">
        <f t="shared" si="5"/>
        <v>0</v>
      </c>
      <c r="AB21" s="165">
        <f t="shared" si="6"/>
        <v>0</v>
      </c>
      <c r="AC21" s="165">
        <f t="shared" si="7"/>
        <v>0</v>
      </c>
      <c r="AD21" s="165">
        <f t="shared" si="18"/>
        <v>0</v>
      </c>
      <c r="AE21" s="165">
        <f t="shared" si="8"/>
        <v>0</v>
      </c>
      <c r="AF21" s="165">
        <f t="shared" si="9"/>
        <v>0</v>
      </c>
      <c r="AG21" s="165"/>
      <c r="AH21" s="230">
        <f t="shared" si="10"/>
        <v>0</v>
      </c>
    </row>
    <row r="22" spans="2:34" ht="26.25" customHeight="1">
      <c r="B22" s="166">
        <f t="shared" si="11"/>
        <v>44611</v>
      </c>
      <c r="C22" s="291"/>
      <c r="D22" s="291"/>
      <c r="E22" s="291"/>
      <c r="F22" s="221"/>
      <c r="G22" s="221"/>
      <c r="H22" s="292">
        <f t="shared" si="20"/>
        <v>0</v>
      </c>
      <c r="I22" s="137"/>
      <c r="J22" s="137">
        <f t="shared" si="21"/>
        <v>0</v>
      </c>
      <c r="K22" s="137"/>
      <c r="L22" s="256">
        <f t="shared" si="22"/>
        <v>0</v>
      </c>
      <c r="M22" s="136"/>
      <c r="N22" s="256">
        <f t="shared" si="12"/>
        <v>0</v>
      </c>
      <c r="O22" s="323">
        <f t="shared" si="3"/>
        <v>0</v>
      </c>
      <c r="P22" s="323">
        <f t="shared" si="4"/>
        <v>0</v>
      </c>
      <c r="Q22" s="135"/>
      <c r="R22" s="211">
        <f t="shared" si="19"/>
        <v>0</v>
      </c>
      <c r="S22" s="135"/>
      <c r="T22" s="159">
        <f t="shared" si="13"/>
        <v>0</v>
      </c>
      <c r="U22" s="159">
        <f t="shared" si="14"/>
        <v>0</v>
      </c>
      <c r="V22" s="159">
        <f t="shared" si="15"/>
        <v>0</v>
      </c>
      <c r="W22" s="294">
        <f t="shared" si="16"/>
        <v>0</v>
      </c>
      <c r="X22" s="162">
        <f t="shared" si="17"/>
        <v>0</v>
      </c>
      <c r="AA22" s="164">
        <f t="shared" si="5"/>
        <v>0</v>
      </c>
      <c r="AB22" s="165">
        <f t="shared" si="6"/>
        <v>0</v>
      </c>
      <c r="AC22" s="165">
        <f t="shared" si="7"/>
        <v>0</v>
      </c>
      <c r="AD22" s="165">
        <f t="shared" si="18"/>
        <v>0</v>
      </c>
      <c r="AE22" s="165">
        <f t="shared" si="8"/>
        <v>0</v>
      </c>
      <c r="AF22" s="165">
        <f t="shared" si="9"/>
        <v>0</v>
      </c>
      <c r="AG22" s="165"/>
      <c r="AH22" s="230">
        <f t="shared" si="10"/>
        <v>0</v>
      </c>
    </row>
    <row r="23" spans="2:34" ht="26.25" customHeight="1">
      <c r="B23" s="166">
        <f t="shared" si="11"/>
        <v>44612</v>
      </c>
      <c r="C23" s="221"/>
      <c r="D23" s="221"/>
      <c r="E23" s="221"/>
      <c r="F23" s="221"/>
      <c r="G23" s="221"/>
      <c r="H23" s="292">
        <f t="shared" si="20"/>
        <v>0</v>
      </c>
      <c r="I23" s="137"/>
      <c r="J23" s="137">
        <f t="shared" si="21"/>
        <v>0</v>
      </c>
      <c r="K23" s="137"/>
      <c r="L23" s="256">
        <f t="shared" si="22"/>
        <v>0</v>
      </c>
      <c r="M23" s="136"/>
      <c r="N23" s="256">
        <f t="shared" si="12"/>
        <v>0</v>
      </c>
      <c r="O23" s="323">
        <f t="shared" si="3"/>
        <v>0</v>
      </c>
      <c r="P23" s="323">
        <f t="shared" si="4"/>
        <v>0</v>
      </c>
      <c r="Q23" s="135"/>
      <c r="R23" s="211">
        <f t="shared" si="19"/>
        <v>0</v>
      </c>
      <c r="S23" s="135"/>
      <c r="T23" s="159">
        <f t="shared" si="13"/>
        <v>0</v>
      </c>
      <c r="U23" s="159">
        <f t="shared" si="14"/>
        <v>0</v>
      </c>
      <c r="V23" s="159">
        <f t="shared" si="15"/>
        <v>0</v>
      </c>
      <c r="W23" s="294">
        <f t="shared" si="16"/>
        <v>0</v>
      </c>
      <c r="X23" s="162">
        <f t="shared" si="17"/>
        <v>0</v>
      </c>
      <c r="AA23" s="164">
        <f t="shared" si="5"/>
        <v>0</v>
      </c>
      <c r="AB23" s="165">
        <f t="shared" si="6"/>
        <v>0</v>
      </c>
      <c r="AC23" s="165">
        <f t="shared" si="7"/>
        <v>0</v>
      </c>
      <c r="AD23" s="165">
        <f t="shared" si="18"/>
        <v>0</v>
      </c>
      <c r="AE23" s="165">
        <f t="shared" si="8"/>
        <v>0</v>
      </c>
      <c r="AF23" s="165">
        <f t="shared" si="9"/>
        <v>0</v>
      </c>
      <c r="AG23" s="165"/>
      <c r="AH23" s="230">
        <f t="shared" si="10"/>
        <v>0</v>
      </c>
    </row>
    <row r="24" spans="2:34" ht="26.25" customHeight="1">
      <c r="B24" s="198">
        <f t="shared" si="11"/>
        <v>44613</v>
      </c>
      <c r="C24" s="221"/>
      <c r="D24" s="221"/>
      <c r="E24" s="221"/>
      <c r="F24" s="221"/>
      <c r="G24" s="221"/>
      <c r="H24" s="292">
        <f t="shared" si="20"/>
        <v>0</v>
      </c>
      <c r="I24" s="137"/>
      <c r="J24" s="137">
        <f t="shared" si="21"/>
        <v>0</v>
      </c>
      <c r="K24" s="137"/>
      <c r="L24" s="256">
        <f t="shared" si="22"/>
        <v>0</v>
      </c>
      <c r="M24" s="136"/>
      <c r="N24" s="256">
        <f t="shared" si="12"/>
        <v>0</v>
      </c>
      <c r="O24" s="323">
        <f t="shared" si="3"/>
        <v>0</v>
      </c>
      <c r="P24" s="323">
        <f t="shared" si="4"/>
        <v>0</v>
      </c>
      <c r="Q24" s="135"/>
      <c r="R24" s="211">
        <f t="shared" si="19"/>
        <v>0</v>
      </c>
      <c r="S24" s="135"/>
      <c r="T24" s="159">
        <f t="shared" si="13"/>
        <v>0</v>
      </c>
      <c r="U24" s="159">
        <f t="shared" si="14"/>
        <v>0</v>
      </c>
      <c r="V24" s="159">
        <f t="shared" si="15"/>
        <v>0</v>
      </c>
      <c r="W24" s="294">
        <f t="shared" si="16"/>
        <v>0</v>
      </c>
      <c r="X24" s="162">
        <f t="shared" si="17"/>
        <v>0</v>
      </c>
      <c r="AA24" s="164">
        <f t="shared" si="5"/>
        <v>0</v>
      </c>
      <c r="AB24" s="165">
        <f t="shared" si="6"/>
        <v>0</v>
      </c>
      <c r="AC24" s="165">
        <f t="shared" si="7"/>
        <v>0</v>
      </c>
      <c r="AD24" s="165">
        <f t="shared" si="18"/>
        <v>0</v>
      </c>
      <c r="AE24" s="165">
        <f t="shared" si="8"/>
        <v>0</v>
      </c>
      <c r="AF24" s="165">
        <f t="shared" si="9"/>
        <v>0</v>
      </c>
      <c r="AG24" s="165"/>
      <c r="AH24" s="230">
        <f t="shared" si="10"/>
        <v>0</v>
      </c>
    </row>
    <row r="25" spans="2:34" ht="26.25" customHeight="1">
      <c r="B25" s="198">
        <f t="shared" si="11"/>
        <v>44614</v>
      </c>
      <c r="C25" s="221"/>
      <c r="D25" s="221"/>
      <c r="E25" s="221"/>
      <c r="F25" s="221"/>
      <c r="G25" s="221"/>
      <c r="H25" s="292">
        <f t="shared" si="20"/>
        <v>0</v>
      </c>
      <c r="I25" s="137"/>
      <c r="J25" s="137">
        <f t="shared" si="21"/>
        <v>0</v>
      </c>
      <c r="K25" s="137"/>
      <c r="L25" s="256">
        <f t="shared" si="22"/>
        <v>0</v>
      </c>
      <c r="M25" s="136"/>
      <c r="N25" s="256">
        <f t="shared" si="12"/>
        <v>0</v>
      </c>
      <c r="O25" s="323">
        <f t="shared" si="3"/>
        <v>0</v>
      </c>
      <c r="P25" s="323">
        <f t="shared" si="4"/>
        <v>0</v>
      </c>
      <c r="Q25" s="135"/>
      <c r="R25" s="211">
        <f t="shared" si="19"/>
        <v>0</v>
      </c>
      <c r="S25" s="135"/>
      <c r="T25" s="159">
        <f t="shared" si="13"/>
        <v>0</v>
      </c>
      <c r="U25" s="159">
        <f t="shared" si="14"/>
        <v>0</v>
      </c>
      <c r="V25" s="159">
        <f t="shared" si="15"/>
        <v>0</v>
      </c>
      <c r="W25" s="294">
        <f t="shared" si="16"/>
        <v>0</v>
      </c>
      <c r="X25" s="162">
        <f t="shared" si="17"/>
        <v>0</v>
      </c>
      <c r="AA25" s="164">
        <f t="shared" si="5"/>
        <v>0</v>
      </c>
      <c r="AB25" s="165">
        <f t="shared" si="6"/>
        <v>0</v>
      </c>
      <c r="AC25" s="165">
        <f t="shared" si="7"/>
        <v>0</v>
      </c>
      <c r="AD25" s="165">
        <f t="shared" si="18"/>
        <v>0</v>
      </c>
      <c r="AE25" s="165">
        <f t="shared" si="8"/>
        <v>0</v>
      </c>
      <c r="AF25" s="165">
        <f t="shared" si="9"/>
        <v>0</v>
      </c>
      <c r="AG25" s="165"/>
      <c r="AH25" s="230">
        <f t="shared" si="10"/>
        <v>0</v>
      </c>
    </row>
    <row r="26" spans="2:34" ht="26.25" customHeight="1">
      <c r="B26" s="166">
        <f t="shared" si="11"/>
        <v>44615</v>
      </c>
      <c r="C26" s="221"/>
      <c r="D26" s="221"/>
      <c r="E26" s="221"/>
      <c r="F26" s="221"/>
      <c r="G26" s="221"/>
      <c r="H26" s="292">
        <f t="shared" si="20"/>
        <v>0</v>
      </c>
      <c r="I26" s="137"/>
      <c r="J26" s="137">
        <f t="shared" si="21"/>
        <v>0</v>
      </c>
      <c r="K26" s="137"/>
      <c r="L26" s="256">
        <f t="shared" si="22"/>
        <v>0</v>
      </c>
      <c r="M26" s="136"/>
      <c r="N26" s="256">
        <f t="shared" si="12"/>
        <v>0</v>
      </c>
      <c r="O26" s="323">
        <f t="shared" si="3"/>
        <v>0</v>
      </c>
      <c r="P26" s="323">
        <f t="shared" si="4"/>
        <v>0</v>
      </c>
      <c r="Q26" s="135"/>
      <c r="R26" s="211">
        <f t="shared" si="19"/>
        <v>0</v>
      </c>
      <c r="S26" s="135"/>
      <c r="T26" s="159">
        <f t="shared" si="13"/>
        <v>0</v>
      </c>
      <c r="U26" s="159">
        <f t="shared" si="14"/>
        <v>0</v>
      </c>
      <c r="V26" s="159">
        <f t="shared" si="15"/>
        <v>0</v>
      </c>
      <c r="W26" s="294">
        <f t="shared" si="16"/>
        <v>0</v>
      </c>
      <c r="X26" s="162">
        <f t="shared" si="17"/>
        <v>0</v>
      </c>
      <c r="AA26" s="164">
        <f t="shared" si="5"/>
        <v>0</v>
      </c>
      <c r="AB26" s="165">
        <f t="shared" si="6"/>
        <v>0</v>
      </c>
      <c r="AC26" s="165">
        <f t="shared" si="7"/>
        <v>0</v>
      </c>
      <c r="AD26" s="165">
        <f t="shared" si="18"/>
        <v>0</v>
      </c>
      <c r="AE26" s="165">
        <f t="shared" si="8"/>
        <v>0</v>
      </c>
      <c r="AF26" s="165">
        <f t="shared" si="9"/>
        <v>0</v>
      </c>
      <c r="AG26" s="165"/>
      <c r="AH26" s="230">
        <f t="shared" si="10"/>
        <v>0</v>
      </c>
    </row>
    <row r="27" spans="2:34" ht="26.25" customHeight="1">
      <c r="B27" s="166">
        <f t="shared" si="11"/>
        <v>44616</v>
      </c>
      <c r="C27" s="221"/>
      <c r="D27" s="221"/>
      <c r="E27" s="221"/>
      <c r="F27" s="221"/>
      <c r="G27" s="221"/>
      <c r="H27" s="292">
        <f t="shared" si="20"/>
        <v>0</v>
      </c>
      <c r="I27" s="137"/>
      <c r="J27" s="137">
        <f t="shared" si="21"/>
        <v>0</v>
      </c>
      <c r="K27" s="137"/>
      <c r="L27" s="256">
        <f t="shared" si="22"/>
        <v>0</v>
      </c>
      <c r="M27" s="136"/>
      <c r="N27" s="256">
        <f t="shared" si="12"/>
        <v>0</v>
      </c>
      <c r="O27" s="323">
        <f t="shared" si="3"/>
        <v>0</v>
      </c>
      <c r="P27" s="323">
        <f t="shared" si="4"/>
        <v>0</v>
      </c>
      <c r="Q27" s="135"/>
      <c r="R27" s="211">
        <f t="shared" si="19"/>
        <v>0</v>
      </c>
      <c r="S27" s="135"/>
      <c r="T27" s="159">
        <f t="shared" si="13"/>
        <v>0</v>
      </c>
      <c r="U27" s="159">
        <f t="shared" si="14"/>
        <v>0</v>
      </c>
      <c r="V27" s="159">
        <f t="shared" si="15"/>
        <v>0</v>
      </c>
      <c r="W27" s="294">
        <f t="shared" si="16"/>
        <v>0</v>
      </c>
      <c r="X27" s="162">
        <f t="shared" si="17"/>
        <v>0</v>
      </c>
      <c r="AA27" s="164">
        <f t="shared" si="5"/>
        <v>0</v>
      </c>
      <c r="AB27" s="165">
        <f t="shared" si="6"/>
        <v>0</v>
      </c>
      <c r="AC27" s="165">
        <f t="shared" si="7"/>
        <v>0</v>
      </c>
      <c r="AD27" s="165">
        <f t="shared" si="18"/>
        <v>0</v>
      </c>
      <c r="AE27" s="165">
        <f t="shared" si="8"/>
        <v>0</v>
      </c>
      <c r="AF27" s="165">
        <f t="shared" si="9"/>
        <v>0</v>
      </c>
      <c r="AG27" s="165"/>
      <c r="AH27" s="230">
        <f t="shared" si="10"/>
        <v>0</v>
      </c>
    </row>
    <row r="28" spans="2:34" ht="26.25" customHeight="1">
      <c r="B28" s="166">
        <f t="shared" si="11"/>
        <v>44617</v>
      </c>
      <c r="C28" s="221"/>
      <c r="D28" s="221"/>
      <c r="E28" s="221"/>
      <c r="F28" s="221"/>
      <c r="G28" s="221"/>
      <c r="H28" s="292">
        <f t="shared" si="20"/>
        <v>0</v>
      </c>
      <c r="I28" s="137"/>
      <c r="J28" s="137">
        <f t="shared" si="21"/>
        <v>0</v>
      </c>
      <c r="K28" s="137"/>
      <c r="L28" s="256">
        <f t="shared" si="22"/>
        <v>0</v>
      </c>
      <c r="M28" s="136"/>
      <c r="N28" s="278">
        <f t="shared" si="12"/>
        <v>0</v>
      </c>
      <c r="O28" s="323">
        <f t="shared" si="3"/>
        <v>0</v>
      </c>
      <c r="P28" s="323">
        <f t="shared" si="4"/>
        <v>0</v>
      </c>
      <c r="Q28" s="135"/>
      <c r="R28" s="211">
        <f t="shared" si="19"/>
        <v>0</v>
      </c>
      <c r="S28" s="135"/>
      <c r="T28" s="159">
        <f t="shared" si="13"/>
        <v>0</v>
      </c>
      <c r="U28" s="159">
        <f t="shared" si="14"/>
        <v>0</v>
      </c>
      <c r="V28" s="159">
        <f t="shared" si="15"/>
        <v>0</v>
      </c>
      <c r="W28" s="294">
        <f t="shared" si="16"/>
        <v>0</v>
      </c>
      <c r="X28" s="162">
        <f t="shared" si="17"/>
        <v>0</v>
      </c>
      <c r="AA28" s="164">
        <f t="shared" si="5"/>
        <v>0</v>
      </c>
      <c r="AB28" s="165">
        <f t="shared" si="6"/>
        <v>0</v>
      </c>
      <c r="AC28" s="165">
        <f t="shared" si="7"/>
        <v>0</v>
      </c>
      <c r="AD28" s="165">
        <f t="shared" si="18"/>
        <v>0</v>
      </c>
      <c r="AE28" s="165">
        <f t="shared" si="8"/>
        <v>0</v>
      </c>
      <c r="AF28" s="165">
        <f t="shared" si="9"/>
        <v>0</v>
      </c>
      <c r="AG28" s="165"/>
      <c r="AH28" s="230">
        <f t="shared" si="10"/>
        <v>0</v>
      </c>
    </row>
    <row r="29" spans="2:34" ht="26.25" customHeight="1">
      <c r="B29" s="166">
        <f t="shared" si="11"/>
        <v>44618</v>
      </c>
      <c r="C29" s="221"/>
      <c r="D29" s="221"/>
      <c r="E29" s="221"/>
      <c r="F29" s="221"/>
      <c r="G29" s="221"/>
      <c r="H29" s="292">
        <f t="shared" si="20"/>
        <v>0</v>
      </c>
      <c r="I29" s="137"/>
      <c r="J29" s="137">
        <f t="shared" si="21"/>
        <v>0</v>
      </c>
      <c r="K29" s="137"/>
      <c r="L29" s="256">
        <f t="shared" si="22"/>
        <v>0</v>
      </c>
      <c r="M29" s="136"/>
      <c r="N29" s="256">
        <f t="shared" si="12"/>
        <v>0</v>
      </c>
      <c r="O29" s="323">
        <f t="shared" si="3"/>
        <v>0</v>
      </c>
      <c r="P29" s="323">
        <f t="shared" si="4"/>
        <v>0</v>
      </c>
      <c r="Q29" s="135"/>
      <c r="R29" s="211">
        <f t="shared" si="19"/>
        <v>0</v>
      </c>
      <c r="S29" s="135"/>
      <c r="T29" s="159">
        <f t="shared" si="13"/>
        <v>0</v>
      </c>
      <c r="U29" s="159">
        <f t="shared" si="14"/>
        <v>0</v>
      </c>
      <c r="V29" s="159">
        <f t="shared" si="15"/>
        <v>0</v>
      </c>
      <c r="W29" s="294">
        <f t="shared" si="16"/>
        <v>0</v>
      </c>
      <c r="X29" s="162">
        <f t="shared" si="17"/>
        <v>0</v>
      </c>
      <c r="AA29" s="164">
        <f t="shared" si="5"/>
        <v>0</v>
      </c>
      <c r="AB29" s="165">
        <f t="shared" si="6"/>
        <v>0</v>
      </c>
      <c r="AC29" s="165">
        <f t="shared" si="7"/>
        <v>0</v>
      </c>
      <c r="AD29" s="165">
        <f t="shared" si="18"/>
        <v>0</v>
      </c>
      <c r="AE29" s="165">
        <f t="shared" si="8"/>
        <v>0</v>
      </c>
      <c r="AF29" s="165">
        <f t="shared" si="9"/>
        <v>0</v>
      </c>
      <c r="AG29" s="165"/>
      <c r="AH29" s="230">
        <f t="shared" si="10"/>
        <v>0</v>
      </c>
    </row>
    <row r="30" spans="2:34" ht="26.25" customHeight="1">
      <c r="B30" s="166">
        <f t="shared" si="11"/>
        <v>44619</v>
      </c>
      <c r="C30" s="221"/>
      <c r="D30" s="221"/>
      <c r="E30" s="221"/>
      <c r="F30" s="221"/>
      <c r="G30" s="221"/>
      <c r="H30" s="292">
        <f t="shared" si="20"/>
        <v>0</v>
      </c>
      <c r="I30" s="137"/>
      <c r="J30" s="137">
        <f t="shared" si="21"/>
        <v>0</v>
      </c>
      <c r="K30" s="137"/>
      <c r="L30" s="256">
        <f t="shared" si="22"/>
        <v>0</v>
      </c>
      <c r="M30" s="136"/>
      <c r="N30" s="256">
        <f>L30+M30</f>
        <v>0</v>
      </c>
      <c r="O30" s="323">
        <f t="shared" si="3"/>
        <v>0</v>
      </c>
      <c r="P30" s="323">
        <f t="shared" si="4"/>
        <v>0</v>
      </c>
      <c r="Q30" s="135"/>
      <c r="R30" s="211">
        <f t="shared" si="19"/>
        <v>0</v>
      </c>
      <c r="S30" s="135"/>
      <c r="T30" s="159">
        <f t="shared" si="13"/>
        <v>0</v>
      </c>
      <c r="U30" s="159">
        <f t="shared" si="14"/>
        <v>0</v>
      </c>
      <c r="V30" s="159">
        <f t="shared" si="15"/>
        <v>0</v>
      </c>
      <c r="W30" s="294">
        <f t="shared" si="16"/>
        <v>0</v>
      </c>
      <c r="X30" s="162">
        <f t="shared" si="17"/>
        <v>0</v>
      </c>
      <c r="AA30" s="164">
        <f t="shared" si="5"/>
        <v>0</v>
      </c>
      <c r="AB30" s="165">
        <f t="shared" si="6"/>
        <v>0</v>
      </c>
      <c r="AC30" s="165">
        <f t="shared" si="7"/>
        <v>0</v>
      </c>
      <c r="AD30" s="165">
        <f t="shared" si="18"/>
        <v>0</v>
      </c>
      <c r="AE30" s="165">
        <f t="shared" si="8"/>
        <v>0</v>
      </c>
      <c r="AF30" s="165">
        <f t="shared" si="9"/>
        <v>0</v>
      </c>
      <c r="AG30" s="165"/>
      <c r="AH30" s="230">
        <f t="shared" si="10"/>
        <v>0</v>
      </c>
    </row>
    <row r="31" spans="2:34" ht="26.25" customHeight="1">
      <c r="B31" s="166">
        <f t="shared" si="11"/>
        <v>44620</v>
      </c>
      <c r="C31" s="221"/>
      <c r="D31" s="221"/>
      <c r="E31" s="221"/>
      <c r="F31" s="221"/>
      <c r="G31" s="221"/>
      <c r="H31" s="292">
        <f t="shared" si="20"/>
        <v>0</v>
      </c>
      <c r="I31" s="137"/>
      <c r="J31" s="137">
        <f t="shared" si="21"/>
        <v>0</v>
      </c>
      <c r="K31" s="137"/>
      <c r="L31" s="256">
        <f t="shared" si="22"/>
        <v>0</v>
      </c>
      <c r="M31" s="136"/>
      <c r="N31" s="256">
        <f>L31+M31</f>
        <v>0</v>
      </c>
      <c r="O31" s="323">
        <f t="shared" si="3"/>
        <v>0</v>
      </c>
      <c r="P31" s="323">
        <f t="shared" si="4"/>
        <v>0</v>
      </c>
      <c r="Q31" s="135"/>
      <c r="R31" s="211">
        <f t="shared" si="19"/>
        <v>0</v>
      </c>
      <c r="S31" s="135"/>
      <c r="T31" s="159">
        <f t="shared" si="13"/>
        <v>0</v>
      </c>
      <c r="U31" s="159">
        <f t="shared" si="14"/>
        <v>0</v>
      </c>
      <c r="V31" s="159">
        <f t="shared" si="15"/>
        <v>0</v>
      </c>
      <c r="W31" s="294">
        <f t="shared" si="16"/>
        <v>0</v>
      </c>
      <c r="X31" s="162">
        <f t="shared" si="17"/>
        <v>0</v>
      </c>
      <c r="AA31" s="164">
        <f t="shared" si="5"/>
        <v>0</v>
      </c>
      <c r="AB31" s="165">
        <f t="shared" si="6"/>
        <v>0</v>
      </c>
      <c r="AC31" s="165">
        <f t="shared" si="7"/>
        <v>0</v>
      </c>
      <c r="AD31" s="165">
        <f t="shared" si="18"/>
        <v>0</v>
      </c>
      <c r="AE31" s="165">
        <f t="shared" si="8"/>
        <v>0</v>
      </c>
      <c r="AF31" s="165">
        <f t="shared" si="9"/>
        <v>0</v>
      </c>
      <c r="AG31" s="165"/>
      <c r="AH31" s="230">
        <f t="shared" si="10"/>
        <v>0</v>
      </c>
    </row>
    <row r="32" spans="2:34" ht="26.25" customHeight="1">
      <c r="B32" s="166">
        <f t="shared" si="11"/>
        <v>44621</v>
      </c>
      <c r="C32" s="221"/>
      <c r="D32" s="221"/>
      <c r="E32" s="221"/>
      <c r="F32" s="221"/>
      <c r="G32" s="221"/>
      <c r="H32" s="292">
        <f t="shared" si="20"/>
        <v>0</v>
      </c>
      <c r="I32" s="137"/>
      <c r="J32" s="137">
        <f t="shared" si="21"/>
        <v>0</v>
      </c>
      <c r="K32" s="137"/>
      <c r="L32" s="256">
        <f t="shared" si="22"/>
        <v>0</v>
      </c>
      <c r="M32" s="136"/>
      <c r="N32" s="256">
        <f t="shared" si="12"/>
        <v>0</v>
      </c>
      <c r="O32" s="323">
        <f t="shared" si="3"/>
        <v>0</v>
      </c>
      <c r="P32" s="323">
        <f t="shared" si="4"/>
        <v>0</v>
      </c>
      <c r="Q32" s="135"/>
      <c r="R32" s="211">
        <f t="shared" si="19"/>
        <v>0</v>
      </c>
      <c r="S32" s="135"/>
      <c r="T32" s="159">
        <f t="shared" si="13"/>
        <v>0</v>
      </c>
      <c r="U32" s="159">
        <f t="shared" si="14"/>
        <v>0</v>
      </c>
      <c r="V32" s="159">
        <f t="shared" si="15"/>
        <v>0</v>
      </c>
      <c r="W32" s="294">
        <f t="shared" si="16"/>
        <v>0</v>
      </c>
      <c r="X32" s="162">
        <f t="shared" si="17"/>
        <v>0</v>
      </c>
      <c r="AA32" s="164">
        <f t="shared" si="5"/>
        <v>0</v>
      </c>
      <c r="AB32" s="165">
        <f t="shared" si="6"/>
        <v>0</v>
      </c>
      <c r="AC32" s="165">
        <f t="shared" si="7"/>
        <v>0</v>
      </c>
      <c r="AD32" s="165">
        <f t="shared" si="18"/>
        <v>0</v>
      </c>
      <c r="AE32" s="165">
        <f t="shared" si="8"/>
        <v>0</v>
      </c>
      <c r="AF32" s="165">
        <f t="shared" si="9"/>
        <v>0</v>
      </c>
      <c r="AG32" s="165"/>
      <c r="AH32" s="230">
        <f t="shared" si="10"/>
        <v>0</v>
      </c>
    </row>
    <row r="33" spans="2:34" ht="26.25" customHeight="1">
      <c r="B33" s="166">
        <f t="shared" si="11"/>
        <v>44622</v>
      </c>
      <c r="C33" s="221"/>
      <c r="D33" s="221"/>
      <c r="E33" s="221"/>
      <c r="F33" s="221"/>
      <c r="G33" s="221"/>
      <c r="H33" s="292">
        <f t="shared" si="20"/>
        <v>0</v>
      </c>
      <c r="I33" s="137"/>
      <c r="J33" s="137">
        <f t="shared" si="21"/>
        <v>0</v>
      </c>
      <c r="K33" s="137"/>
      <c r="L33" s="256">
        <f t="shared" si="22"/>
        <v>0</v>
      </c>
      <c r="M33" s="136"/>
      <c r="N33" s="256">
        <f>L33+M33</f>
        <v>0</v>
      </c>
      <c r="O33" s="323">
        <f t="shared" si="3"/>
        <v>0</v>
      </c>
      <c r="P33" s="323">
        <f t="shared" si="4"/>
        <v>0</v>
      </c>
      <c r="Q33" s="135"/>
      <c r="R33" s="211">
        <f t="shared" si="19"/>
        <v>0</v>
      </c>
      <c r="S33" s="135"/>
      <c r="T33" s="159">
        <f t="shared" si="13"/>
        <v>0</v>
      </c>
      <c r="U33" s="159">
        <f t="shared" si="14"/>
        <v>0</v>
      </c>
      <c r="V33" s="159">
        <f t="shared" si="15"/>
        <v>0</v>
      </c>
      <c r="W33" s="294">
        <f t="shared" si="16"/>
        <v>0</v>
      </c>
      <c r="X33" s="162">
        <f t="shared" si="17"/>
        <v>0</v>
      </c>
      <c r="AA33" s="164">
        <f t="shared" si="5"/>
        <v>0</v>
      </c>
      <c r="AB33" s="165">
        <f t="shared" si="6"/>
        <v>0</v>
      </c>
      <c r="AC33" s="165">
        <f t="shared" si="7"/>
        <v>0</v>
      </c>
      <c r="AD33" s="165">
        <f t="shared" si="18"/>
        <v>0</v>
      </c>
      <c r="AE33" s="165">
        <f t="shared" si="8"/>
        <v>0</v>
      </c>
      <c r="AF33" s="165">
        <f t="shared" si="9"/>
        <v>0</v>
      </c>
      <c r="AG33" s="165"/>
      <c r="AH33" s="230">
        <f t="shared" si="10"/>
        <v>0</v>
      </c>
    </row>
    <row r="34" spans="2:34" ht="26.25" customHeight="1">
      <c r="B34" s="166">
        <f t="shared" si="11"/>
        <v>44623</v>
      </c>
      <c r="C34" s="221"/>
      <c r="D34" s="221"/>
      <c r="E34" s="221"/>
      <c r="F34" s="221"/>
      <c r="G34" s="221"/>
      <c r="H34" s="292">
        <f t="shared" si="20"/>
        <v>0</v>
      </c>
      <c r="I34" s="137"/>
      <c r="J34" s="137">
        <f t="shared" si="21"/>
        <v>0</v>
      </c>
      <c r="K34" s="137"/>
      <c r="L34" s="256">
        <f t="shared" si="22"/>
        <v>0</v>
      </c>
      <c r="M34" s="136"/>
      <c r="N34" s="256">
        <f t="shared" si="12"/>
        <v>0</v>
      </c>
      <c r="O34" s="323">
        <f t="shared" si="3"/>
        <v>0</v>
      </c>
      <c r="P34" s="323">
        <f t="shared" si="4"/>
        <v>0</v>
      </c>
      <c r="Q34" s="135"/>
      <c r="R34" s="211">
        <f>Q34-S34</f>
        <v>0</v>
      </c>
      <c r="S34" s="135"/>
      <c r="T34" s="159">
        <f t="shared" si="13"/>
        <v>0</v>
      </c>
      <c r="U34" s="159">
        <f t="shared" si="14"/>
        <v>0</v>
      </c>
      <c r="V34" s="159">
        <f t="shared" si="15"/>
        <v>0</v>
      </c>
      <c r="W34" s="294">
        <f t="shared" si="16"/>
        <v>0</v>
      </c>
      <c r="X34" s="162">
        <f t="shared" si="17"/>
        <v>0</v>
      </c>
      <c r="AA34" s="164">
        <f t="shared" si="5"/>
        <v>0</v>
      </c>
      <c r="AB34" s="165">
        <f t="shared" si="6"/>
        <v>0</v>
      </c>
      <c r="AC34" s="165">
        <f t="shared" si="7"/>
        <v>0</v>
      </c>
      <c r="AD34" s="165">
        <f t="shared" si="18"/>
        <v>0</v>
      </c>
      <c r="AE34" s="165">
        <f t="shared" si="8"/>
        <v>0</v>
      </c>
      <c r="AF34" s="165">
        <f t="shared" si="9"/>
        <v>0</v>
      </c>
      <c r="AG34" s="165"/>
      <c r="AH34" s="230">
        <f t="shared" si="10"/>
        <v>0</v>
      </c>
    </row>
    <row r="35" spans="2:34" ht="26.25" customHeight="1" thickBot="1">
      <c r="B35" s="138"/>
      <c r="C35" s="139"/>
      <c r="D35" s="139"/>
      <c r="E35" s="139"/>
      <c r="F35" s="140"/>
      <c r="G35" s="325"/>
      <c r="H35" s="326">
        <f t="shared" si="20"/>
        <v>0</v>
      </c>
      <c r="I35" s="142"/>
      <c r="J35" s="142">
        <f t="shared" si="21"/>
        <v>0</v>
      </c>
      <c r="K35" s="142"/>
      <c r="L35" s="143"/>
      <c r="M35" s="143"/>
      <c r="N35" s="143"/>
      <c r="O35" s="322"/>
      <c r="P35" s="322"/>
      <c r="Q35" s="144"/>
      <c r="R35" s="212"/>
      <c r="S35" s="144"/>
      <c r="T35" s="160"/>
      <c r="U35" s="160"/>
      <c r="V35" s="160"/>
      <c r="W35" s="295"/>
      <c r="X35" s="163"/>
      <c r="AA35" s="164"/>
      <c r="AB35" s="165"/>
      <c r="AC35" s="165"/>
      <c r="AD35" s="165"/>
      <c r="AE35" s="165"/>
      <c r="AF35" s="165"/>
      <c r="AG35" s="165"/>
      <c r="AH35" s="230"/>
    </row>
    <row r="36" spans="2:34" ht="14.25" customHeight="1" thickBot="1">
      <c r="H36" s="324"/>
      <c r="AB36" s="165"/>
    </row>
    <row r="37" spans="2:34" ht="23.25" customHeight="1" thickBot="1">
      <c r="B37" s="145" t="s">
        <v>99</v>
      </c>
      <c r="C37" s="175">
        <f>SUM(C4:C35)</f>
        <v>0</v>
      </c>
      <c r="D37" s="175">
        <f t="shared" ref="D37:X37" si="23">SUM(D4:D35)</f>
        <v>0</v>
      </c>
      <c r="E37" s="175">
        <f t="shared" si="23"/>
        <v>0</v>
      </c>
      <c r="F37" s="175">
        <f t="shared" si="23"/>
        <v>0</v>
      </c>
      <c r="G37" s="175">
        <f t="shared" si="23"/>
        <v>0</v>
      </c>
      <c r="H37" s="175">
        <f t="shared" si="23"/>
        <v>0</v>
      </c>
      <c r="I37" s="175">
        <f>SUM(I4:I35)</f>
        <v>0</v>
      </c>
      <c r="J37" s="175">
        <f>SUM(J4:J35)</f>
        <v>0</v>
      </c>
      <c r="K37" s="175">
        <f t="shared" si="23"/>
        <v>0</v>
      </c>
      <c r="L37" s="175">
        <f>SUM(L4:L35)</f>
        <v>0</v>
      </c>
      <c r="M37" s="277">
        <f t="shared" si="23"/>
        <v>0</v>
      </c>
      <c r="N37" s="277">
        <f t="shared" si="23"/>
        <v>0</v>
      </c>
      <c r="O37" s="175">
        <f t="shared" si="23"/>
        <v>0</v>
      </c>
      <c r="P37" s="175">
        <f t="shared" si="23"/>
        <v>0</v>
      </c>
      <c r="Q37" s="175">
        <f t="shared" si="23"/>
        <v>0</v>
      </c>
      <c r="R37" s="175">
        <f t="shared" si="23"/>
        <v>0</v>
      </c>
      <c r="S37" s="175">
        <f t="shared" si="23"/>
        <v>0</v>
      </c>
      <c r="T37" s="175">
        <f t="shared" si="23"/>
        <v>0</v>
      </c>
      <c r="U37" s="175">
        <f t="shared" si="23"/>
        <v>0</v>
      </c>
      <c r="V37" s="175">
        <f t="shared" si="23"/>
        <v>0</v>
      </c>
      <c r="W37" s="175">
        <f t="shared" si="23"/>
        <v>0</v>
      </c>
      <c r="X37" s="274">
        <f t="shared" si="23"/>
        <v>0</v>
      </c>
    </row>
    <row r="38" spans="2:34" ht="19.5" customHeight="1">
      <c r="I38" s="146"/>
      <c r="J38" s="146"/>
      <c r="K38" s="146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</row>
    <row r="39" spans="2:34" ht="19.5" customHeight="1">
      <c r="I39" s="146"/>
      <c r="J39" s="146"/>
      <c r="K39" s="146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</row>
    <row r="40" spans="2:34" ht="24" customHeight="1">
      <c r="C40" s="242" t="s">
        <v>163</v>
      </c>
      <c r="D40" s="242"/>
      <c r="E40" s="242"/>
      <c r="F40" s="173"/>
      <c r="G40" s="173"/>
      <c r="H40" s="411">
        <f>-H37</f>
        <v>0</v>
      </c>
      <c r="I40" s="411"/>
      <c r="J40" s="331"/>
      <c r="K40" s="264"/>
      <c r="L40" s="264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</row>
    <row r="41" spans="2:34" ht="24" customHeight="1">
      <c r="C41" s="242" t="s">
        <v>178</v>
      </c>
      <c r="D41" s="242"/>
      <c r="E41" s="242"/>
      <c r="F41" s="150"/>
      <c r="G41" s="150"/>
      <c r="H41" s="418">
        <f>N37</f>
        <v>0</v>
      </c>
      <c r="I41" s="418"/>
      <c r="J41" s="332"/>
      <c r="K41" s="264"/>
      <c r="L41" s="264"/>
      <c r="M41" s="173"/>
      <c r="N41" s="257" t="s">
        <v>167</v>
      </c>
      <c r="O41" s="173"/>
      <c r="P41" s="173"/>
      <c r="Q41" s="173"/>
      <c r="R41" s="173"/>
      <c r="S41" s="173"/>
      <c r="T41" s="257" t="s">
        <v>171</v>
      </c>
      <c r="U41" s="173"/>
      <c r="V41" s="173"/>
      <c r="W41" s="173"/>
      <c r="Y41" s="173"/>
      <c r="Z41" s="173"/>
      <c r="AA41" s="173"/>
    </row>
    <row r="42" spans="2:34" ht="24" customHeight="1" thickBot="1">
      <c r="C42" s="242" t="s">
        <v>176</v>
      </c>
      <c r="D42" s="242"/>
      <c r="E42" s="242"/>
      <c r="F42" s="150"/>
      <c r="G42" s="150"/>
      <c r="H42" s="419">
        <f>-ROUNDDOWN(H41*50%,0)</f>
        <v>0</v>
      </c>
      <c r="I42" s="419"/>
      <c r="J42" s="332"/>
      <c r="K42" s="264"/>
      <c r="L42" s="264"/>
      <c r="M42" s="173"/>
      <c r="N42" s="148" t="s">
        <v>168</v>
      </c>
      <c r="O42" s="246"/>
      <c r="P42" s="246"/>
      <c r="Q42" s="246"/>
      <c r="R42" s="173"/>
      <c r="S42" s="173"/>
      <c r="T42" s="148" t="s">
        <v>189</v>
      </c>
      <c r="U42" s="173"/>
      <c r="V42" s="173"/>
      <c r="W42" s="173"/>
      <c r="Y42" s="173"/>
      <c r="Z42" s="173"/>
      <c r="AA42" s="173"/>
    </row>
    <row r="43" spans="2:34" ht="8.25" customHeight="1" thickTop="1">
      <c r="C43" s="242"/>
      <c r="D43" s="242"/>
      <c r="E43" s="242"/>
      <c r="F43" s="150"/>
      <c r="G43" s="150"/>
      <c r="H43" s="173"/>
      <c r="I43" s="265"/>
      <c r="J43" s="265"/>
      <c r="K43" s="264"/>
      <c r="L43" s="264"/>
      <c r="M43" s="173"/>
      <c r="N43" s="148"/>
      <c r="O43" s="173"/>
      <c r="P43" s="173"/>
      <c r="Q43" s="173"/>
      <c r="R43" s="173"/>
      <c r="S43" s="173"/>
      <c r="T43" s="148"/>
      <c r="U43" s="173"/>
      <c r="V43" s="173"/>
      <c r="W43" s="173"/>
      <c r="Y43" s="173"/>
      <c r="Z43" s="173"/>
      <c r="AA43" s="173"/>
    </row>
    <row r="44" spans="2:34" ht="24" customHeight="1">
      <c r="C44" s="242" t="s">
        <v>164</v>
      </c>
      <c r="D44" s="242"/>
      <c r="E44" s="242"/>
      <c r="F44" s="150"/>
      <c r="G44" s="150"/>
      <c r="H44" s="413">
        <f>R37</f>
        <v>0</v>
      </c>
      <c r="I44" s="413"/>
      <c r="J44" s="332"/>
      <c r="K44" s="264"/>
      <c r="L44" s="264"/>
      <c r="M44" s="173"/>
      <c r="N44" s="257" t="s">
        <v>169</v>
      </c>
      <c r="O44" s="173"/>
      <c r="P44" s="173"/>
      <c r="Q44" s="173"/>
      <c r="R44" s="173"/>
      <c r="S44" s="173"/>
      <c r="T44" s="257" t="s">
        <v>169</v>
      </c>
      <c r="U44" s="173"/>
      <c r="V44" s="173"/>
      <c r="W44" s="173"/>
      <c r="Z44" s="173"/>
      <c r="AA44" s="173"/>
    </row>
    <row r="45" spans="2:34" ht="24" customHeight="1">
      <c r="C45" s="242" t="s">
        <v>200</v>
      </c>
      <c r="D45" s="242"/>
      <c r="E45" s="242"/>
      <c r="F45" s="150"/>
      <c r="G45" s="150"/>
      <c r="H45" s="413">
        <f>H44*1.7%</f>
        <v>0</v>
      </c>
      <c r="I45" s="413"/>
      <c r="J45" s="332"/>
      <c r="K45" s="264"/>
      <c r="L45" s="264"/>
      <c r="M45" s="173"/>
      <c r="N45" s="148" t="s">
        <v>170</v>
      </c>
      <c r="O45" s="246"/>
      <c r="P45" s="246"/>
      <c r="Q45" s="246"/>
      <c r="R45" s="173"/>
      <c r="S45" s="173"/>
      <c r="T45" s="148" t="s">
        <v>204</v>
      </c>
      <c r="U45" s="173"/>
      <c r="V45" s="173"/>
      <c r="W45" s="173"/>
      <c r="Z45" s="173"/>
      <c r="AA45" s="173"/>
    </row>
    <row r="46" spans="2:34" ht="24" customHeight="1">
      <c r="C46" s="242" t="s">
        <v>198</v>
      </c>
      <c r="D46" s="242"/>
      <c r="E46" s="242"/>
      <c r="F46" s="150"/>
      <c r="G46" s="150"/>
      <c r="H46" s="413">
        <f>-H45*50%</f>
        <v>0</v>
      </c>
      <c r="I46" s="413"/>
      <c r="J46" s="332"/>
      <c r="K46" s="264"/>
      <c r="L46" s="264"/>
      <c r="M46" s="173"/>
      <c r="N46" s="148"/>
      <c r="O46" s="173"/>
      <c r="P46" s="173"/>
      <c r="Q46" s="173"/>
      <c r="R46" s="173"/>
      <c r="S46" s="173"/>
      <c r="V46" s="148"/>
      <c r="W46" s="148"/>
      <c r="Z46" s="173"/>
      <c r="AA46" s="173"/>
    </row>
    <row r="47" spans="2:34" ht="24" customHeight="1">
      <c r="C47" s="242" t="s">
        <v>201</v>
      </c>
      <c r="D47" s="242"/>
      <c r="E47" s="242"/>
      <c r="F47" s="150"/>
      <c r="G47" s="150"/>
      <c r="H47" s="413">
        <f>S37</f>
        <v>0</v>
      </c>
      <c r="I47" s="413"/>
      <c r="J47" s="332"/>
      <c r="K47" s="264"/>
      <c r="L47" s="264"/>
      <c r="M47" s="173"/>
      <c r="N47" s="148"/>
      <c r="O47" s="173"/>
      <c r="P47" s="173"/>
      <c r="Q47" s="173"/>
      <c r="R47" s="173"/>
      <c r="S47" s="173"/>
      <c r="V47" s="148"/>
      <c r="W47" s="148"/>
      <c r="Z47" s="173"/>
      <c r="AA47" s="173"/>
    </row>
    <row r="48" spans="2:34" ht="24" customHeight="1">
      <c r="C48" s="242" t="s">
        <v>202</v>
      </c>
      <c r="D48" s="242"/>
      <c r="E48" s="242"/>
      <c r="F48" s="150"/>
      <c r="G48" s="150"/>
      <c r="H48" s="413">
        <f>T37</f>
        <v>0</v>
      </c>
      <c r="I48" s="413"/>
      <c r="J48" s="332"/>
      <c r="K48" s="264"/>
      <c r="L48" s="264"/>
      <c r="M48" s="173"/>
      <c r="N48" s="148"/>
      <c r="O48" s="173"/>
      <c r="P48" s="173"/>
      <c r="Q48" s="173"/>
      <c r="R48" s="173"/>
      <c r="S48" s="173"/>
      <c r="V48" s="148"/>
      <c r="W48" s="148"/>
      <c r="Z48" s="173"/>
      <c r="AA48" s="173"/>
    </row>
    <row r="49" spans="2:27" ht="24" customHeight="1">
      <c r="C49" s="242" t="s">
        <v>199</v>
      </c>
      <c r="D49" s="242"/>
      <c r="E49" s="242"/>
      <c r="F49" s="150"/>
      <c r="G49" s="150"/>
      <c r="H49" s="413">
        <f>-H48*50%</f>
        <v>0</v>
      </c>
      <c r="I49" s="413"/>
      <c r="J49" s="332"/>
      <c r="K49" s="264"/>
      <c r="L49" s="264"/>
      <c r="M49" s="173"/>
      <c r="N49" s="148"/>
      <c r="O49" s="173"/>
      <c r="P49" s="173"/>
      <c r="Q49" s="173"/>
      <c r="R49" s="173"/>
      <c r="S49" s="173"/>
      <c r="V49" s="148"/>
      <c r="W49" s="148"/>
      <c r="Z49" s="173"/>
      <c r="AA49" s="173"/>
    </row>
    <row r="50" spans="2:27" ht="24" customHeight="1">
      <c r="B50" s="149"/>
      <c r="C50" s="242" t="s">
        <v>177</v>
      </c>
      <c r="D50" s="124"/>
      <c r="E50" s="124"/>
      <c r="F50" s="124"/>
      <c r="G50" s="124"/>
      <c r="H50" s="413">
        <v>0</v>
      </c>
      <c r="I50" s="413"/>
      <c r="J50" s="332"/>
      <c r="K50" s="264"/>
      <c r="L50" s="264"/>
      <c r="M50" s="173"/>
      <c r="N50" s="334"/>
      <c r="O50" s="148"/>
      <c r="P50" s="173"/>
      <c r="Q50" s="173"/>
      <c r="R50" s="173"/>
      <c r="S50" s="173"/>
      <c r="V50" s="148"/>
      <c r="W50" s="148"/>
      <c r="Z50" s="173"/>
      <c r="AA50" s="173"/>
    </row>
    <row r="51" spans="2:27" ht="24" customHeight="1" thickBot="1">
      <c r="B51" s="149"/>
      <c r="C51" s="242"/>
      <c r="D51" s="242"/>
      <c r="E51" s="242"/>
      <c r="F51" s="173"/>
      <c r="G51" s="173"/>
      <c r="H51" s="420">
        <f>ROUNDDOWN(H45+H46+H49+H50,0)</f>
        <v>0</v>
      </c>
      <c r="I51" s="420"/>
      <c r="J51" s="332"/>
      <c r="K51" s="264"/>
      <c r="L51" s="264"/>
      <c r="M51" s="173"/>
      <c r="N51" s="257" t="s">
        <v>173</v>
      </c>
      <c r="O51" s="173"/>
      <c r="P51" s="173"/>
      <c r="Q51" s="173"/>
      <c r="R51" s="173"/>
      <c r="S51" s="173"/>
      <c r="T51" s="257" t="s">
        <v>45</v>
      </c>
      <c r="U51" s="173"/>
      <c r="V51" s="173"/>
      <c r="W51" s="173"/>
      <c r="Z51" s="173"/>
      <c r="AA51" s="173"/>
    </row>
    <row r="52" spans="2:27" ht="21.75" customHeight="1" thickTop="1">
      <c r="B52" s="149"/>
      <c r="C52" s="242"/>
      <c r="D52" s="242"/>
      <c r="E52" s="242"/>
      <c r="F52" s="173"/>
      <c r="G52" s="173"/>
      <c r="H52" s="173"/>
      <c r="I52" s="331"/>
      <c r="J52" s="332"/>
      <c r="K52" s="264"/>
      <c r="L52" s="264"/>
      <c r="M52" s="173"/>
      <c r="N52" s="148" t="s">
        <v>172</v>
      </c>
      <c r="O52" s="246"/>
      <c r="P52" s="246"/>
      <c r="Q52" s="246"/>
      <c r="R52" s="173"/>
      <c r="S52" s="173"/>
      <c r="T52" s="148" t="s">
        <v>191</v>
      </c>
      <c r="U52" s="173"/>
      <c r="V52" s="173"/>
      <c r="W52" s="173"/>
      <c r="Z52" s="173"/>
      <c r="AA52" s="173"/>
    </row>
    <row r="53" spans="2:27" ht="30" customHeight="1">
      <c r="B53" s="149"/>
      <c r="C53" s="242" t="s">
        <v>203</v>
      </c>
      <c r="D53" s="242"/>
      <c r="E53" s="242"/>
      <c r="F53" s="173"/>
      <c r="G53" s="173"/>
      <c r="H53" s="421">
        <f>H42+H51</f>
        <v>0</v>
      </c>
      <c r="I53" s="421"/>
      <c r="J53" s="332"/>
      <c r="K53" s="284"/>
      <c r="L53" s="284"/>
      <c r="M53" s="173"/>
      <c r="N53" s="148"/>
      <c r="O53" s="173"/>
      <c r="P53" s="173"/>
      <c r="Q53" s="173"/>
      <c r="R53" s="173"/>
      <c r="S53" s="173"/>
      <c r="T53" s="148"/>
      <c r="U53" s="173"/>
      <c r="V53" s="173"/>
      <c r="W53" s="173"/>
      <c r="Z53" s="173"/>
      <c r="AA53" s="173"/>
    </row>
    <row r="54" spans="2:27" ht="26.25" customHeight="1">
      <c r="B54" s="255"/>
      <c r="C54" s="242"/>
      <c r="D54" s="124"/>
      <c r="E54" s="124"/>
      <c r="F54" s="124"/>
      <c r="G54" s="124"/>
      <c r="H54" s="422"/>
      <c r="I54" s="422"/>
      <c r="J54" s="332"/>
      <c r="K54" s="283"/>
      <c r="L54" s="283"/>
      <c r="M54" s="173"/>
      <c r="N54" s="257" t="s">
        <v>169</v>
      </c>
      <c r="R54" s="173"/>
      <c r="S54" s="173"/>
      <c r="T54" s="257" t="s">
        <v>169</v>
      </c>
      <c r="U54" s="150"/>
      <c r="V54" s="150"/>
      <c r="W54" s="150"/>
      <c r="Z54" s="173"/>
      <c r="AA54" s="173"/>
    </row>
    <row r="55" spans="2:27" ht="26.25" customHeight="1">
      <c r="B55" s="254"/>
      <c r="C55" s="242" t="s">
        <v>175</v>
      </c>
      <c r="D55" s="242"/>
      <c r="E55" s="242"/>
      <c r="H55" s="412">
        <f>H40+H53</f>
        <v>0</v>
      </c>
      <c r="I55" s="412"/>
      <c r="J55" s="332"/>
      <c r="K55" s="283"/>
      <c r="L55" s="283"/>
      <c r="M55" s="173"/>
      <c r="N55" s="148" t="s">
        <v>170</v>
      </c>
      <c r="O55" s="248"/>
      <c r="P55" s="248"/>
      <c r="Q55" s="248"/>
      <c r="R55" s="173"/>
      <c r="S55" s="173"/>
      <c r="T55" s="148" t="s">
        <v>205</v>
      </c>
      <c r="U55" s="150"/>
      <c r="V55" s="150"/>
      <c r="W55" s="150"/>
      <c r="Z55" s="173"/>
      <c r="AA55" s="173"/>
    </row>
    <row r="56" spans="2:27" ht="25.5" customHeight="1">
      <c r="D56" s="242"/>
      <c r="E56" s="242"/>
      <c r="G56" s="254"/>
      <c r="K56" s="283"/>
      <c r="L56" s="283"/>
      <c r="M56" s="173"/>
      <c r="S56" s="173"/>
      <c r="Z56" s="150"/>
      <c r="AA56" s="150"/>
    </row>
    <row r="57" spans="2:27" ht="28.5">
      <c r="B57" s="124"/>
      <c r="C57" s="124"/>
      <c r="D57" s="124"/>
      <c r="E57" s="124"/>
      <c r="F57" s="124"/>
      <c r="I57" s="151"/>
      <c r="J57" s="151"/>
      <c r="K57" s="283"/>
      <c r="L57" s="283"/>
      <c r="M57" s="173"/>
      <c r="N57" s="148"/>
      <c r="O57" s="148"/>
      <c r="T57" s="148"/>
      <c r="U57" s="150"/>
      <c r="V57" s="150"/>
      <c r="W57" s="150"/>
      <c r="Y57" s="150"/>
      <c r="Z57" s="150"/>
      <c r="AA57" s="150"/>
    </row>
    <row r="58" spans="2:27" ht="28.5">
      <c r="B58" s="124"/>
      <c r="C58" s="124"/>
      <c r="D58" s="124"/>
      <c r="E58" s="124"/>
      <c r="F58" s="124"/>
      <c r="G58" s="124"/>
      <c r="H58" s="124"/>
      <c r="K58" s="283"/>
      <c r="L58" s="173"/>
      <c r="M58" s="333"/>
      <c r="N58" s="148"/>
      <c r="U58" s="148"/>
      <c r="V58" s="150"/>
      <c r="W58" s="150"/>
      <c r="X58" s="150"/>
      <c r="Y58" s="150"/>
      <c r="Z58" s="150"/>
    </row>
    <row r="59" spans="2:27" ht="28.5">
      <c r="B59" s="124"/>
      <c r="C59" s="124"/>
      <c r="D59" s="124"/>
      <c r="E59" s="124"/>
      <c r="F59" s="124"/>
      <c r="G59" s="124"/>
      <c r="H59" s="124"/>
      <c r="L59" s="153"/>
      <c r="N59" s="148"/>
      <c r="T59" s="148"/>
      <c r="U59" s="173"/>
      <c r="V59" s="173"/>
      <c r="W59" s="173"/>
      <c r="Y59" s="150"/>
    </row>
    <row r="60" spans="2:27" ht="23.25">
      <c r="G60" s="124"/>
      <c r="H60" s="124"/>
      <c r="L60" s="154"/>
      <c r="N60" s="257"/>
      <c r="T60" s="257"/>
      <c r="U60" s="150"/>
      <c r="V60" s="150"/>
      <c r="W60" s="150"/>
      <c r="Y60" s="150"/>
    </row>
    <row r="61" spans="2:27" ht="18.75">
      <c r="L61" s="155"/>
      <c r="M61" s="153"/>
      <c r="N61" s="148"/>
      <c r="T61" s="148"/>
      <c r="U61" s="150"/>
      <c r="V61" s="150"/>
      <c r="W61" s="150"/>
    </row>
    <row r="62" spans="2:27" ht="18.75">
      <c r="L62" s="156"/>
      <c r="M62" s="154"/>
      <c r="N62" s="247"/>
      <c r="T62" s="150"/>
      <c r="U62" s="150"/>
    </row>
    <row r="63" spans="2:27">
      <c r="L63" s="156"/>
      <c r="M63" s="155"/>
    </row>
    <row r="64" spans="2:27" ht="15.75">
      <c r="L64" s="156"/>
      <c r="M64" s="156"/>
      <c r="N64" s="153"/>
      <c r="Q64" s="152"/>
    </row>
    <row r="65" spans="9:24">
      <c r="L65" s="156"/>
      <c r="M65" s="156"/>
      <c r="N65" s="154"/>
    </row>
    <row r="66" spans="9:24">
      <c r="L66" s="156"/>
      <c r="M66" s="156"/>
      <c r="N66" s="155"/>
    </row>
    <row r="67" spans="9:24">
      <c r="L67" s="156"/>
      <c r="M67" s="156"/>
      <c r="N67" s="156"/>
    </row>
    <row r="68" spans="9:24">
      <c r="L68" s="156"/>
      <c r="M68" s="156"/>
      <c r="N68" s="156"/>
    </row>
    <row r="69" spans="9:24" s="123" customFormat="1">
      <c r="I69" s="124"/>
      <c r="J69" s="124"/>
      <c r="K69" s="124"/>
      <c r="L69" s="156"/>
      <c r="M69" s="156"/>
      <c r="N69" s="156"/>
      <c r="O69" s="124"/>
      <c r="P69" s="124"/>
      <c r="Q69" s="124"/>
      <c r="R69" s="124"/>
      <c r="S69" s="124"/>
      <c r="T69" s="124"/>
      <c r="U69" s="124"/>
      <c r="V69" s="124"/>
      <c r="W69" s="124"/>
      <c r="X69" s="124"/>
    </row>
    <row r="70" spans="9:24">
      <c r="L70" s="156"/>
      <c r="M70" s="156"/>
      <c r="N70" s="156"/>
    </row>
    <row r="71" spans="9:24">
      <c r="L71" s="156"/>
      <c r="M71" s="156"/>
      <c r="N71" s="156"/>
    </row>
    <row r="72" spans="9:24">
      <c r="M72" s="156"/>
      <c r="N72" s="156"/>
    </row>
    <row r="73" spans="9:24">
      <c r="M73" s="156"/>
      <c r="N73" s="156"/>
    </row>
    <row r="74" spans="9:24">
      <c r="N74" s="156"/>
    </row>
    <row r="75" spans="9:24">
      <c r="N75" s="156"/>
    </row>
    <row r="76" spans="9:24">
      <c r="N76" s="156"/>
    </row>
  </sheetData>
  <sheetProtection algorithmName="SHA-512" hashValue="m49J4UTce8ErDLBpaBwGEOqwyB2zCm8fYbF3mH8SxM57dy7ArHDd18aEnwq1h8GHpFQPHj8W4g3aQs3BpQYSEg==" saltValue="cWJ3bgQDn8P+Qi0ejb+8Vg==" spinCount="100000" sheet="1" objects="1" scenarios="1"/>
  <mergeCells count="15">
    <mergeCell ref="H45:I45"/>
    <mergeCell ref="B2:X2"/>
    <mergeCell ref="H40:I40"/>
    <mergeCell ref="H41:I41"/>
    <mergeCell ref="H42:I42"/>
    <mergeCell ref="H44:I44"/>
    <mergeCell ref="H53:I53"/>
    <mergeCell ref="H54:I54"/>
    <mergeCell ref="H55:I55"/>
    <mergeCell ref="H46:I46"/>
    <mergeCell ref="H47:I47"/>
    <mergeCell ref="H48:I48"/>
    <mergeCell ref="H49:I49"/>
    <mergeCell ref="H50:I50"/>
    <mergeCell ref="H51:I51"/>
  </mergeCells>
  <printOptions horizontalCentered="1"/>
  <pageMargins left="0" right="0" top="0" bottom="0" header="0" footer="0"/>
  <pageSetup scale="38" orientation="landscape" horizontalDpi="360" verticalDpi="36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>
    <tabColor rgb="FFFFFF00"/>
    <pageSetUpPr fitToPage="1"/>
  </sheetPr>
  <dimension ref="B1:AI76"/>
  <sheetViews>
    <sheetView showGridLines="0" view="pageBreakPreview" zoomScale="69" zoomScaleNormal="90" zoomScaleSheetLayoutView="69" workbookViewId="0">
      <pane ySplit="3" topLeftCell="A4" activePane="bottomLeft" state="frozen"/>
      <selection activeCell="I7" sqref="I7"/>
      <selection pane="bottomLeft" activeCell="K48" sqref="K48"/>
    </sheetView>
  </sheetViews>
  <sheetFormatPr defaultRowHeight="15"/>
  <cols>
    <col min="1" max="1" width="1" style="124" customWidth="1"/>
    <col min="2" max="2" width="12.28515625" style="123" bestFit="1" customWidth="1"/>
    <col min="3" max="5" width="12.28515625" style="123" customWidth="1"/>
    <col min="6" max="6" width="14.140625" style="123" customWidth="1"/>
    <col min="7" max="7" width="14.42578125" style="123" bestFit="1" customWidth="1"/>
    <col min="8" max="8" width="20.5703125" style="123" customWidth="1"/>
    <col min="9" max="9" width="13.5703125" style="124" hidden="1" customWidth="1"/>
    <col min="10" max="10" width="15.28515625" style="124" customWidth="1"/>
    <col min="11" max="11" width="15.42578125" style="124" customWidth="1"/>
    <col min="12" max="14" width="17.42578125" style="124" customWidth="1"/>
    <col min="15" max="15" width="13.5703125" style="124" bestFit="1" customWidth="1"/>
    <col min="16" max="16" width="14.140625" style="124" bestFit="1" customWidth="1"/>
    <col min="17" max="19" width="19" style="124" customWidth="1"/>
    <col min="20" max="20" width="18.42578125" style="124" customWidth="1"/>
    <col min="21" max="21" width="13.85546875" style="124" customWidth="1"/>
    <col min="22" max="23" width="13.7109375" style="124" customWidth="1"/>
    <col min="24" max="24" width="24.140625" style="124" bestFit="1" customWidth="1"/>
    <col min="25" max="25" width="1.5703125" style="124" customWidth="1"/>
    <col min="26" max="26" width="9.140625" style="124" hidden="1" customWidth="1"/>
    <col min="27" max="27" width="8.85546875" style="124" hidden="1" customWidth="1"/>
    <col min="28" max="28" width="10.140625" style="124" hidden="1" customWidth="1"/>
    <col min="29" max="29" width="12.140625" style="124" hidden="1" customWidth="1"/>
    <col min="30" max="30" width="9.140625" style="124" hidden="1" customWidth="1"/>
    <col min="31" max="31" width="9.28515625" style="124" hidden="1" customWidth="1"/>
    <col min="32" max="32" width="11" style="124" hidden="1" customWidth="1"/>
    <col min="33" max="33" width="7.140625" style="124" hidden="1" customWidth="1"/>
    <col min="34" max="34" width="10.42578125" style="124" hidden="1" customWidth="1"/>
    <col min="35" max="35" width="10.5703125" style="124" hidden="1" customWidth="1"/>
    <col min="36" max="16384" width="9.140625" style="124"/>
  </cols>
  <sheetData>
    <row r="1" spans="2:34" ht="24.75" customHeight="1" thickBot="1"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</row>
    <row r="2" spans="2:34" ht="28.5" customHeight="1" thickBot="1">
      <c r="B2" s="414" t="s">
        <v>238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415"/>
      <c r="X2" s="416"/>
    </row>
    <row r="3" spans="2:34" ht="60.75" thickBot="1">
      <c r="B3" s="125" t="s">
        <v>94</v>
      </c>
      <c r="C3" s="126" t="s">
        <v>121</v>
      </c>
      <c r="D3" s="126" t="s">
        <v>216</v>
      </c>
      <c r="E3" s="126" t="s">
        <v>215</v>
      </c>
      <c r="F3" s="126" t="s">
        <v>188</v>
      </c>
      <c r="G3" s="126" t="s">
        <v>186</v>
      </c>
      <c r="H3" s="126" t="s">
        <v>163</v>
      </c>
      <c r="I3" s="127" t="s">
        <v>111</v>
      </c>
      <c r="J3" s="127" t="s">
        <v>217</v>
      </c>
      <c r="K3" s="127" t="s">
        <v>221</v>
      </c>
      <c r="L3" s="127" t="s">
        <v>180</v>
      </c>
      <c r="M3" s="127" t="s">
        <v>181</v>
      </c>
      <c r="N3" s="127" t="s">
        <v>182</v>
      </c>
      <c r="O3" s="128">
        <v>-0.5</v>
      </c>
      <c r="P3" s="157">
        <f>-100%-O3</f>
        <v>-0.5</v>
      </c>
      <c r="Q3" s="127" t="s">
        <v>141</v>
      </c>
      <c r="R3" s="127" t="s">
        <v>142</v>
      </c>
      <c r="S3" s="127" t="s">
        <v>208</v>
      </c>
      <c r="T3" s="127" t="s">
        <v>125</v>
      </c>
      <c r="U3" s="206" t="s">
        <v>143</v>
      </c>
      <c r="V3" s="127" t="s">
        <v>97</v>
      </c>
      <c r="W3" s="127" t="s">
        <v>144</v>
      </c>
      <c r="X3" s="129" t="s">
        <v>96</v>
      </c>
      <c r="AA3" s="130" t="s">
        <v>106</v>
      </c>
      <c r="AB3" s="130" t="s">
        <v>95</v>
      </c>
      <c r="AC3" s="130" t="s">
        <v>107</v>
      </c>
      <c r="AD3" s="131" t="s">
        <v>108</v>
      </c>
      <c r="AE3" s="131" t="s">
        <v>109</v>
      </c>
      <c r="AF3" s="130" t="s">
        <v>147</v>
      </c>
      <c r="AG3" s="130" t="s">
        <v>110</v>
      </c>
      <c r="AH3" s="130" t="s">
        <v>120</v>
      </c>
    </row>
    <row r="4" spans="2:34" ht="26.25" customHeight="1">
      <c r="B4" s="132">
        <v>44593</v>
      </c>
      <c r="C4" s="240"/>
      <c r="D4" s="240">
        <v>0</v>
      </c>
      <c r="E4" s="240">
        <v>0</v>
      </c>
      <c r="F4" s="240">
        <v>0</v>
      </c>
      <c r="G4" s="240">
        <v>0</v>
      </c>
      <c r="H4" s="292">
        <f>SUM(F4:G4)+C4</f>
        <v>0</v>
      </c>
      <c r="I4" s="133">
        <v>0</v>
      </c>
      <c r="J4" s="137">
        <f t="shared" ref="J4:J9" si="0">SUM(D4:E4)</f>
        <v>0</v>
      </c>
      <c r="K4" s="133">
        <v>0</v>
      </c>
      <c r="L4" s="256">
        <f t="shared" ref="L4:L9" si="1">-F4-G4-I4-K4+E4</f>
        <v>0</v>
      </c>
      <c r="M4" s="133">
        <v>5197</v>
      </c>
      <c r="N4" s="256">
        <f>L4+M4</f>
        <v>5197</v>
      </c>
      <c r="O4" s="321">
        <f>N4*$O$3</f>
        <v>-2598.5</v>
      </c>
      <c r="P4" s="321">
        <f>N4*$P$3</f>
        <v>-2598.5</v>
      </c>
      <c r="Q4" s="134">
        <v>19750</v>
      </c>
      <c r="R4" s="210">
        <f>Q4-S4</f>
        <v>19750</v>
      </c>
      <c r="S4" s="134">
        <v>0</v>
      </c>
      <c r="T4" s="159">
        <f>S4*1.7%</f>
        <v>0</v>
      </c>
      <c r="U4" s="158">
        <f>R4*1.7%</f>
        <v>335.75</v>
      </c>
      <c r="V4" s="158">
        <f>SUM(T4:U4)</f>
        <v>335.75</v>
      </c>
      <c r="W4" s="293">
        <f>V4*50%</f>
        <v>167.875</v>
      </c>
      <c r="X4" s="286">
        <f>O4+W4-T4</f>
        <v>-2430.625</v>
      </c>
      <c r="AA4" s="164">
        <f>H4</f>
        <v>0</v>
      </c>
      <c r="AB4" s="165">
        <f>I4+K4</f>
        <v>0</v>
      </c>
      <c r="AC4" s="165">
        <f>R4</f>
        <v>19750</v>
      </c>
      <c r="AD4" s="165">
        <f>W4</f>
        <v>167.875</v>
      </c>
      <c r="AE4" s="165">
        <f>N4</f>
        <v>5197</v>
      </c>
      <c r="AF4" s="165">
        <f>S4</f>
        <v>0</v>
      </c>
      <c r="AG4" s="165"/>
      <c r="AH4" s="213">
        <f>C4</f>
        <v>0</v>
      </c>
    </row>
    <row r="5" spans="2:34" ht="26.25" customHeight="1">
      <c r="B5" s="166">
        <f>B4+1</f>
        <v>44594</v>
      </c>
      <c r="C5" s="221"/>
      <c r="D5" s="221">
        <v>0</v>
      </c>
      <c r="E5" s="221">
        <v>0</v>
      </c>
      <c r="F5" s="291">
        <v>0</v>
      </c>
      <c r="G5" s="291">
        <v>0</v>
      </c>
      <c r="H5" s="292">
        <f>SUM(F5:G5)+C5</f>
        <v>0</v>
      </c>
      <c r="I5" s="136">
        <v>0</v>
      </c>
      <c r="J5" s="137">
        <f t="shared" si="0"/>
        <v>0</v>
      </c>
      <c r="K5" s="136">
        <v>0</v>
      </c>
      <c r="L5" s="256">
        <f t="shared" si="1"/>
        <v>0</v>
      </c>
      <c r="M5" s="136">
        <v>-5089.5</v>
      </c>
      <c r="N5" s="256">
        <f>L5+M5</f>
        <v>-5089.5</v>
      </c>
      <c r="O5" s="323">
        <f t="shared" ref="O5:O34" si="2">N5*$O$3</f>
        <v>2544.75</v>
      </c>
      <c r="P5" s="323">
        <f t="shared" ref="P5:P34" si="3">N5*$P$3</f>
        <v>2544.75</v>
      </c>
      <c r="Q5" s="135">
        <v>11510</v>
      </c>
      <c r="R5" s="211">
        <f>Q5-S5</f>
        <v>11510</v>
      </c>
      <c r="S5" s="135">
        <v>0</v>
      </c>
      <c r="T5" s="159">
        <f>S5*1.7%</f>
        <v>0</v>
      </c>
      <c r="U5" s="159">
        <f>R5*1.7%</f>
        <v>195.67000000000002</v>
      </c>
      <c r="V5" s="159">
        <f>SUM(T5:U5)</f>
        <v>195.67000000000002</v>
      </c>
      <c r="W5" s="294">
        <f>V5*50%</f>
        <v>97.835000000000008</v>
      </c>
      <c r="X5" s="162">
        <f>O5+W5-T5</f>
        <v>2642.585</v>
      </c>
      <c r="AA5" s="164">
        <f t="shared" ref="AA5:AA34" si="4">AA4+H5</f>
        <v>0</v>
      </c>
      <c r="AB5" s="165">
        <f t="shared" ref="AB5:AB34" si="5">AB4+I5+K5</f>
        <v>0</v>
      </c>
      <c r="AC5" s="165">
        <f t="shared" ref="AC5:AC34" si="6">R5+AC4</f>
        <v>31260</v>
      </c>
      <c r="AD5" s="165">
        <f>W5+AD4</f>
        <v>265.71000000000004</v>
      </c>
      <c r="AE5" s="165">
        <f t="shared" ref="AE5:AE34" si="7">AE4+N5</f>
        <v>107.5</v>
      </c>
      <c r="AF5" s="165">
        <f t="shared" ref="AF5:AF34" si="8">S5+AF4</f>
        <v>0</v>
      </c>
      <c r="AG5" s="165"/>
      <c r="AH5" s="230">
        <f t="shared" ref="AH5:AH34" si="9">C5+AH4</f>
        <v>0</v>
      </c>
    </row>
    <row r="6" spans="2:34" ht="26.25" customHeight="1">
      <c r="B6" s="166">
        <f t="shared" ref="B6:B34" si="10">B5+1</f>
        <v>44595</v>
      </c>
      <c r="C6" s="221"/>
      <c r="D6" s="221">
        <v>0</v>
      </c>
      <c r="E6" s="221">
        <v>0</v>
      </c>
      <c r="F6" s="291">
        <v>0</v>
      </c>
      <c r="G6" s="291">
        <v>0</v>
      </c>
      <c r="H6" s="292">
        <f t="shared" ref="H6:H35" si="11">SUM(F6:G6)</f>
        <v>0</v>
      </c>
      <c r="I6" s="136">
        <v>0</v>
      </c>
      <c r="J6" s="137">
        <f t="shared" si="0"/>
        <v>0</v>
      </c>
      <c r="K6" s="136">
        <v>0</v>
      </c>
      <c r="L6" s="256">
        <f t="shared" si="1"/>
        <v>0</v>
      </c>
      <c r="M6" s="136">
        <v>0</v>
      </c>
      <c r="N6" s="256">
        <f t="shared" ref="N6:N34" si="12">L6+M6</f>
        <v>0</v>
      </c>
      <c r="O6" s="323">
        <f t="shared" si="2"/>
        <v>0</v>
      </c>
      <c r="P6" s="323">
        <f t="shared" si="3"/>
        <v>0</v>
      </c>
      <c r="Q6" s="135">
        <v>0</v>
      </c>
      <c r="R6" s="211">
        <f>Q6-S6</f>
        <v>0</v>
      </c>
      <c r="S6" s="135">
        <v>0</v>
      </c>
      <c r="T6" s="159">
        <f t="shared" ref="T6:T34" si="13">S6*1.7%</f>
        <v>0</v>
      </c>
      <c r="U6" s="159">
        <f t="shared" ref="U6:U34" si="14">R6*1.7%</f>
        <v>0</v>
      </c>
      <c r="V6" s="159">
        <f t="shared" ref="V6:V34" si="15">SUM(T6:U6)</f>
        <v>0</v>
      </c>
      <c r="W6" s="294">
        <f t="shared" ref="W6:W34" si="16">V6*50%</f>
        <v>0</v>
      </c>
      <c r="X6" s="162">
        <f t="shared" ref="X6:X34" si="17">O6+W6-T6</f>
        <v>0</v>
      </c>
      <c r="AA6" s="164">
        <f t="shared" si="4"/>
        <v>0</v>
      </c>
      <c r="AB6" s="165">
        <f t="shared" si="5"/>
        <v>0</v>
      </c>
      <c r="AC6" s="165">
        <f t="shared" si="6"/>
        <v>31260</v>
      </c>
      <c r="AD6" s="165">
        <f t="shared" ref="AD6:AD34" si="18">W6+AD5</f>
        <v>265.71000000000004</v>
      </c>
      <c r="AE6" s="165">
        <f t="shared" si="7"/>
        <v>107.5</v>
      </c>
      <c r="AF6" s="165">
        <f t="shared" si="8"/>
        <v>0</v>
      </c>
      <c r="AG6" s="165"/>
      <c r="AH6" s="230">
        <f t="shared" si="9"/>
        <v>0</v>
      </c>
    </row>
    <row r="7" spans="2:34" ht="26.25" customHeight="1">
      <c r="B7" s="166">
        <f t="shared" si="10"/>
        <v>44596</v>
      </c>
      <c r="C7" s="221"/>
      <c r="D7" s="221">
        <v>0</v>
      </c>
      <c r="E7" s="221">
        <v>0</v>
      </c>
      <c r="F7" s="291">
        <v>0</v>
      </c>
      <c r="G7" s="291">
        <v>0</v>
      </c>
      <c r="H7" s="292">
        <f t="shared" si="11"/>
        <v>0</v>
      </c>
      <c r="I7" s="136">
        <v>0</v>
      </c>
      <c r="J7" s="137">
        <f t="shared" si="0"/>
        <v>0</v>
      </c>
      <c r="K7" s="136">
        <v>0</v>
      </c>
      <c r="L7" s="256">
        <f t="shared" si="1"/>
        <v>0</v>
      </c>
      <c r="M7" s="383">
        <v>1130.5</v>
      </c>
      <c r="N7" s="256">
        <f t="shared" si="12"/>
        <v>1130.5</v>
      </c>
      <c r="O7" s="323">
        <f t="shared" si="2"/>
        <v>-565.25</v>
      </c>
      <c r="P7" s="323">
        <f t="shared" si="3"/>
        <v>-565.25</v>
      </c>
      <c r="Q7" s="382">
        <v>82352</v>
      </c>
      <c r="R7" s="211">
        <f t="shared" ref="R7:R33" si="19">Q7-S7</f>
        <v>82352</v>
      </c>
      <c r="S7" s="135">
        <v>0</v>
      </c>
      <c r="T7" s="159">
        <f t="shared" si="13"/>
        <v>0</v>
      </c>
      <c r="U7" s="159">
        <f t="shared" si="14"/>
        <v>1399.9840000000002</v>
      </c>
      <c r="V7" s="159">
        <f t="shared" si="15"/>
        <v>1399.9840000000002</v>
      </c>
      <c r="W7" s="294">
        <f t="shared" si="16"/>
        <v>699.99200000000008</v>
      </c>
      <c r="X7" s="162">
        <f t="shared" si="17"/>
        <v>134.74200000000008</v>
      </c>
      <c r="AA7" s="164">
        <f t="shared" si="4"/>
        <v>0</v>
      </c>
      <c r="AB7" s="165">
        <f t="shared" si="5"/>
        <v>0</v>
      </c>
      <c r="AC7" s="165">
        <f t="shared" si="6"/>
        <v>113612</v>
      </c>
      <c r="AD7" s="165">
        <f t="shared" si="18"/>
        <v>965.70200000000011</v>
      </c>
      <c r="AE7" s="165">
        <f t="shared" si="7"/>
        <v>1238</v>
      </c>
      <c r="AF7" s="165">
        <f t="shared" si="8"/>
        <v>0</v>
      </c>
      <c r="AG7" s="165"/>
      <c r="AH7" s="230">
        <f t="shared" si="9"/>
        <v>0</v>
      </c>
    </row>
    <row r="8" spans="2:34" ht="26.25" customHeight="1">
      <c r="B8" s="166">
        <f t="shared" si="10"/>
        <v>44597</v>
      </c>
      <c r="C8" s="221"/>
      <c r="D8" s="221">
        <v>0</v>
      </c>
      <c r="E8" s="221">
        <v>0</v>
      </c>
      <c r="F8" s="291">
        <v>0</v>
      </c>
      <c r="G8" s="291">
        <v>0</v>
      </c>
      <c r="H8" s="292">
        <f t="shared" si="11"/>
        <v>0</v>
      </c>
      <c r="I8" s="137">
        <v>0</v>
      </c>
      <c r="J8" s="137">
        <f t="shared" si="0"/>
        <v>0</v>
      </c>
      <c r="K8" s="137">
        <v>0</v>
      </c>
      <c r="L8" s="256">
        <f t="shared" si="1"/>
        <v>0</v>
      </c>
      <c r="M8" s="136">
        <v>1970</v>
      </c>
      <c r="N8" s="256">
        <f t="shared" si="12"/>
        <v>1970</v>
      </c>
      <c r="O8" s="323">
        <f t="shared" si="2"/>
        <v>-985</v>
      </c>
      <c r="P8" s="323">
        <f t="shared" si="3"/>
        <v>-985</v>
      </c>
      <c r="Q8" s="135">
        <v>11160</v>
      </c>
      <c r="R8" s="211">
        <f t="shared" si="19"/>
        <v>11160</v>
      </c>
      <c r="S8" s="135">
        <v>0</v>
      </c>
      <c r="T8" s="159">
        <f t="shared" si="13"/>
        <v>0</v>
      </c>
      <c r="U8" s="159">
        <f t="shared" si="14"/>
        <v>189.72000000000003</v>
      </c>
      <c r="V8" s="159">
        <f t="shared" si="15"/>
        <v>189.72000000000003</v>
      </c>
      <c r="W8" s="294">
        <f t="shared" si="16"/>
        <v>94.860000000000014</v>
      </c>
      <c r="X8" s="162">
        <f t="shared" si="17"/>
        <v>-890.14</v>
      </c>
      <c r="AA8" s="164">
        <f t="shared" si="4"/>
        <v>0</v>
      </c>
      <c r="AB8" s="165">
        <f t="shared" si="5"/>
        <v>0</v>
      </c>
      <c r="AC8" s="165">
        <f t="shared" si="6"/>
        <v>124772</v>
      </c>
      <c r="AD8" s="165">
        <f t="shared" si="18"/>
        <v>1060.5620000000001</v>
      </c>
      <c r="AE8" s="165">
        <f t="shared" si="7"/>
        <v>3208</v>
      </c>
      <c r="AF8" s="165">
        <f t="shared" si="8"/>
        <v>0</v>
      </c>
      <c r="AG8" s="165"/>
      <c r="AH8" s="230">
        <f t="shared" si="9"/>
        <v>0</v>
      </c>
    </row>
    <row r="9" spans="2:34" ht="26.25" customHeight="1">
      <c r="B9" s="166">
        <f t="shared" si="10"/>
        <v>44598</v>
      </c>
      <c r="C9" s="221"/>
      <c r="D9" s="221">
        <v>0</v>
      </c>
      <c r="E9" s="221">
        <v>0</v>
      </c>
      <c r="F9" s="291">
        <v>0</v>
      </c>
      <c r="G9" s="291">
        <v>0</v>
      </c>
      <c r="H9" s="292">
        <f t="shared" si="11"/>
        <v>0</v>
      </c>
      <c r="I9" s="137">
        <v>0</v>
      </c>
      <c r="J9" s="137">
        <f t="shared" si="0"/>
        <v>0</v>
      </c>
      <c r="K9" s="137">
        <v>0</v>
      </c>
      <c r="L9" s="256">
        <f t="shared" si="1"/>
        <v>0</v>
      </c>
      <c r="M9" s="136">
        <v>-37700</v>
      </c>
      <c r="N9" s="256">
        <f t="shared" si="12"/>
        <v>-37700</v>
      </c>
      <c r="O9" s="323">
        <f t="shared" si="2"/>
        <v>18850</v>
      </c>
      <c r="P9" s="323">
        <f t="shared" si="3"/>
        <v>18850</v>
      </c>
      <c r="Q9" s="135">
        <v>153030</v>
      </c>
      <c r="R9" s="211">
        <f t="shared" si="19"/>
        <v>153030</v>
      </c>
      <c r="S9" s="135">
        <v>0</v>
      </c>
      <c r="T9" s="159">
        <f t="shared" si="13"/>
        <v>0</v>
      </c>
      <c r="U9" s="159">
        <f t="shared" si="14"/>
        <v>2601.5100000000002</v>
      </c>
      <c r="V9" s="159">
        <f t="shared" si="15"/>
        <v>2601.5100000000002</v>
      </c>
      <c r="W9" s="294">
        <f t="shared" si="16"/>
        <v>1300.7550000000001</v>
      </c>
      <c r="X9" s="162">
        <f t="shared" si="17"/>
        <v>20150.755000000001</v>
      </c>
      <c r="AA9" s="164">
        <f t="shared" si="4"/>
        <v>0</v>
      </c>
      <c r="AB9" s="165">
        <f t="shared" si="5"/>
        <v>0</v>
      </c>
      <c r="AC9" s="165">
        <f t="shared" si="6"/>
        <v>277802</v>
      </c>
      <c r="AD9" s="165">
        <f t="shared" si="18"/>
        <v>2361.317</v>
      </c>
      <c r="AE9" s="165">
        <f t="shared" si="7"/>
        <v>-34492</v>
      </c>
      <c r="AF9" s="165">
        <f t="shared" si="8"/>
        <v>0</v>
      </c>
      <c r="AG9" s="165"/>
      <c r="AH9" s="230">
        <f t="shared" si="9"/>
        <v>0</v>
      </c>
    </row>
    <row r="10" spans="2:34" ht="26.25" customHeight="1">
      <c r="B10" s="166">
        <f t="shared" si="10"/>
        <v>44599</v>
      </c>
      <c r="C10" s="221"/>
      <c r="D10" s="221">
        <v>0</v>
      </c>
      <c r="E10" s="221">
        <v>0</v>
      </c>
      <c r="F10" s="291">
        <v>0</v>
      </c>
      <c r="G10" s="291">
        <v>0</v>
      </c>
      <c r="H10" s="292">
        <f t="shared" si="11"/>
        <v>0</v>
      </c>
      <c r="I10" s="137">
        <v>0</v>
      </c>
      <c r="J10" s="137">
        <f t="shared" ref="J10:J35" si="20">SUM(D10:E10)</f>
        <v>0</v>
      </c>
      <c r="K10" s="137">
        <v>0</v>
      </c>
      <c r="L10" s="256">
        <f>-F10-G10-I10-K10+E10</f>
        <v>0</v>
      </c>
      <c r="M10" s="136">
        <v>0</v>
      </c>
      <c r="N10" s="335">
        <f t="shared" si="12"/>
        <v>0</v>
      </c>
      <c r="O10" s="336">
        <f t="shared" si="2"/>
        <v>0</v>
      </c>
      <c r="P10" s="323">
        <f t="shared" si="3"/>
        <v>0</v>
      </c>
      <c r="Q10" s="135">
        <v>0</v>
      </c>
      <c r="R10" s="211">
        <f t="shared" si="19"/>
        <v>0</v>
      </c>
      <c r="S10" s="135">
        <v>0</v>
      </c>
      <c r="T10" s="159">
        <f t="shared" si="13"/>
        <v>0</v>
      </c>
      <c r="U10" s="159">
        <f t="shared" si="14"/>
        <v>0</v>
      </c>
      <c r="V10" s="159">
        <f t="shared" si="15"/>
        <v>0</v>
      </c>
      <c r="W10" s="294">
        <f t="shared" si="16"/>
        <v>0</v>
      </c>
      <c r="X10" s="162">
        <f t="shared" si="17"/>
        <v>0</v>
      </c>
      <c r="AA10" s="164">
        <f t="shared" si="4"/>
        <v>0</v>
      </c>
      <c r="AB10" s="165">
        <f t="shared" si="5"/>
        <v>0</v>
      </c>
      <c r="AC10" s="165">
        <f t="shared" si="6"/>
        <v>277802</v>
      </c>
      <c r="AD10" s="165">
        <f t="shared" si="18"/>
        <v>2361.317</v>
      </c>
      <c r="AE10" s="165">
        <f t="shared" si="7"/>
        <v>-34492</v>
      </c>
      <c r="AF10" s="165">
        <f t="shared" si="8"/>
        <v>0</v>
      </c>
      <c r="AG10" s="165"/>
      <c r="AH10" s="230">
        <f>C10+AH9</f>
        <v>0</v>
      </c>
    </row>
    <row r="11" spans="2:34" ht="26.25" customHeight="1">
      <c r="B11" s="166">
        <f t="shared" si="10"/>
        <v>44600</v>
      </c>
      <c r="C11" s="221"/>
      <c r="D11" s="221">
        <v>0</v>
      </c>
      <c r="E11" s="221">
        <v>0</v>
      </c>
      <c r="F11" s="291">
        <v>0</v>
      </c>
      <c r="G11" s="291">
        <v>0</v>
      </c>
      <c r="H11" s="292">
        <f t="shared" si="11"/>
        <v>0</v>
      </c>
      <c r="I11" s="137">
        <v>0</v>
      </c>
      <c r="J11" s="137">
        <f t="shared" si="20"/>
        <v>0</v>
      </c>
      <c r="K11" s="137">
        <v>0</v>
      </c>
      <c r="L11" s="256">
        <f t="shared" ref="L11:L34" si="21">-F11-G11-I11-K11+E11</f>
        <v>0</v>
      </c>
      <c r="M11" s="136">
        <v>0</v>
      </c>
      <c r="N11" s="256">
        <f t="shared" si="12"/>
        <v>0</v>
      </c>
      <c r="O11" s="323">
        <f t="shared" si="2"/>
        <v>0</v>
      </c>
      <c r="P11" s="323">
        <f t="shared" si="3"/>
        <v>0</v>
      </c>
      <c r="Q11" s="135">
        <v>0</v>
      </c>
      <c r="R11" s="211">
        <f t="shared" si="19"/>
        <v>0</v>
      </c>
      <c r="S11" s="135">
        <v>0</v>
      </c>
      <c r="T11" s="159">
        <f t="shared" si="13"/>
        <v>0</v>
      </c>
      <c r="U11" s="159">
        <f t="shared" si="14"/>
        <v>0</v>
      </c>
      <c r="V11" s="159">
        <f t="shared" si="15"/>
        <v>0</v>
      </c>
      <c r="W11" s="294">
        <f t="shared" si="16"/>
        <v>0</v>
      </c>
      <c r="X11" s="162">
        <f t="shared" si="17"/>
        <v>0</v>
      </c>
      <c r="AA11" s="164">
        <f t="shared" si="4"/>
        <v>0</v>
      </c>
      <c r="AB11" s="165">
        <f t="shared" si="5"/>
        <v>0</v>
      </c>
      <c r="AC11" s="165">
        <f t="shared" si="6"/>
        <v>277802</v>
      </c>
      <c r="AD11" s="165">
        <f t="shared" si="18"/>
        <v>2361.317</v>
      </c>
      <c r="AE11" s="165">
        <f t="shared" si="7"/>
        <v>-34492</v>
      </c>
      <c r="AF11" s="165">
        <f t="shared" si="8"/>
        <v>0</v>
      </c>
      <c r="AG11" s="165"/>
      <c r="AH11" s="230">
        <f t="shared" si="9"/>
        <v>0</v>
      </c>
    </row>
    <row r="12" spans="2:34" ht="26.25" customHeight="1">
      <c r="B12" s="166">
        <f t="shared" si="10"/>
        <v>44601</v>
      </c>
      <c r="C12" s="221"/>
      <c r="D12" s="221">
        <v>0</v>
      </c>
      <c r="E12" s="221">
        <v>0</v>
      </c>
      <c r="F12" s="291">
        <v>0</v>
      </c>
      <c r="G12" s="291">
        <v>0</v>
      </c>
      <c r="H12" s="292">
        <f t="shared" si="11"/>
        <v>0</v>
      </c>
      <c r="I12" s="137">
        <v>0</v>
      </c>
      <c r="J12" s="137">
        <f t="shared" si="20"/>
        <v>0</v>
      </c>
      <c r="K12" s="137">
        <v>0</v>
      </c>
      <c r="L12" s="256">
        <f t="shared" si="21"/>
        <v>0</v>
      </c>
      <c r="M12" s="136">
        <v>0</v>
      </c>
      <c r="N12" s="256">
        <f t="shared" si="12"/>
        <v>0</v>
      </c>
      <c r="O12" s="323">
        <f t="shared" si="2"/>
        <v>0</v>
      </c>
      <c r="P12" s="323">
        <f t="shared" si="3"/>
        <v>0</v>
      </c>
      <c r="Q12" s="135">
        <v>0</v>
      </c>
      <c r="R12" s="211">
        <f t="shared" si="19"/>
        <v>-277777</v>
      </c>
      <c r="S12" s="135">
        <v>277777</v>
      </c>
      <c r="T12" s="159">
        <f t="shared" si="13"/>
        <v>4722.2090000000007</v>
      </c>
      <c r="U12" s="159">
        <f t="shared" si="14"/>
        <v>-4722.2090000000007</v>
      </c>
      <c r="V12" s="159">
        <f t="shared" si="15"/>
        <v>0</v>
      </c>
      <c r="W12" s="294">
        <f t="shared" si="16"/>
        <v>0</v>
      </c>
      <c r="X12" s="162">
        <f t="shared" si="17"/>
        <v>-4722.2090000000007</v>
      </c>
      <c r="AA12" s="164">
        <f t="shared" si="4"/>
        <v>0</v>
      </c>
      <c r="AB12" s="165">
        <f t="shared" si="5"/>
        <v>0</v>
      </c>
      <c r="AC12" s="165">
        <f t="shared" si="6"/>
        <v>25</v>
      </c>
      <c r="AD12" s="165">
        <f t="shared" si="18"/>
        <v>2361.317</v>
      </c>
      <c r="AE12" s="165">
        <f t="shared" si="7"/>
        <v>-34492</v>
      </c>
      <c r="AF12" s="165">
        <f t="shared" si="8"/>
        <v>277777</v>
      </c>
      <c r="AG12" s="165"/>
      <c r="AH12" s="230">
        <f t="shared" si="9"/>
        <v>0</v>
      </c>
    </row>
    <row r="13" spans="2:34" ht="26.25" customHeight="1">
      <c r="B13" s="166">
        <f t="shared" si="10"/>
        <v>44602</v>
      </c>
      <c r="C13" s="221"/>
      <c r="D13" s="221">
        <v>0</v>
      </c>
      <c r="E13" s="221">
        <v>0</v>
      </c>
      <c r="F13" s="291">
        <v>0</v>
      </c>
      <c r="G13" s="291">
        <v>0</v>
      </c>
      <c r="H13" s="292">
        <f t="shared" si="11"/>
        <v>0</v>
      </c>
      <c r="I13" s="137">
        <v>0</v>
      </c>
      <c r="J13" s="137">
        <f t="shared" si="20"/>
        <v>0</v>
      </c>
      <c r="K13" s="137">
        <v>0</v>
      </c>
      <c r="L13" s="256">
        <f t="shared" si="21"/>
        <v>0</v>
      </c>
      <c r="M13" s="136">
        <v>-790</v>
      </c>
      <c r="N13" s="256">
        <f t="shared" si="12"/>
        <v>-790</v>
      </c>
      <c r="O13" s="323">
        <f t="shared" si="2"/>
        <v>395</v>
      </c>
      <c r="P13" s="323">
        <f t="shared" si="3"/>
        <v>395</v>
      </c>
      <c r="Q13" s="135">
        <v>2240</v>
      </c>
      <c r="R13" s="211">
        <f t="shared" si="19"/>
        <v>2240</v>
      </c>
      <c r="S13" s="135">
        <v>0</v>
      </c>
      <c r="T13" s="159">
        <f t="shared" si="13"/>
        <v>0</v>
      </c>
      <c r="U13" s="159">
        <f t="shared" si="14"/>
        <v>38.080000000000005</v>
      </c>
      <c r="V13" s="159">
        <f t="shared" si="15"/>
        <v>38.080000000000005</v>
      </c>
      <c r="W13" s="294">
        <f t="shared" si="16"/>
        <v>19.040000000000003</v>
      </c>
      <c r="X13" s="162">
        <f t="shared" si="17"/>
        <v>414.04</v>
      </c>
      <c r="AA13" s="164">
        <f t="shared" si="4"/>
        <v>0</v>
      </c>
      <c r="AB13" s="165">
        <f t="shared" si="5"/>
        <v>0</v>
      </c>
      <c r="AC13" s="165">
        <f>R13+AC12</f>
        <v>2265</v>
      </c>
      <c r="AD13" s="165">
        <f t="shared" si="18"/>
        <v>2380.357</v>
      </c>
      <c r="AE13" s="165">
        <f t="shared" si="7"/>
        <v>-35282</v>
      </c>
      <c r="AF13" s="165">
        <f t="shared" si="8"/>
        <v>277777</v>
      </c>
      <c r="AG13" s="165"/>
      <c r="AH13" s="230">
        <f t="shared" si="9"/>
        <v>0</v>
      </c>
    </row>
    <row r="14" spans="2:34" ht="26.25" customHeight="1">
      <c r="B14" s="166">
        <f t="shared" si="10"/>
        <v>44603</v>
      </c>
      <c r="C14" s="221"/>
      <c r="D14" s="221">
        <v>0</v>
      </c>
      <c r="E14" s="221">
        <v>0</v>
      </c>
      <c r="F14" s="221">
        <v>0</v>
      </c>
      <c r="G14" s="221">
        <v>0</v>
      </c>
      <c r="H14" s="292">
        <f t="shared" si="11"/>
        <v>0</v>
      </c>
      <c r="I14" s="137">
        <v>0</v>
      </c>
      <c r="J14" s="137">
        <f t="shared" si="20"/>
        <v>0</v>
      </c>
      <c r="K14" s="137">
        <v>0</v>
      </c>
      <c r="L14" s="256">
        <f t="shared" si="21"/>
        <v>0</v>
      </c>
      <c r="M14" s="136">
        <v>-8835</v>
      </c>
      <c r="N14" s="256">
        <f t="shared" si="12"/>
        <v>-8835</v>
      </c>
      <c r="O14" s="323">
        <f t="shared" si="2"/>
        <v>4417.5</v>
      </c>
      <c r="P14" s="323">
        <f t="shared" si="3"/>
        <v>4417.5</v>
      </c>
      <c r="Q14" s="135">
        <v>13300</v>
      </c>
      <c r="R14" s="211">
        <f t="shared" si="19"/>
        <v>13300</v>
      </c>
      <c r="S14" s="135">
        <v>0</v>
      </c>
      <c r="T14" s="159">
        <f t="shared" si="13"/>
        <v>0</v>
      </c>
      <c r="U14" s="159">
        <f t="shared" si="14"/>
        <v>226.10000000000002</v>
      </c>
      <c r="V14" s="159">
        <f t="shared" si="15"/>
        <v>226.10000000000002</v>
      </c>
      <c r="W14" s="294">
        <f t="shared" si="16"/>
        <v>113.05000000000001</v>
      </c>
      <c r="X14" s="162">
        <f t="shared" si="17"/>
        <v>4530.55</v>
      </c>
      <c r="AA14" s="164">
        <f t="shared" si="4"/>
        <v>0</v>
      </c>
      <c r="AB14" s="165">
        <f t="shared" si="5"/>
        <v>0</v>
      </c>
      <c r="AC14" s="165">
        <f t="shared" si="6"/>
        <v>15565</v>
      </c>
      <c r="AD14" s="165">
        <f t="shared" si="18"/>
        <v>2493.4070000000002</v>
      </c>
      <c r="AE14" s="165">
        <f t="shared" si="7"/>
        <v>-44117</v>
      </c>
      <c r="AF14" s="165">
        <f t="shared" si="8"/>
        <v>277777</v>
      </c>
      <c r="AG14" s="165"/>
      <c r="AH14" s="230">
        <f t="shared" si="9"/>
        <v>0</v>
      </c>
    </row>
    <row r="15" spans="2:34" ht="26.25" customHeight="1">
      <c r="B15" s="166">
        <f t="shared" si="10"/>
        <v>44604</v>
      </c>
      <c r="C15" s="221"/>
      <c r="D15" s="221">
        <v>0</v>
      </c>
      <c r="E15" s="221">
        <v>0</v>
      </c>
      <c r="F15" s="221">
        <v>0</v>
      </c>
      <c r="G15" s="221">
        <v>0</v>
      </c>
      <c r="H15" s="292">
        <f t="shared" si="11"/>
        <v>0</v>
      </c>
      <c r="I15" s="137">
        <v>0</v>
      </c>
      <c r="J15" s="137">
        <f t="shared" si="20"/>
        <v>0</v>
      </c>
      <c r="K15" s="298">
        <v>0</v>
      </c>
      <c r="L15" s="256">
        <f t="shared" si="21"/>
        <v>0</v>
      </c>
      <c r="M15" s="275">
        <v>-7650</v>
      </c>
      <c r="N15" s="299">
        <f>L15+M15</f>
        <v>-7650</v>
      </c>
      <c r="O15" s="323">
        <f t="shared" si="2"/>
        <v>3825</v>
      </c>
      <c r="P15" s="323">
        <f t="shared" si="3"/>
        <v>3825</v>
      </c>
      <c r="Q15" s="197">
        <v>9680</v>
      </c>
      <c r="R15" s="279">
        <f t="shared" si="19"/>
        <v>9680</v>
      </c>
      <c r="S15" s="197">
        <v>0</v>
      </c>
      <c r="T15" s="159">
        <f t="shared" si="13"/>
        <v>0</v>
      </c>
      <c r="U15" s="159">
        <f t="shared" si="14"/>
        <v>164.56</v>
      </c>
      <c r="V15" s="159">
        <f t="shared" si="15"/>
        <v>164.56</v>
      </c>
      <c r="W15" s="294">
        <f t="shared" si="16"/>
        <v>82.28</v>
      </c>
      <c r="X15" s="162">
        <f t="shared" si="17"/>
        <v>3907.28</v>
      </c>
      <c r="AA15" s="164">
        <f t="shared" si="4"/>
        <v>0</v>
      </c>
      <c r="AB15" s="165">
        <f t="shared" si="5"/>
        <v>0</v>
      </c>
      <c r="AC15" s="165">
        <f t="shared" si="6"/>
        <v>25245</v>
      </c>
      <c r="AD15" s="165">
        <f t="shared" si="18"/>
        <v>2575.6870000000004</v>
      </c>
      <c r="AE15" s="165">
        <f t="shared" si="7"/>
        <v>-51767</v>
      </c>
      <c r="AF15" s="165">
        <f t="shared" si="8"/>
        <v>277777</v>
      </c>
      <c r="AG15" s="165"/>
      <c r="AH15" s="230">
        <f t="shared" si="9"/>
        <v>0</v>
      </c>
    </row>
    <row r="16" spans="2:34" ht="26.25" customHeight="1">
      <c r="B16" s="166">
        <f t="shared" si="10"/>
        <v>44605</v>
      </c>
      <c r="C16" s="221"/>
      <c r="D16" s="221">
        <v>0</v>
      </c>
      <c r="E16" s="221">
        <v>0</v>
      </c>
      <c r="F16" s="221">
        <v>0</v>
      </c>
      <c r="G16" s="221">
        <v>0</v>
      </c>
      <c r="H16" s="292">
        <f t="shared" si="11"/>
        <v>0</v>
      </c>
      <c r="I16" s="137">
        <v>0</v>
      </c>
      <c r="J16" s="137">
        <f t="shared" si="20"/>
        <v>0</v>
      </c>
      <c r="K16" s="298">
        <v>0</v>
      </c>
      <c r="L16" s="256">
        <f t="shared" si="21"/>
        <v>0</v>
      </c>
      <c r="M16" s="275">
        <v>17841.5</v>
      </c>
      <c r="N16" s="256">
        <f t="shared" si="12"/>
        <v>17841.5</v>
      </c>
      <c r="O16" s="323">
        <f t="shared" si="2"/>
        <v>-8920.75</v>
      </c>
      <c r="P16" s="323">
        <f t="shared" si="3"/>
        <v>-8920.75</v>
      </c>
      <c r="Q16" s="197">
        <v>46645</v>
      </c>
      <c r="R16" s="211">
        <f t="shared" si="19"/>
        <v>46645</v>
      </c>
      <c r="S16" s="197">
        <v>0</v>
      </c>
      <c r="T16" s="159">
        <f t="shared" si="13"/>
        <v>0</v>
      </c>
      <c r="U16" s="159">
        <f t="shared" si="14"/>
        <v>792.96500000000003</v>
      </c>
      <c r="V16" s="159">
        <f t="shared" si="15"/>
        <v>792.96500000000003</v>
      </c>
      <c r="W16" s="294">
        <f t="shared" si="16"/>
        <v>396.48250000000002</v>
      </c>
      <c r="X16" s="162">
        <f t="shared" si="17"/>
        <v>-8524.2674999999999</v>
      </c>
      <c r="AA16" s="164">
        <f t="shared" si="4"/>
        <v>0</v>
      </c>
      <c r="AB16" s="165">
        <f t="shared" si="5"/>
        <v>0</v>
      </c>
      <c r="AC16" s="165">
        <f t="shared" si="6"/>
        <v>71890</v>
      </c>
      <c r="AD16" s="165">
        <f t="shared" si="18"/>
        <v>2972.1695000000004</v>
      </c>
      <c r="AE16" s="165">
        <f t="shared" si="7"/>
        <v>-33925.5</v>
      </c>
      <c r="AF16" s="165">
        <f t="shared" si="8"/>
        <v>277777</v>
      </c>
      <c r="AG16" s="165"/>
      <c r="AH16" s="230">
        <f t="shared" si="9"/>
        <v>0</v>
      </c>
    </row>
    <row r="17" spans="2:34" s="296" customFormat="1" ht="26.25" customHeight="1">
      <c r="B17" s="297">
        <f t="shared" si="10"/>
        <v>44606</v>
      </c>
      <c r="C17" s="291"/>
      <c r="D17" s="221">
        <v>0</v>
      </c>
      <c r="E17" s="221">
        <v>0</v>
      </c>
      <c r="F17" s="221">
        <v>0</v>
      </c>
      <c r="G17" s="221">
        <v>0</v>
      </c>
      <c r="H17" s="292">
        <f t="shared" si="11"/>
        <v>0</v>
      </c>
      <c r="I17" s="298">
        <v>0</v>
      </c>
      <c r="J17" s="137">
        <f t="shared" si="20"/>
        <v>0</v>
      </c>
      <c r="K17" s="298">
        <v>0</v>
      </c>
      <c r="L17" s="256">
        <f t="shared" si="21"/>
        <v>0</v>
      </c>
      <c r="M17" s="275">
        <v>-10000</v>
      </c>
      <c r="N17" s="299">
        <f t="shared" si="12"/>
        <v>-10000</v>
      </c>
      <c r="O17" s="323">
        <f t="shared" si="2"/>
        <v>5000</v>
      </c>
      <c r="P17" s="323">
        <f t="shared" si="3"/>
        <v>5000</v>
      </c>
      <c r="Q17" s="197">
        <v>10000</v>
      </c>
      <c r="R17" s="279">
        <f t="shared" si="19"/>
        <v>10000</v>
      </c>
      <c r="S17" s="197">
        <v>0</v>
      </c>
      <c r="T17" s="300">
        <f t="shared" si="13"/>
        <v>0</v>
      </c>
      <c r="U17" s="300">
        <f t="shared" si="14"/>
        <v>170</v>
      </c>
      <c r="V17" s="300">
        <f t="shared" si="15"/>
        <v>170</v>
      </c>
      <c r="W17" s="301">
        <f t="shared" si="16"/>
        <v>85</v>
      </c>
      <c r="X17" s="302">
        <f t="shared" si="17"/>
        <v>5085</v>
      </c>
      <c r="AA17" s="303">
        <f t="shared" si="4"/>
        <v>0</v>
      </c>
      <c r="AB17" s="304">
        <f t="shared" si="5"/>
        <v>0</v>
      </c>
      <c r="AC17" s="304">
        <f t="shared" si="6"/>
        <v>81890</v>
      </c>
      <c r="AD17" s="165">
        <f t="shared" si="18"/>
        <v>3057.1695000000004</v>
      </c>
      <c r="AE17" s="304">
        <f t="shared" si="7"/>
        <v>-43925.5</v>
      </c>
      <c r="AF17" s="304">
        <f t="shared" si="8"/>
        <v>277777</v>
      </c>
      <c r="AG17" s="304"/>
      <c r="AH17" s="305">
        <f t="shared" si="9"/>
        <v>0</v>
      </c>
    </row>
    <row r="18" spans="2:34" s="296" customFormat="1" ht="26.25" customHeight="1">
      <c r="B18" s="297">
        <f t="shared" si="10"/>
        <v>44607</v>
      </c>
      <c r="C18" s="291"/>
      <c r="D18" s="221">
        <v>0</v>
      </c>
      <c r="E18" s="221">
        <v>0</v>
      </c>
      <c r="F18" s="221">
        <v>0</v>
      </c>
      <c r="G18" s="221">
        <v>0</v>
      </c>
      <c r="H18" s="292">
        <f t="shared" si="11"/>
        <v>0</v>
      </c>
      <c r="I18" s="298">
        <v>0</v>
      </c>
      <c r="J18" s="137">
        <f t="shared" si="20"/>
        <v>0</v>
      </c>
      <c r="K18" s="298">
        <v>0</v>
      </c>
      <c r="L18" s="256">
        <f t="shared" si="21"/>
        <v>0</v>
      </c>
      <c r="M18" s="275">
        <v>0</v>
      </c>
      <c r="N18" s="299">
        <f t="shared" si="12"/>
        <v>0</v>
      </c>
      <c r="O18" s="323">
        <f t="shared" si="2"/>
        <v>0</v>
      </c>
      <c r="P18" s="323">
        <f t="shared" si="3"/>
        <v>0</v>
      </c>
      <c r="Q18" s="197">
        <v>0</v>
      </c>
      <c r="R18" s="279">
        <f t="shared" si="19"/>
        <v>0</v>
      </c>
      <c r="S18" s="197">
        <v>0</v>
      </c>
      <c r="T18" s="300">
        <f t="shared" si="13"/>
        <v>0</v>
      </c>
      <c r="U18" s="300">
        <f t="shared" si="14"/>
        <v>0</v>
      </c>
      <c r="V18" s="300">
        <f t="shared" si="15"/>
        <v>0</v>
      </c>
      <c r="W18" s="301">
        <f t="shared" si="16"/>
        <v>0</v>
      </c>
      <c r="X18" s="302">
        <f t="shared" si="17"/>
        <v>0</v>
      </c>
      <c r="AA18" s="303">
        <f t="shared" si="4"/>
        <v>0</v>
      </c>
      <c r="AB18" s="304">
        <f t="shared" si="5"/>
        <v>0</v>
      </c>
      <c r="AC18" s="304">
        <f t="shared" si="6"/>
        <v>81890</v>
      </c>
      <c r="AD18" s="304">
        <f t="shared" si="18"/>
        <v>3057.1695000000004</v>
      </c>
      <c r="AE18" s="304">
        <f t="shared" si="7"/>
        <v>-43925.5</v>
      </c>
      <c r="AF18" s="304">
        <f t="shared" si="8"/>
        <v>277777</v>
      </c>
      <c r="AG18" s="304"/>
      <c r="AH18" s="305">
        <f t="shared" si="9"/>
        <v>0</v>
      </c>
    </row>
    <row r="19" spans="2:34" ht="26.25" customHeight="1">
      <c r="B19" s="166">
        <f t="shared" si="10"/>
        <v>44608</v>
      </c>
      <c r="C19" s="291"/>
      <c r="D19" s="291">
        <v>0</v>
      </c>
      <c r="E19" s="291">
        <v>0</v>
      </c>
      <c r="F19" s="221">
        <v>0</v>
      </c>
      <c r="G19" s="221">
        <v>0</v>
      </c>
      <c r="H19" s="292">
        <f t="shared" si="11"/>
        <v>0</v>
      </c>
      <c r="I19" s="137">
        <v>0</v>
      </c>
      <c r="J19" s="137">
        <f t="shared" si="20"/>
        <v>0</v>
      </c>
      <c r="K19" s="137">
        <v>0</v>
      </c>
      <c r="L19" s="256">
        <f t="shared" si="21"/>
        <v>0</v>
      </c>
      <c r="M19" s="275">
        <v>0</v>
      </c>
      <c r="N19" s="256">
        <f t="shared" si="12"/>
        <v>0</v>
      </c>
      <c r="O19" s="323">
        <f t="shared" si="2"/>
        <v>0</v>
      </c>
      <c r="P19" s="323">
        <f t="shared" si="3"/>
        <v>0</v>
      </c>
      <c r="Q19" s="135">
        <v>0</v>
      </c>
      <c r="R19" s="211">
        <f t="shared" si="19"/>
        <v>0</v>
      </c>
      <c r="S19" s="135">
        <v>0</v>
      </c>
      <c r="T19" s="159">
        <f t="shared" si="13"/>
        <v>0</v>
      </c>
      <c r="U19" s="159">
        <f t="shared" si="14"/>
        <v>0</v>
      </c>
      <c r="V19" s="159">
        <f t="shared" si="15"/>
        <v>0</v>
      </c>
      <c r="W19" s="294">
        <f t="shared" si="16"/>
        <v>0</v>
      </c>
      <c r="X19" s="162">
        <f t="shared" si="17"/>
        <v>0</v>
      </c>
      <c r="AA19" s="164">
        <f t="shared" si="4"/>
        <v>0</v>
      </c>
      <c r="AB19" s="165">
        <f t="shared" si="5"/>
        <v>0</v>
      </c>
      <c r="AC19" s="165">
        <f t="shared" si="6"/>
        <v>81890</v>
      </c>
      <c r="AD19" s="165">
        <f t="shared" si="18"/>
        <v>3057.1695000000004</v>
      </c>
      <c r="AE19" s="165">
        <f t="shared" si="7"/>
        <v>-43925.5</v>
      </c>
      <c r="AF19" s="165">
        <f t="shared" si="8"/>
        <v>277777</v>
      </c>
      <c r="AG19" s="165"/>
      <c r="AH19" s="230">
        <f t="shared" si="9"/>
        <v>0</v>
      </c>
    </row>
    <row r="20" spans="2:34" ht="26.25" customHeight="1">
      <c r="B20" s="166">
        <f t="shared" si="10"/>
        <v>44609</v>
      </c>
      <c r="C20" s="291"/>
      <c r="D20" s="291">
        <v>0</v>
      </c>
      <c r="E20" s="291">
        <v>0</v>
      </c>
      <c r="F20" s="221">
        <v>0</v>
      </c>
      <c r="G20" s="221">
        <v>0</v>
      </c>
      <c r="H20" s="292">
        <f t="shared" si="11"/>
        <v>0</v>
      </c>
      <c r="I20" s="137">
        <v>0</v>
      </c>
      <c r="J20" s="137">
        <f t="shared" si="20"/>
        <v>0</v>
      </c>
      <c r="K20" s="137">
        <v>0</v>
      </c>
      <c r="L20" s="256">
        <f t="shared" si="21"/>
        <v>0</v>
      </c>
      <c r="M20" s="275">
        <v>0</v>
      </c>
      <c r="N20" s="256">
        <f t="shared" si="12"/>
        <v>0</v>
      </c>
      <c r="O20" s="323">
        <f t="shared" si="2"/>
        <v>0</v>
      </c>
      <c r="P20" s="323">
        <f t="shared" si="3"/>
        <v>0</v>
      </c>
      <c r="Q20" s="135">
        <v>0</v>
      </c>
      <c r="R20" s="211">
        <f t="shared" si="19"/>
        <v>0</v>
      </c>
      <c r="S20" s="135">
        <v>0</v>
      </c>
      <c r="T20" s="159">
        <f t="shared" si="13"/>
        <v>0</v>
      </c>
      <c r="U20" s="159">
        <f t="shared" si="14"/>
        <v>0</v>
      </c>
      <c r="V20" s="159">
        <f t="shared" si="15"/>
        <v>0</v>
      </c>
      <c r="W20" s="294">
        <f t="shared" si="16"/>
        <v>0</v>
      </c>
      <c r="X20" s="162">
        <f t="shared" si="17"/>
        <v>0</v>
      </c>
      <c r="AA20" s="164">
        <f t="shared" si="4"/>
        <v>0</v>
      </c>
      <c r="AB20" s="165">
        <f t="shared" si="5"/>
        <v>0</v>
      </c>
      <c r="AC20" s="165">
        <f t="shared" si="6"/>
        <v>81890</v>
      </c>
      <c r="AD20" s="165">
        <f t="shared" si="18"/>
        <v>3057.1695000000004</v>
      </c>
      <c r="AE20" s="165">
        <f t="shared" si="7"/>
        <v>-43925.5</v>
      </c>
      <c r="AF20" s="165">
        <f t="shared" si="8"/>
        <v>277777</v>
      </c>
      <c r="AG20" s="165"/>
      <c r="AH20" s="230">
        <f t="shared" si="9"/>
        <v>0</v>
      </c>
    </row>
    <row r="21" spans="2:34" ht="26.25" customHeight="1">
      <c r="B21" s="166">
        <f t="shared" si="10"/>
        <v>44610</v>
      </c>
      <c r="C21" s="291"/>
      <c r="D21" s="291">
        <v>0</v>
      </c>
      <c r="E21" s="291">
        <v>0</v>
      </c>
      <c r="F21" s="221">
        <v>0</v>
      </c>
      <c r="G21" s="221">
        <v>0</v>
      </c>
      <c r="H21" s="292">
        <f t="shared" si="11"/>
        <v>0</v>
      </c>
      <c r="I21" s="137">
        <v>0</v>
      </c>
      <c r="J21" s="137">
        <f t="shared" si="20"/>
        <v>0</v>
      </c>
      <c r="K21" s="137">
        <v>0</v>
      </c>
      <c r="L21" s="256">
        <f t="shared" si="21"/>
        <v>0</v>
      </c>
      <c r="M21" s="275">
        <v>0</v>
      </c>
      <c r="N21" s="256">
        <f t="shared" si="12"/>
        <v>0</v>
      </c>
      <c r="O21" s="323">
        <f t="shared" si="2"/>
        <v>0</v>
      </c>
      <c r="P21" s="323">
        <f t="shared" si="3"/>
        <v>0</v>
      </c>
      <c r="Q21" s="197">
        <v>0</v>
      </c>
      <c r="R21" s="211">
        <f t="shared" si="19"/>
        <v>0</v>
      </c>
      <c r="S21" s="135">
        <v>0</v>
      </c>
      <c r="T21" s="159">
        <f t="shared" si="13"/>
        <v>0</v>
      </c>
      <c r="U21" s="159">
        <f t="shared" si="14"/>
        <v>0</v>
      </c>
      <c r="V21" s="159">
        <f t="shared" si="15"/>
        <v>0</v>
      </c>
      <c r="W21" s="294">
        <f t="shared" si="16"/>
        <v>0</v>
      </c>
      <c r="X21" s="162">
        <f t="shared" si="17"/>
        <v>0</v>
      </c>
      <c r="AA21" s="164">
        <f t="shared" si="4"/>
        <v>0</v>
      </c>
      <c r="AB21" s="165">
        <f t="shared" si="5"/>
        <v>0</v>
      </c>
      <c r="AC21" s="165">
        <f t="shared" si="6"/>
        <v>81890</v>
      </c>
      <c r="AD21" s="165">
        <f t="shared" si="18"/>
        <v>3057.1695000000004</v>
      </c>
      <c r="AE21" s="165">
        <f t="shared" si="7"/>
        <v>-43925.5</v>
      </c>
      <c r="AF21" s="165">
        <f t="shared" si="8"/>
        <v>277777</v>
      </c>
      <c r="AG21" s="165"/>
      <c r="AH21" s="230">
        <f t="shared" si="9"/>
        <v>0</v>
      </c>
    </row>
    <row r="22" spans="2:34" ht="26.25" customHeight="1">
      <c r="B22" s="166">
        <f t="shared" si="10"/>
        <v>44611</v>
      </c>
      <c r="C22" s="291"/>
      <c r="D22" s="291"/>
      <c r="E22" s="291"/>
      <c r="F22" s="221"/>
      <c r="G22" s="221"/>
      <c r="H22" s="292">
        <f t="shared" si="11"/>
        <v>0</v>
      </c>
      <c r="I22" s="137">
        <v>0</v>
      </c>
      <c r="J22" s="137">
        <f t="shared" si="20"/>
        <v>0</v>
      </c>
      <c r="K22" s="137"/>
      <c r="L22" s="256">
        <f t="shared" si="21"/>
        <v>0</v>
      </c>
      <c r="M22" s="275"/>
      <c r="N22" s="256">
        <f t="shared" si="12"/>
        <v>0</v>
      </c>
      <c r="O22" s="323">
        <f t="shared" si="2"/>
        <v>0</v>
      </c>
      <c r="P22" s="323">
        <f t="shared" si="3"/>
        <v>0</v>
      </c>
      <c r="Q22" s="135"/>
      <c r="R22" s="211">
        <f t="shared" si="19"/>
        <v>0</v>
      </c>
      <c r="S22" s="135"/>
      <c r="T22" s="159">
        <f t="shared" si="13"/>
        <v>0</v>
      </c>
      <c r="U22" s="159">
        <f t="shared" si="14"/>
        <v>0</v>
      </c>
      <c r="V22" s="159">
        <f t="shared" si="15"/>
        <v>0</v>
      </c>
      <c r="W22" s="294">
        <f t="shared" si="16"/>
        <v>0</v>
      </c>
      <c r="X22" s="162">
        <f t="shared" si="17"/>
        <v>0</v>
      </c>
      <c r="AA22" s="164">
        <f t="shared" si="4"/>
        <v>0</v>
      </c>
      <c r="AB22" s="165">
        <f t="shared" si="5"/>
        <v>0</v>
      </c>
      <c r="AC22" s="165">
        <f t="shared" si="6"/>
        <v>81890</v>
      </c>
      <c r="AD22" s="165">
        <f t="shared" si="18"/>
        <v>3057.1695000000004</v>
      </c>
      <c r="AE22" s="165">
        <f t="shared" si="7"/>
        <v>-43925.5</v>
      </c>
      <c r="AF22" s="165">
        <f t="shared" si="8"/>
        <v>277777</v>
      </c>
      <c r="AG22" s="165"/>
      <c r="AH22" s="230">
        <f t="shared" si="9"/>
        <v>0</v>
      </c>
    </row>
    <row r="23" spans="2:34" ht="26.25" customHeight="1">
      <c r="B23" s="166">
        <f t="shared" si="10"/>
        <v>44612</v>
      </c>
      <c r="C23" s="221"/>
      <c r="D23" s="221"/>
      <c r="E23" s="221"/>
      <c r="F23" s="221"/>
      <c r="G23" s="221"/>
      <c r="H23" s="292">
        <f t="shared" si="11"/>
        <v>0</v>
      </c>
      <c r="I23" s="137">
        <v>0</v>
      </c>
      <c r="J23" s="137">
        <f t="shared" si="20"/>
        <v>0</v>
      </c>
      <c r="K23" s="137"/>
      <c r="L23" s="256">
        <f t="shared" si="21"/>
        <v>0</v>
      </c>
      <c r="M23" s="275"/>
      <c r="N23" s="256">
        <f t="shared" si="12"/>
        <v>0</v>
      </c>
      <c r="O23" s="323">
        <f t="shared" si="2"/>
        <v>0</v>
      </c>
      <c r="P23" s="323">
        <f t="shared" si="3"/>
        <v>0</v>
      </c>
      <c r="Q23" s="135"/>
      <c r="R23" s="211">
        <f t="shared" si="19"/>
        <v>0</v>
      </c>
      <c r="S23" s="135"/>
      <c r="T23" s="159">
        <f t="shared" si="13"/>
        <v>0</v>
      </c>
      <c r="U23" s="159">
        <f t="shared" si="14"/>
        <v>0</v>
      </c>
      <c r="V23" s="159">
        <f t="shared" si="15"/>
        <v>0</v>
      </c>
      <c r="W23" s="294">
        <f t="shared" si="16"/>
        <v>0</v>
      </c>
      <c r="X23" s="162">
        <f t="shared" si="17"/>
        <v>0</v>
      </c>
      <c r="AA23" s="164">
        <f t="shared" si="4"/>
        <v>0</v>
      </c>
      <c r="AB23" s="165">
        <f t="shared" si="5"/>
        <v>0</v>
      </c>
      <c r="AC23" s="165">
        <f t="shared" si="6"/>
        <v>81890</v>
      </c>
      <c r="AD23" s="165">
        <f t="shared" si="18"/>
        <v>3057.1695000000004</v>
      </c>
      <c r="AE23" s="165">
        <f t="shared" si="7"/>
        <v>-43925.5</v>
      </c>
      <c r="AF23" s="165">
        <f t="shared" si="8"/>
        <v>277777</v>
      </c>
      <c r="AG23" s="165"/>
      <c r="AH23" s="230">
        <f t="shared" si="9"/>
        <v>0</v>
      </c>
    </row>
    <row r="24" spans="2:34" ht="26.25" customHeight="1">
      <c r="B24" s="198">
        <f t="shared" si="10"/>
        <v>44613</v>
      </c>
      <c r="C24" s="221"/>
      <c r="D24" s="221"/>
      <c r="E24" s="221"/>
      <c r="F24" s="221"/>
      <c r="G24" s="221"/>
      <c r="H24" s="292">
        <f t="shared" si="11"/>
        <v>0</v>
      </c>
      <c r="I24" s="137">
        <v>0</v>
      </c>
      <c r="J24" s="137">
        <f t="shared" si="20"/>
        <v>0</v>
      </c>
      <c r="K24" s="137"/>
      <c r="L24" s="256">
        <f t="shared" si="21"/>
        <v>0</v>
      </c>
      <c r="M24" s="275"/>
      <c r="N24" s="256">
        <f t="shared" si="12"/>
        <v>0</v>
      </c>
      <c r="O24" s="323">
        <f t="shared" si="2"/>
        <v>0</v>
      </c>
      <c r="P24" s="323">
        <f t="shared" si="3"/>
        <v>0</v>
      </c>
      <c r="Q24" s="135"/>
      <c r="R24" s="211">
        <f t="shared" si="19"/>
        <v>0</v>
      </c>
      <c r="S24" s="135"/>
      <c r="T24" s="159">
        <f t="shared" si="13"/>
        <v>0</v>
      </c>
      <c r="U24" s="159">
        <f t="shared" si="14"/>
        <v>0</v>
      </c>
      <c r="V24" s="159">
        <f t="shared" si="15"/>
        <v>0</v>
      </c>
      <c r="W24" s="294">
        <f t="shared" si="16"/>
        <v>0</v>
      </c>
      <c r="X24" s="162">
        <f t="shared" si="17"/>
        <v>0</v>
      </c>
      <c r="AA24" s="164">
        <f t="shared" si="4"/>
        <v>0</v>
      </c>
      <c r="AB24" s="165">
        <f t="shared" si="5"/>
        <v>0</v>
      </c>
      <c r="AC24" s="165">
        <f t="shared" si="6"/>
        <v>81890</v>
      </c>
      <c r="AD24" s="165">
        <f t="shared" si="18"/>
        <v>3057.1695000000004</v>
      </c>
      <c r="AE24" s="165">
        <f t="shared" si="7"/>
        <v>-43925.5</v>
      </c>
      <c r="AF24" s="165">
        <f t="shared" si="8"/>
        <v>277777</v>
      </c>
      <c r="AG24" s="165"/>
      <c r="AH24" s="230">
        <f t="shared" si="9"/>
        <v>0</v>
      </c>
    </row>
    <row r="25" spans="2:34" ht="26.25" customHeight="1">
      <c r="B25" s="198">
        <f t="shared" si="10"/>
        <v>44614</v>
      </c>
      <c r="C25" s="221"/>
      <c r="D25" s="221"/>
      <c r="E25" s="221"/>
      <c r="F25" s="221"/>
      <c r="G25" s="221"/>
      <c r="H25" s="292">
        <f t="shared" si="11"/>
        <v>0</v>
      </c>
      <c r="I25" s="137">
        <v>0</v>
      </c>
      <c r="J25" s="137">
        <f t="shared" si="20"/>
        <v>0</v>
      </c>
      <c r="K25" s="137"/>
      <c r="L25" s="256">
        <f t="shared" si="21"/>
        <v>0</v>
      </c>
      <c r="M25" s="275"/>
      <c r="N25" s="256">
        <f t="shared" si="12"/>
        <v>0</v>
      </c>
      <c r="O25" s="323">
        <f t="shared" si="2"/>
        <v>0</v>
      </c>
      <c r="P25" s="323">
        <f t="shared" si="3"/>
        <v>0</v>
      </c>
      <c r="Q25" s="135"/>
      <c r="R25" s="211">
        <f t="shared" si="19"/>
        <v>0</v>
      </c>
      <c r="S25" s="135"/>
      <c r="T25" s="159">
        <f t="shared" si="13"/>
        <v>0</v>
      </c>
      <c r="U25" s="159">
        <f t="shared" si="14"/>
        <v>0</v>
      </c>
      <c r="V25" s="159">
        <f t="shared" si="15"/>
        <v>0</v>
      </c>
      <c r="W25" s="294">
        <f t="shared" si="16"/>
        <v>0</v>
      </c>
      <c r="X25" s="162">
        <f t="shared" si="17"/>
        <v>0</v>
      </c>
      <c r="AA25" s="164">
        <f t="shared" si="4"/>
        <v>0</v>
      </c>
      <c r="AB25" s="165">
        <f t="shared" si="5"/>
        <v>0</v>
      </c>
      <c r="AC25" s="165">
        <f t="shared" si="6"/>
        <v>81890</v>
      </c>
      <c r="AD25" s="165">
        <f t="shared" si="18"/>
        <v>3057.1695000000004</v>
      </c>
      <c r="AE25" s="165">
        <f t="shared" si="7"/>
        <v>-43925.5</v>
      </c>
      <c r="AF25" s="165">
        <f t="shared" si="8"/>
        <v>277777</v>
      </c>
      <c r="AG25" s="165"/>
      <c r="AH25" s="230">
        <f t="shared" si="9"/>
        <v>0</v>
      </c>
    </row>
    <row r="26" spans="2:34" ht="26.25" customHeight="1">
      <c r="B26" s="166">
        <f t="shared" si="10"/>
        <v>44615</v>
      </c>
      <c r="C26" s="221"/>
      <c r="D26" s="221"/>
      <c r="E26" s="221"/>
      <c r="F26" s="221"/>
      <c r="G26" s="221"/>
      <c r="H26" s="292">
        <f t="shared" si="11"/>
        <v>0</v>
      </c>
      <c r="I26" s="137">
        <v>0</v>
      </c>
      <c r="J26" s="137">
        <f t="shared" si="20"/>
        <v>0</v>
      </c>
      <c r="K26" s="137"/>
      <c r="L26" s="256">
        <f t="shared" si="21"/>
        <v>0</v>
      </c>
      <c r="M26" s="275"/>
      <c r="N26" s="256">
        <f t="shared" si="12"/>
        <v>0</v>
      </c>
      <c r="O26" s="323">
        <f t="shared" si="2"/>
        <v>0</v>
      </c>
      <c r="P26" s="323">
        <f t="shared" si="3"/>
        <v>0</v>
      </c>
      <c r="Q26" s="135"/>
      <c r="R26" s="211">
        <f t="shared" si="19"/>
        <v>0</v>
      </c>
      <c r="S26" s="135"/>
      <c r="T26" s="159">
        <f t="shared" si="13"/>
        <v>0</v>
      </c>
      <c r="U26" s="159">
        <f t="shared" si="14"/>
        <v>0</v>
      </c>
      <c r="V26" s="159">
        <f t="shared" si="15"/>
        <v>0</v>
      </c>
      <c r="W26" s="294">
        <f t="shared" si="16"/>
        <v>0</v>
      </c>
      <c r="X26" s="162">
        <f t="shared" si="17"/>
        <v>0</v>
      </c>
      <c r="AA26" s="164">
        <f t="shared" si="4"/>
        <v>0</v>
      </c>
      <c r="AB26" s="165">
        <f t="shared" si="5"/>
        <v>0</v>
      </c>
      <c r="AC26" s="165">
        <f t="shared" si="6"/>
        <v>81890</v>
      </c>
      <c r="AD26" s="165">
        <f t="shared" si="18"/>
        <v>3057.1695000000004</v>
      </c>
      <c r="AE26" s="165">
        <f t="shared" si="7"/>
        <v>-43925.5</v>
      </c>
      <c r="AF26" s="165">
        <f t="shared" si="8"/>
        <v>277777</v>
      </c>
      <c r="AG26" s="165"/>
      <c r="AH26" s="230">
        <f t="shared" si="9"/>
        <v>0</v>
      </c>
    </row>
    <row r="27" spans="2:34" ht="26.25" customHeight="1">
      <c r="B27" s="166">
        <f t="shared" si="10"/>
        <v>44616</v>
      </c>
      <c r="C27" s="221"/>
      <c r="D27" s="221"/>
      <c r="E27" s="221"/>
      <c r="F27" s="221"/>
      <c r="G27" s="221"/>
      <c r="H27" s="292">
        <f t="shared" si="11"/>
        <v>0</v>
      </c>
      <c r="I27" s="137">
        <v>0</v>
      </c>
      <c r="J27" s="137">
        <f t="shared" si="20"/>
        <v>0</v>
      </c>
      <c r="K27" s="137"/>
      <c r="L27" s="256">
        <f t="shared" si="21"/>
        <v>0</v>
      </c>
      <c r="M27" s="275"/>
      <c r="N27" s="256">
        <f t="shared" si="12"/>
        <v>0</v>
      </c>
      <c r="O27" s="323">
        <f t="shared" si="2"/>
        <v>0</v>
      </c>
      <c r="P27" s="323">
        <f t="shared" si="3"/>
        <v>0</v>
      </c>
      <c r="Q27" s="135"/>
      <c r="R27" s="211">
        <f t="shared" si="19"/>
        <v>0</v>
      </c>
      <c r="S27" s="197"/>
      <c r="T27" s="159">
        <f t="shared" si="13"/>
        <v>0</v>
      </c>
      <c r="U27" s="159">
        <f t="shared" si="14"/>
        <v>0</v>
      </c>
      <c r="V27" s="159">
        <f t="shared" si="15"/>
        <v>0</v>
      </c>
      <c r="W27" s="294">
        <f t="shared" si="16"/>
        <v>0</v>
      </c>
      <c r="X27" s="162">
        <f t="shared" si="17"/>
        <v>0</v>
      </c>
      <c r="AA27" s="164">
        <f t="shared" si="4"/>
        <v>0</v>
      </c>
      <c r="AB27" s="165">
        <f t="shared" si="5"/>
        <v>0</v>
      </c>
      <c r="AC27" s="165">
        <f t="shared" si="6"/>
        <v>81890</v>
      </c>
      <c r="AD27" s="165">
        <f t="shared" si="18"/>
        <v>3057.1695000000004</v>
      </c>
      <c r="AE27" s="165">
        <f t="shared" si="7"/>
        <v>-43925.5</v>
      </c>
      <c r="AF27" s="165">
        <f t="shared" si="8"/>
        <v>277777</v>
      </c>
      <c r="AG27" s="165"/>
      <c r="AH27" s="230">
        <f t="shared" si="9"/>
        <v>0</v>
      </c>
    </row>
    <row r="28" spans="2:34" ht="26.25" customHeight="1">
      <c r="B28" s="166">
        <f t="shared" si="10"/>
        <v>44617</v>
      </c>
      <c r="C28" s="221"/>
      <c r="D28" s="221"/>
      <c r="E28" s="221"/>
      <c r="F28" s="221"/>
      <c r="G28" s="221"/>
      <c r="H28" s="292">
        <f t="shared" si="11"/>
        <v>0</v>
      </c>
      <c r="I28" s="137">
        <v>0</v>
      </c>
      <c r="J28" s="137">
        <f t="shared" si="20"/>
        <v>0</v>
      </c>
      <c r="K28" s="137"/>
      <c r="L28" s="256">
        <f t="shared" si="21"/>
        <v>0</v>
      </c>
      <c r="M28" s="307"/>
      <c r="N28" s="278">
        <f t="shared" si="12"/>
        <v>0</v>
      </c>
      <c r="O28" s="323">
        <f t="shared" si="2"/>
        <v>0</v>
      </c>
      <c r="P28" s="323">
        <f t="shared" si="3"/>
        <v>0</v>
      </c>
      <c r="Q28" s="135"/>
      <c r="R28" s="211">
        <f t="shared" si="19"/>
        <v>0</v>
      </c>
      <c r="S28" s="135"/>
      <c r="T28" s="159">
        <f t="shared" si="13"/>
        <v>0</v>
      </c>
      <c r="U28" s="159">
        <f t="shared" si="14"/>
        <v>0</v>
      </c>
      <c r="V28" s="159">
        <f t="shared" si="15"/>
        <v>0</v>
      </c>
      <c r="W28" s="294">
        <f t="shared" si="16"/>
        <v>0</v>
      </c>
      <c r="X28" s="162">
        <f t="shared" si="17"/>
        <v>0</v>
      </c>
      <c r="AA28" s="164">
        <f t="shared" si="4"/>
        <v>0</v>
      </c>
      <c r="AB28" s="165">
        <f t="shared" si="5"/>
        <v>0</v>
      </c>
      <c r="AC28" s="165">
        <f t="shared" si="6"/>
        <v>81890</v>
      </c>
      <c r="AD28" s="165">
        <f t="shared" si="18"/>
        <v>3057.1695000000004</v>
      </c>
      <c r="AE28" s="165">
        <f t="shared" si="7"/>
        <v>-43925.5</v>
      </c>
      <c r="AF28" s="165">
        <f t="shared" si="8"/>
        <v>277777</v>
      </c>
      <c r="AG28" s="165"/>
      <c r="AH28" s="230">
        <f t="shared" si="9"/>
        <v>0</v>
      </c>
    </row>
    <row r="29" spans="2:34" ht="26.25" customHeight="1">
      <c r="B29" s="166">
        <f t="shared" si="10"/>
        <v>44618</v>
      </c>
      <c r="C29" s="221"/>
      <c r="D29" s="221"/>
      <c r="E29" s="221"/>
      <c r="F29" s="221"/>
      <c r="G29" s="221"/>
      <c r="H29" s="292">
        <f t="shared" si="11"/>
        <v>0</v>
      </c>
      <c r="I29" s="137">
        <v>0</v>
      </c>
      <c r="J29" s="137">
        <f t="shared" si="20"/>
        <v>0</v>
      </c>
      <c r="K29" s="137"/>
      <c r="L29" s="256">
        <f t="shared" si="21"/>
        <v>0</v>
      </c>
      <c r="M29" s="136"/>
      <c r="N29" s="256">
        <f t="shared" si="12"/>
        <v>0</v>
      </c>
      <c r="O29" s="323">
        <f t="shared" si="2"/>
        <v>0</v>
      </c>
      <c r="P29" s="323">
        <f t="shared" si="3"/>
        <v>0</v>
      </c>
      <c r="Q29" s="135"/>
      <c r="R29" s="211">
        <f t="shared" si="19"/>
        <v>0</v>
      </c>
      <c r="S29" s="135"/>
      <c r="T29" s="159">
        <f t="shared" si="13"/>
        <v>0</v>
      </c>
      <c r="U29" s="159">
        <f t="shared" si="14"/>
        <v>0</v>
      </c>
      <c r="V29" s="159">
        <f t="shared" si="15"/>
        <v>0</v>
      </c>
      <c r="W29" s="294">
        <f t="shared" si="16"/>
        <v>0</v>
      </c>
      <c r="X29" s="162">
        <f t="shared" si="17"/>
        <v>0</v>
      </c>
      <c r="AA29" s="164">
        <f t="shared" si="4"/>
        <v>0</v>
      </c>
      <c r="AB29" s="165">
        <f t="shared" si="5"/>
        <v>0</v>
      </c>
      <c r="AC29" s="165">
        <f t="shared" si="6"/>
        <v>81890</v>
      </c>
      <c r="AD29" s="165">
        <f t="shared" si="18"/>
        <v>3057.1695000000004</v>
      </c>
      <c r="AE29" s="165">
        <f t="shared" si="7"/>
        <v>-43925.5</v>
      </c>
      <c r="AF29" s="165">
        <f t="shared" si="8"/>
        <v>277777</v>
      </c>
      <c r="AG29" s="165"/>
      <c r="AH29" s="230">
        <f t="shared" si="9"/>
        <v>0</v>
      </c>
    </row>
    <row r="30" spans="2:34" ht="26.25" customHeight="1">
      <c r="B30" s="166">
        <f t="shared" si="10"/>
        <v>44619</v>
      </c>
      <c r="C30" s="221"/>
      <c r="D30" s="221"/>
      <c r="E30" s="221"/>
      <c r="F30" s="221"/>
      <c r="G30" s="221"/>
      <c r="H30" s="292">
        <f t="shared" si="11"/>
        <v>0</v>
      </c>
      <c r="I30" s="137">
        <v>0</v>
      </c>
      <c r="J30" s="137">
        <f t="shared" si="20"/>
        <v>0</v>
      </c>
      <c r="K30" s="137"/>
      <c r="L30" s="256">
        <f t="shared" si="21"/>
        <v>0</v>
      </c>
      <c r="M30" s="136"/>
      <c r="N30" s="256">
        <f>L30+M30</f>
        <v>0</v>
      </c>
      <c r="O30" s="323">
        <f t="shared" si="2"/>
        <v>0</v>
      </c>
      <c r="P30" s="323">
        <f t="shared" si="3"/>
        <v>0</v>
      </c>
      <c r="Q30" s="135"/>
      <c r="R30" s="211">
        <f t="shared" si="19"/>
        <v>0</v>
      </c>
      <c r="S30" s="135"/>
      <c r="T30" s="159">
        <f t="shared" si="13"/>
        <v>0</v>
      </c>
      <c r="U30" s="159">
        <f t="shared" si="14"/>
        <v>0</v>
      </c>
      <c r="V30" s="159">
        <f t="shared" si="15"/>
        <v>0</v>
      </c>
      <c r="W30" s="294">
        <f t="shared" si="16"/>
        <v>0</v>
      </c>
      <c r="X30" s="162">
        <f t="shared" si="17"/>
        <v>0</v>
      </c>
      <c r="AA30" s="164">
        <f t="shared" si="4"/>
        <v>0</v>
      </c>
      <c r="AB30" s="165">
        <f t="shared" si="5"/>
        <v>0</v>
      </c>
      <c r="AC30" s="165">
        <f t="shared" si="6"/>
        <v>81890</v>
      </c>
      <c r="AD30" s="165">
        <f t="shared" si="18"/>
        <v>3057.1695000000004</v>
      </c>
      <c r="AE30" s="165">
        <f t="shared" si="7"/>
        <v>-43925.5</v>
      </c>
      <c r="AF30" s="165">
        <f t="shared" si="8"/>
        <v>277777</v>
      </c>
      <c r="AG30" s="165"/>
      <c r="AH30" s="230">
        <f t="shared" si="9"/>
        <v>0</v>
      </c>
    </row>
    <row r="31" spans="2:34" ht="26.25" customHeight="1">
      <c r="B31" s="166">
        <f t="shared" si="10"/>
        <v>44620</v>
      </c>
      <c r="C31" s="221"/>
      <c r="D31" s="221"/>
      <c r="E31" s="221"/>
      <c r="F31" s="221"/>
      <c r="G31" s="221"/>
      <c r="H31" s="292">
        <f t="shared" si="11"/>
        <v>0</v>
      </c>
      <c r="I31" s="137">
        <v>0</v>
      </c>
      <c r="J31" s="137">
        <f t="shared" si="20"/>
        <v>0</v>
      </c>
      <c r="K31" s="137"/>
      <c r="L31" s="256">
        <f t="shared" si="21"/>
        <v>0</v>
      </c>
      <c r="M31" s="136"/>
      <c r="N31" s="256">
        <f>L31+M31</f>
        <v>0</v>
      </c>
      <c r="O31" s="323">
        <f t="shared" si="2"/>
        <v>0</v>
      </c>
      <c r="P31" s="323">
        <f t="shared" si="3"/>
        <v>0</v>
      </c>
      <c r="Q31" s="135"/>
      <c r="R31" s="211">
        <f t="shared" si="19"/>
        <v>0</v>
      </c>
      <c r="S31" s="135"/>
      <c r="T31" s="159">
        <f t="shared" si="13"/>
        <v>0</v>
      </c>
      <c r="U31" s="159">
        <f t="shared" si="14"/>
        <v>0</v>
      </c>
      <c r="V31" s="159">
        <f t="shared" si="15"/>
        <v>0</v>
      </c>
      <c r="W31" s="294">
        <f t="shared" si="16"/>
        <v>0</v>
      </c>
      <c r="X31" s="162">
        <f t="shared" si="17"/>
        <v>0</v>
      </c>
      <c r="AA31" s="164">
        <f t="shared" si="4"/>
        <v>0</v>
      </c>
      <c r="AB31" s="165">
        <f t="shared" si="5"/>
        <v>0</v>
      </c>
      <c r="AC31" s="165">
        <f t="shared" si="6"/>
        <v>81890</v>
      </c>
      <c r="AD31" s="165">
        <f t="shared" si="18"/>
        <v>3057.1695000000004</v>
      </c>
      <c r="AE31" s="165">
        <f t="shared" si="7"/>
        <v>-43925.5</v>
      </c>
      <c r="AF31" s="165">
        <f t="shared" si="8"/>
        <v>277777</v>
      </c>
      <c r="AG31" s="165"/>
      <c r="AH31" s="230">
        <f t="shared" si="9"/>
        <v>0</v>
      </c>
    </row>
    <row r="32" spans="2:34" ht="26.25" customHeight="1">
      <c r="B32" s="166">
        <f t="shared" si="10"/>
        <v>44621</v>
      </c>
      <c r="C32" s="221"/>
      <c r="D32" s="221"/>
      <c r="E32" s="221"/>
      <c r="F32" s="221"/>
      <c r="G32" s="221"/>
      <c r="H32" s="292">
        <f t="shared" si="11"/>
        <v>0</v>
      </c>
      <c r="I32" s="137"/>
      <c r="J32" s="137">
        <f t="shared" si="20"/>
        <v>0</v>
      </c>
      <c r="K32" s="137"/>
      <c r="L32" s="256">
        <f t="shared" si="21"/>
        <v>0</v>
      </c>
      <c r="M32" s="136"/>
      <c r="N32" s="256">
        <f t="shared" si="12"/>
        <v>0</v>
      </c>
      <c r="O32" s="323">
        <f t="shared" si="2"/>
        <v>0</v>
      </c>
      <c r="P32" s="323">
        <f t="shared" si="3"/>
        <v>0</v>
      </c>
      <c r="Q32" s="135"/>
      <c r="R32" s="211">
        <f t="shared" si="19"/>
        <v>0</v>
      </c>
      <c r="S32" s="135"/>
      <c r="T32" s="159">
        <f t="shared" si="13"/>
        <v>0</v>
      </c>
      <c r="U32" s="159">
        <f t="shared" si="14"/>
        <v>0</v>
      </c>
      <c r="V32" s="159">
        <f t="shared" si="15"/>
        <v>0</v>
      </c>
      <c r="W32" s="294">
        <f t="shared" si="16"/>
        <v>0</v>
      </c>
      <c r="X32" s="162">
        <f t="shared" si="17"/>
        <v>0</v>
      </c>
      <c r="AA32" s="164">
        <f t="shared" si="4"/>
        <v>0</v>
      </c>
      <c r="AB32" s="165">
        <f t="shared" si="5"/>
        <v>0</v>
      </c>
      <c r="AC32" s="165">
        <f t="shared" si="6"/>
        <v>81890</v>
      </c>
      <c r="AD32" s="165">
        <f t="shared" si="18"/>
        <v>3057.1695000000004</v>
      </c>
      <c r="AE32" s="165">
        <f t="shared" si="7"/>
        <v>-43925.5</v>
      </c>
      <c r="AF32" s="165">
        <f t="shared" si="8"/>
        <v>277777</v>
      </c>
      <c r="AG32" s="165"/>
      <c r="AH32" s="230">
        <f t="shared" si="9"/>
        <v>0</v>
      </c>
    </row>
    <row r="33" spans="2:34" ht="26.25" customHeight="1">
      <c r="B33" s="166">
        <f t="shared" si="10"/>
        <v>44622</v>
      </c>
      <c r="C33" s="221"/>
      <c r="D33" s="221"/>
      <c r="E33" s="221"/>
      <c r="F33" s="221"/>
      <c r="G33" s="221"/>
      <c r="H33" s="292">
        <f t="shared" si="11"/>
        <v>0</v>
      </c>
      <c r="I33" s="137"/>
      <c r="J33" s="137">
        <f t="shared" si="20"/>
        <v>0</v>
      </c>
      <c r="K33" s="137"/>
      <c r="L33" s="256">
        <f t="shared" si="21"/>
        <v>0</v>
      </c>
      <c r="M33" s="136"/>
      <c r="N33" s="256">
        <f>L33+M33</f>
        <v>0</v>
      </c>
      <c r="O33" s="323">
        <f t="shared" si="2"/>
        <v>0</v>
      </c>
      <c r="P33" s="323">
        <f t="shared" si="3"/>
        <v>0</v>
      </c>
      <c r="Q33" s="135"/>
      <c r="R33" s="211">
        <f t="shared" si="19"/>
        <v>0</v>
      </c>
      <c r="S33" s="135"/>
      <c r="T33" s="159">
        <f t="shared" si="13"/>
        <v>0</v>
      </c>
      <c r="U33" s="159">
        <f t="shared" si="14"/>
        <v>0</v>
      </c>
      <c r="V33" s="159">
        <f t="shared" si="15"/>
        <v>0</v>
      </c>
      <c r="W33" s="294">
        <f t="shared" si="16"/>
        <v>0</v>
      </c>
      <c r="X33" s="162">
        <f t="shared" si="17"/>
        <v>0</v>
      </c>
      <c r="AA33" s="164">
        <f t="shared" si="4"/>
        <v>0</v>
      </c>
      <c r="AB33" s="165">
        <f t="shared" si="5"/>
        <v>0</v>
      </c>
      <c r="AC33" s="165">
        <f t="shared" si="6"/>
        <v>81890</v>
      </c>
      <c r="AD33" s="165">
        <f t="shared" si="18"/>
        <v>3057.1695000000004</v>
      </c>
      <c r="AE33" s="165">
        <f t="shared" si="7"/>
        <v>-43925.5</v>
      </c>
      <c r="AF33" s="165">
        <f t="shared" si="8"/>
        <v>277777</v>
      </c>
      <c r="AG33" s="165"/>
      <c r="AH33" s="230">
        <f t="shared" si="9"/>
        <v>0</v>
      </c>
    </row>
    <row r="34" spans="2:34" ht="26.25" customHeight="1">
      <c r="B34" s="166">
        <f t="shared" si="10"/>
        <v>44623</v>
      </c>
      <c r="C34" s="221"/>
      <c r="D34" s="221"/>
      <c r="E34" s="221"/>
      <c r="F34" s="221"/>
      <c r="G34" s="221"/>
      <c r="H34" s="292">
        <f t="shared" si="11"/>
        <v>0</v>
      </c>
      <c r="I34" s="137"/>
      <c r="J34" s="137">
        <f t="shared" si="20"/>
        <v>0</v>
      </c>
      <c r="K34" s="137"/>
      <c r="L34" s="256">
        <f t="shared" si="21"/>
        <v>0</v>
      </c>
      <c r="M34" s="136"/>
      <c r="N34" s="256">
        <f t="shared" si="12"/>
        <v>0</v>
      </c>
      <c r="O34" s="323">
        <f t="shared" si="2"/>
        <v>0</v>
      </c>
      <c r="P34" s="323">
        <f t="shared" si="3"/>
        <v>0</v>
      </c>
      <c r="Q34" s="135"/>
      <c r="R34" s="211">
        <f>Q34-S34</f>
        <v>0</v>
      </c>
      <c r="S34" s="135"/>
      <c r="T34" s="159">
        <f t="shared" si="13"/>
        <v>0</v>
      </c>
      <c r="U34" s="159">
        <f t="shared" si="14"/>
        <v>0</v>
      </c>
      <c r="V34" s="159">
        <f t="shared" si="15"/>
        <v>0</v>
      </c>
      <c r="W34" s="294">
        <f t="shared" si="16"/>
        <v>0</v>
      </c>
      <c r="X34" s="162">
        <f t="shared" si="17"/>
        <v>0</v>
      </c>
      <c r="AA34" s="164">
        <f t="shared" si="4"/>
        <v>0</v>
      </c>
      <c r="AB34" s="165">
        <f t="shared" si="5"/>
        <v>0</v>
      </c>
      <c r="AC34" s="165">
        <f t="shared" si="6"/>
        <v>81890</v>
      </c>
      <c r="AD34" s="165">
        <f t="shared" si="18"/>
        <v>3057.1695000000004</v>
      </c>
      <c r="AE34" s="165">
        <f t="shared" si="7"/>
        <v>-43925.5</v>
      </c>
      <c r="AF34" s="165">
        <f t="shared" si="8"/>
        <v>277777</v>
      </c>
      <c r="AG34" s="165"/>
      <c r="AH34" s="230">
        <f t="shared" si="9"/>
        <v>0</v>
      </c>
    </row>
    <row r="35" spans="2:34" ht="26.25" customHeight="1" thickBot="1">
      <c r="B35" s="138"/>
      <c r="C35" s="139"/>
      <c r="D35" s="139"/>
      <c r="E35" s="139"/>
      <c r="F35" s="140"/>
      <c r="G35" s="325"/>
      <c r="H35" s="326">
        <f t="shared" si="11"/>
        <v>0</v>
      </c>
      <c r="I35" s="142"/>
      <c r="J35" s="142">
        <f t="shared" si="20"/>
        <v>0</v>
      </c>
      <c r="K35" s="142"/>
      <c r="L35" s="143"/>
      <c r="M35" s="143"/>
      <c r="N35" s="143"/>
      <c r="O35" s="322"/>
      <c r="P35" s="322"/>
      <c r="Q35" s="144"/>
      <c r="R35" s="212"/>
      <c r="S35" s="144"/>
      <c r="T35" s="160"/>
      <c r="U35" s="160"/>
      <c r="V35" s="160"/>
      <c r="W35" s="295"/>
      <c r="X35" s="163"/>
      <c r="AA35" s="164"/>
      <c r="AB35" s="165"/>
      <c r="AC35" s="165"/>
      <c r="AD35" s="165"/>
      <c r="AE35" s="165"/>
      <c r="AF35" s="165"/>
      <c r="AG35" s="165"/>
      <c r="AH35" s="230"/>
    </row>
    <row r="36" spans="2:34" ht="14.25" customHeight="1" thickBot="1">
      <c r="H36" s="324"/>
      <c r="AB36" s="165"/>
    </row>
    <row r="37" spans="2:34" ht="23.25" customHeight="1" thickBot="1">
      <c r="B37" s="145" t="s">
        <v>99</v>
      </c>
      <c r="C37" s="175">
        <f>SUM(C4:C35)</f>
        <v>0</v>
      </c>
      <c r="D37" s="175">
        <f t="shared" ref="D37:X37" si="22">SUM(D4:D35)</f>
        <v>0</v>
      </c>
      <c r="E37" s="175">
        <f t="shared" si="22"/>
        <v>0</v>
      </c>
      <c r="F37" s="175">
        <f t="shared" si="22"/>
        <v>0</v>
      </c>
      <c r="G37" s="175">
        <f t="shared" si="22"/>
        <v>0</v>
      </c>
      <c r="H37" s="175">
        <f t="shared" si="22"/>
        <v>0</v>
      </c>
      <c r="I37" s="175">
        <f>SUM(I4:I35)</f>
        <v>0</v>
      </c>
      <c r="J37" s="175">
        <f>SUM(J4:J35)</f>
        <v>0</v>
      </c>
      <c r="K37" s="175">
        <f t="shared" si="22"/>
        <v>0</v>
      </c>
      <c r="L37" s="175">
        <f>SUM(L4:L35)</f>
        <v>0</v>
      </c>
      <c r="M37" s="277">
        <f t="shared" si="22"/>
        <v>-43925.5</v>
      </c>
      <c r="N37" s="277">
        <f t="shared" si="22"/>
        <v>-43925.5</v>
      </c>
      <c r="O37" s="175">
        <f t="shared" si="22"/>
        <v>21962.75</v>
      </c>
      <c r="P37" s="175">
        <f t="shared" si="22"/>
        <v>21962.75</v>
      </c>
      <c r="Q37" s="175">
        <f t="shared" si="22"/>
        <v>359667</v>
      </c>
      <c r="R37" s="175">
        <f t="shared" si="22"/>
        <v>81890</v>
      </c>
      <c r="S37" s="361">
        <f t="shared" si="22"/>
        <v>277777</v>
      </c>
      <c r="T37" s="175">
        <f t="shared" si="22"/>
        <v>4722.2090000000007</v>
      </c>
      <c r="U37" s="175">
        <f t="shared" si="22"/>
        <v>1392.1299999999992</v>
      </c>
      <c r="V37" s="175">
        <f t="shared" si="22"/>
        <v>6114.3390000000009</v>
      </c>
      <c r="W37" s="175">
        <f t="shared" si="22"/>
        <v>3057.1695000000004</v>
      </c>
      <c r="X37" s="274">
        <f t="shared" si="22"/>
        <v>20297.710500000001</v>
      </c>
    </row>
    <row r="38" spans="2:34" ht="19.5" customHeight="1">
      <c r="I38" s="146"/>
      <c r="J38" s="146"/>
      <c r="K38" s="146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</row>
    <row r="39" spans="2:34" ht="19.5" customHeight="1">
      <c r="I39" s="146"/>
      <c r="J39" s="146"/>
      <c r="K39" s="146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</row>
    <row r="40" spans="2:34" ht="24" customHeight="1">
      <c r="C40" s="242" t="s">
        <v>163</v>
      </c>
      <c r="D40" s="242"/>
      <c r="E40" s="242"/>
      <c r="F40" s="173"/>
      <c r="G40" s="173"/>
      <c r="H40" s="411">
        <f>H37</f>
        <v>0</v>
      </c>
      <c r="I40" s="411"/>
      <c r="J40" s="372"/>
      <c r="K40" s="264"/>
      <c r="L40" s="264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</row>
    <row r="41" spans="2:34" ht="24" customHeight="1">
      <c r="C41" s="242" t="s">
        <v>178</v>
      </c>
      <c r="D41" s="242"/>
      <c r="E41" s="242"/>
      <c r="F41" s="150"/>
      <c r="G41" s="150"/>
      <c r="H41" s="418">
        <f>N37</f>
        <v>-43925.5</v>
      </c>
      <c r="I41" s="418"/>
      <c r="J41" s="373"/>
      <c r="K41" s="264"/>
      <c r="L41" s="264"/>
      <c r="M41" s="173"/>
      <c r="N41" s="257" t="s">
        <v>167</v>
      </c>
      <c r="O41" s="173"/>
      <c r="P41" s="173"/>
      <c r="Q41" s="173"/>
      <c r="R41" s="173"/>
      <c r="S41" s="173"/>
      <c r="T41" s="257" t="s">
        <v>171</v>
      </c>
      <c r="U41" s="173"/>
      <c r="V41" s="173"/>
      <c r="W41" s="173"/>
      <c r="Y41" s="173"/>
      <c r="Z41" s="173"/>
      <c r="AA41" s="173"/>
    </row>
    <row r="42" spans="2:34" ht="24" customHeight="1" thickBot="1">
      <c r="C42" s="242" t="s">
        <v>176</v>
      </c>
      <c r="D42" s="242"/>
      <c r="E42" s="242"/>
      <c r="F42" s="150"/>
      <c r="G42" s="150"/>
      <c r="H42" s="419">
        <f>-ROUNDDOWN(H41*50%,0)</f>
        <v>21962</v>
      </c>
      <c r="I42" s="419"/>
      <c r="J42" s="373"/>
      <c r="K42" s="264"/>
      <c r="L42" s="264"/>
      <c r="M42" s="173"/>
      <c r="N42" s="148" t="s">
        <v>168</v>
      </c>
      <c r="O42" s="246"/>
      <c r="P42" s="246"/>
      <c r="Q42" s="246"/>
      <c r="R42" s="173"/>
      <c r="S42" s="173"/>
      <c r="T42" s="148" t="s">
        <v>189</v>
      </c>
      <c r="U42" s="173"/>
      <c r="V42" s="173"/>
      <c r="W42" s="173"/>
      <c r="Y42" s="173"/>
      <c r="Z42" s="173"/>
      <c r="AA42" s="173"/>
    </row>
    <row r="43" spans="2:34" ht="8.25" customHeight="1" thickTop="1">
      <c r="C43" s="242"/>
      <c r="D43" s="242"/>
      <c r="E43" s="242"/>
      <c r="F43" s="150"/>
      <c r="G43" s="150"/>
      <c r="H43" s="173"/>
      <c r="I43" s="265"/>
      <c r="J43" s="265"/>
      <c r="K43" s="264"/>
      <c r="L43" s="264"/>
      <c r="M43" s="173"/>
      <c r="N43" s="148"/>
      <c r="O43" s="173"/>
      <c r="P43" s="173"/>
      <c r="Q43" s="173"/>
      <c r="R43" s="173"/>
      <c r="S43" s="173"/>
      <c r="T43" s="148"/>
      <c r="U43" s="173"/>
      <c r="V43" s="173"/>
      <c r="W43" s="173"/>
      <c r="Y43" s="173"/>
      <c r="Z43" s="173"/>
      <c r="AA43" s="173"/>
    </row>
    <row r="44" spans="2:34" ht="24" customHeight="1">
      <c r="C44" s="242" t="s">
        <v>164</v>
      </c>
      <c r="D44" s="242"/>
      <c r="E44" s="242"/>
      <c r="F44" s="150"/>
      <c r="G44" s="150"/>
      <c r="H44" s="413">
        <f>R37</f>
        <v>81890</v>
      </c>
      <c r="I44" s="413"/>
      <c r="J44" s="373"/>
      <c r="K44" s="264"/>
      <c r="L44" s="264"/>
      <c r="M44" s="173"/>
      <c r="N44" s="257" t="s">
        <v>169</v>
      </c>
      <c r="O44" s="173"/>
      <c r="P44" s="173"/>
      <c r="Q44" s="173"/>
      <c r="R44" s="173"/>
      <c r="S44" s="173"/>
      <c r="T44" s="257" t="s">
        <v>169</v>
      </c>
      <c r="U44" s="173"/>
      <c r="V44" s="173"/>
      <c r="W44" s="173"/>
      <c r="Z44" s="173"/>
      <c r="AA44" s="173"/>
    </row>
    <row r="45" spans="2:34" ht="24" customHeight="1">
      <c r="C45" s="242" t="s">
        <v>200</v>
      </c>
      <c r="D45" s="242"/>
      <c r="E45" s="242"/>
      <c r="F45" s="150"/>
      <c r="G45" s="150"/>
      <c r="H45" s="413">
        <f>H44*1.7%</f>
        <v>1392.13</v>
      </c>
      <c r="I45" s="413"/>
      <c r="J45" s="373"/>
      <c r="K45" s="264"/>
      <c r="L45" s="264"/>
      <c r="M45" s="173"/>
      <c r="N45" s="148" t="s">
        <v>170</v>
      </c>
      <c r="O45" s="246"/>
      <c r="P45" s="246"/>
      <c r="Q45" s="246"/>
      <c r="R45" s="173"/>
      <c r="S45" s="173"/>
      <c r="T45" s="148" t="s">
        <v>204</v>
      </c>
      <c r="U45" s="173"/>
      <c r="V45" s="173"/>
      <c r="W45" s="173"/>
      <c r="Z45" s="173"/>
      <c r="AA45" s="173"/>
    </row>
    <row r="46" spans="2:34" ht="24" customHeight="1">
      <c r="C46" s="242" t="s">
        <v>198</v>
      </c>
      <c r="D46" s="242"/>
      <c r="E46" s="242"/>
      <c r="F46" s="150"/>
      <c r="G46" s="150"/>
      <c r="H46" s="413">
        <f>-H45*50%</f>
        <v>-696.06500000000005</v>
      </c>
      <c r="I46" s="413"/>
      <c r="J46" s="373"/>
      <c r="K46" s="264"/>
      <c r="L46" s="264"/>
      <c r="M46" s="173"/>
      <c r="N46" s="148"/>
      <c r="O46" s="173"/>
      <c r="P46" s="173"/>
      <c r="Q46" s="173"/>
      <c r="R46" s="173"/>
      <c r="S46" s="173"/>
      <c r="V46" s="148"/>
      <c r="W46" s="148"/>
      <c r="Z46" s="173"/>
      <c r="AA46" s="173"/>
    </row>
    <row r="47" spans="2:34" ht="24" customHeight="1">
      <c r="C47" s="242" t="s">
        <v>201</v>
      </c>
      <c r="D47" s="242"/>
      <c r="E47" s="242"/>
      <c r="F47" s="150"/>
      <c r="G47" s="150"/>
      <c r="H47" s="413">
        <f>S37</f>
        <v>277777</v>
      </c>
      <c r="I47" s="413"/>
      <c r="J47" s="373"/>
      <c r="K47" s="264"/>
      <c r="L47" s="264"/>
      <c r="M47" s="173"/>
      <c r="N47" s="148"/>
      <c r="O47" s="173"/>
      <c r="P47" s="173"/>
      <c r="Q47" s="173"/>
      <c r="R47" s="173"/>
      <c r="S47" s="173"/>
      <c r="V47" s="148"/>
      <c r="W47" s="148"/>
      <c r="Z47" s="173"/>
      <c r="AA47" s="173"/>
    </row>
    <row r="48" spans="2:34" ht="24" customHeight="1">
      <c r="C48" s="242" t="s">
        <v>202</v>
      </c>
      <c r="D48" s="242"/>
      <c r="E48" s="242"/>
      <c r="F48" s="150"/>
      <c r="G48" s="150"/>
      <c r="H48" s="413">
        <f>T37</f>
        <v>4722.2090000000007</v>
      </c>
      <c r="I48" s="413"/>
      <c r="J48" s="373"/>
      <c r="K48" s="264"/>
      <c r="L48" s="264"/>
      <c r="M48" s="173"/>
      <c r="N48" s="148"/>
      <c r="O48" s="173"/>
      <c r="P48" s="173"/>
      <c r="Q48" s="173"/>
      <c r="R48" s="173"/>
      <c r="S48" s="173"/>
      <c r="V48" s="148"/>
      <c r="W48" s="148"/>
      <c r="Z48" s="173"/>
      <c r="AA48" s="173"/>
    </row>
    <row r="49" spans="2:27" ht="24" customHeight="1">
      <c r="C49" s="242" t="s">
        <v>199</v>
      </c>
      <c r="D49" s="242"/>
      <c r="E49" s="242"/>
      <c r="F49" s="150"/>
      <c r="G49" s="150"/>
      <c r="H49" s="413">
        <f>-H48*50%</f>
        <v>-2361.1045000000004</v>
      </c>
      <c r="I49" s="413"/>
      <c r="J49" s="373"/>
      <c r="K49" s="264"/>
      <c r="L49" s="264"/>
      <c r="M49" s="173"/>
      <c r="N49" s="148"/>
      <c r="O49" s="173"/>
      <c r="P49" s="173"/>
      <c r="Q49" s="173"/>
      <c r="R49" s="173"/>
      <c r="S49" s="173"/>
      <c r="V49" s="148"/>
      <c r="W49" s="148"/>
      <c r="Z49" s="173"/>
      <c r="AA49" s="173"/>
    </row>
    <row r="50" spans="2:27" ht="24" customHeight="1">
      <c r="B50" s="149"/>
      <c r="C50" s="242" t="s">
        <v>177</v>
      </c>
      <c r="D50" s="124"/>
      <c r="E50" s="124"/>
      <c r="F50" s="124"/>
      <c r="G50" s="124"/>
      <c r="H50" s="413">
        <v>0</v>
      </c>
      <c r="I50" s="413"/>
      <c r="J50" s="373"/>
      <c r="K50" s="264"/>
      <c r="L50" s="264"/>
      <c r="M50" s="173"/>
      <c r="N50" s="375"/>
      <c r="O50" s="148"/>
      <c r="P50" s="173"/>
      <c r="Q50" s="173"/>
      <c r="R50" s="173"/>
      <c r="S50" s="173"/>
      <c r="V50" s="148"/>
      <c r="W50" s="148"/>
      <c r="Z50" s="173"/>
      <c r="AA50" s="173"/>
    </row>
    <row r="51" spans="2:27" ht="24" customHeight="1" thickBot="1">
      <c r="B51" s="149"/>
      <c r="C51" s="242"/>
      <c r="D51" s="242"/>
      <c r="E51" s="242"/>
      <c r="F51" s="173"/>
      <c r="G51" s="173"/>
      <c r="H51" s="420">
        <f>ROUNDDOWN(H45+H46+H49+H50,0)</f>
        <v>-1665</v>
      </c>
      <c r="I51" s="420"/>
      <c r="J51" s="373"/>
      <c r="K51" s="264"/>
      <c r="L51" s="264"/>
      <c r="M51" s="173"/>
      <c r="N51" s="257" t="s">
        <v>173</v>
      </c>
      <c r="O51" s="173"/>
      <c r="P51" s="173"/>
      <c r="Q51" s="173"/>
      <c r="R51" s="173"/>
      <c r="S51" s="173"/>
      <c r="T51" s="257" t="s">
        <v>45</v>
      </c>
      <c r="U51" s="173"/>
      <c r="V51" s="173"/>
      <c r="W51" s="173"/>
      <c r="Z51" s="173"/>
      <c r="AA51" s="173"/>
    </row>
    <row r="52" spans="2:27" ht="21.75" customHeight="1" thickTop="1">
      <c r="B52" s="149"/>
      <c r="C52" s="242"/>
      <c r="D52" s="242"/>
      <c r="E52" s="242"/>
      <c r="F52" s="173"/>
      <c r="G52" s="173"/>
      <c r="H52" s="173"/>
      <c r="I52" s="372"/>
      <c r="J52" s="373"/>
      <c r="K52" s="264"/>
      <c r="L52" s="264"/>
      <c r="M52" s="173"/>
      <c r="N52" s="148" t="s">
        <v>172</v>
      </c>
      <c r="O52" s="246"/>
      <c r="P52" s="246"/>
      <c r="Q52" s="246"/>
      <c r="R52" s="173"/>
      <c r="S52" s="173"/>
      <c r="T52" s="148" t="s">
        <v>191</v>
      </c>
      <c r="U52" s="173"/>
      <c r="V52" s="173"/>
      <c r="W52" s="173"/>
      <c r="Z52" s="173"/>
      <c r="AA52" s="173"/>
    </row>
    <row r="53" spans="2:27" ht="30" customHeight="1">
      <c r="B53" s="149"/>
      <c r="C53" s="242" t="s">
        <v>203</v>
      </c>
      <c r="D53" s="242"/>
      <c r="E53" s="242"/>
      <c r="F53" s="173"/>
      <c r="G53" s="173"/>
      <c r="H53" s="421">
        <f>H42+H51</f>
        <v>20297</v>
      </c>
      <c r="I53" s="421"/>
      <c r="J53" s="373"/>
      <c r="K53" s="284"/>
      <c r="L53" s="284"/>
      <c r="M53" s="173"/>
      <c r="N53" s="148"/>
      <c r="O53" s="173"/>
      <c r="P53" s="173"/>
      <c r="Q53" s="173"/>
      <c r="R53" s="173"/>
      <c r="S53" s="173"/>
      <c r="T53" s="148"/>
      <c r="U53" s="173"/>
      <c r="V53" s="173"/>
      <c r="W53" s="173"/>
      <c r="Z53" s="173"/>
      <c r="AA53" s="173"/>
    </row>
    <row r="54" spans="2:27" ht="26.25" customHeight="1">
      <c r="B54" s="255"/>
      <c r="C54" s="242"/>
      <c r="D54" s="124"/>
      <c r="E54" s="124"/>
      <c r="F54" s="124"/>
      <c r="G54" s="124"/>
      <c r="H54" s="422"/>
      <c r="I54" s="422"/>
      <c r="J54" s="373"/>
      <c r="K54" s="283"/>
      <c r="L54" s="283"/>
      <c r="M54" s="173"/>
      <c r="N54" s="257" t="s">
        <v>169</v>
      </c>
      <c r="R54" s="173"/>
      <c r="S54" s="173"/>
      <c r="T54" s="257" t="s">
        <v>169</v>
      </c>
      <c r="U54" s="150"/>
      <c r="V54" s="150"/>
      <c r="W54" s="150"/>
      <c r="Z54" s="173"/>
      <c r="AA54" s="173"/>
    </row>
    <row r="55" spans="2:27" ht="26.25" customHeight="1">
      <c r="B55" s="254"/>
      <c r="C55" s="242" t="s">
        <v>175</v>
      </c>
      <c r="D55" s="242"/>
      <c r="E55" s="242"/>
      <c r="H55" s="412">
        <f>H40+H53</f>
        <v>20297</v>
      </c>
      <c r="I55" s="412"/>
      <c r="J55" s="373"/>
      <c r="K55" s="283"/>
      <c r="L55" s="283"/>
      <c r="M55" s="173"/>
      <c r="N55" s="148" t="s">
        <v>170</v>
      </c>
      <c r="O55" s="248"/>
      <c r="P55" s="248"/>
      <c r="Q55" s="248"/>
      <c r="R55" s="173"/>
      <c r="S55" s="173"/>
      <c r="T55" s="148" t="s">
        <v>205</v>
      </c>
      <c r="U55" s="150"/>
      <c r="V55" s="150"/>
      <c r="W55" s="150"/>
      <c r="Z55" s="173"/>
      <c r="AA55" s="173"/>
    </row>
    <row r="56" spans="2:27" ht="25.5" customHeight="1">
      <c r="D56" s="242"/>
      <c r="E56" s="242"/>
      <c r="G56" s="254"/>
      <c r="K56" s="283"/>
      <c r="L56" s="283"/>
      <c r="M56" s="173"/>
      <c r="S56" s="173"/>
      <c r="Z56" s="150"/>
      <c r="AA56" s="150"/>
    </row>
    <row r="57" spans="2:27" ht="28.5">
      <c r="B57" s="124"/>
      <c r="C57" s="124"/>
      <c r="D57" s="124"/>
      <c r="E57" s="124"/>
      <c r="F57" s="124"/>
      <c r="I57" s="151"/>
      <c r="J57" s="151"/>
      <c r="K57" s="283"/>
      <c r="L57" s="283"/>
      <c r="M57" s="173"/>
      <c r="N57" s="148"/>
      <c r="O57" s="148"/>
      <c r="T57" s="148"/>
      <c r="U57" s="150"/>
      <c r="V57" s="150"/>
      <c r="W57" s="150"/>
      <c r="Y57" s="150"/>
      <c r="Z57" s="150"/>
      <c r="AA57" s="150"/>
    </row>
    <row r="58" spans="2:27" ht="28.5">
      <c r="B58" s="124"/>
      <c r="C58" s="124"/>
      <c r="D58" s="124"/>
      <c r="E58" s="124"/>
      <c r="F58" s="124"/>
      <c r="G58" s="124"/>
      <c r="H58" s="124"/>
      <c r="K58" s="283"/>
      <c r="L58" s="173"/>
      <c r="M58" s="374"/>
      <c r="N58" s="148"/>
      <c r="U58" s="148"/>
      <c r="V58" s="150"/>
      <c r="W58" s="150"/>
      <c r="X58" s="150"/>
      <c r="Y58" s="150"/>
      <c r="Z58" s="150"/>
    </row>
    <row r="59" spans="2:27" ht="28.5">
      <c r="B59" s="124"/>
      <c r="C59" s="124"/>
      <c r="D59" s="124"/>
      <c r="E59" s="124"/>
      <c r="F59" s="124"/>
      <c r="G59" s="124"/>
      <c r="H59" s="124"/>
      <c r="L59" s="153"/>
      <c r="N59" s="148"/>
      <c r="T59" s="148"/>
      <c r="U59" s="173"/>
      <c r="V59" s="173"/>
      <c r="W59" s="173"/>
      <c r="Y59" s="150"/>
    </row>
    <row r="60" spans="2:27" ht="23.25">
      <c r="G60" s="124"/>
      <c r="H60" s="124"/>
      <c r="L60" s="154"/>
      <c r="N60" s="257"/>
      <c r="T60" s="257"/>
      <c r="U60" s="150"/>
      <c r="V60" s="150"/>
      <c r="W60" s="150"/>
      <c r="Y60" s="150"/>
    </row>
    <row r="61" spans="2:27" ht="18.75">
      <c r="L61" s="155"/>
      <c r="M61" s="153"/>
      <c r="N61" s="148"/>
      <c r="T61" s="148"/>
      <c r="U61" s="150"/>
      <c r="V61" s="150"/>
      <c r="W61" s="150"/>
    </row>
    <row r="62" spans="2:27" ht="18.75">
      <c r="L62" s="156"/>
      <c r="M62" s="154"/>
      <c r="N62" s="247"/>
      <c r="T62" s="150"/>
      <c r="U62" s="150"/>
    </row>
    <row r="63" spans="2:27">
      <c r="L63" s="156"/>
      <c r="M63" s="155"/>
    </row>
    <row r="64" spans="2:27" ht="15.75">
      <c r="L64" s="156"/>
      <c r="M64" s="156"/>
      <c r="N64" s="153"/>
      <c r="Q64" s="152"/>
    </row>
    <row r="65" spans="9:24">
      <c r="L65" s="156"/>
      <c r="M65" s="156"/>
      <c r="N65" s="154"/>
    </row>
    <row r="66" spans="9:24">
      <c r="L66" s="156"/>
      <c r="M66" s="156"/>
      <c r="N66" s="155"/>
    </row>
    <row r="67" spans="9:24">
      <c r="L67" s="156"/>
      <c r="M67" s="156"/>
      <c r="N67" s="156"/>
    </row>
    <row r="68" spans="9:24">
      <c r="L68" s="156"/>
      <c r="M68" s="156"/>
      <c r="N68" s="156"/>
    </row>
    <row r="69" spans="9:24" s="123" customFormat="1">
      <c r="I69" s="124"/>
      <c r="J69" s="124"/>
      <c r="K69" s="124"/>
      <c r="L69" s="156"/>
      <c r="M69" s="156"/>
      <c r="N69" s="156"/>
      <c r="O69" s="124"/>
      <c r="P69" s="124"/>
      <c r="Q69" s="124"/>
      <c r="R69" s="124"/>
      <c r="S69" s="124"/>
      <c r="T69" s="124"/>
      <c r="U69" s="124"/>
      <c r="V69" s="124"/>
      <c r="W69" s="124"/>
      <c r="X69" s="124"/>
    </row>
    <row r="70" spans="9:24">
      <c r="L70" s="156"/>
      <c r="M70" s="156"/>
      <c r="N70" s="156"/>
    </row>
    <row r="71" spans="9:24">
      <c r="L71" s="156"/>
      <c r="M71" s="156"/>
      <c r="N71" s="156"/>
    </row>
    <row r="72" spans="9:24">
      <c r="M72" s="156"/>
      <c r="N72" s="156"/>
    </row>
    <row r="73" spans="9:24">
      <c r="M73" s="156"/>
      <c r="N73" s="156"/>
    </row>
    <row r="74" spans="9:24">
      <c r="N74" s="156"/>
    </row>
    <row r="75" spans="9:24">
      <c r="N75" s="156"/>
    </row>
    <row r="76" spans="9:24">
      <c r="N76" s="156"/>
    </row>
  </sheetData>
  <sheetProtection algorithmName="SHA-512" hashValue="9sAO+NUS+NaaEbILyZ+PcLB0RTPpeUxlu9MYnYJykQiKCz/gKIZ8m4VtQ558KJoSFxyXk/xYardCr48VV/PezA==" saltValue="Kf71HmK2EHx4gFlAWP2u5g==" spinCount="100000" sheet="1" objects="1" scenarios="1"/>
  <mergeCells count="15">
    <mergeCell ref="H53:I53"/>
    <mergeCell ref="H54:I54"/>
    <mergeCell ref="H55:I55"/>
    <mergeCell ref="H46:I46"/>
    <mergeCell ref="H47:I47"/>
    <mergeCell ref="H48:I48"/>
    <mergeCell ref="H49:I49"/>
    <mergeCell ref="H50:I50"/>
    <mergeCell ref="H51:I51"/>
    <mergeCell ref="H45:I45"/>
    <mergeCell ref="B2:X2"/>
    <mergeCell ref="H40:I40"/>
    <mergeCell ref="H41:I41"/>
    <mergeCell ref="H42:I42"/>
    <mergeCell ref="H44:I44"/>
  </mergeCells>
  <printOptions horizontalCentered="1"/>
  <pageMargins left="0" right="0" top="0" bottom="0" header="0" footer="0"/>
  <pageSetup scale="38" orientation="landscape" horizontalDpi="360" verticalDpi="36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8">
    <tabColor rgb="FFFFFF00"/>
    <pageSetUpPr fitToPage="1"/>
  </sheetPr>
  <dimension ref="B1:AI76"/>
  <sheetViews>
    <sheetView showGridLines="0" view="pageBreakPreview" zoomScale="80" zoomScaleNormal="90" zoomScaleSheetLayoutView="80" workbookViewId="0">
      <pane ySplit="3" topLeftCell="A28" activePane="bottomLeft" state="frozen"/>
      <selection activeCell="N12" sqref="N12"/>
      <selection pane="bottomLeft" activeCell="L39" sqref="L39"/>
    </sheetView>
  </sheetViews>
  <sheetFormatPr defaultRowHeight="15"/>
  <cols>
    <col min="1" max="1" width="1" style="124" customWidth="1"/>
    <col min="2" max="2" width="12.28515625" style="123" bestFit="1" customWidth="1"/>
    <col min="3" max="5" width="12.28515625" style="123" customWidth="1"/>
    <col min="6" max="6" width="14.140625" style="123" customWidth="1"/>
    <col min="7" max="7" width="14.42578125" style="123" bestFit="1" customWidth="1"/>
    <col min="8" max="8" width="14.85546875" style="123" customWidth="1"/>
    <col min="9" max="9" width="15.42578125" style="124" customWidth="1"/>
    <col min="10" max="10" width="15.42578125" style="124" hidden="1" customWidth="1"/>
    <col min="11" max="11" width="15.42578125" style="124" customWidth="1"/>
    <col min="12" max="14" width="17.42578125" style="124" customWidth="1"/>
    <col min="15" max="15" width="13.5703125" style="124" bestFit="1" customWidth="1"/>
    <col min="16" max="16" width="14.140625" style="124" bestFit="1" customWidth="1"/>
    <col min="17" max="19" width="19" style="124" customWidth="1"/>
    <col min="20" max="20" width="18.42578125" style="124" customWidth="1"/>
    <col min="21" max="21" width="13.85546875" style="124" customWidth="1"/>
    <col min="22" max="23" width="13.7109375" style="124" customWidth="1"/>
    <col min="24" max="24" width="24.140625" style="124" bestFit="1" customWidth="1"/>
    <col min="25" max="25" width="1.5703125" style="124" customWidth="1"/>
    <col min="26" max="26" width="9.140625" style="124" hidden="1" customWidth="1"/>
    <col min="27" max="27" width="8.85546875" style="124" hidden="1" customWidth="1"/>
    <col min="28" max="28" width="10.140625" style="124" hidden="1" customWidth="1"/>
    <col min="29" max="29" width="12.140625" style="124" hidden="1" customWidth="1"/>
    <col min="30" max="30" width="9.140625" style="124" hidden="1" customWidth="1"/>
    <col min="31" max="31" width="9.28515625" style="124" hidden="1" customWidth="1"/>
    <col min="32" max="32" width="11" style="124" hidden="1" customWidth="1"/>
    <col min="33" max="33" width="7.140625" style="124" hidden="1" customWidth="1"/>
    <col min="34" max="34" width="10.42578125" style="124" hidden="1" customWidth="1"/>
    <col min="35" max="35" width="10.5703125" style="124" hidden="1" customWidth="1"/>
    <col min="36" max="16384" width="9.140625" style="124"/>
  </cols>
  <sheetData>
    <row r="1" spans="2:34" ht="24.75" customHeight="1" thickBot="1"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</row>
    <row r="2" spans="2:34" ht="28.5" customHeight="1" thickBot="1">
      <c r="B2" s="414" t="s">
        <v>242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415"/>
      <c r="X2" s="416"/>
    </row>
    <row r="3" spans="2:34" ht="60.75" thickBot="1">
      <c r="B3" s="125" t="s">
        <v>94</v>
      </c>
      <c r="C3" s="126" t="s">
        <v>121</v>
      </c>
      <c r="D3" s="126" t="s">
        <v>185</v>
      </c>
      <c r="E3" s="126" t="s">
        <v>187</v>
      </c>
      <c r="F3" s="126" t="s">
        <v>188</v>
      </c>
      <c r="G3" s="126" t="s">
        <v>186</v>
      </c>
      <c r="H3" s="126" t="s">
        <v>163</v>
      </c>
      <c r="I3" s="127" t="s">
        <v>111</v>
      </c>
      <c r="J3" s="127" t="s">
        <v>217</v>
      </c>
      <c r="K3" s="127" t="s">
        <v>183</v>
      </c>
      <c r="L3" s="127" t="s">
        <v>180</v>
      </c>
      <c r="M3" s="127" t="s">
        <v>181</v>
      </c>
      <c r="N3" s="127" t="s">
        <v>182</v>
      </c>
      <c r="O3" s="128">
        <v>-0.5</v>
      </c>
      <c r="P3" s="157">
        <f>-100%-O3</f>
        <v>-0.5</v>
      </c>
      <c r="Q3" s="127" t="s">
        <v>141</v>
      </c>
      <c r="R3" s="127" t="s">
        <v>142</v>
      </c>
      <c r="S3" s="127" t="s">
        <v>208</v>
      </c>
      <c r="T3" s="127" t="s">
        <v>125</v>
      </c>
      <c r="U3" s="206" t="s">
        <v>143</v>
      </c>
      <c r="V3" s="127" t="s">
        <v>97</v>
      </c>
      <c r="W3" s="127" t="s">
        <v>144</v>
      </c>
      <c r="X3" s="129" t="s">
        <v>96</v>
      </c>
      <c r="AA3" s="130" t="s">
        <v>106</v>
      </c>
      <c r="AB3" s="130" t="s">
        <v>95</v>
      </c>
      <c r="AC3" s="130" t="s">
        <v>107</v>
      </c>
      <c r="AD3" s="131" t="s">
        <v>108</v>
      </c>
      <c r="AE3" s="131" t="s">
        <v>109</v>
      </c>
      <c r="AF3" s="130" t="s">
        <v>147</v>
      </c>
      <c r="AG3" s="130" t="s">
        <v>110</v>
      </c>
      <c r="AH3" s="130" t="s">
        <v>120</v>
      </c>
    </row>
    <row r="4" spans="2:34" ht="26.25" customHeight="1">
      <c r="B4" s="132">
        <v>44593</v>
      </c>
      <c r="C4" s="240"/>
      <c r="D4" s="240">
        <v>0</v>
      </c>
      <c r="E4" s="240">
        <v>0</v>
      </c>
      <c r="F4" s="240">
        <v>0</v>
      </c>
      <c r="G4" s="240">
        <v>0</v>
      </c>
      <c r="H4" s="292">
        <f t="shared" ref="H4:H5" si="0">SUM(F4:G4)</f>
        <v>0</v>
      </c>
      <c r="I4" s="133">
        <v>0</v>
      </c>
      <c r="J4" s="137">
        <v>0</v>
      </c>
      <c r="K4" s="133">
        <v>0</v>
      </c>
      <c r="L4" s="256">
        <f>-F4-G4-I4-K4</f>
        <v>0</v>
      </c>
      <c r="M4" s="133">
        <v>0</v>
      </c>
      <c r="N4" s="256">
        <f>L4+M4</f>
        <v>0</v>
      </c>
      <c r="O4" s="321">
        <f>N4*$O$3</f>
        <v>0</v>
      </c>
      <c r="P4" s="321">
        <f>N4*$P$3</f>
        <v>0</v>
      </c>
      <c r="Q4" s="210">
        <v>0</v>
      </c>
      <c r="R4" s="210">
        <f>Q4-S4</f>
        <v>0</v>
      </c>
      <c r="S4" s="134">
        <v>0</v>
      </c>
      <c r="T4" s="159">
        <f>S4*1.7%</f>
        <v>0</v>
      </c>
      <c r="U4" s="158">
        <f>R4*1.7%</f>
        <v>0</v>
      </c>
      <c r="V4" s="158">
        <f>SUM(T4:U4)</f>
        <v>0</v>
      </c>
      <c r="W4" s="293">
        <f>V4*50%</f>
        <v>0</v>
      </c>
      <c r="X4" s="286">
        <f>O4+W4-T4</f>
        <v>0</v>
      </c>
      <c r="AA4" s="164">
        <f>H4</f>
        <v>0</v>
      </c>
      <c r="AB4" s="165">
        <f>I4+K4</f>
        <v>0</v>
      </c>
      <c r="AC4" s="165">
        <f>R4</f>
        <v>0</v>
      </c>
      <c r="AD4" s="165">
        <f>W4</f>
        <v>0</v>
      </c>
      <c r="AE4" s="165">
        <f>N4</f>
        <v>0</v>
      </c>
      <c r="AF4" s="165">
        <f>S4</f>
        <v>0</v>
      </c>
      <c r="AG4" s="165"/>
      <c r="AH4" s="213">
        <f>C4</f>
        <v>0</v>
      </c>
    </row>
    <row r="5" spans="2:34" ht="26.25" customHeight="1">
      <c r="B5" s="166">
        <f>B4+1</f>
        <v>44594</v>
      </c>
      <c r="C5" s="221"/>
      <c r="D5" s="221">
        <v>0</v>
      </c>
      <c r="E5" s="291">
        <v>0</v>
      </c>
      <c r="F5" s="291">
        <v>0</v>
      </c>
      <c r="G5" s="291">
        <v>0</v>
      </c>
      <c r="H5" s="292">
        <f t="shared" si="0"/>
        <v>0</v>
      </c>
      <c r="I5" s="136">
        <v>0</v>
      </c>
      <c r="J5" s="137">
        <v>0</v>
      </c>
      <c r="K5" s="136">
        <v>0</v>
      </c>
      <c r="L5" s="256">
        <f>-F5-G5-I5-K5</f>
        <v>0</v>
      </c>
      <c r="M5" s="136">
        <v>0</v>
      </c>
      <c r="N5" s="256">
        <f>L5+M5</f>
        <v>0</v>
      </c>
      <c r="O5" s="323">
        <f>N5*$O$3</f>
        <v>0</v>
      </c>
      <c r="P5" s="323">
        <f>N5*$P$3</f>
        <v>0</v>
      </c>
      <c r="Q5" s="135">
        <v>0</v>
      </c>
      <c r="R5" s="211">
        <f>Q5-S5</f>
        <v>0</v>
      </c>
      <c r="S5" s="135">
        <v>0</v>
      </c>
      <c r="T5" s="159">
        <f>S5*1.7%</f>
        <v>0</v>
      </c>
      <c r="U5" s="159">
        <f>R5*1.7%</f>
        <v>0</v>
      </c>
      <c r="V5" s="159">
        <f>SUM(T5:U5)</f>
        <v>0</v>
      </c>
      <c r="W5" s="294">
        <f>V5*50%</f>
        <v>0</v>
      </c>
      <c r="X5" s="162">
        <f>O5+W5-T5</f>
        <v>0</v>
      </c>
      <c r="AA5" s="164">
        <f t="shared" ref="AA5:AA34" si="1">AA4+H5</f>
        <v>0</v>
      </c>
      <c r="AB5" s="165">
        <f t="shared" ref="AB5:AB34" si="2">AB4+I5+K5</f>
        <v>0</v>
      </c>
      <c r="AC5" s="165">
        <f t="shared" ref="AC5:AC34" si="3">R5+AC4</f>
        <v>0</v>
      </c>
      <c r="AD5" s="165">
        <f>W5+AD4</f>
        <v>0</v>
      </c>
      <c r="AE5" s="165">
        <f t="shared" ref="AE5:AE34" si="4">AE4+N5</f>
        <v>0</v>
      </c>
      <c r="AF5" s="165">
        <f t="shared" ref="AF5:AF34" si="5">S5+AF4</f>
        <v>0</v>
      </c>
      <c r="AG5" s="165"/>
      <c r="AH5" s="230">
        <f t="shared" ref="AH5:AH34" si="6">C5+AH4</f>
        <v>0</v>
      </c>
    </row>
    <row r="6" spans="2:34" ht="26.25" customHeight="1">
      <c r="B6" s="166">
        <f t="shared" ref="B6:B34" si="7">B5+1</f>
        <v>44595</v>
      </c>
      <c r="C6" s="221"/>
      <c r="D6" s="221">
        <v>20000</v>
      </c>
      <c r="E6" s="291">
        <v>0</v>
      </c>
      <c r="F6" s="291">
        <v>0</v>
      </c>
      <c r="G6" s="291">
        <v>0</v>
      </c>
      <c r="H6" s="292">
        <f>SUM(D6:G6)</f>
        <v>20000</v>
      </c>
      <c r="I6" s="136">
        <v>0</v>
      </c>
      <c r="J6" s="137">
        <v>0</v>
      </c>
      <c r="K6" s="136">
        <v>0</v>
      </c>
      <c r="L6" s="256">
        <f>-F6-G6-I6-K6</f>
        <v>0</v>
      </c>
      <c r="M6" s="136">
        <v>26930</v>
      </c>
      <c r="N6" s="256">
        <f>L6+M6</f>
        <v>26930</v>
      </c>
      <c r="O6" s="323">
        <f>N6*$O$3</f>
        <v>-13465</v>
      </c>
      <c r="P6" s="323">
        <f>N6*$P$3</f>
        <v>-13465</v>
      </c>
      <c r="Q6" s="135">
        <v>0</v>
      </c>
      <c r="R6" s="211">
        <f>Q6-S6</f>
        <v>0</v>
      </c>
      <c r="S6" s="135">
        <v>0</v>
      </c>
      <c r="T6" s="159">
        <f t="shared" ref="T6:T34" si="8">S6*1.7%</f>
        <v>0</v>
      </c>
      <c r="U6" s="159">
        <f t="shared" ref="U6:U34" si="9">R6*1.7%</f>
        <v>0</v>
      </c>
      <c r="V6" s="159">
        <f t="shared" ref="V6:V34" si="10">SUM(T6:U6)</f>
        <v>0</v>
      </c>
      <c r="W6" s="294">
        <f t="shared" ref="W6:W34" si="11">V6*50%</f>
        <v>0</v>
      </c>
      <c r="X6" s="162">
        <f t="shared" ref="X6:X34" si="12">O6+W6-T6</f>
        <v>-13465</v>
      </c>
      <c r="AA6" s="164">
        <f t="shared" si="1"/>
        <v>20000</v>
      </c>
      <c r="AB6" s="165">
        <f t="shared" si="2"/>
        <v>0</v>
      </c>
      <c r="AC6" s="165">
        <f t="shared" si="3"/>
        <v>0</v>
      </c>
      <c r="AD6" s="165">
        <f t="shared" ref="AD6:AD34" si="13">W6+AD5</f>
        <v>0</v>
      </c>
      <c r="AE6" s="165">
        <f t="shared" si="4"/>
        <v>26930</v>
      </c>
      <c r="AF6" s="165">
        <f t="shared" si="5"/>
        <v>0</v>
      </c>
      <c r="AG6" s="165"/>
      <c r="AH6" s="230">
        <f t="shared" si="6"/>
        <v>0</v>
      </c>
    </row>
    <row r="7" spans="2:34" ht="26.25" customHeight="1">
      <c r="B7" s="166">
        <f t="shared" si="7"/>
        <v>44596</v>
      </c>
      <c r="C7" s="221"/>
      <c r="D7" s="221">
        <v>0</v>
      </c>
      <c r="E7" s="291">
        <v>-20000</v>
      </c>
      <c r="F7" s="291">
        <v>0</v>
      </c>
      <c r="G7" s="291">
        <v>0</v>
      </c>
      <c r="H7" s="292">
        <f t="shared" ref="H7:H34" si="14">SUM(D7:G7)</f>
        <v>-20000</v>
      </c>
      <c r="I7" s="136">
        <v>0</v>
      </c>
      <c r="J7" s="137">
        <v>0</v>
      </c>
      <c r="K7" s="136">
        <v>0</v>
      </c>
      <c r="L7" s="256">
        <f t="shared" ref="L7:L34" si="15">-F7-G7-I7-K7</f>
        <v>0</v>
      </c>
      <c r="M7" s="136">
        <v>-4000</v>
      </c>
      <c r="N7" s="256">
        <f t="shared" ref="N7:N34" si="16">L7+M7</f>
        <v>-4000</v>
      </c>
      <c r="O7" s="323">
        <f t="shared" ref="O7:O34" si="17">N7*$O$3</f>
        <v>2000</v>
      </c>
      <c r="P7" s="323">
        <f t="shared" ref="P7:P34" si="18">N7*$P$3</f>
        <v>2000</v>
      </c>
      <c r="Q7" s="135">
        <v>9300</v>
      </c>
      <c r="R7" s="211">
        <f t="shared" ref="R7:R33" si="19">Q7-S7</f>
        <v>9300</v>
      </c>
      <c r="S7" s="135">
        <v>0</v>
      </c>
      <c r="T7" s="159">
        <f t="shared" si="8"/>
        <v>0</v>
      </c>
      <c r="U7" s="159">
        <f t="shared" si="9"/>
        <v>158.10000000000002</v>
      </c>
      <c r="V7" s="159">
        <f t="shared" si="10"/>
        <v>158.10000000000002</v>
      </c>
      <c r="W7" s="294">
        <f t="shared" si="11"/>
        <v>79.050000000000011</v>
      </c>
      <c r="X7" s="162">
        <f t="shared" si="12"/>
        <v>2079.0500000000002</v>
      </c>
      <c r="AA7" s="164">
        <f t="shared" si="1"/>
        <v>0</v>
      </c>
      <c r="AB7" s="165">
        <f t="shared" si="2"/>
        <v>0</v>
      </c>
      <c r="AC7" s="165">
        <f t="shared" si="3"/>
        <v>9300</v>
      </c>
      <c r="AD7" s="165">
        <f t="shared" si="13"/>
        <v>79.050000000000011</v>
      </c>
      <c r="AE7" s="165">
        <f t="shared" si="4"/>
        <v>22930</v>
      </c>
      <c r="AF7" s="165">
        <f t="shared" si="5"/>
        <v>0</v>
      </c>
      <c r="AG7" s="165"/>
      <c r="AH7" s="230">
        <f t="shared" si="6"/>
        <v>0</v>
      </c>
    </row>
    <row r="8" spans="2:34" ht="26.25" customHeight="1">
      <c r="B8" s="166">
        <f t="shared" si="7"/>
        <v>44597</v>
      </c>
      <c r="C8" s="221"/>
      <c r="D8" s="221">
        <v>10000</v>
      </c>
      <c r="E8" s="291">
        <v>-10000</v>
      </c>
      <c r="F8" s="221">
        <v>0</v>
      </c>
      <c r="G8" s="221">
        <v>0</v>
      </c>
      <c r="H8" s="292">
        <f t="shared" si="14"/>
        <v>0</v>
      </c>
      <c r="I8" s="136">
        <v>0</v>
      </c>
      <c r="J8" s="137">
        <v>0</v>
      </c>
      <c r="K8" s="136">
        <v>0</v>
      </c>
      <c r="L8" s="256">
        <f t="shared" si="15"/>
        <v>0</v>
      </c>
      <c r="M8" s="136">
        <v>13000.5</v>
      </c>
      <c r="N8" s="256">
        <f t="shared" si="16"/>
        <v>13000.5</v>
      </c>
      <c r="O8" s="323">
        <f t="shared" si="17"/>
        <v>-6500.25</v>
      </c>
      <c r="P8" s="323">
        <f t="shared" si="18"/>
        <v>-6500.25</v>
      </c>
      <c r="Q8" s="135">
        <v>0</v>
      </c>
      <c r="R8" s="211">
        <f t="shared" si="19"/>
        <v>0</v>
      </c>
      <c r="S8" s="135">
        <v>0</v>
      </c>
      <c r="T8" s="159">
        <f t="shared" si="8"/>
        <v>0</v>
      </c>
      <c r="U8" s="159">
        <f t="shared" si="9"/>
        <v>0</v>
      </c>
      <c r="V8" s="159">
        <f t="shared" si="10"/>
        <v>0</v>
      </c>
      <c r="W8" s="294">
        <f t="shared" si="11"/>
        <v>0</v>
      </c>
      <c r="X8" s="162">
        <f t="shared" si="12"/>
        <v>-6500.25</v>
      </c>
      <c r="AA8" s="164">
        <f t="shared" si="1"/>
        <v>0</v>
      </c>
      <c r="AB8" s="165">
        <f t="shared" si="2"/>
        <v>0</v>
      </c>
      <c r="AC8" s="165">
        <f t="shared" si="3"/>
        <v>9300</v>
      </c>
      <c r="AD8" s="165">
        <f t="shared" si="13"/>
        <v>79.050000000000011</v>
      </c>
      <c r="AE8" s="165">
        <f t="shared" si="4"/>
        <v>35930.5</v>
      </c>
      <c r="AF8" s="165">
        <f t="shared" si="5"/>
        <v>0</v>
      </c>
      <c r="AG8" s="165"/>
      <c r="AH8" s="230">
        <f t="shared" si="6"/>
        <v>0</v>
      </c>
    </row>
    <row r="9" spans="2:34" ht="26.25" customHeight="1">
      <c r="B9" s="166">
        <f t="shared" si="7"/>
        <v>44598</v>
      </c>
      <c r="C9" s="221"/>
      <c r="D9" s="221">
        <v>0</v>
      </c>
      <c r="E9" s="291">
        <v>0</v>
      </c>
      <c r="F9" s="221">
        <v>0</v>
      </c>
      <c r="G9" s="221">
        <v>0</v>
      </c>
      <c r="H9" s="292">
        <f t="shared" si="14"/>
        <v>0</v>
      </c>
      <c r="I9" s="136">
        <v>0</v>
      </c>
      <c r="J9" s="137">
        <v>0</v>
      </c>
      <c r="K9" s="136">
        <v>0</v>
      </c>
      <c r="L9" s="256">
        <f t="shared" si="15"/>
        <v>0</v>
      </c>
      <c r="M9" s="136">
        <v>0</v>
      </c>
      <c r="N9" s="256">
        <f t="shared" si="16"/>
        <v>0</v>
      </c>
      <c r="O9" s="323">
        <f t="shared" si="17"/>
        <v>0</v>
      </c>
      <c r="P9" s="323">
        <f t="shared" si="18"/>
        <v>0</v>
      </c>
      <c r="Q9" s="135">
        <v>0</v>
      </c>
      <c r="R9" s="211">
        <f t="shared" si="19"/>
        <v>0</v>
      </c>
      <c r="S9" s="135">
        <v>0</v>
      </c>
      <c r="T9" s="159">
        <f t="shared" si="8"/>
        <v>0</v>
      </c>
      <c r="U9" s="159">
        <f t="shared" si="9"/>
        <v>0</v>
      </c>
      <c r="V9" s="159">
        <f t="shared" si="10"/>
        <v>0</v>
      </c>
      <c r="W9" s="294">
        <f t="shared" si="11"/>
        <v>0</v>
      </c>
      <c r="X9" s="162">
        <f t="shared" si="12"/>
        <v>0</v>
      </c>
      <c r="AA9" s="164">
        <f t="shared" si="1"/>
        <v>0</v>
      </c>
      <c r="AB9" s="165">
        <f t="shared" si="2"/>
        <v>0</v>
      </c>
      <c r="AC9" s="165">
        <f t="shared" si="3"/>
        <v>9300</v>
      </c>
      <c r="AD9" s="165">
        <f t="shared" si="13"/>
        <v>79.050000000000011</v>
      </c>
      <c r="AE9" s="165">
        <f t="shared" si="4"/>
        <v>35930.5</v>
      </c>
      <c r="AF9" s="165">
        <f t="shared" si="5"/>
        <v>0</v>
      </c>
      <c r="AG9" s="165"/>
      <c r="AH9" s="230">
        <f t="shared" si="6"/>
        <v>0</v>
      </c>
    </row>
    <row r="10" spans="2:34" ht="26.25" customHeight="1">
      <c r="B10" s="166">
        <f t="shared" si="7"/>
        <v>44599</v>
      </c>
      <c r="C10" s="221"/>
      <c r="D10" s="221">
        <v>0</v>
      </c>
      <c r="E10" s="291">
        <v>0</v>
      </c>
      <c r="F10" s="221">
        <v>0</v>
      </c>
      <c r="G10" s="221">
        <v>0</v>
      </c>
      <c r="H10" s="292">
        <f t="shared" si="14"/>
        <v>0</v>
      </c>
      <c r="I10" s="136">
        <v>0</v>
      </c>
      <c r="J10" s="137">
        <v>0</v>
      </c>
      <c r="K10" s="136">
        <v>0</v>
      </c>
      <c r="L10" s="256">
        <f t="shared" si="15"/>
        <v>0</v>
      </c>
      <c r="M10" s="136">
        <v>6050.5</v>
      </c>
      <c r="N10" s="256">
        <f t="shared" si="16"/>
        <v>6050.5</v>
      </c>
      <c r="O10" s="323">
        <f t="shared" si="17"/>
        <v>-3025.25</v>
      </c>
      <c r="P10" s="323">
        <f t="shared" si="18"/>
        <v>-3025.25</v>
      </c>
      <c r="Q10" s="135">
        <v>1385</v>
      </c>
      <c r="R10" s="211">
        <f t="shared" si="19"/>
        <v>1385</v>
      </c>
      <c r="S10" s="135">
        <v>0</v>
      </c>
      <c r="T10" s="159">
        <f t="shared" si="8"/>
        <v>0</v>
      </c>
      <c r="U10" s="159">
        <f t="shared" si="9"/>
        <v>23.545000000000002</v>
      </c>
      <c r="V10" s="159">
        <f t="shared" si="10"/>
        <v>23.545000000000002</v>
      </c>
      <c r="W10" s="294">
        <f t="shared" si="11"/>
        <v>11.772500000000001</v>
      </c>
      <c r="X10" s="162">
        <f t="shared" si="12"/>
        <v>-3013.4775</v>
      </c>
      <c r="AA10" s="164">
        <f t="shared" si="1"/>
        <v>0</v>
      </c>
      <c r="AB10" s="165">
        <f t="shared" si="2"/>
        <v>0</v>
      </c>
      <c r="AC10" s="165">
        <f t="shared" si="3"/>
        <v>10685</v>
      </c>
      <c r="AD10" s="165">
        <f t="shared" si="13"/>
        <v>90.822500000000019</v>
      </c>
      <c r="AE10" s="165">
        <f t="shared" si="4"/>
        <v>41981</v>
      </c>
      <c r="AF10" s="165">
        <f t="shared" si="5"/>
        <v>0</v>
      </c>
      <c r="AG10" s="165"/>
      <c r="AH10" s="230">
        <f t="shared" si="6"/>
        <v>0</v>
      </c>
    </row>
    <row r="11" spans="2:34" ht="26.25" customHeight="1">
      <c r="B11" s="166">
        <f t="shared" si="7"/>
        <v>44600</v>
      </c>
      <c r="C11" s="221"/>
      <c r="D11" s="221">
        <v>0</v>
      </c>
      <c r="E11" s="291">
        <v>0</v>
      </c>
      <c r="F11" s="221">
        <v>0</v>
      </c>
      <c r="G11" s="221">
        <v>0</v>
      </c>
      <c r="H11" s="292">
        <f t="shared" si="14"/>
        <v>0</v>
      </c>
      <c r="I11" s="136">
        <v>0</v>
      </c>
      <c r="J11" s="137">
        <v>0</v>
      </c>
      <c r="K11" s="136">
        <v>0</v>
      </c>
      <c r="L11" s="256">
        <f t="shared" si="15"/>
        <v>0</v>
      </c>
      <c r="M11" s="136">
        <v>0</v>
      </c>
      <c r="N11" s="256">
        <f t="shared" si="16"/>
        <v>0</v>
      </c>
      <c r="O11" s="323">
        <f t="shared" si="17"/>
        <v>0</v>
      </c>
      <c r="P11" s="323">
        <f t="shared" si="18"/>
        <v>0</v>
      </c>
      <c r="Q11" s="135">
        <v>0</v>
      </c>
      <c r="R11" s="211">
        <f t="shared" si="19"/>
        <v>0</v>
      </c>
      <c r="S11" s="135">
        <v>0</v>
      </c>
      <c r="T11" s="159">
        <f t="shared" si="8"/>
        <v>0</v>
      </c>
      <c r="U11" s="159">
        <f t="shared" si="9"/>
        <v>0</v>
      </c>
      <c r="V11" s="159">
        <f t="shared" si="10"/>
        <v>0</v>
      </c>
      <c r="W11" s="294">
        <f t="shared" si="11"/>
        <v>0</v>
      </c>
      <c r="X11" s="162">
        <f t="shared" si="12"/>
        <v>0</v>
      </c>
      <c r="AA11" s="164">
        <f t="shared" si="1"/>
        <v>0</v>
      </c>
      <c r="AB11" s="165">
        <f t="shared" si="2"/>
        <v>0</v>
      </c>
      <c r="AC11" s="165">
        <f t="shared" si="3"/>
        <v>10685</v>
      </c>
      <c r="AD11" s="165">
        <f t="shared" si="13"/>
        <v>90.822500000000019</v>
      </c>
      <c r="AE11" s="165">
        <f t="shared" si="4"/>
        <v>41981</v>
      </c>
      <c r="AF11" s="165">
        <f t="shared" si="5"/>
        <v>0</v>
      </c>
      <c r="AG11" s="165"/>
      <c r="AH11" s="230">
        <f t="shared" si="6"/>
        <v>0</v>
      </c>
    </row>
    <row r="12" spans="2:34" ht="26.25" customHeight="1">
      <c r="B12" s="166">
        <f t="shared" si="7"/>
        <v>44601</v>
      </c>
      <c r="C12" s="221"/>
      <c r="D12" s="221">
        <v>0</v>
      </c>
      <c r="E12" s="291">
        <v>0</v>
      </c>
      <c r="F12" s="221">
        <v>0</v>
      </c>
      <c r="G12" s="221">
        <v>0</v>
      </c>
      <c r="H12" s="292">
        <f t="shared" si="14"/>
        <v>0</v>
      </c>
      <c r="I12" s="136">
        <v>0</v>
      </c>
      <c r="J12" s="137">
        <v>0</v>
      </c>
      <c r="K12" s="136">
        <v>0</v>
      </c>
      <c r="L12" s="256">
        <f t="shared" si="15"/>
        <v>0</v>
      </c>
      <c r="M12" s="136">
        <v>-50</v>
      </c>
      <c r="N12" s="256">
        <f t="shared" si="16"/>
        <v>-50</v>
      </c>
      <c r="O12" s="323">
        <f t="shared" si="17"/>
        <v>25</v>
      </c>
      <c r="P12" s="323">
        <f t="shared" si="18"/>
        <v>25</v>
      </c>
      <c r="Q12" s="135">
        <v>0</v>
      </c>
      <c r="R12" s="211">
        <f t="shared" si="19"/>
        <v>0</v>
      </c>
      <c r="S12" s="135">
        <v>0</v>
      </c>
      <c r="T12" s="159">
        <f t="shared" si="8"/>
        <v>0</v>
      </c>
      <c r="U12" s="159">
        <f t="shared" si="9"/>
        <v>0</v>
      </c>
      <c r="V12" s="159">
        <f t="shared" si="10"/>
        <v>0</v>
      </c>
      <c r="W12" s="294">
        <f t="shared" si="11"/>
        <v>0</v>
      </c>
      <c r="X12" s="162">
        <f t="shared" si="12"/>
        <v>25</v>
      </c>
      <c r="AA12" s="164">
        <f t="shared" si="1"/>
        <v>0</v>
      </c>
      <c r="AB12" s="165">
        <f t="shared" si="2"/>
        <v>0</v>
      </c>
      <c r="AC12" s="165">
        <f t="shared" si="3"/>
        <v>10685</v>
      </c>
      <c r="AD12" s="165">
        <f t="shared" si="13"/>
        <v>90.822500000000019</v>
      </c>
      <c r="AE12" s="165">
        <f t="shared" si="4"/>
        <v>41931</v>
      </c>
      <c r="AF12" s="165">
        <f t="shared" si="5"/>
        <v>0</v>
      </c>
      <c r="AG12" s="165"/>
      <c r="AH12" s="230">
        <f t="shared" si="6"/>
        <v>0</v>
      </c>
    </row>
    <row r="13" spans="2:34" ht="26.25" customHeight="1">
      <c r="B13" s="166">
        <f t="shared" si="7"/>
        <v>44602</v>
      </c>
      <c r="C13" s="384"/>
      <c r="D13" s="384">
        <v>30000</v>
      </c>
      <c r="E13" s="384">
        <v>-30000</v>
      </c>
      <c r="F13" s="123">
        <v>0</v>
      </c>
      <c r="G13" s="385">
        <v>0</v>
      </c>
      <c r="H13" s="292">
        <f>SUM(D13:G13)</f>
        <v>0</v>
      </c>
      <c r="I13" s="136">
        <v>0</v>
      </c>
      <c r="J13" s="137">
        <v>0</v>
      </c>
      <c r="K13" s="136">
        <v>0</v>
      </c>
      <c r="L13" s="256">
        <f>-D13-E13-I13-K13</f>
        <v>0</v>
      </c>
      <c r="M13" s="136">
        <v>17520</v>
      </c>
      <c r="N13" s="256">
        <f t="shared" si="16"/>
        <v>17520</v>
      </c>
      <c r="O13" s="323">
        <f t="shared" si="17"/>
        <v>-8760</v>
      </c>
      <c r="P13" s="323">
        <f t="shared" si="18"/>
        <v>-8760</v>
      </c>
      <c r="Q13" s="135">
        <v>0</v>
      </c>
      <c r="R13" s="211">
        <f t="shared" si="19"/>
        <v>0</v>
      </c>
      <c r="S13" s="135">
        <v>0</v>
      </c>
      <c r="T13" s="159">
        <f t="shared" si="8"/>
        <v>0</v>
      </c>
      <c r="U13" s="159">
        <f t="shared" si="9"/>
        <v>0</v>
      </c>
      <c r="V13" s="159">
        <f t="shared" si="10"/>
        <v>0</v>
      </c>
      <c r="W13" s="294">
        <f t="shared" si="11"/>
        <v>0</v>
      </c>
      <c r="X13" s="162">
        <f t="shared" si="12"/>
        <v>-8760</v>
      </c>
      <c r="AA13" s="164">
        <f t="shared" si="1"/>
        <v>0</v>
      </c>
      <c r="AB13" s="165">
        <f t="shared" si="2"/>
        <v>0</v>
      </c>
      <c r="AC13" s="165">
        <f>R13+AC12</f>
        <v>10685</v>
      </c>
      <c r="AD13" s="165">
        <f t="shared" si="13"/>
        <v>90.822500000000019</v>
      </c>
      <c r="AE13" s="165">
        <f t="shared" si="4"/>
        <v>59451</v>
      </c>
      <c r="AF13" s="165">
        <f t="shared" si="5"/>
        <v>0</v>
      </c>
      <c r="AG13" s="165"/>
      <c r="AH13" s="230">
        <f t="shared" si="6"/>
        <v>0</v>
      </c>
    </row>
    <row r="14" spans="2:34" ht="26.25" customHeight="1">
      <c r="B14" s="166">
        <f t="shared" si="7"/>
        <v>44603</v>
      </c>
      <c r="C14" s="221"/>
      <c r="D14" s="221">
        <v>30000</v>
      </c>
      <c r="E14" s="291">
        <v>0</v>
      </c>
      <c r="F14" s="221">
        <v>10000</v>
      </c>
      <c r="G14" s="221">
        <v>-10000</v>
      </c>
      <c r="H14" s="292">
        <f t="shared" si="14"/>
        <v>30000</v>
      </c>
      <c r="I14" s="137">
        <v>-7100</v>
      </c>
      <c r="J14" s="137">
        <v>0</v>
      </c>
      <c r="K14" s="137">
        <v>0</v>
      </c>
      <c r="L14" s="256">
        <f>-F14-G14-I14-K14</f>
        <v>7100</v>
      </c>
      <c r="M14" s="386">
        <v>-10755</v>
      </c>
      <c r="N14" s="256">
        <f t="shared" si="16"/>
        <v>-3655</v>
      </c>
      <c r="O14" s="323">
        <f t="shared" si="17"/>
        <v>1827.5</v>
      </c>
      <c r="P14" s="323">
        <f t="shared" si="18"/>
        <v>1827.5</v>
      </c>
      <c r="Q14" s="135">
        <v>0</v>
      </c>
      <c r="R14" s="211">
        <f t="shared" si="19"/>
        <v>0</v>
      </c>
      <c r="S14" s="135">
        <v>0</v>
      </c>
      <c r="T14" s="159">
        <f t="shared" si="8"/>
        <v>0</v>
      </c>
      <c r="U14" s="159">
        <f t="shared" si="9"/>
        <v>0</v>
      </c>
      <c r="V14" s="159">
        <f t="shared" si="10"/>
        <v>0</v>
      </c>
      <c r="W14" s="294">
        <f t="shared" si="11"/>
        <v>0</v>
      </c>
      <c r="X14" s="162">
        <f t="shared" si="12"/>
        <v>1827.5</v>
      </c>
      <c r="AA14" s="164">
        <f t="shared" si="1"/>
        <v>30000</v>
      </c>
      <c r="AB14" s="165">
        <f t="shared" si="2"/>
        <v>-7100</v>
      </c>
      <c r="AC14" s="165">
        <f t="shared" si="3"/>
        <v>10685</v>
      </c>
      <c r="AD14" s="165">
        <f t="shared" si="13"/>
        <v>90.822500000000019</v>
      </c>
      <c r="AE14" s="165">
        <f t="shared" si="4"/>
        <v>55796</v>
      </c>
      <c r="AF14" s="165">
        <f t="shared" si="5"/>
        <v>0</v>
      </c>
      <c r="AG14" s="165"/>
      <c r="AH14" s="230">
        <f t="shared" si="6"/>
        <v>0</v>
      </c>
    </row>
    <row r="15" spans="2:34" ht="26.25" customHeight="1">
      <c r="B15" s="166">
        <f t="shared" si="7"/>
        <v>44604</v>
      </c>
      <c r="C15" s="221"/>
      <c r="D15" s="221">
        <v>60000</v>
      </c>
      <c r="E15" s="291">
        <v>0</v>
      </c>
      <c r="F15" s="221">
        <v>0</v>
      </c>
      <c r="G15" s="221">
        <v>0</v>
      </c>
      <c r="H15" s="292">
        <f t="shared" si="14"/>
        <v>60000</v>
      </c>
      <c r="I15" s="137">
        <v>0</v>
      </c>
      <c r="J15" s="137">
        <v>0</v>
      </c>
      <c r="K15" s="298">
        <v>0</v>
      </c>
      <c r="L15" s="256">
        <f t="shared" si="15"/>
        <v>0</v>
      </c>
      <c r="M15" s="275">
        <v>-59915</v>
      </c>
      <c r="N15" s="299">
        <f>L15+M15</f>
        <v>-59915</v>
      </c>
      <c r="O15" s="323">
        <f t="shared" si="17"/>
        <v>29957.5</v>
      </c>
      <c r="P15" s="323">
        <f t="shared" si="18"/>
        <v>29957.5</v>
      </c>
      <c r="Q15" s="197">
        <v>0</v>
      </c>
      <c r="R15" s="279">
        <f t="shared" si="19"/>
        <v>0</v>
      </c>
      <c r="S15" s="197">
        <v>0</v>
      </c>
      <c r="T15" s="159">
        <f t="shared" si="8"/>
        <v>0</v>
      </c>
      <c r="U15" s="159">
        <f t="shared" si="9"/>
        <v>0</v>
      </c>
      <c r="V15" s="159">
        <f t="shared" si="10"/>
        <v>0</v>
      </c>
      <c r="W15" s="294">
        <f t="shared" si="11"/>
        <v>0</v>
      </c>
      <c r="X15" s="162">
        <f t="shared" si="12"/>
        <v>29957.5</v>
      </c>
      <c r="AA15" s="164">
        <f t="shared" si="1"/>
        <v>90000</v>
      </c>
      <c r="AB15" s="165">
        <f t="shared" si="2"/>
        <v>-7100</v>
      </c>
      <c r="AC15" s="165">
        <f t="shared" si="3"/>
        <v>10685</v>
      </c>
      <c r="AD15" s="165">
        <f t="shared" si="13"/>
        <v>90.822500000000019</v>
      </c>
      <c r="AE15" s="165">
        <f t="shared" si="4"/>
        <v>-4119</v>
      </c>
      <c r="AF15" s="165">
        <f t="shared" si="5"/>
        <v>0</v>
      </c>
      <c r="AG15" s="165"/>
      <c r="AH15" s="230">
        <f t="shared" si="6"/>
        <v>0</v>
      </c>
    </row>
    <row r="16" spans="2:34" ht="26.25" customHeight="1">
      <c r="B16" s="166">
        <f t="shared" si="7"/>
        <v>44605</v>
      </c>
      <c r="C16" s="221"/>
      <c r="D16" s="221">
        <v>8500</v>
      </c>
      <c r="E16" s="291">
        <v>-10000</v>
      </c>
      <c r="F16" s="221">
        <v>0</v>
      </c>
      <c r="G16" s="221">
        <v>0</v>
      </c>
      <c r="H16" s="292">
        <f t="shared" si="14"/>
        <v>-1500</v>
      </c>
      <c r="I16" s="137">
        <v>0</v>
      </c>
      <c r="J16" s="137">
        <v>0</v>
      </c>
      <c r="K16" s="137">
        <v>0</v>
      </c>
      <c r="L16" s="256">
        <f t="shared" si="15"/>
        <v>0</v>
      </c>
      <c r="M16" s="275">
        <v>0</v>
      </c>
      <c r="N16" s="256">
        <f t="shared" si="16"/>
        <v>0</v>
      </c>
      <c r="O16" s="323">
        <f t="shared" si="17"/>
        <v>0</v>
      </c>
      <c r="P16" s="323">
        <f t="shared" si="18"/>
        <v>0</v>
      </c>
      <c r="Q16" s="197">
        <v>0</v>
      </c>
      <c r="R16" s="211">
        <f t="shared" si="19"/>
        <v>0</v>
      </c>
      <c r="S16" s="135">
        <v>0</v>
      </c>
      <c r="T16" s="159">
        <f t="shared" si="8"/>
        <v>0</v>
      </c>
      <c r="U16" s="159">
        <f t="shared" si="9"/>
        <v>0</v>
      </c>
      <c r="V16" s="159">
        <f t="shared" si="10"/>
        <v>0</v>
      </c>
      <c r="W16" s="294">
        <f t="shared" si="11"/>
        <v>0</v>
      </c>
      <c r="X16" s="162">
        <f t="shared" si="12"/>
        <v>0</v>
      </c>
      <c r="AA16" s="164">
        <f t="shared" si="1"/>
        <v>88500</v>
      </c>
      <c r="AB16" s="165">
        <f t="shared" si="2"/>
        <v>-7100</v>
      </c>
      <c r="AC16" s="165">
        <f t="shared" si="3"/>
        <v>10685</v>
      </c>
      <c r="AD16" s="165">
        <f t="shared" si="13"/>
        <v>90.822500000000019</v>
      </c>
      <c r="AE16" s="165">
        <f t="shared" si="4"/>
        <v>-4119</v>
      </c>
      <c r="AF16" s="165">
        <f t="shared" si="5"/>
        <v>0</v>
      </c>
      <c r="AG16" s="165"/>
      <c r="AH16" s="230">
        <f t="shared" si="6"/>
        <v>0</v>
      </c>
    </row>
    <row r="17" spans="2:34" s="296" customFormat="1" ht="26.25" customHeight="1">
      <c r="B17" s="297">
        <f t="shared" si="7"/>
        <v>44606</v>
      </c>
      <c r="C17" s="221"/>
      <c r="D17" s="221">
        <v>0</v>
      </c>
      <c r="E17" s="291">
        <v>0</v>
      </c>
      <c r="F17" s="221">
        <v>0</v>
      </c>
      <c r="G17" s="221">
        <v>0</v>
      </c>
      <c r="H17" s="292">
        <f t="shared" si="14"/>
        <v>0</v>
      </c>
      <c r="I17" s="137">
        <v>0</v>
      </c>
      <c r="J17" s="137">
        <v>0</v>
      </c>
      <c r="K17" s="137">
        <v>0</v>
      </c>
      <c r="L17" s="256">
        <f t="shared" si="15"/>
        <v>0</v>
      </c>
      <c r="M17" s="275">
        <v>0</v>
      </c>
      <c r="N17" s="299">
        <f t="shared" si="16"/>
        <v>0</v>
      </c>
      <c r="O17" s="323">
        <f t="shared" si="17"/>
        <v>0</v>
      </c>
      <c r="P17" s="323">
        <f t="shared" si="18"/>
        <v>0</v>
      </c>
      <c r="Q17" s="197">
        <v>0</v>
      </c>
      <c r="R17" s="279">
        <f t="shared" si="19"/>
        <v>0</v>
      </c>
      <c r="S17" s="197">
        <v>0</v>
      </c>
      <c r="T17" s="300">
        <f t="shared" si="8"/>
        <v>0</v>
      </c>
      <c r="U17" s="300">
        <f t="shared" si="9"/>
        <v>0</v>
      </c>
      <c r="V17" s="300">
        <f t="shared" si="10"/>
        <v>0</v>
      </c>
      <c r="W17" s="301">
        <f t="shared" si="11"/>
        <v>0</v>
      </c>
      <c r="X17" s="302">
        <f t="shared" si="12"/>
        <v>0</v>
      </c>
      <c r="AA17" s="303">
        <f t="shared" si="1"/>
        <v>88500</v>
      </c>
      <c r="AB17" s="304">
        <f t="shared" si="2"/>
        <v>-7100</v>
      </c>
      <c r="AC17" s="304">
        <f t="shared" si="3"/>
        <v>10685</v>
      </c>
      <c r="AD17" s="165">
        <f t="shared" si="13"/>
        <v>90.822500000000019</v>
      </c>
      <c r="AE17" s="304">
        <f t="shared" si="4"/>
        <v>-4119</v>
      </c>
      <c r="AF17" s="304">
        <f t="shared" si="5"/>
        <v>0</v>
      </c>
      <c r="AG17" s="304"/>
      <c r="AH17" s="305">
        <f t="shared" si="6"/>
        <v>0</v>
      </c>
    </row>
    <row r="18" spans="2:34" s="296" customFormat="1" ht="26.25" customHeight="1">
      <c r="B18" s="297">
        <f t="shared" si="7"/>
        <v>44607</v>
      </c>
      <c r="C18" s="291"/>
      <c r="D18" s="221">
        <v>0</v>
      </c>
      <c r="E18" s="291">
        <v>0</v>
      </c>
      <c r="F18" s="221">
        <v>0</v>
      </c>
      <c r="G18" s="221">
        <v>0</v>
      </c>
      <c r="H18" s="292">
        <f t="shared" si="14"/>
        <v>0</v>
      </c>
      <c r="I18" s="137">
        <v>0</v>
      </c>
      <c r="J18" s="137">
        <v>0</v>
      </c>
      <c r="K18" s="137">
        <v>0</v>
      </c>
      <c r="L18" s="256">
        <f t="shared" si="15"/>
        <v>0</v>
      </c>
      <c r="M18" s="275">
        <v>0</v>
      </c>
      <c r="N18" s="299">
        <f t="shared" si="16"/>
        <v>0</v>
      </c>
      <c r="O18" s="323">
        <f t="shared" si="17"/>
        <v>0</v>
      </c>
      <c r="P18" s="323">
        <f t="shared" si="18"/>
        <v>0</v>
      </c>
      <c r="Q18" s="197">
        <v>0</v>
      </c>
      <c r="R18" s="279">
        <f t="shared" si="19"/>
        <v>0</v>
      </c>
      <c r="S18" s="197">
        <v>0</v>
      </c>
      <c r="T18" s="300">
        <f t="shared" si="8"/>
        <v>0</v>
      </c>
      <c r="U18" s="300">
        <f t="shared" si="9"/>
        <v>0</v>
      </c>
      <c r="V18" s="300">
        <f t="shared" si="10"/>
        <v>0</v>
      </c>
      <c r="W18" s="301">
        <f t="shared" si="11"/>
        <v>0</v>
      </c>
      <c r="X18" s="302">
        <f t="shared" si="12"/>
        <v>0</v>
      </c>
      <c r="AA18" s="303">
        <f t="shared" si="1"/>
        <v>88500</v>
      </c>
      <c r="AB18" s="304">
        <f t="shared" si="2"/>
        <v>-7100</v>
      </c>
      <c r="AC18" s="304">
        <f t="shared" si="3"/>
        <v>10685</v>
      </c>
      <c r="AD18" s="304">
        <f t="shared" si="13"/>
        <v>90.822500000000019</v>
      </c>
      <c r="AE18" s="304">
        <f t="shared" si="4"/>
        <v>-4119</v>
      </c>
      <c r="AF18" s="304">
        <f t="shared" si="5"/>
        <v>0</v>
      </c>
      <c r="AG18" s="304"/>
      <c r="AH18" s="305">
        <f t="shared" si="6"/>
        <v>0</v>
      </c>
    </row>
    <row r="19" spans="2:34" ht="26.25" customHeight="1">
      <c r="B19" s="166">
        <f t="shared" si="7"/>
        <v>44608</v>
      </c>
      <c r="C19" s="291"/>
      <c r="D19" s="221">
        <v>0</v>
      </c>
      <c r="E19" s="291">
        <v>0</v>
      </c>
      <c r="F19" s="221">
        <v>0</v>
      </c>
      <c r="G19" s="221">
        <v>0</v>
      </c>
      <c r="H19" s="292">
        <f t="shared" si="14"/>
        <v>0</v>
      </c>
      <c r="I19" s="137">
        <v>0</v>
      </c>
      <c r="J19" s="137">
        <v>0</v>
      </c>
      <c r="K19" s="137">
        <v>0</v>
      </c>
      <c r="L19" s="256">
        <f t="shared" si="15"/>
        <v>0</v>
      </c>
      <c r="M19" s="275">
        <v>0</v>
      </c>
      <c r="N19" s="256">
        <f t="shared" si="16"/>
        <v>0</v>
      </c>
      <c r="O19" s="323">
        <f t="shared" si="17"/>
        <v>0</v>
      </c>
      <c r="P19" s="323">
        <f t="shared" si="18"/>
        <v>0</v>
      </c>
      <c r="Q19" s="197">
        <v>0</v>
      </c>
      <c r="R19" s="211">
        <f t="shared" si="19"/>
        <v>0</v>
      </c>
      <c r="S19" s="197">
        <v>0</v>
      </c>
      <c r="T19" s="159">
        <f t="shared" si="8"/>
        <v>0</v>
      </c>
      <c r="U19" s="159">
        <f t="shared" si="9"/>
        <v>0</v>
      </c>
      <c r="V19" s="159">
        <f t="shared" si="10"/>
        <v>0</v>
      </c>
      <c r="W19" s="294">
        <f t="shared" si="11"/>
        <v>0</v>
      </c>
      <c r="X19" s="162">
        <f t="shared" si="12"/>
        <v>0</v>
      </c>
      <c r="AA19" s="164">
        <f t="shared" si="1"/>
        <v>88500</v>
      </c>
      <c r="AB19" s="165">
        <f t="shared" si="2"/>
        <v>-7100</v>
      </c>
      <c r="AC19" s="165">
        <f t="shared" si="3"/>
        <v>10685</v>
      </c>
      <c r="AD19" s="165">
        <f t="shared" si="13"/>
        <v>90.822500000000019</v>
      </c>
      <c r="AE19" s="165">
        <f t="shared" si="4"/>
        <v>-4119</v>
      </c>
      <c r="AF19" s="165">
        <f t="shared" si="5"/>
        <v>0</v>
      </c>
      <c r="AG19" s="165"/>
      <c r="AH19" s="230">
        <f t="shared" si="6"/>
        <v>0</v>
      </c>
    </row>
    <row r="20" spans="2:34" ht="26.25" customHeight="1">
      <c r="B20" s="166">
        <f t="shared" si="7"/>
        <v>44609</v>
      </c>
      <c r="C20" s="291"/>
      <c r="D20" s="221">
        <v>0</v>
      </c>
      <c r="E20" s="291">
        <v>0</v>
      </c>
      <c r="F20" s="221">
        <v>0</v>
      </c>
      <c r="G20" s="221">
        <v>0</v>
      </c>
      <c r="H20" s="292">
        <f t="shared" si="14"/>
        <v>0</v>
      </c>
      <c r="I20" s="137">
        <v>0</v>
      </c>
      <c r="J20" s="137">
        <v>0</v>
      </c>
      <c r="K20" s="137">
        <v>0</v>
      </c>
      <c r="L20" s="256">
        <f t="shared" si="15"/>
        <v>0</v>
      </c>
      <c r="M20" s="275">
        <v>0</v>
      </c>
      <c r="N20" s="256">
        <f t="shared" si="16"/>
        <v>0</v>
      </c>
      <c r="O20" s="323">
        <f t="shared" si="17"/>
        <v>0</v>
      </c>
      <c r="P20" s="323">
        <f t="shared" si="18"/>
        <v>0</v>
      </c>
      <c r="Q20" s="197">
        <v>0</v>
      </c>
      <c r="R20" s="211">
        <f t="shared" si="19"/>
        <v>0</v>
      </c>
      <c r="S20" s="135">
        <v>0</v>
      </c>
      <c r="T20" s="159">
        <f t="shared" si="8"/>
        <v>0</v>
      </c>
      <c r="U20" s="159">
        <f t="shared" si="9"/>
        <v>0</v>
      </c>
      <c r="V20" s="159">
        <f t="shared" si="10"/>
        <v>0</v>
      </c>
      <c r="W20" s="294">
        <f t="shared" si="11"/>
        <v>0</v>
      </c>
      <c r="X20" s="162">
        <f t="shared" si="12"/>
        <v>0</v>
      </c>
      <c r="AA20" s="164">
        <f t="shared" si="1"/>
        <v>88500</v>
      </c>
      <c r="AB20" s="165">
        <f t="shared" si="2"/>
        <v>-7100</v>
      </c>
      <c r="AC20" s="165">
        <f t="shared" si="3"/>
        <v>10685</v>
      </c>
      <c r="AD20" s="165">
        <f t="shared" si="13"/>
        <v>90.822500000000019</v>
      </c>
      <c r="AE20" s="165">
        <f t="shared" si="4"/>
        <v>-4119</v>
      </c>
      <c r="AF20" s="165">
        <f t="shared" si="5"/>
        <v>0</v>
      </c>
      <c r="AG20" s="165"/>
      <c r="AH20" s="230">
        <f t="shared" si="6"/>
        <v>0</v>
      </c>
    </row>
    <row r="21" spans="2:34" ht="26.25" customHeight="1">
      <c r="B21" s="166">
        <f t="shared" si="7"/>
        <v>44610</v>
      </c>
      <c r="C21" s="291"/>
      <c r="D21" s="291">
        <v>0</v>
      </c>
      <c r="E21" s="291">
        <v>0</v>
      </c>
      <c r="F21" s="221">
        <v>0</v>
      </c>
      <c r="G21" s="221">
        <v>0</v>
      </c>
      <c r="H21" s="292">
        <f t="shared" si="14"/>
        <v>0</v>
      </c>
      <c r="I21" s="137">
        <v>0</v>
      </c>
      <c r="J21" s="137">
        <v>0</v>
      </c>
      <c r="K21" s="137">
        <v>0</v>
      </c>
      <c r="L21" s="256">
        <f t="shared" si="15"/>
        <v>0</v>
      </c>
      <c r="M21" s="275">
        <v>0</v>
      </c>
      <c r="N21" s="256">
        <f t="shared" si="16"/>
        <v>0</v>
      </c>
      <c r="O21" s="323">
        <f t="shared" si="17"/>
        <v>0</v>
      </c>
      <c r="P21" s="323">
        <f t="shared" si="18"/>
        <v>0</v>
      </c>
      <c r="Q21" s="197">
        <v>0</v>
      </c>
      <c r="R21" s="211">
        <f t="shared" si="19"/>
        <v>0</v>
      </c>
      <c r="S21" s="135">
        <v>0</v>
      </c>
      <c r="T21" s="159">
        <f t="shared" si="8"/>
        <v>0</v>
      </c>
      <c r="U21" s="159">
        <f t="shared" si="9"/>
        <v>0</v>
      </c>
      <c r="V21" s="159">
        <f t="shared" si="10"/>
        <v>0</v>
      </c>
      <c r="W21" s="294">
        <f t="shared" si="11"/>
        <v>0</v>
      </c>
      <c r="X21" s="162">
        <f t="shared" si="12"/>
        <v>0</v>
      </c>
      <c r="AA21" s="164">
        <f t="shared" si="1"/>
        <v>88500</v>
      </c>
      <c r="AB21" s="165">
        <f t="shared" si="2"/>
        <v>-7100</v>
      </c>
      <c r="AC21" s="165">
        <f t="shared" si="3"/>
        <v>10685</v>
      </c>
      <c r="AD21" s="165">
        <f t="shared" si="13"/>
        <v>90.822500000000019</v>
      </c>
      <c r="AE21" s="165">
        <f t="shared" si="4"/>
        <v>-4119</v>
      </c>
      <c r="AF21" s="165">
        <f t="shared" si="5"/>
        <v>0</v>
      </c>
      <c r="AG21" s="165"/>
      <c r="AH21" s="230">
        <f t="shared" si="6"/>
        <v>0</v>
      </c>
    </row>
    <row r="22" spans="2:34" ht="26.25" customHeight="1">
      <c r="B22" s="166">
        <f t="shared" si="7"/>
        <v>44611</v>
      </c>
      <c r="C22" s="291"/>
      <c r="D22" s="291"/>
      <c r="E22" s="291"/>
      <c r="F22" s="221"/>
      <c r="G22" s="221"/>
      <c r="H22" s="292">
        <f t="shared" si="14"/>
        <v>0</v>
      </c>
      <c r="I22" s="137"/>
      <c r="J22" s="137">
        <v>0</v>
      </c>
      <c r="K22" s="137"/>
      <c r="L22" s="256">
        <f t="shared" si="15"/>
        <v>0</v>
      </c>
      <c r="M22" s="275"/>
      <c r="N22" s="256">
        <f t="shared" si="16"/>
        <v>0</v>
      </c>
      <c r="O22" s="323">
        <f t="shared" si="17"/>
        <v>0</v>
      </c>
      <c r="P22" s="323">
        <f t="shared" si="18"/>
        <v>0</v>
      </c>
      <c r="Q22" s="135"/>
      <c r="R22" s="211">
        <f t="shared" si="19"/>
        <v>0</v>
      </c>
      <c r="S22" s="135">
        <v>0</v>
      </c>
      <c r="T22" s="159">
        <f t="shared" si="8"/>
        <v>0</v>
      </c>
      <c r="U22" s="159">
        <f t="shared" si="9"/>
        <v>0</v>
      </c>
      <c r="V22" s="159">
        <f t="shared" si="10"/>
        <v>0</v>
      </c>
      <c r="W22" s="294">
        <f t="shared" si="11"/>
        <v>0</v>
      </c>
      <c r="X22" s="162">
        <f t="shared" si="12"/>
        <v>0</v>
      </c>
      <c r="AA22" s="164">
        <f t="shared" si="1"/>
        <v>88500</v>
      </c>
      <c r="AB22" s="165">
        <f t="shared" si="2"/>
        <v>-7100</v>
      </c>
      <c r="AC22" s="165">
        <f t="shared" si="3"/>
        <v>10685</v>
      </c>
      <c r="AD22" s="165">
        <f t="shared" si="13"/>
        <v>90.822500000000019</v>
      </c>
      <c r="AE22" s="165">
        <f t="shared" si="4"/>
        <v>-4119</v>
      </c>
      <c r="AF22" s="165">
        <f t="shared" si="5"/>
        <v>0</v>
      </c>
      <c r="AG22" s="165"/>
      <c r="AH22" s="230">
        <f t="shared" si="6"/>
        <v>0</v>
      </c>
    </row>
    <row r="23" spans="2:34" ht="26.25" customHeight="1">
      <c r="B23" s="166">
        <f t="shared" si="7"/>
        <v>44612</v>
      </c>
      <c r="C23" s="221"/>
      <c r="D23" s="221"/>
      <c r="E23" s="221"/>
      <c r="F23" s="221"/>
      <c r="G23" s="221"/>
      <c r="H23" s="292">
        <f t="shared" si="14"/>
        <v>0</v>
      </c>
      <c r="I23" s="137"/>
      <c r="J23" s="137">
        <v>0</v>
      </c>
      <c r="K23" s="137"/>
      <c r="L23" s="256">
        <f t="shared" si="15"/>
        <v>0</v>
      </c>
      <c r="M23" s="275"/>
      <c r="N23" s="256">
        <f t="shared" si="16"/>
        <v>0</v>
      </c>
      <c r="O23" s="323">
        <f t="shared" si="17"/>
        <v>0</v>
      </c>
      <c r="P23" s="323">
        <f t="shared" si="18"/>
        <v>0</v>
      </c>
      <c r="Q23" s="135"/>
      <c r="R23" s="211">
        <f t="shared" si="19"/>
        <v>0</v>
      </c>
      <c r="S23" s="135">
        <v>0</v>
      </c>
      <c r="T23" s="159">
        <f t="shared" si="8"/>
        <v>0</v>
      </c>
      <c r="U23" s="159">
        <f t="shared" si="9"/>
        <v>0</v>
      </c>
      <c r="V23" s="159">
        <f t="shared" si="10"/>
        <v>0</v>
      </c>
      <c r="W23" s="294">
        <f t="shared" si="11"/>
        <v>0</v>
      </c>
      <c r="X23" s="162">
        <f t="shared" si="12"/>
        <v>0</v>
      </c>
      <c r="AA23" s="164">
        <f t="shared" si="1"/>
        <v>88500</v>
      </c>
      <c r="AB23" s="165">
        <f t="shared" si="2"/>
        <v>-7100</v>
      </c>
      <c r="AC23" s="165">
        <f t="shared" si="3"/>
        <v>10685</v>
      </c>
      <c r="AD23" s="165">
        <f t="shared" si="13"/>
        <v>90.822500000000019</v>
      </c>
      <c r="AE23" s="165">
        <f t="shared" si="4"/>
        <v>-4119</v>
      </c>
      <c r="AF23" s="165">
        <f t="shared" si="5"/>
        <v>0</v>
      </c>
      <c r="AG23" s="165"/>
      <c r="AH23" s="230">
        <f t="shared" si="6"/>
        <v>0</v>
      </c>
    </row>
    <row r="24" spans="2:34" ht="26.25" customHeight="1">
      <c r="B24" s="198">
        <f t="shared" si="7"/>
        <v>44613</v>
      </c>
      <c r="C24" s="221"/>
      <c r="D24" s="221"/>
      <c r="E24" s="221"/>
      <c r="F24" s="221"/>
      <c r="G24" s="221"/>
      <c r="H24" s="292">
        <f t="shared" si="14"/>
        <v>0</v>
      </c>
      <c r="I24" s="137"/>
      <c r="J24" s="137">
        <v>0</v>
      </c>
      <c r="K24" s="137"/>
      <c r="L24" s="256">
        <f t="shared" si="15"/>
        <v>0</v>
      </c>
      <c r="M24" s="275"/>
      <c r="N24" s="256">
        <f t="shared" si="16"/>
        <v>0</v>
      </c>
      <c r="O24" s="323">
        <f t="shared" si="17"/>
        <v>0</v>
      </c>
      <c r="P24" s="323">
        <f t="shared" si="18"/>
        <v>0</v>
      </c>
      <c r="Q24" s="135"/>
      <c r="R24" s="211">
        <f t="shared" si="19"/>
        <v>0</v>
      </c>
      <c r="S24" s="135">
        <v>0</v>
      </c>
      <c r="T24" s="159">
        <f t="shared" si="8"/>
        <v>0</v>
      </c>
      <c r="U24" s="159">
        <f t="shared" si="9"/>
        <v>0</v>
      </c>
      <c r="V24" s="159">
        <f t="shared" si="10"/>
        <v>0</v>
      </c>
      <c r="W24" s="294">
        <f t="shared" si="11"/>
        <v>0</v>
      </c>
      <c r="X24" s="162">
        <f t="shared" si="12"/>
        <v>0</v>
      </c>
      <c r="AA24" s="164">
        <f t="shared" si="1"/>
        <v>88500</v>
      </c>
      <c r="AB24" s="165">
        <f t="shared" si="2"/>
        <v>-7100</v>
      </c>
      <c r="AC24" s="165">
        <f t="shared" si="3"/>
        <v>10685</v>
      </c>
      <c r="AD24" s="165">
        <f t="shared" si="13"/>
        <v>90.822500000000019</v>
      </c>
      <c r="AE24" s="165">
        <f t="shared" si="4"/>
        <v>-4119</v>
      </c>
      <c r="AF24" s="165">
        <f t="shared" si="5"/>
        <v>0</v>
      </c>
      <c r="AG24" s="165"/>
      <c r="AH24" s="230">
        <f t="shared" si="6"/>
        <v>0</v>
      </c>
    </row>
    <row r="25" spans="2:34" ht="26.25" customHeight="1">
      <c r="B25" s="198">
        <f t="shared" si="7"/>
        <v>44614</v>
      </c>
      <c r="C25" s="221"/>
      <c r="D25" s="221"/>
      <c r="E25" s="221"/>
      <c r="F25" s="221"/>
      <c r="G25" s="221"/>
      <c r="H25" s="292">
        <f t="shared" si="14"/>
        <v>0</v>
      </c>
      <c r="I25" s="137"/>
      <c r="J25" s="137">
        <v>0</v>
      </c>
      <c r="K25" s="137"/>
      <c r="L25" s="256">
        <f t="shared" si="15"/>
        <v>0</v>
      </c>
      <c r="M25" s="275"/>
      <c r="N25" s="256">
        <f t="shared" si="16"/>
        <v>0</v>
      </c>
      <c r="O25" s="323">
        <f t="shared" si="17"/>
        <v>0</v>
      </c>
      <c r="P25" s="323">
        <f t="shared" si="18"/>
        <v>0</v>
      </c>
      <c r="Q25" s="135"/>
      <c r="R25" s="211">
        <f t="shared" si="19"/>
        <v>0</v>
      </c>
      <c r="S25" s="135">
        <v>0</v>
      </c>
      <c r="T25" s="159">
        <f t="shared" si="8"/>
        <v>0</v>
      </c>
      <c r="U25" s="159">
        <f t="shared" si="9"/>
        <v>0</v>
      </c>
      <c r="V25" s="159">
        <f t="shared" si="10"/>
        <v>0</v>
      </c>
      <c r="W25" s="294">
        <f t="shared" si="11"/>
        <v>0</v>
      </c>
      <c r="X25" s="162">
        <f t="shared" si="12"/>
        <v>0</v>
      </c>
      <c r="AA25" s="164">
        <f t="shared" si="1"/>
        <v>88500</v>
      </c>
      <c r="AB25" s="165">
        <f t="shared" si="2"/>
        <v>-7100</v>
      </c>
      <c r="AC25" s="165">
        <f t="shared" si="3"/>
        <v>10685</v>
      </c>
      <c r="AD25" s="165">
        <f t="shared" si="13"/>
        <v>90.822500000000019</v>
      </c>
      <c r="AE25" s="165">
        <f t="shared" si="4"/>
        <v>-4119</v>
      </c>
      <c r="AF25" s="165">
        <f t="shared" si="5"/>
        <v>0</v>
      </c>
      <c r="AG25" s="165"/>
      <c r="AH25" s="230">
        <f t="shared" si="6"/>
        <v>0</v>
      </c>
    </row>
    <row r="26" spans="2:34" ht="26.25" customHeight="1">
      <c r="B26" s="166">
        <f t="shared" si="7"/>
        <v>44615</v>
      </c>
      <c r="C26" s="221"/>
      <c r="D26" s="221"/>
      <c r="E26" s="221"/>
      <c r="F26" s="221"/>
      <c r="G26" s="221"/>
      <c r="H26" s="292">
        <f t="shared" si="14"/>
        <v>0</v>
      </c>
      <c r="I26" s="137"/>
      <c r="J26" s="137">
        <v>0</v>
      </c>
      <c r="K26" s="137"/>
      <c r="L26" s="256">
        <f t="shared" si="15"/>
        <v>0</v>
      </c>
      <c r="M26" s="275"/>
      <c r="N26" s="256">
        <f t="shared" si="16"/>
        <v>0</v>
      </c>
      <c r="O26" s="323">
        <f t="shared" si="17"/>
        <v>0</v>
      </c>
      <c r="P26" s="323">
        <f t="shared" si="18"/>
        <v>0</v>
      </c>
      <c r="Q26" s="135"/>
      <c r="R26" s="211">
        <f t="shared" si="19"/>
        <v>0</v>
      </c>
      <c r="S26" s="135">
        <v>0</v>
      </c>
      <c r="T26" s="159">
        <f t="shared" si="8"/>
        <v>0</v>
      </c>
      <c r="U26" s="159">
        <f t="shared" si="9"/>
        <v>0</v>
      </c>
      <c r="V26" s="159">
        <f t="shared" si="10"/>
        <v>0</v>
      </c>
      <c r="W26" s="294">
        <f t="shared" si="11"/>
        <v>0</v>
      </c>
      <c r="X26" s="162">
        <f t="shared" si="12"/>
        <v>0</v>
      </c>
      <c r="AA26" s="164">
        <f t="shared" si="1"/>
        <v>88500</v>
      </c>
      <c r="AB26" s="165">
        <f t="shared" si="2"/>
        <v>-7100</v>
      </c>
      <c r="AC26" s="165">
        <f t="shared" si="3"/>
        <v>10685</v>
      </c>
      <c r="AD26" s="165">
        <f t="shared" si="13"/>
        <v>90.822500000000019</v>
      </c>
      <c r="AE26" s="165">
        <f t="shared" si="4"/>
        <v>-4119</v>
      </c>
      <c r="AF26" s="165">
        <f t="shared" si="5"/>
        <v>0</v>
      </c>
      <c r="AG26" s="165"/>
      <c r="AH26" s="230">
        <f t="shared" si="6"/>
        <v>0</v>
      </c>
    </row>
    <row r="27" spans="2:34" ht="26.25" customHeight="1">
      <c r="B27" s="166">
        <f t="shared" si="7"/>
        <v>44616</v>
      </c>
      <c r="C27" s="221"/>
      <c r="D27" s="221"/>
      <c r="E27" s="221"/>
      <c r="F27" s="221"/>
      <c r="G27" s="221"/>
      <c r="H27" s="292">
        <f t="shared" si="14"/>
        <v>0</v>
      </c>
      <c r="I27" s="137"/>
      <c r="J27" s="137">
        <v>0</v>
      </c>
      <c r="K27" s="137"/>
      <c r="L27" s="256">
        <f t="shared" si="15"/>
        <v>0</v>
      </c>
      <c r="M27" s="275"/>
      <c r="N27" s="256">
        <f t="shared" si="16"/>
        <v>0</v>
      </c>
      <c r="O27" s="323">
        <f t="shared" si="17"/>
        <v>0</v>
      </c>
      <c r="P27" s="323">
        <f t="shared" si="18"/>
        <v>0</v>
      </c>
      <c r="Q27" s="135"/>
      <c r="R27" s="211">
        <f t="shared" si="19"/>
        <v>0</v>
      </c>
      <c r="S27" s="135">
        <v>0</v>
      </c>
      <c r="T27" s="159">
        <f t="shared" si="8"/>
        <v>0</v>
      </c>
      <c r="U27" s="159">
        <f t="shared" si="9"/>
        <v>0</v>
      </c>
      <c r="V27" s="159">
        <f t="shared" si="10"/>
        <v>0</v>
      </c>
      <c r="W27" s="294">
        <f t="shared" si="11"/>
        <v>0</v>
      </c>
      <c r="X27" s="162">
        <f t="shared" si="12"/>
        <v>0</v>
      </c>
      <c r="AA27" s="164">
        <f t="shared" si="1"/>
        <v>88500</v>
      </c>
      <c r="AB27" s="165">
        <f t="shared" si="2"/>
        <v>-7100</v>
      </c>
      <c r="AC27" s="165">
        <f t="shared" si="3"/>
        <v>10685</v>
      </c>
      <c r="AD27" s="165">
        <f t="shared" si="13"/>
        <v>90.822500000000019</v>
      </c>
      <c r="AE27" s="165">
        <f t="shared" si="4"/>
        <v>-4119</v>
      </c>
      <c r="AF27" s="165">
        <f t="shared" si="5"/>
        <v>0</v>
      </c>
      <c r="AG27" s="165"/>
      <c r="AH27" s="230">
        <f t="shared" si="6"/>
        <v>0</v>
      </c>
    </row>
    <row r="28" spans="2:34" ht="26.25" customHeight="1">
      <c r="B28" s="166">
        <f t="shared" si="7"/>
        <v>44617</v>
      </c>
      <c r="C28" s="221"/>
      <c r="D28" s="221"/>
      <c r="E28" s="221"/>
      <c r="F28" s="221"/>
      <c r="G28" s="221"/>
      <c r="H28" s="292">
        <f t="shared" si="14"/>
        <v>0</v>
      </c>
      <c r="I28" s="137"/>
      <c r="J28" s="137">
        <v>0</v>
      </c>
      <c r="K28" s="137"/>
      <c r="L28" s="256">
        <f t="shared" si="15"/>
        <v>0</v>
      </c>
      <c r="M28" s="307"/>
      <c r="N28" s="278">
        <f t="shared" si="16"/>
        <v>0</v>
      </c>
      <c r="O28" s="323">
        <f t="shared" si="17"/>
        <v>0</v>
      </c>
      <c r="P28" s="323">
        <f t="shared" si="18"/>
        <v>0</v>
      </c>
      <c r="Q28" s="135"/>
      <c r="R28" s="211">
        <f t="shared" si="19"/>
        <v>0</v>
      </c>
      <c r="S28" s="135">
        <v>0</v>
      </c>
      <c r="T28" s="159">
        <f t="shared" si="8"/>
        <v>0</v>
      </c>
      <c r="U28" s="159">
        <f t="shared" si="9"/>
        <v>0</v>
      </c>
      <c r="V28" s="159">
        <f t="shared" si="10"/>
        <v>0</v>
      </c>
      <c r="W28" s="294">
        <f t="shared" si="11"/>
        <v>0</v>
      </c>
      <c r="X28" s="162">
        <f t="shared" si="12"/>
        <v>0</v>
      </c>
      <c r="AA28" s="164">
        <f t="shared" si="1"/>
        <v>88500</v>
      </c>
      <c r="AB28" s="165">
        <f t="shared" si="2"/>
        <v>-7100</v>
      </c>
      <c r="AC28" s="165">
        <f t="shared" si="3"/>
        <v>10685</v>
      </c>
      <c r="AD28" s="165">
        <f t="shared" si="13"/>
        <v>90.822500000000019</v>
      </c>
      <c r="AE28" s="165">
        <f t="shared" si="4"/>
        <v>-4119</v>
      </c>
      <c r="AF28" s="165">
        <f t="shared" si="5"/>
        <v>0</v>
      </c>
      <c r="AG28" s="165"/>
      <c r="AH28" s="230">
        <f t="shared" si="6"/>
        <v>0</v>
      </c>
    </row>
    <row r="29" spans="2:34" ht="26.25" customHeight="1">
      <c r="B29" s="166">
        <f t="shared" si="7"/>
        <v>44618</v>
      </c>
      <c r="C29" s="221"/>
      <c r="D29" s="221"/>
      <c r="E29" s="221"/>
      <c r="F29" s="221"/>
      <c r="G29" s="221"/>
      <c r="H29" s="292">
        <f t="shared" si="14"/>
        <v>0</v>
      </c>
      <c r="I29" s="137"/>
      <c r="J29" s="137">
        <v>0</v>
      </c>
      <c r="K29" s="137"/>
      <c r="L29" s="256">
        <f t="shared" si="15"/>
        <v>0</v>
      </c>
      <c r="M29" s="307"/>
      <c r="N29" s="256">
        <f t="shared" si="16"/>
        <v>0</v>
      </c>
      <c r="O29" s="323">
        <f t="shared" si="17"/>
        <v>0</v>
      </c>
      <c r="P29" s="323">
        <f t="shared" si="18"/>
        <v>0</v>
      </c>
      <c r="Q29" s="135"/>
      <c r="R29" s="211">
        <f t="shared" si="19"/>
        <v>0</v>
      </c>
      <c r="S29" s="135">
        <v>0</v>
      </c>
      <c r="T29" s="159">
        <f t="shared" si="8"/>
        <v>0</v>
      </c>
      <c r="U29" s="159">
        <f t="shared" si="9"/>
        <v>0</v>
      </c>
      <c r="V29" s="159">
        <f t="shared" si="10"/>
        <v>0</v>
      </c>
      <c r="W29" s="294">
        <f t="shared" si="11"/>
        <v>0</v>
      </c>
      <c r="X29" s="162">
        <f t="shared" si="12"/>
        <v>0</v>
      </c>
      <c r="AA29" s="164">
        <f t="shared" si="1"/>
        <v>88500</v>
      </c>
      <c r="AB29" s="165">
        <f t="shared" si="2"/>
        <v>-7100</v>
      </c>
      <c r="AC29" s="165">
        <f t="shared" si="3"/>
        <v>10685</v>
      </c>
      <c r="AD29" s="165">
        <f t="shared" si="13"/>
        <v>90.822500000000019</v>
      </c>
      <c r="AE29" s="165">
        <f t="shared" si="4"/>
        <v>-4119</v>
      </c>
      <c r="AF29" s="165">
        <f t="shared" si="5"/>
        <v>0</v>
      </c>
      <c r="AG29" s="165"/>
      <c r="AH29" s="230">
        <f t="shared" si="6"/>
        <v>0</v>
      </c>
    </row>
    <row r="30" spans="2:34" ht="26.25" customHeight="1">
      <c r="B30" s="166">
        <f t="shared" si="7"/>
        <v>44619</v>
      </c>
      <c r="C30" s="221"/>
      <c r="D30" s="221"/>
      <c r="E30" s="221"/>
      <c r="F30" s="221"/>
      <c r="G30" s="221"/>
      <c r="H30" s="292">
        <f t="shared" si="14"/>
        <v>0</v>
      </c>
      <c r="I30" s="137"/>
      <c r="J30" s="137">
        <v>0</v>
      </c>
      <c r="K30" s="137"/>
      <c r="L30" s="256">
        <f t="shared" si="15"/>
        <v>0</v>
      </c>
      <c r="M30" s="307"/>
      <c r="N30" s="256">
        <f>L30+M30</f>
        <v>0</v>
      </c>
      <c r="O30" s="323">
        <f t="shared" si="17"/>
        <v>0</v>
      </c>
      <c r="P30" s="323">
        <f t="shared" si="18"/>
        <v>0</v>
      </c>
      <c r="Q30" s="135"/>
      <c r="R30" s="211">
        <f t="shared" si="19"/>
        <v>0</v>
      </c>
      <c r="S30" s="135">
        <v>0</v>
      </c>
      <c r="T30" s="159">
        <f t="shared" si="8"/>
        <v>0</v>
      </c>
      <c r="U30" s="159">
        <f t="shared" si="9"/>
        <v>0</v>
      </c>
      <c r="V30" s="159">
        <f t="shared" si="10"/>
        <v>0</v>
      </c>
      <c r="W30" s="294">
        <f t="shared" si="11"/>
        <v>0</v>
      </c>
      <c r="X30" s="162">
        <f t="shared" si="12"/>
        <v>0</v>
      </c>
      <c r="AA30" s="164">
        <f t="shared" si="1"/>
        <v>88500</v>
      </c>
      <c r="AB30" s="165">
        <f t="shared" si="2"/>
        <v>-7100</v>
      </c>
      <c r="AC30" s="165">
        <f t="shared" si="3"/>
        <v>10685</v>
      </c>
      <c r="AD30" s="165">
        <f t="shared" si="13"/>
        <v>90.822500000000019</v>
      </c>
      <c r="AE30" s="165">
        <f t="shared" si="4"/>
        <v>-4119</v>
      </c>
      <c r="AF30" s="165">
        <f t="shared" si="5"/>
        <v>0</v>
      </c>
      <c r="AG30" s="165"/>
      <c r="AH30" s="230">
        <f t="shared" si="6"/>
        <v>0</v>
      </c>
    </row>
    <row r="31" spans="2:34" ht="26.25" customHeight="1">
      <c r="B31" s="166">
        <f t="shared" si="7"/>
        <v>44620</v>
      </c>
      <c r="C31" s="221"/>
      <c r="D31" s="221"/>
      <c r="E31" s="221"/>
      <c r="F31" s="221"/>
      <c r="G31" s="221"/>
      <c r="H31" s="292">
        <f t="shared" si="14"/>
        <v>0</v>
      </c>
      <c r="I31" s="137"/>
      <c r="J31" s="137">
        <v>0</v>
      </c>
      <c r="K31" s="137"/>
      <c r="L31" s="256">
        <f t="shared" si="15"/>
        <v>0</v>
      </c>
      <c r="M31" s="136"/>
      <c r="N31" s="256">
        <f>L31+M31</f>
        <v>0</v>
      </c>
      <c r="O31" s="323">
        <f t="shared" si="17"/>
        <v>0</v>
      </c>
      <c r="P31" s="323">
        <f t="shared" si="18"/>
        <v>0</v>
      </c>
      <c r="Q31" s="135"/>
      <c r="R31" s="211">
        <f t="shared" si="19"/>
        <v>0</v>
      </c>
      <c r="S31" s="135">
        <v>0</v>
      </c>
      <c r="T31" s="159">
        <f t="shared" si="8"/>
        <v>0</v>
      </c>
      <c r="U31" s="159">
        <f t="shared" si="9"/>
        <v>0</v>
      </c>
      <c r="V31" s="159">
        <f t="shared" si="10"/>
        <v>0</v>
      </c>
      <c r="W31" s="294">
        <f t="shared" si="11"/>
        <v>0</v>
      </c>
      <c r="X31" s="162">
        <f t="shared" si="12"/>
        <v>0</v>
      </c>
      <c r="AA31" s="164">
        <f t="shared" si="1"/>
        <v>88500</v>
      </c>
      <c r="AB31" s="165">
        <f t="shared" si="2"/>
        <v>-7100</v>
      </c>
      <c r="AC31" s="165">
        <f t="shared" si="3"/>
        <v>10685</v>
      </c>
      <c r="AD31" s="165">
        <f t="shared" si="13"/>
        <v>90.822500000000019</v>
      </c>
      <c r="AE31" s="165">
        <f t="shared" si="4"/>
        <v>-4119</v>
      </c>
      <c r="AF31" s="165">
        <f t="shared" si="5"/>
        <v>0</v>
      </c>
      <c r="AG31" s="165"/>
      <c r="AH31" s="230">
        <f t="shared" si="6"/>
        <v>0</v>
      </c>
    </row>
    <row r="32" spans="2:34" ht="26.25" customHeight="1">
      <c r="B32" s="166">
        <f t="shared" si="7"/>
        <v>44621</v>
      </c>
      <c r="C32" s="221"/>
      <c r="D32" s="221"/>
      <c r="E32" s="221"/>
      <c r="F32" s="221"/>
      <c r="G32" s="221"/>
      <c r="H32" s="292">
        <f t="shared" si="14"/>
        <v>0</v>
      </c>
      <c r="I32" s="137"/>
      <c r="J32" s="137">
        <v>0</v>
      </c>
      <c r="K32" s="137"/>
      <c r="L32" s="256">
        <f t="shared" si="15"/>
        <v>0</v>
      </c>
      <c r="M32" s="136"/>
      <c r="N32" s="256">
        <f t="shared" si="16"/>
        <v>0</v>
      </c>
      <c r="O32" s="323">
        <f t="shared" si="17"/>
        <v>0</v>
      </c>
      <c r="P32" s="323">
        <f t="shared" si="18"/>
        <v>0</v>
      </c>
      <c r="Q32" s="135"/>
      <c r="R32" s="211">
        <f t="shared" si="19"/>
        <v>0</v>
      </c>
      <c r="S32" s="135">
        <v>0</v>
      </c>
      <c r="T32" s="159">
        <f t="shared" si="8"/>
        <v>0</v>
      </c>
      <c r="U32" s="159">
        <f t="shared" si="9"/>
        <v>0</v>
      </c>
      <c r="V32" s="159">
        <f t="shared" si="10"/>
        <v>0</v>
      </c>
      <c r="W32" s="294">
        <f t="shared" si="11"/>
        <v>0</v>
      </c>
      <c r="X32" s="162">
        <f t="shared" si="12"/>
        <v>0</v>
      </c>
      <c r="AA32" s="164">
        <f t="shared" si="1"/>
        <v>88500</v>
      </c>
      <c r="AB32" s="165">
        <f t="shared" si="2"/>
        <v>-7100</v>
      </c>
      <c r="AC32" s="165">
        <f t="shared" si="3"/>
        <v>10685</v>
      </c>
      <c r="AD32" s="165">
        <f t="shared" si="13"/>
        <v>90.822500000000019</v>
      </c>
      <c r="AE32" s="165">
        <f t="shared" si="4"/>
        <v>-4119</v>
      </c>
      <c r="AF32" s="165">
        <f t="shared" si="5"/>
        <v>0</v>
      </c>
      <c r="AG32" s="165"/>
      <c r="AH32" s="230">
        <f t="shared" si="6"/>
        <v>0</v>
      </c>
    </row>
    <row r="33" spans="2:34" ht="26.25" customHeight="1">
      <c r="B33" s="166">
        <f t="shared" si="7"/>
        <v>44622</v>
      </c>
      <c r="C33" s="221"/>
      <c r="D33" s="221"/>
      <c r="E33" s="221"/>
      <c r="F33" s="221"/>
      <c r="G33" s="221"/>
      <c r="H33" s="292">
        <f t="shared" si="14"/>
        <v>0</v>
      </c>
      <c r="I33" s="137"/>
      <c r="J33" s="137">
        <v>0</v>
      </c>
      <c r="K33" s="137"/>
      <c r="L33" s="256">
        <f t="shared" si="15"/>
        <v>0</v>
      </c>
      <c r="M33" s="136"/>
      <c r="N33" s="256">
        <f>L33+M33</f>
        <v>0</v>
      </c>
      <c r="O33" s="323">
        <f t="shared" si="17"/>
        <v>0</v>
      </c>
      <c r="P33" s="323">
        <f t="shared" si="18"/>
        <v>0</v>
      </c>
      <c r="Q33" s="135"/>
      <c r="R33" s="211">
        <f t="shared" si="19"/>
        <v>0</v>
      </c>
      <c r="S33" s="135">
        <v>0</v>
      </c>
      <c r="T33" s="159">
        <f t="shared" si="8"/>
        <v>0</v>
      </c>
      <c r="U33" s="159">
        <f t="shared" si="9"/>
        <v>0</v>
      </c>
      <c r="V33" s="159">
        <f t="shared" si="10"/>
        <v>0</v>
      </c>
      <c r="W33" s="294">
        <f t="shared" si="11"/>
        <v>0</v>
      </c>
      <c r="X33" s="162">
        <f t="shared" si="12"/>
        <v>0</v>
      </c>
      <c r="AA33" s="164">
        <f t="shared" si="1"/>
        <v>88500</v>
      </c>
      <c r="AB33" s="165">
        <f t="shared" si="2"/>
        <v>-7100</v>
      </c>
      <c r="AC33" s="165">
        <f t="shared" si="3"/>
        <v>10685</v>
      </c>
      <c r="AD33" s="165">
        <f t="shared" si="13"/>
        <v>90.822500000000019</v>
      </c>
      <c r="AE33" s="165">
        <f t="shared" si="4"/>
        <v>-4119</v>
      </c>
      <c r="AF33" s="165">
        <f t="shared" si="5"/>
        <v>0</v>
      </c>
      <c r="AG33" s="165"/>
      <c r="AH33" s="230">
        <f t="shared" si="6"/>
        <v>0</v>
      </c>
    </row>
    <row r="34" spans="2:34" ht="26.25" customHeight="1">
      <c r="B34" s="166">
        <f t="shared" si="7"/>
        <v>44623</v>
      </c>
      <c r="C34" s="221"/>
      <c r="D34" s="221"/>
      <c r="E34" s="221"/>
      <c r="F34" s="221"/>
      <c r="G34" s="221"/>
      <c r="H34" s="292">
        <f t="shared" si="14"/>
        <v>0</v>
      </c>
      <c r="I34" s="137"/>
      <c r="J34" s="137">
        <v>0</v>
      </c>
      <c r="K34" s="137"/>
      <c r="L34" s="256">
        <f t="shared" si="15"/>
        <v>0</v>
      </c>
      <c r="M34" s="136"/>
      <c r="N34" s="256">
        <f t="shared" si="16"/>
        <v>0</v>
      </c>
      <c r="O34" s="323">
        <f t="shared" si="17"/>
        <v>0</v>
      </c>
      <c r="P34" s="323">
        <f t="shared" si="18"/>
        <v>0</v>
      </c>
      <c r="Q34" s="135"/>
      <c r="R34" s="211">
        <f>Q34-S34</f>
        <v>0</v>
      </c>
      <c r="S34" s="135">
        <v>0</v>
      </c>
      <c r="T34" s="159">
        <f t="shared" si="8"/>
        <v>0</v>
      </c>
      <c r="U34" s="159">
        <f t="shared" si="9"/>
        <v>0</v>
      </c>
      <c r="V34" s="159">
        <f t="shared" si="10"/>
        <v>0</v>
      </c>
      <c r="W34" s="294">
        <f t="shared" si="11"/>
        <v>0</v>
      </c>
      <c r="X34" s="162">
        <f t="shared" si="12"/>
        <v>0</v>
      </c>
      <c r="AA34" s="164">
        <f t="shared" si="1"/>
        <v>88500</v>
      </c>
      <c r="AB34" s="165">
        <f t="shared" si="2"/>
        <v>-7100</v>
      </c>
      <c r="AC34" s="165">
        <f t="shared" si="3"/>
        <v>10685</v>
      </c>
      <c r="AD34" s="165">
        <f t="shared" si="13"/>
        <v>90.822500000000019</v>
      </c>
      <c r="AE34" s="165">
        <f t="shared" si="4"/>
        <v>-4119</v>
      </c>
      <c r="AF34" s="165">
        <f t="shared" si="5"/>
        <v>0</v>
      </c>
      <c r="AG34" s="165"/>
      <c r="AH34" s="230">
        <f t="shared" si="6"/>
        <v>0</v>
      </c>
    </row>
    <row r="35" spans="2:34" ht="26.25" customHeight="1" thickBot="1">
      <c r="B35" s="138"/>
      <c r="C35" s="139"/>
      <c r="D35" s="139"/>
      <c r="E35" s="139"/>
      <c r="F35" s="140"/>
      <c r="G35" s="325"/>
      <c r="H35" s="326">
        <f t="shared" ref="H35" si="20">SUM(F35:G35)</f>
        <v>0</v>
      </c>
      <c r="I35" s="142"/>
      <c r="J35" s="137">
        <v>0</v>
      </c>
      <c r="K35" s="142"/>
      <c r="L35" s="143"/>
      <c r="M35" s="143"/>
      <c r="N35" s="143"/>
      <c r="O35" s="322"/>
      <c r="P35" s="322"/>
      <c r="Q35" s="144"/>
      <c r="R35" s="212"/>
      <c r="S35" s="144"/>
      <c r="T35" s="160"/>
      <c r="U35" s="160"/>
      <c r="V35" s="160"/>
      <c r="W35" s="295"/>
      <c r="X35" s="163"/>
      <c r="AA35" s="164"/>
      <c r="AB35" s="165"/>
      <c r="AC35" s="165"/>
      <c r="AD35" s="165"/>
      <c r="AE35" s="165"/>
      <c r="AF35" s="165"/>
      <c r="AG35" s="165"/>
      <c r="AH35" s="230"/>
    </row>
    <row r="36" spans="2:34" ht="14.25" customHeight="1" thickBot="1">
      <c r="H36" s="324"/>
      <c r="AB36" s="165"/>
    </row>
    <row r="37" spans="2:34" ht="23.25" customHeight="1" thickBot="1">
      <c r="B37" s="145" t="s">
        <v>99</v>
      </c>
      <c r="C37" s="175">
        <f>SUM(C4:C35)</f>
        <v>0</v>
      </c>
      <c r="D37" s="175">
        <f t="shared" ref="D37:X37" si="21">SUM(D4:D35)</f>
        <v>158500</v>
      </c>
      <c r="E37" s="175">
        <f t="shared" si="21"/>
        <v>-70000</v>
      </c>
      <c r="F37" s="175">
        <f t="shared" si="21"/>
        <v>10000</v>
      </c>
      <c r="G37" s="175">
        <f t="shared" si="21"/>
        <v>-10000</v>
      </c>
      <c r="H37" s="175">
        <f t="shared" si="21"/>
        <v>88500</v>
      </c>
      <c r="I37" s="175">
        <f>SUM(I4:I35)</f>
        <v>-7100</v>
      </c>
      <c r="J37" s="175">
        <f>SUM(J4:J35)</f>
        <v>0</v>
      </c>
      <c r="K37" s="175">
        <f t="shared" si="21"/>
        <v>0</v>
      </c>
      <c r="L37" s="175">
        <f>SUM(L4:L35)</f>
        <v>7100</v>
      </c>
      <c r="M37" s="277">
        <f t="shared" si="21"/>
        <v>-11219</v>
      </c>
      <c r="N37" s="277">
        <f t="shared" si="21"/>
        <v>-4119</v>
      </c>
      <c r="O37" s="175">
        <f t="shared" si="21"/>
        <v>2059.5</v>
      </c>
      <c r="P37" s="175">
        <f t="shared" si="21"/>
        <v>2059.5</v>
      </c>
      <c r="Q37" s="175">
        <f t="shared" si="21"/>
        <v>10685</v>
      </c>
      <c r="R37" s="175">
        <f t="shared" si="21"/>
        <v>10685</v>
      </c>
      <c r="S37" s="175">
        <f t="shared" si="21"/>
        <v>0</v>
      </c>
      <c r="T37" s="175">
        <f t="shared" si="21"/>
        <v>0</v>
      </c>
      <c r="U37" s="175">
        <f t="shared" si="21"/>
        <v>181.64500000000004</v>
      </c>
      <c r="V37" s="175">
        <f t="shared" si="21"/>
        <v>181.64500000000004</v>
      </c>
      <c r="W37" s="175">
        <f t="shared" si="21"/>
        <v>90.822500000000019</v>
      </c>
      <c r="X37" s="274">
        <f t="shared" si="21"/>
        <v>2150.3224999999984</v>
      </c>
    </row>
    <row r="38" spans="2:34" ht="19.5" customHeight="1">
      <c r="I38" s="146"/>
      <c r="J38" s="146"/>
      <c r="K38" s="146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</row>
    <row r="39" spans="2:34" ht="19.5" customHeight="1">
      <c r="I39" s="146"/>
      <c r="J39" s="146"/>
      <c r="K39" s="146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</row>
    <row r="40" spans="2:34" ht="24" customHeight="1">
      <c r="C40" s="242" t="s">
        <v>163</v>
      </c>
      <c r="D40" s="242"/>
      <c r="E40" s="242"/>
      <c r="F40" s="173"/>
      <c r="G40" s="173"/>
      <c r="H40" s="411">
        <f>-H37</f>
        <v>-88500</v>
      </c>
      <c r="I40" s="411"/>
      <c r="J40" s="362"/>
      <c r="K40" s="264"/>
      <c r="L40" s="264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</row>
    <row r="41" spans="2:34" ht="24" customHeight="1">
      <c r="C41" s="242" t="s">
        <v>178</v>
      </c>
      <c r="D41" s="242"/>
      <c r="E41" s="242"/>
      <c r="F41" s="150"/>
      <c r="G41" s="150"/>
      <c r="H41" s="418">
        <f>N37</f>
        <v>-4119</v>
      </c>
      <c r="I41" s="418"/>
      <c r="J41" s="363"/>
      <c r="K41" s="264"/>
      <c r="L41" s="264"/>
      <c r="M41" s="173"/>
      <c r="N41" s="257" t="s">
        <v>167</v>
      </c>
      <c r="O41" s="173"/>
      <c r="P41" s="173"/>
      <c r="Q41" s="173"/>
      <c r="R41" s="173"/>
      <c r="S41" s="173"/>
      <c r="T41" s="257" t="s">
        <v>171</v>
      </c>
      <c r="U41" s="173"/>
      <c r="V41" s="173"/>
      <c r="W41" s="173"/>
      <c r="Y41" s="173"/>
      <c r="Z41" s="173"/>
      <c r="AA41" s="173"/>
    </row>
    <row r="42" spans="2:34" ht="24" customHeight="1" thickBot="1">
      <c r="C42" s="242" t="s">
        <v>176</v>
      </c>
      <c r="D42" s="242"/>
      <c r="E42" s="242"/>
      <c r="F42" s="150"/>
      <c r="G42" s="150"/>
      <c r="H42" s="419">
        <f>-ROUNDDOWN(H41*50%,0)</f>
        <v>2059</v>
      </c>
      <c r="I42" s="419"/>
      <c r="J42" s="363"/>
      <c r="K42" s="264"/>
      <c r="L42" s="264"/>
      <c r="M42" s="173"/>
      <c r="N42" s="148" t="s">
        <v>168</v>
      </c>
      <c r="O42" s="246"/>
      <c r="P42" s="246"/>
      <c r="Q42" s="246"/>
      <c r="R42" s="173"/>
      <c r="S42" s="173"/>
      <c r="T42" s="148" t="s">
        <v>189</v>
      </c>
      <c r="U42" s="173"/>
      <c r="V42" s="173"/>
      <c r="W42" s="173"/>
      <c r="Y42" s="173"/>
      <c r="Z42" s="173"/>
      <c r="AA42" s="173"/>
    </row>
    <row r="43" spans="2:34" ht="8.25" customHeight="1" thickTop="1">
      <c r="C43" s="242"/>
      <c r="D43" s="242"/>
      <c r="E43" s="242"/>
      <c r="F43" s="150"/>
      <c r="G43" s="150"/>
      <c r="H43" s="173"/>
      <c r="I43" s="265"/>
      <c r="J43" s="265"/>
      <c r="K43" s="264"/>
      <c r="L43" s="264"/>
      <c r="M43" s="173"/>
      <c r="N43" s="148"/>
      <c r="O43" s="173"/>
      <c r="P43" s="173"/>
      <c r="Q43" s="173"/>
      <c r="R43" s="173"/>
      <c r="S43" s="173"/>
      <c r="T43" s="148"/>
      <c r="U43" s="173"/>
      <c r="V43" s="173"/>
      <c r="W43" s="173"/>
      <c r="Y43" s="173"/>
      <c r="Z43" s="173"/>
      <c r="AA43" s="173"/>
    </row>
    <row r="44" spans="2:34" ht="24" customHeight="1">
      <c r="C44" s="242" t="s">
        <v>164</v>
      </c>
      <c r="D44" s="242"/>
      <c r="E44" s="242"/>
      <c r="F44" s="150"/>
      <c r="G44" s="150"/>
      <c r="H44" s="413">
        <f>R37</f>
        <v>10685</v>
      </c>
      <c r="I44" s="413"/>
      <c r="J44" s="363"/>
      <c r="K44" s="264"/>
      <c r="L44" s="264"/>
      <c r="M44" s="173"/>
      <c r="N44" s="257" t="s">
        <v>169</v>
      </c>
      <c r="O44" s="173"/>
      <c r="P44" s="173"/>
      <c r="Q44" s="173"/>
      <c r="R44" s="173"/>
      <c r="S44" s="173"/>
      <c r="T44" s="257" t="s">
        <v>169</v>
      </c>
      <c r="U44" s="173"/>
      <c r="V44" s="173"/>
      <c r="W44" s="173"/>
      <c r="Z44" s="173"/>
      <c r="AA44" s="173"/>
    </row>
    <row r="45" spans="2:34" ht="24" customHeight="1">
      <c r="C45" s="242" t="s">
        <v>200</v>
      </c>
      <c r="D45" s="242"/>
      <c r="E45" s="242"/>
      <c r="F45" s="150"/>
      <c r="G45" s="150"/>
      <c r="H45" s="413">
        <f>H44*1.7%</f>
        <v>181.64500000000001</v>
      </c>
      <c r="I45" s="413"/>
      <c r="J45" s="363"/>
      <c r="K45" s="264"/>
      <c r="L45" s="264"/>
      <c r="M45" s="173"/>
      <c r="N45" s="148" t="s">
        <v>170</v>
      </c>
      <c r="O45" s="246"/>
      <c r="P45" s="246"/>
      <c r="Q45" s="246"/>
      <c r="R45" s="173"/>
      <c r="S45" s="173"/>
      <c r="T45" s="148" t="s">
        <v>204</v>
      </c>
      <c r="U45" s="173"/>
      <c r="V45" s="173"/>
      <c r="W45" s="173"/>
      <c r="Z45" s="173"/>
      <c r="AA45" s="173"/>
    </row>
    <row r="46" spans="2:34" ht="24" customHeight="1">
      <c r="C46" s="242" t="s">
        <v>198</v>
      </c>
      <c r="D46" s="242"/>
      <c r="E46" s="242"/>
      <c r="F46" s="150"/>
      <c r="G46" s="150"/>
      <c r="H46" s="413">
        <f>-H45*50%</f>
        <v>-90.822500000000005</v>
      </c>
      <c r="I46" s="413"/>
      <c r="J46" s="363"/>
      <c r="K46" s="264"/>
      <c r="L46" s="264"/>
      <c r="M46" s="173"/>
      <c r="N46" s="148"/>
      <c r="O46" s="173"/>
      <c r="P46" s="173"/>
      <c r="Q46" s="173"/>
      <c r="R46" s="173"/>
      <c r="S46" s="173"/>
      <c r="V46" s="148"/>
      <c r="W46" s="148"/>
      <c r="Z46" s="173"/>
      <c r="AA46" s="173"/>
    </row>
    <row r="47" spans="2:34" ht="24" customHeight="1">
      <c r="C47" s="242" t="s">
        <v>201</v>
      </c>
      <c r="D47" s="242"/>
      <c r="E47" s="242"/>
      <c r="F47" s="150"/>
      <c r="G47" s="150"/>
      <c r="H47" s="413">
        <f>S37</f>
        <v>0</v>
      </c>
      <c r="I47" s="413"/>
      <c r="J47" s="363"/>
      <c r="K47" s="264"/>
      <c r="L47" s="264"/>
      <c r="M47" s="173"/>
      <c r="N47" s="148"/>
      <c r="O47" s="173"/>
      <c r="P47" s="173"/>
      <c r="Q47" s="173"/>
      <c r="R47" s="173"/>
      <c r="S47" s="173"/>
      <c r="V47" s="148"/>
      <c r="W47" s="148"/>
      <c r="Z47" s="173"/>
      <c r="AA47" s="173"/>
    </row>
    <row r="48" spans="2:34" ht="24" customHeight="1">
      <c r="C48" s="242" t="s">
        <v>202</v>
      </c>
      <c r="D48" s="242"/>
      <c r="E48" s="242"/>
      <c r="F48" s="150"/>
      <c r="G48" s="150"/>
      <c r="H48" s="413">
        <f>T37</f>
        <v>0</v>
      </c>
      <c r="I48" s="413"/>
      <c r="J48" s="363"/>
      <c r="K48" s="264"/>
      <c r="L48" s="264"/>
      <c r="M48" s="173"/>
      <c r="N48" s="148"/>
      <c r="O48" s="173"/>
      <c r="P48" s="173"/>
      <c r="Q48" s="173"/>
      <c r="R48" s="173"/>
      <c r="S48" s="173"/>
      <c r="V48" s="148"/>
      <c r="W48" s="148"/>
      <c r="Z48" s="173"/>
      <c r="AA48" s="173"/>
    </row>
    <row r="49" spans="2:27" ht="24" customHeight="1">
      <c r="C49" s="242" t="s">
        <v>199</v>
      </c>
      <c r="D49" s="242"/>
      <c r="E49" s="242"/>
      <c r="F49" s="150"/>
      <c r="G49" s="150"/>
      <c r="H49" s="413">
        <f>-H48*50%</f>
        <v>0</v>
      </c>
      <c r="I49" s="413"/>
      <c r="J49" s="363"/>
      <c r="K49" s="264"/>
      <c r="L49" s="264"/>
      <c r="M49" s="173"/>
      <c r="N49" s="148"/>
      <c r="O49" s="173"/>
      <c r="P49" s="173"/>
      <c r="Q49" s="173"/>
      <c r="R49" s="173"/>
      <c r="S49" s="173"/>
      <c r="V49" s="148"/>
      <c r="W49" s="148"/>
      <c r="Z49" s="173"/>
      <c r="AA49" s="173"/>
    </row>
    <row r="50" spans="2:27" ht="24" customHeight="1">
      <c r="B50" s="149"/>
      <c r="C50" s="242" t="s">
        <v>177</v>
      </c>
      <c r="D50" s="124"/>
      <c r="E50" s="124"/>
      <c r="F50" s="124"/>
      <c r="G50" s="124"/>
      <c r="H50" s="413">
        <v>0</v>
      </c>
      <c r="I50" s="413"/>
      <c r="J50" s="363"/>
      <c r="K50" s="264"/>
      <c r="L50" s="264"/>
      <c r="M50" s="173"/>
      <c r="N50" s="365"/>
      <c r="O50" s="148"/>
      <c r="P50" s="173"/>
      <c r="Q50" s="173"/>
      <c r="R50" s="173"/>
      <c r="S50" s="173"/>
      <c r="V50" s="148"/>
      <c r="W50" s="148"/>
      <c r="Z50" s="173"/>
      <c r="AA50" s="173"/>
    </row>
    <row r="51" spans="2:27" ht="24" customHeight="1" thickBot="1">
      <c r="B51" s="149"/>
      <c r="C51" s="242"/>
      <c r="D51" s="242"/>
      <c r="E51" s="242"/>
      <c r="F51" s="173"/>
      <c r="G51" s="173"/>
      <c r="H51" s="420">
        <f>ROUNDDOWN(H45+H46+H49+H50,0)</f>
        <v>90</v>
      </c>
      <c r="I51" s="420"/>
      <c r="J51" s="363"/>
      <c r="K51" s="264"/>
      <c r="L51" s="264"/>
      <c r="M51" s="173"/>
      <c r="N51" s="257" t="s">
        <v>173</v>
      </c>
      <c r="O51" s="173"/>
      <c r="P51" s="173"/>
      <c r="Q51" s="173"/>
      <c r="R51" s="173"/>
      <c r="S51" s="173"/>
      <c r="T51" s="257" t="s">
        <v>45</v>
      </c>
      <c r="U51" s="173"/>
      <c r="V51" s="173"/>
      <c r="W51" s="173"/>
      <c r="Z51" s="173"/>
      <c r="AA51" s="173"/>
    </row>
    <row r="52" spans="2:27" ht="21.75" customHeight="1" thickTop="1">
      <c r="B52" s="149"/>
      <c r="C52" s="242"/>
      <c r="D52" s="242"/>
      <c r="E52" s="242"/>
      <c r="F52" s="173"/>
      <c r="G52" s="173"/>
      <c r="H52" s="173"/>
      <c r="I52" s="362"/>
      <c r="J52" s="363"/>
      <c r="K52" s="264"/>
      <c r="L52" s="264"/>
      <c r="M52" s="173"/>
      <c r="N52" s="148" t="s">
        <v>172</v>
      </c>
      <c r="O52" s="246"/>
      <c r="P52" s="246"/>
      <c r="Q52" s="246"/>
      <c r="R52" s="173"/>
      <c r="S52" s="173"/>
      <c r="T52" s="148" t="s">
        <v>191</v>
      </c>
      <c r="U52" s="173"/>
      <c r="V52" s="173"/>
      <c r="W52" s="173"/>
      <c r="Z52" s="173"/>
      <c r="AA52" s="173"/>
    </row>
    <row r="53" spans="2:27" ht="30" customHeight="1">
      <c r="B53" s="149"/>
      <c r="C53" s="242" t="s">
        <v>203</v>
      </c>
      <c r="D53" s="242"/>
      <c r="E53" s="242"/>
      <c r="F53" s="173"/>
      <c r="G53" s="173"/>
      <c r="H53" s="421">
        <f>H42+H51</f>
        <v>2149</v>
      </c>
      <c r="I53" s="421"/>
      <c r="J53" s="363"/>
      <c r="K53" s="284"/>
      <c r="L53" s="284"/>
      <c r="M53" s="173"/>
      <c r="N53" s="148"/>
      <c r="O53" s="173"/>
      <c r="P53" s="173"/>
      <c r="Q53" s="173"/>
      <c r="R53" s="173"/>
      <c r="S53" s="173"/>
      <c r="T53" s="148"/>
      <c r="U53" s="173"/>
      <c r="V53" s="173"/>
      <c r="W53" s="173"/>
      <c r="Z53" s="173"/>
      <c r="AA53" s="173"/>
    </row>
    <row r="54" spans="2:27" ht="26.25" customHeight="1">
      <c r="B54" s="255"/>
      <c r="C54" s="242"/>
      <c r="D54" s="124"/>
      <c r="E54" s="124"/>
      <c r="F54" s="124"/>
      <c r="G54" s="124"/>
      <c r="H54" s="422"/>
      <c r="I54" s="422"/>
      <c r="J54" s="363"/>
      <c r="K54" s="283"/>
      <c r="L54" s="283"/>
      <c r="M54" s="173"/>
      <c r="N54" s="257" t="s">
        <v>169</v>
      </c>
      <c r="R54" s="173"/>
      <c r="S54" s="173"/>
      <c r="T54" s="257" t="s">
        <v>169</v>
      </c>
      <c r="U54" s="150"/>
      <c r="V54" s="150"/>
      <c r="W54" s="150"/>
      <c r="Z54" s="173"/>
      <c r="AA54" s="173"/>
    </row>
    <row r="55" spans="2:27" ht="26.25" customHeight="1">
      <c r="B55" s="254"/>
      <c r="C55" s="242" t="s">
        <v>175</v>
      </c>
      <c r="D55" s="242"/>
      <c r="E55" s="242"/>
      <c r="H55" s="412">
        <f>H40+H53</f>
        <v>-86351</v>
      </c>
      <c r="I55" s="412"/>
      <c r="J55" s="363"/>
      <c r="K55" s="283"/>
      <c r="L55" s="283"/>
      <c r="M55" s="173"/>
      <c r="N55" s="148" t="s">
        <v>170</v>
      </c>
      <c r="O55" s="248"/>
      <c r="P55" s="248"/>
      <c r="Q55" s="248"/>
      <c r="R55" s="173"/>
      <c r="S55" s="173"/>
      <c r="T55" s="148" t="s">
        <v>205</v>
      </c>
      <c r="U55" s="150"/>
      <c r="V55" s="150"/>
      <c r="W55" s="150"/>
      <c r="Z55" s="173"/>
      <c r="AA55" s="173"/>
    </row>
    <row r="56" spans="2:27" ht="25.5" customHeight="1">
      <c r="D56" s="242"/>
      <c r="E56" s="242"/>
      <c r="G56" s="254"/>
      <c r="K56" s="283"/>
      <c r="L56" s="283"/>
      <c r="M56" s="173"/>
      <c r="S56" s="173"/>
      <c r="Z56" s="150"/>
      <c r="AA56" s="150"/>
    </row>
    <row r="57" spans="2:27" ht="28.5">
      <c r="B57" s="124"/>
      <c r="C57" s="124"/>
      <c r="D57" s="124"/>
      <c r="E57" s="124"/>
      <c r="F57" s="124"/>
      <c r="I57" s="151"/>
      <c r="J57" s="151"/>
      <c r="K57" s="283"/>
      <c r="L57" s="283"/>
      <c r="M57" s="173"/>
      <c r="N57" s="148"/>
      <c r="O57" s="148"/>
      <c r="T57" s="148"/>
      <c r="U57" s="150"/>
      <c r="V57" s="150"/>
      <c r="W57" s="150"/>
      <c r="Y57" s="150"/>
      <c r="Z57" s="150"/>
      <c r="AA57" s="150"/>
    </row>
    <row r="58" spans="2:27" ht="28.5">
      <c r="B58" s="124"/>
      <c r="C58" s="124"/>
      <c r="D58" s="124"/>
      <c r="E58" s="124"/>
      <c r="F58" s="124"/>
      <c r="G58" s="124"/>
      <c r="H58" s="124"/>
      <c r="K58" s="283"/>
      <c r="L58" s="173"/>
      <c r="M58" s="364"/>
      <c r="N58" s="148"/>
      <c r="U58" s="148"/>
      <c r="V58" s="150"/>
      <c r="W58" s="150"/>
      <c r="X58" s="150"/>
      <c r="Y58" s="150"/>
      <c r="Z58" s="150"/>
    </row>
    <row r="59" spans="2:27" ht="28.5">
      <c r="B59" s="124"/>
      <c r="C59" s="124"/>
      <c r="D59" s="124"/>
      <c r="E59" s="124"/>
      <c r="F59" s="124"/>
      <c r="G59" s="124"/>
      <c r="H59" s="124"/>
      <c r="L59" s="153"/>
      <c r="N59" s="148"/>
      <c r="T59" s="148"/>
      <c r="U59" s="173"/>
      <c r="V59" s="173"/>
      <c r="W59" s="173"/>
      <c r="Y59" s="150"/>
    </row>
    <row r="60" spans="2:27" ht="23.25">
      <c r="G60" s="124"/>
      <c r="H60" s="124"/>
      <c r="L60" s="154"/>
      <c r="N60" s="257"/>
      <c r="T60" s="257"/>
      <c r="U60" s="150"/>
      <c r="V60" s="150"/>
      <c r="W60" s="150"/>
      <c r="Y60" s="150"/>
    </row>
    <row r="61" spans="2:27" ht="18.75">
      <c r="L61" s="155"/>
      <c r="M61" s="153"/>
      <c r="N61" s="148"/>
      <c r="T61" s="148"/>
      <c r="U61" s="150"/>
      <c r="V61" s="150"/>
      <c r="W61" s="150"/>
    </row>
    <row r="62" spans="2:27" ht="18.75">
      <c r="L62" s="156"/>
      <c r="M62" s="154"/>
      <c r="N62" s="247"/>
      <c r="T62" s="150"/>
      <c r="U62" s="150"/>
    </row>
    <row r="63" spans="2:27">
      <c r="L63" s="156"/>
      <c r="M63" s="155"/>
    </row>
    <row r="64" spans="2:27" ht="15.75">
      <c r="L64" s="156"/>
      <c r="M64" s="156"/>
      <c r="N64" s="153"/>
      <c r="Q64" s="152"/>
    </row>
    <row r="65" spans="9:24">
      <c r="L65" s="156"/>
      <c r="M65" s="156"/>
      <c r="N65" s="154"/>
    </row>
    <row r="66" spans="9:24">
      <c r="L66" s="156"/>
      <c r="M66" s="156"/>
      <c r="N66" s="155"/>
    </row>
    <row r="67" spans="9:24">
      <c r="L67" s="156"/>
      <c r="M67" s="156"/>
      <c r="N67" s="156"/>
    </row>
    <row r="68" spans="9:24">
      <c r="L68" s="156"/>
      <c r="M68" s="156"/>
      <c r="N68" s="156"/>
    </row>
    <row r="69" spans="9:24" s="123" customFormat="1">
      <c r="I69" s="124"/>
      <c r="J69" s="124"/>
      <c r="K69" s="124"/>
      <c r="L69" s="156"/>
      <c r="M69" s="156"/>
      <c r="N69" s="156"/>
      <c r="O69" s="124"/>
      <c r="P69" s="124"/>
      <c r="Q69" s="124"/>
      <c r="R69" s="124"/>
      <c r="S69" s="124"/>
      <c r="T69" s="124"/>
      <c r="U69" s="124"/>
      <c r="V69" s="124"/>
      <c r="W69" s="124"/>
      <c r="X69" s="124"/>
    </row>
    <row r="70" spans="9:24">
      <c r="L70" s="156"/>
      <c r="M70" s="156"/>
      <c r="N70" s="156"/>
    </row>
    <row r="71" spans="9:24">
      <c r="L71" s="156"/>
      <c r="M71" s="156"/>
      <c r="N71" s="156"/>
    </row>
    <row r="72" spans="9:24">
      <c r="M72" s="156"/>
      <c r="N72" s="156"/>
    </row>
    <row r="73" spans="9:24">
      <c r="M73" s="156"/>
      <c r="N73" s="156"/>
    </row>
    <row r="74" spans="9:24">
      <c r="N74" s="156"/>
    </row>
    <row r="75" spans="9:24">
      <c r="N75" s="156"/>
    </row>
    <row r="76" spans="9:24">
      <c r="N76" s="156"/>
    </row>
  </sheetData>
  <sheetProtection algorithmName="SHA-512" hashValue="gWlWbu560G0LDzRtpteixvU6CmmRs1gvII4Tg6BhHmvWCG0gHZ5KBIZP7W5lFDkkZeCb8kOds1LImudh7xxqFg==" saltValue="z8fc15LBbcBhzoxp25Oo+Q==" spinCount="100000" sheet="1" objects="1" scenarios="1"/>
  <mergeCells count="15">
    <mergeCell ref="H45:I45"/>
    <mergeCell ref="B2:X2"/>
    <mergeCell ref="H40:I40"/>
    <mergeCell ref="H41:I41"/>
    <mergeCell ref="H42:I42"/>
    <mergeCell ref="H44:I44"/>
    <mergeCell ref="H53:I53"/>
    <mergeCell ref="H54:I54"/>
    <mergeCell ref="H55:I55"/>
    <mergeCell ref="H46:I46"/>
    <mergeCell ref="H47:I47"/>
    <mergeCell ref="H48:I48"/>
    <mergeCell ref="H49:I49"/>
    <mergeCell ref="H50:I50"/>
    <mergeCell ref="H51:I51"/>
  </mergeCells>
  <printOptions horizontalCentered="1"/>
  <pageMargins left="0" right="0" top="0" bottom="0" header="0" footer="0"/>
  <pageSetup scale="38" orientation="landscape" horizontalDpi="360" verticalDpi="360" r:id="rId1"/>
  <ignoredErrors>
    <ignoredError sqref="L13" formula="1"/>
    <ignoredError sqref="H14" formulaRange="1"/>
  </ignoredErrors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9">
    <tabColor rgb="FFFFFF00"/>
    <pageSetUpPr fitToPage="1"/>
  </sheetPr>
  <dimension ref="B1:AI76"/>
  <sheetViews>
    <sheetView showGridLines="0" view="pageBreakPreview" zoomScale="80" zoomScaleNormal="90" zoomScaleSheetLayoutView="80" workbookViewId="0">
      <pane ySplit="3" topLeftCell="A37" activePane="bottomLeft" state="frozen"/>
      <selection activeCell="N12" sqref="N12"/>
      <selection pane="bottomLeft" activeCell="K56" sqref="K56"/>
    </sheetView>
  </sheetViews>
  <sheetFormatPr defaultRowHeight="15"/>
  <cols>
    <col min="1" max="1" width="1" style="124" customWidth="1"/>
    <col min="2" max="2" width="12.28515625" style="123" bestFit="1" customWidth="1"/>
    <col min="3" max="5" width="12.28515625" style="123" customWidth="1"/>
    <col min="6" max="6" width="14.140625" style="123" customWidth="1"/>
    <col min="7" max="7" width="14.42578125" style="123" bestFit="1" customWidth="1"/>
    <col min="8" max="8" width="14.85546875" style="123" customWidth="1"/>
    <col min="9" max="11" width="15.42578125" style="124" customWidth="1"/>
    <col min="12" max="14" width="17.42578125" style="124" customWidth="1"/>
    <col min="15" max="15" width="13.5703125" style="124" hidden="1" customWidth="1"/>
    <col min="16" max="16" width="14.140625" style="124" hidden="1" customWidth="1"/>
    <col min="17" max="19" width="19" style="124" customWidth="1"/>
    <col min="20" max="20" width="18.42578125" style="124" customWidth="1"/>
    <col min="21" max="21" width="13.85546875" style="124" customWidth="1"/>
    <col min="22" max="22" width="13.7109375" style="124" customWidth="1"/>
    <col min="23" max="23" width="13.7109375" style="124" hidden="1" customWidth="1"/>
    <col min="24" max="24" width="24.140625" style="124" bestFit="1" customWidth="1"/>
    <col min="25" max="25" width="1.5703125" style="124" customWidth="1"/>
    <col min="26" max="26" width="9.140625" style="124" hidden="1" customWidth="1"/>
    <col min="27" max="27" width="8.85546875" style="124" hidden="1" customWidth="1"/>
    <col min="28" max="28" width="10.140625" style="124" hidden="1" customWidth="1"/>
    <col min="29" max="29" width="12.140625" style="124" hidden="1" customWidth="1"/>
    <col min="30" max="30" width="9.140625" style="124" hidden="1" customWidth="1"/>
    <col min="31" max="31" width="9.28515625" style="124" hidden="1" customWidth="1"/>
    <col min="32" max="32" width="11" style="124" hidden="1" customWidth="1"/>
    <col min="33" max="33" width="7.140625" style="124" hidden="1" customWidth="1"/>
    <col min="34" max="34" width="10.42578125" style="124" hidden="1" customWidth="1"/>
    <col min="35" max="35" width="10.5703125" style="124" hidden="1" customWidth="1"/>
    <col min="36" max="16384" width="9.140625" style="124"/>
  </cols>
  <sheetData>
    <row r="1" spans="2:34" ht="24.75" customHeight="1" thickBot="1"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</row>
    <row r="2" spans="2:34" ht="28.5" customHeight="1" thickBot="1">
      <c r="B2" s="414" t="s">
        <v>243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415"/>
      <c r="X2" s="416"/>
    </row>
    <row r="3" spans="2:34" ht="60.75" thickBot="1">
      <c r="B3" s="125" t="s">
        <v>94</v>
      </c>
      <c r="C3" s="126" t="s">
        <v>121</v>
      </c>
      <c r="D3" s="126" t="s">
        <v>216</v>
      </c>
      <c r="E3" s="126" t="s">
        <v>215</v>
      </c>
      <c r="F3" s="126" t="s">
        <v>188</v>
      </c>
      <c r="G3" s="126" t="s">
        <v>186</v>
      </c>
      <c r="H3" s="126" t="s">
        <v>163</v>
      </c>
      <c r="I3" s="127" t="s">
        <v>111</v>
      </c>
      <c r="J3" s="127" t="s">
        <v>217</v>
      </c>
      <c r="K3" s="127" t="s">
        <v>183</v>
      </c>
      <c r="L3" s="127" t="s">
        <v>180</v>
      </c>
      <c r="M3" s="127" t="s">
        <v>181</v>
      </c>
      <c r="N3" s="127" t="s">
        <v>182</v>
      </c>
      <c r="O3" s="128">
        <v>-1</v>
      </c>
      <c r="P3" s="157">
        <f>-100%-O3</f>
        <v>0</v>
      </c>
      <c r="Q3" s="127" t="s">
        <v>141</v>
      </c>
      <c r="R3" s="127" t="s">
        <v>142</v>
      </c>
      <c r="S3" s="127" t="s">
        <v>208</v>
      </c>
      <c r="T3" s="127" t="s">
        <v>125</v>
      </c>
      <c r="U3" s="206" t="s">
        <v>143</v>
      </c>
      <c r="V3" s="127" t="s">
        <v>97</v>
      </c>
      <c r="W3" s="127" t="s">
        <v>144</v>
      </c>
      <c r="X3" s="129" t="s">
        <v>96</v>
      </c>
      <c r="AA3" s="130" t="s">
        <v>106</v>
      </c>
      <c r="AB3" s="130" t="s">
        <v>95</v>
      </c>
      <c r="AC3" s="130" t="s">
        <v>107</v>
      </c>
      <c r="AD3" s="131" t="s">
        <v>108</v>
      </c>
      <c r="AE3" s="131" t="s">
        <v>109</v>
      </c>
      <c r="AF3" s="130" t="s">
        <v>147</v>
      </c>
      <c r="AG3" s="130" t="s">
        <v>110</v>
      </c>
      <c r="AH3" s="130" t="s">
        <v>120</v>
      </c>
    </row>
    <row r="4" spans="2:34" ht="26.25" customHeight="1">
      <c r="B4" s="132">
        <v>44593</v>
      </c>
      <c r="C4" s="240"/>
      <c r="D4" s="240">
        <v>0</v>
      </c>
      <c r="E4" s="240">
        <v>0</v>
      </c>
      <c r="F4" s="240">
        <v>0</v>
      </c>
      <c r="G4" s="240">
        <v>0</v>
      </c>
      <c r="H4" s="292">
        <f t="shared" ref="H4:H9" si="0">SUM(F4:G4)</f>
        <v>0</v>
      </c>
      <c r="I4" s="133">
        <v>0</v>
      </c>
      <c r="J4" s="137">
        <f t="shared" ref="J4:J9" si="1">SUM(D4:E4)</f>
        <v>0</v>
      </c>
      <c r="K4" s="133">
        <v>0</v>
      </c>
      <c r="L4" s="256">
        <f t="shared" ref="L4:L9" si="2">-F4-G4-I4-K4+E4</f>
        <v>0</v>
      </c>
      <c r="M4" s="133">
        <v>0</v>
      </c>
      <c r="N4" s="256">
        <f>L4+M4</f>
        <v>0</v>
      </c>
      <c r="O4" s="321"/>
      <c r="P4" s="321"/>
      <c r="Q4" s="210">
        <v>0</v>
      </c>
      <c r="R4" s="210">
        <f>Q4-S4</f>
        <v>0</v>
      </c>
      <c r="S4" s="134">
        <v>0</v>
      </c>
      <c r="T4" s="159">
        <f>S4*1.7%</f>
        <v>0</v>
      </c>
      <c r="U4" s="158">
        <f>R4*1.7%</f>
        <v>0</v>
      </c>
      <c r="V4" s="158">
        <f>SUM(T4:U4)</f>
        <v>0</v>
      </c>
      <c r="W4" s="293"/>
      <c r="X4" s="286">
        <f>O4+W4-T4</f>
        <v>0</v>
      </c>
      <c r="AA4" s="164">
        <f>H4</f>
        <v>0</v>
      </c>
      <c r="AB4" s="165">
        <f>I4+K4</f>
        <v>0</v>
      </c>
      <c r="AC4" s="165">
        <f>R4</f>
        <v>0</v>
      </c>
      <c r="AD4" s="165">
        <f>W4</f>
        <v>0</v>
      </c>
      <c r="AE4" s="165">
        <f>N4</f>
        <v>0</v>
      </c>
      <c r="AF4" s="165">
        <f>S4</f>
        <v>0</v>
      </c>
      <c r="AG4" s="165"/>
      <c r="AH4" s="213">
        <f>C4</f>
        <v>0</v>
      </c>
    </row>
    <row r="5" spans="2:34" ht="26.25" customHeight="1">
      <c r="B5" s="166">
        <f>B4+1</f>
        <v>44594</v>
      </c>
      <c r="C5" s="221"/>
      <c r="D5" s="221">
        <v>0</v>
      </c>
      <c r="E5" s="291">
        <v>0</v>
      </c>
      <c r="F5" s="291">
        <v>0</v>
      </c>
      <c r="G5" s="291">
        <v>0</v>
      </c>
      <c r="H5" s="292">
        <f t="shared" si="0"/>
        <v>0</v>
      </c>
      <c r="I5" s="136">
        <v>0</v>
      </c>
      <c r="J5" s="137">
        <f t="shared" si="1"/>
        <v>0</v>
      </c>
      <c r="K5" s="136">
        <v>0</v>
      </c>
      <c r="L5" s="256">
        <f t="shared" si="2"/>
        <v>0</v>
      </c>
      <c r="M5" s="136">
        <v>0</v>
      </c>
      <c r="N5" s="256">
        <f>L5+M5</f>
        <v>0</v>
      </c>
      <c r="O5" s="323"/>
      <c r="P5" s="323"/>
      <c r="Q5" s="135">
        <v>0</v>
      </c>
      <c r="R5" s="211">
        <f>Q5-S5</f>
        <v>0</v>
      </c>
      <c r="S5" s="135">
        <v>0</v>
      </c>
      <c r="T5" s="159">
        <f>S5*1.7%</f>
        <v>0</v>
      </c>
      <c r="U5" s="159">
        <f>R5*1.7%</f>
        <v>0</v>
      </c>
      <c r="V5" s="159">
        <f>SUM(T5:U5)</f>
        <v>0</v>
      </c>
      <c r="W5" s="294"/>
      <c r="X5" s="162">
        <f>O5+W5-T5</f>
        <v>0</v>
      </c>
      <c r="AA5" s="164">
        <f t="shared" ref="AA5:AA34" si="3">AA4+H5</f>
        <v>0</v>
      </c>
      <c r="AB5" s="165">
        <f t="shared" ref="AB5:AB34" si="4">AB4+I5+K5</f>
        <v>0</v>
      </c>
      <c r="AC5" s="165">
        <f t="shared" ref="AC5:AC34" si="5">R5+AC4</f>
        <v>0</v>
      </c>
      <c r="AD5" s="165">
        <f>W5+AD4</f>
        <v>0</v>
      </c>
      <c r="AE5" s="165">
        <f t="shared" ref="AE5:AE34" si="6">AE4+N5</f>
        <v>0</v>
      </c>
      <c r="AF5" s="165">
        <f t="shared" ref="AF5:AF34" si="7">S5+AF4</f>
        <v>0</v>
      </c>
      <c r="AG5" s="165"/>
      <c r="AH5" s="230">
        <f t="shared" ref="AH5:AH34" si="8">C5+AH4</f>
        <v>0</v>
      </c>
    </row>
    <row r="6" spans="2:34" ht="26.25" customHeight="1">
      <c r="B6" s="166">
        <f t="shared" ref="B6:B34" si="9">B5+1</f>
        <v>44595</v>
      </c>
      <c r="C6" s="221"/>
      <c r="D6" s="221">
        <v>0</v>
      </c>
      <c r="E6" s="291">
        <v>0</v>
      </c>
      <c r="F6" s="291">
        <v>30000</v>
      </c>
      <c r="G6" s="291">
        <v>0</v>
      </c>
      <c r="H6" s="292">
        <f t="shared" si="0"/>
        <v>30000</v>
      </c>
      <c r="I6" s="136">
        <v>0</v>
      </c>
      <c r="J6" s="137">
        <f t="shared" si="1"/>
        <v>0</v>
      </c>
      <c r="K6" s="136">
        <v>0</v>
      </c>
      <c r="L6" s="256">
        <f>-F6-G6-I6-K6+E6</f>
        <v>-30000</v>
      </c>
      <c r="M6" s="136">
        <v>0</v>
      </c>
      <c r="N6" s="256">
        <f t="shared" ref="N6:N34" si="10">L6+M6</f>
        <v>-30000</v>
      </c>
      <c r="O6" s="323"/>
      <c r="P6" s="323"/>
      <c r="Q6" s="135">
        <v>28050</v>
      </c>
      <c r="R6" s="211">
        <f>Q6-S6</f>
        <v>28050</v>
      </c>
      <c r="S6" s="135">
        <v>0</v>
      </c>
      <c r="T6" s="159">
        <f t="shared" ref="T6:T34" si="11">S6*1.7%</f>
        <v>0</v>
      </c>
      <c r="U6" s="159">
        <f t="shared" ref="U6:U29" si="12">R6*1.7%</f>
        <v>476.85</v>
      </c>
      <c r="V6" s="159">
        <f t="shared" ref="V6:V35" si="13">SUM(T6:U6)</f>
        <v>476.85</v>
      </c>
      <c r="W6" s="294"/>
      <c r="X6" s="162">
        <f t="shared" ref="X6:X34" si="14">O6+W6-T6</f>
        <v>0</v>
      </c>
      <c r="AA6" s="164">
        <f t="shared" si="3"/>
        <v>30000</v>
      </c>
      <c r="AB6" s="165">
        <f t="shared" si="4"/>
        <v>0</v>
      </c>
      <c r="AC6" s="165">
        <f t="shared" si="5"/>
        <v>28050</v>
      </c>
      <c r="AD6" s="165">
        <f t="shared" ref="AD6:AD34" si="15">W6+AD5</f>
        <v>0</v>
      </c>
      <c r="AE6" s="165">
        <f t="shared" si="6"/>
        <v>-30000</v>
      </c>
      <c r="AF6" s="165">
        <f t="shared" si="7"/>
        <v>0</v>
      </c>
      <c r="AG6" s="165"/>
      <c r="AH6" s="230">
        <f t="shared" si="8"/>
        <v>0</v>
      </c>
    </row>
    <row r="7" spans="2:34" ht="26.25" customHeight="1">
      <c r="B7" s="166">
        <f t="shared" si="9"/>
        <v>44596</v>
      </c>
      <c r="C7" s="221"/>
      <c r="D7" s="221">
        <v>0</v>
      </c>
      <c r="E7" s="291">
        <v>0</v>
      </c>
      <c r="F7" s="291">
        <v>0</v>
      </c>
      <c r="G7" s="291">
        <v>0</v>
      </c>
      <c r="H7" s="292">
        <f t="shared" si="0"/>
        <v>0</v>
      </c>
      <c r="I7" s="136">
        <v>0</v>
      </c>
      <c r="J7" s="137">
        <f t="shared" si="1"/>
        <v>0</v>
      </c>
      <c r="K7" s="136">
        <v>0</v>
      </c>
      <c r="L7" s="256">
        <v>0</v>
      </c>
      <c r="M7" s="136">
        <v>0</v>
      </c>
      <c r="N7" s="256">
        <f t="shared" si="10"/>
        <v>0</v>
      </c>
      <c r="O7" s="323"/>
      <c r="P7" s="323"/>
      <c r="Q7" s="135">
        <v>0</v>
      </c>
      <c r="R7" s="211">
        <f t="shared" ref="R7:R33" si="16">Q7-S7</f>
        <v>0</v>
      </c>
      <c r="S7" s="135">
        <v>0</v>
      </c>
      <c r="T7" s="159">
        <f t="shared" si="11"/>
        <v>0</v>
      </c>
      <c r="U7" s="159">
        <f t="shared" si="12"/>
        <v>0</v>
      </c>
      <c r="V7" s="159">
        <f t="shared" si="13"/>
        <v>0</v>
      </c>
      <c r="W7" s="294"/>
      <c r="X7" s="162">
        <f t="shared" si="14"/>
        <v>0</v>
      </c>
      <c r="AA7" s="164">
        <f t="shared" si="3"/>
        <v>30000</v>
      </c>
      <c r="AB7" s="165">
        <f t="shared" si="4"/>
        <v>0</v>
      </c>
      <c r="AC7" s="165">
        <f t="shared" si="5"/>
        <v>28050</v>
      </c>
      <c r="AD7" s="165">
        <f t="shared" si="15"/>
        <v>0</v>
      </c>
      <c r="AE7" s="165">
        <f t="shared" si="6"/>
        <v>-30000</v>
      </c>
      <c r="AF7" s="165">
        <f t="shared" si="7"/>
        <v>0</v>
      </c>
      <c r="AG7" s="165"/>
      <c r="AH7" s="230">
        <f t="shared" si="8"/>
        <v>0</v>
      </c>
    </row>
    <row r="8" spans="2:34" ht="26.25" customHeight="1">
      <c r="B8" s="166">
        <f t="shared" si="9"/>
        <v>44597</v>
      </c>
      <c r="C8" s="221"/>
      <c r="D8" s="221">
        <v>0</v>
      </c>
      <c r="E8" s="291">
        <v>0</v>
      </c>
      <c r="F8" s="291">
        <v>0</v>
      </c>
      <c r="G8" s="291">
        <v>0</v>
      </c>
      <c r="H8" s="292">
        <f t="shared" si="0"/>
        <v>0</v>
      </c>
      <c r="I8" s="137">
        <v>0</v>
      </c>
      <c r="J8" s="137">
        <f t="shared" si="1"/>
        <v>0</v>
      </c>
      <c r="K8" s="136">
        <v>0</v>
      </c>
      <c r="L8" s="256">
        <f t="shared" si="2"/>
        <v>0</v>
      </c>
      <c r="M8" s="136">
        <v>0</v>
      </c>
      <c r="N8" s="256">
        <f t="shared" si="10"/>
        <v>0</v>
      </c>
      <c r="O8" s="323"/>
      <c r="P8" s="323"/>
      <c r="Q8" s="135">
        <v>0</v>
      </c>
      <c r="R8" s="211">
        <f t="shared" si="16"/>
        <v>0</v>
      </c>
      <c r="S8" s="135">
        <v>0</v>
      </c>
      <c r="T8" s="159">
        <f t="shared" si="11"/>
        <v>0</v>
      </c>
      <c r="U8" s="159">
        <f t="shared" si="12"/>
        <v>0</v>
      </c>
      <c r="V8" s="159">
        <f t="shared" si="13"/>
        <v>0</v>
      </c>
      <c r="W8" s="294"/>
      <c r="X8" s="162">
        <f t="shared" si="14"/>
        <v>0</v>
      </c>
      <c r="AA8" s="164">
        <f t="shared" si="3"/>
        <v>30000</v>
      </c>
      <c r="AB8" s="165">
        <f t="shared" si="4"/>
        <v>0</v>
      </c>
      <c r="AC8" s="165">
        <f t="shared" si="5"/>
        <v>28050</v>
      </c>
      <c r="AD8" s="165">
        <f t="shared" si="15"/>
        <v>0</v>
      </c>
      <c r="AE8" s="165">
        <f t="shared" si="6"/>
        <v>-30000</v>
      </c>
      <c r="AF8" s="165">
        <f t="shared" si="7"/>
        <v>0</v>
      </c>
      <c r="AG8" s="165"/>
      <c r="AH8" s="230">
        <f t="shared" si="8"/>
        <v>0</v>
      </c>
    </row>
    <row r="9" spans="2:34" ht="26.25" customHeight="1">
      <c r="B9" s="166">
        <f t="shared" si="9"/>
        <v>44598</v>
      </c>
      <c r="C9" s="221"/>
      <c r="D9" s="221">
        <v>0</v>
      </c>
      <c r="E9" s="291">
        <v>0</v>
      </c>
      <c r="F9" s="291">
        <v>0</v>
      </c>
      <c r="G9" s="291">
        <v>0</v>
      </c>
      <c r="H9" s="292">
        <f t="shared" si="0"/>
        <v>0</v>
      </c>
      <c r="I9" s="137">
        <v>0</v>
      </c>
      <c r="J9" s="137">
        <f t="shared" si="1"/>
        <v>0</v>
      </c>
      <c r="K9" s="137">
        <v>0</v>
      </c>
      <c r="L9" s="256">
        <f t="shared" si="2"/>
        <v>0</v>
      </c>
      <c r="M9" s="136">
        <v>0</v>
      </c>
      <c r="N9" s="256">
        <f t="shared" si="10"/>
        <v>0</v>
      </c>
      <c r="O9" s="323"/>
      <c r="P9" s="323"/>
      <c r="Q9" s="135">
        <v>0</v>
      </c>
      <c r="R9" s="211">
        <f t="shared" si="16"/>
        <v>0</v>
      </c>
      <c r="S9" s="135">
        <v>0</v>
      </c>
      <c r="T9" s="159">
        <f t="shared" si="11"/>
        <v>0</v>
      </c>
      <c r="U9" s="159">
        <f t="shared" si="12"/>
        <v>0</v>
      </c>
      <c r="V9" s="159">
        <f t="shared" si="13"/>
        <v>0</v>
      </c>
      <c r="W9" s="294"/>
      <c r="X9" s="162">
        <f t="shared" si="14"/>
        <v>0</v>
      </c>
      <c r="AA9" s="164">
        <f t="shared" si="3"/>
        <v>30000</v>
      </c>
      <c r="AB9" s="165">
        <f t="shared" si="4"/>
        <v>0</v>
      </c>
      <c r="AC9" s="165">
        <f t="shared" si="5"/>
        <v>28050</v>
      </c>
      <c r="AD9" s="165">
        <f t="shared" si="15"/>
        <v>0</v>
      </c>
      <c r="AE9" s="165">
        <f t="shared" si="6"/>
        <v>-30000</v>
      </c>
      <c r="AF9" s="165">
        <f t="shared" si="7"/>
        <v>0</v>
      </c>
      <c r="AG9" s="165"/>
      <c r="AH9" s="230">
        <f t="shared" si="8"/>
        <v>0</v>
      </c>
    </row>
    <row r="10" spans="2:34" ht="26.25" customHeight="1">
      <c r="B10" s="166">
        <f t="shared" si="9"/>
        <v>44599</v>
      </c>
      <c r="C10" s="221"/>
      <c r="D10" s="221">
        <v>0</v>
      </c>
      <c r="E10" s="291">
        <v>0</v>
      </c>
      <c r="F10" s="291">
        <v>0</v>
      </c>
      <c r="G10" s="291">
        <v>0</v>
      </c>
      <c r="H10" s="292">
        <f t="shared" ref="H10:H35" si="17">SUM(F10:G10)</f>
        <v>0</v>
      </c>
      <c r="I10" s="137">
        <v>0</v>
      </c>
      <c r="J10" s="137">
        <f t="shared" ref="J10:J35" si="18">SUM(D10:E10)</f>
        <v>0</v>
      </c>
      <c r="K10" s="137">
        <v>0</v>
      </c>
      <c r="L10" s="256">
        <f>-F10-G10-I10-K10+E10</f>
        <v>0</v>
      </c>
      <c r="M10" s="136">
        <v>0</v>
      </c>
      <c r="N10" s="256">
        <f t="shared" si="10"/>
        <v>0</v>
      </c>
      <c r="O10" s="323"/>
      <c r="P10" s="323"/>
      <c r="Q10" s="135">
        <v>0</v>
      </c>
      <c r="R10" s="211">
        <f t="shared" si="16"/>
        <v>0</v>
      </c>
      <c r="S10" s="135">
        <v>0</v>
      </c>
      <c r="T10" s="159">
        <f t="shared" si="11"/>
        <v>0</v>
      </c>
      <c r="U10" s="159">
        <f t="shared" si="12"/>
        <v>0</v>
      </c>
      <c r="V10" s="159">
        <f t="shared" si="13"/>
        <v>0</v>
      </c>
      <c r="W10" s="294"/>
      <c r="X10" s="162">
        <f t="shared" si="14"/>
        <v>0</v>
      </c>
      <c r="AA10" s="164">
        <f t="shared" si="3"/>
        <v>30000</v>
      </c>
      <c r="AB10" s="165">
        <f t="shared" si="4"/>
        <v>0</v>
      </c>
      <c r="AC10" s="165">
        <f t="shared" si="5"/>
        <v>28050</v>
      </c>
      <c r="AD10" s="165">
        <f t="shared" si="15"/>
        <v>0</v>
      </c>
      <c r="AE10" s="165">
        <f t="shared" si="6"/>
        <v>-30000</v>
      </c>
      <c r="AF10" s="165">
        <f t="shared" si="7"/>
        <v>0</v>
      </c>
      <c r="AG10" s="165"/>
      <c r="AH10" s="230">
        <f>C10+AH9</f>
        <v>0</v>
      </c>
    </row>
    <row r="11" spans="2:34" ht="26.25" customHeight="1">
      <c r="B11" s="166">
        <f t="shared" si="9"/>
        <v>44600</v>
      </c>
      <c r="C11" s="221"/>
      <c r="D11" s="221">
        <v>0</v>
      </c>
      <c r="E11" s="291">
        <v>0</v>
      </c>
      <c r="F11" s="291">
        <v>0</v>
      </c>
      <c r="G11" s="291">
        <v>0</v>
      </c>
      <c r="H11" s="292">
        <f t="shared" si="17"/>
        <v>0</v>
      </c>
      <c r="I11" s="137">
        <v>0</v>
      </c>
      <c r="J11" s="137">
        <f t="shared" si="18"/>
        <v>0</v>
      </c>
      <c r="K11" s="137">
        <v>0</v>
      </c>
      <c r="L11" s="256">
        <f t="shared" ref="L11:L34" si="19">-F11-G11-I11-K11+E11</f>
        <v>0</v>
      </c>
      <c r="M11" s="136">
        <v>0</v>
      </c>
      <c r="N11" s="256">
        <f t="shared" si="10"/>
        <v>0</v>
      </c>
      <c r="O11" s="323"/>
      <c r="P11" s="323"/>
      <c r="Q11" s="135">
        <v>0</v>
      </c>
      <c r="R11" s="211">
        <f t="shared" si="16"/>
        <v>0</v>
      </c>
      <c r="S11" s="135">
        <v>0</v>
      </c>
      <c r="T11" s="159">
        <f t="shared" si="11"/>
        <v>0</v>
      </c>
      <c r="U11" s="159">
        <f t="shared" si="12"/>
        <v>0</v>
      </c>
      <c r="V11" s="159">
        <f t="shared" si="13"/>
        <v>0</v>
      </c>
      <c r="W11" s="294"/>
      <c r="X11" s="162">
        <f t="shared" si="14"/>
        <v>0</v>
      </c>
      <c r="AA11" s="164">
        <f t="shared" si="3"/>
        <v>30000</v>
      </c>
      <c r="AB11" s="165">
        <f t="shared" si="4"/>
        <v>0</v>
      </c>
      <c r="AC11" s="165">
        <f t="shared" si="5"/>
        <v>28050</v>
      </c>
      <c r="AD11" s="165">
        <f t="shared" si="15"/>
        <v>0</v>
      </c>
      <c r="AE11" s="165">
        <f t="shared" si="6"/>
        <v>-30000</v>
      </c>
      <c r="AF11" s="165">
        <f t="shared" si="7"/>
        <v>0</v>
      </c>
      <c r="AG11" s="165"/>
      <c r="AH11" s="230">
        <f t="shared" si="8"/>
        <v>0</v>
      </c>
    </row>
    <row r="12" spans="2:34" ht="26.25" customHeight="1">
      <c r="B12" s="166">
        <f t="shared" si="9"/>
        <v>44601</v>
      </c>
      <c r="C12" s="221"/>
      <c r="D12" s="221">
        <v>0</v>
      </c>
      <c r="E12" s="291">
        <v>0</v>
      </c>
      <c r="F12" s="291">
        <v>0</v>
      </c>
      <c r="G12" s="291">
        <v>0</v>
      </c>
      <c r="H12" s="292">
        <f t="shared" si="17"/>
        <v>0</v>
      </c>
      <c r="I12" s="137">
        <v>0</v>
      </c>
      <c r="J12" s="137">
        <f t="shared" si="18"/>
        <v>0</v>
      </c>
      <c r="K12" s="137">
        <v>0</v>
      </c>
      <c r="L12" s="256">
        <f t="shared" si="19"/>
        <v>0</v>
      </c>
      <c r="M12" s="136">
        <v>0</v>
      </c>
      <c r="N12" s="256">
        <f t="shared" si="10"/>
        <v>0</v>
      </c>
      <c r="O12" s="323"/>
      <c r="P12" s="323"/>
      <c r="Q12" s="135">
        <v>0</v>
      </c>
      <c r="R12" s="211">
        <f t="shared" si="16"/>
        <v>0</v>
      </c>
      <c r="S12" s="135">
        <v>0</v>
      </c>
      <c r="T12" s="159">
        <f t="shared" si="11"/>
        <v>0</v>
      </c>
      <c r="U12" s="159">
        <f t="shared" si="12"/>
        <v>0</v>
      </c>
      <c r="V12" s="159">
        <f t="shared" si="13"/>
        <v>0</v>
      </c>
      <c r="W12" s="294"/>
      <c r="X12" s="162">
        <f t="shared" si="14"/>
        <v>0</v>
      </c>
      <c r="AA12" s="164">
        <f t="shared" si="3"/>
        <v>30000</v>
      </c>
      <c r="AB12" s="165">
        <f t="shared" si="4"/>
        <v>0</v>
      </c>
      <c r="AC12" s="165">
        <f t="shared" si="5"/>
        <v>28050</v>
      </c>
      <c r="AD12" s="165">
        <f t="shared" si="15"/>
        <v>0</v>
      </c>
      <c r="AE12" s="165">
        <f t="shared" si="6"/>
        <v>-30000</v>
      </c>
      <c r="AF12" s="165">
        <f t="shared" si="7"/>
        <v>0</v>
      </c>
      <c r="AG12" s="165"/>
      <c r="AH12" s="230">
        <f t="shared" si="8"/>
        <v>0</v>
      </c>
    </row>
    <row r="13" spans="2:34" ht="26.25" customHeight="1">
      <c r="B13" s="166">
        <f t="shared" si="9"/>
        <v>44602</v>
      </c>
      <c r="C13" s="221"/>
      <c r="D13" s="221">
        <v>0</v>
      </c>
      <c r="E13" s="291">
        <v>0</v>
      </c>
      <c r="F13" s="221">
        <v>13870</v>
      </c>
      <c r="G13" s="221">
        <v>-30000</v>
      </c>
      <c r="H13" s="292">
        <f t="shared" si="17"/>
        <v>-16130</v>
      </c>
      <c r="I13" s="137">
        <v>0</v>
      </c>
      <c r="J13" s="137">
        <f t="shared" si="18"/>
        <v>0</v>
      </c>
      <c r="K13" s="137">
        <v>0</v>
      </c>
      <c r="L13" s="256">
        <f t="shared" si="19"/>
        <v>16130</v>
      </c>
      <c r="M13" s="136">
        <v>1500</v>
      </c>
      <c r="N13" s="256">
        <f t="shared" si="10"/>
        <v>17630</v>
      </c>
      <c r="O13" s="323"/>
      <c r="P13" s="323"/>
      <c r="Q13" s="135">
        <v>0</v>
      </c>
      <c r="R13" s="211">
        <f t="shared" si="16"/>
        <v>0</v>
      </c>
      <c r="S13" s="135">
        <v>0</v>
      </c>
      <c r="T13" s="159">
        <f t="shared" si="11"/>
        <v>0</v>
      </c>
      <c r="U13" s="159">
        <f t="shared" si="12"/>
        <v>0</v>
      </c>
      <c r="V13" s="159">
        <f t="shared" si="13"/>
        <v>0</v>
      </c>
      <c r="W13" s="294"/>
      <c r="X13" s="162">
        <f t="shared" si="14"/>
        <v>0</v>
      </c>
      <c r="AA13" s="164">
        <f t="shared" si="3"/>
        <v>13870</v>
      </c>
      <c r="AB13" s="165">
        <f t="shared" si="4"/>
        <v>0</v>
      </c>
      <c r="AC13" s="165">
        <f>R13+AC12</f>
        <v>28050</v>
      </c>
      <c r="AD13" s="165">
        <f t="shared" si="15"/>
        <v>0</v>
      </c>
      <c r="AE13" s="165">
        <f t="shared" si="6"/>
        <v>-12370</v>
      </c>
      <c r="AF13" s="165">
        <f t="shared" si="7"/>
        <v>0</v>
      </c>
      <c r="AG13" s="165"/>
      <c r="AH13" s="230">
        <f t="shared" si="8"/>
        <v>0</v>
      </c>
    </row>
    <row r="14" spans="2:34" ht="26.25" customHeight="1">
      <c r="B14" s="166">
        <f t="shared" si="9"/>
        <v>44603</v>
      </c>
      <c r="C14" s="221"/>
      <c r="D14" s="221">
        <v>0</v>
      </c>
      <c r="E14" s="291">
        <v>0</v>
      </c>
      <c r="F14" s="221">
        <v>0</v>
      </c>
      <c r="G14" s="221">
        <v>0</v>
      </c>
      <c r="H14" s="292">
        <f>SUM(F14:G14)</f>
        <v>0</v>
      </c>
      <c r="I14" s="137">
        <v>0</v>
      </c>
      <c r="J14" s="137">
        <f t="shared" si="18"/>
        <v>0</v>
      </c>
      <c r="K14" s="137">
        <v>0</v>
      </c>
      <c r="L14" s="256">
        <f t="shared" si="19"/>
        <v>0</v>
      </c>
      <c r="M14" s="136">
        <v>0</v>
      </c>
      <c r="N14" s="256">
        <f t="shared" si="10"/>
        <v>0</v>
      </c>
      <c r="O14" s="323"/>
      <c r="P14" s="323"/>
      <c r="Q14" s="135">
        <v>0</v>
      </c>
      <c r="R14" s="211">
        <f t="shared" si="16"/>
        <v>0</v>
      </c>
      <c r="S14" s="135">
        <v>0</v>
      </c>
      <c r="T14" s="159">
        <f t="shared" si="11"/>
        <v>0</v>
      </c>
      <c r="U14" s="159">
        <f t="shared" si="12"/>
        <v>0</v>
      </c>
      <c r="V14" s="159">
        <f t="shared" si="13"/>
        <v>0</v>
      </c>
      <c r="W14" s="294"/>
      <c r="X14" s="162">
        <f t="shared" si="14"/>
        <v>0</v>
      </c>
      <c r="AA14" s="164">
        <f t="shared" si="3"/>
        <v>13870</v>
      </c>
      <c r="AB14" s="165">
        <f t="shared" si="4"/>
        <v>0</v>
      </c>
      <c r="AC14" s="165">
        <f t="shared" si="5"/>
        <v>28050</v>
      </c>
      <c r="AD14" s="165">
        <f t="shared" si="15"/>
        <v>0</v>
      </c>
      <c r="AE14" s="165">
        <f t="shared" si="6"/>
        <v>-12370</v>
      </c>
      <c r="AF14" s="165">
        <f t="shared" si="7"/>
        <v>0</v>
      </c>
      <c r="AG14" s="165"/>
      <c r="AH14" s="230">
        <f t="shared" si="8"/>
        <v>0</v>
      </c>
    </row>
    <row r="15" spans="2:34" ht="26.25" customHeight="1">
      <c r="B15" s="166">
        <f t="shared" si="9"/>
        <v>44604</v>
      </c>
      <c r="C15" s="221"/>
      <c r="D15" s="221">
        <v>0</v>
      </c>
      <c r="E15" s="291">
        <v>0</v>
      </c>
      <c r="F15" s="221">
        <v>0</v>
      </c>
      <c r="G15" s="221">
        <v>0</v>
      </c>
      <c r="H15" s="292">
        <f t="shared" si="17"/>
        <v>0</v>
      </c>
      <c r="I15" s="137">
        <v>0</v>
      </c>
      <c r="J15" s="137">
        <f t="shared" si="18"/>
        <v>0</v>
      </c>
      <c r="K15" s="298">
        <v>0</v>
      </c>
      <c r="L15" s="256">
        <f t="shared" si="19"/>
        <v>0</v>
      </c>
      <c r="M15" s="275">
        <v>0</v>
      </c>
      <c r="N15" s="299">
        <f>L15+M15</f>
        <v>0</v>
      </c>
      <c r="O15" s="323"/>
      <c r="P15" s="323"/>
      <c r="Q15" s="197">
        <v>0</v>
      </c>
      <c r="R15" s="279">
        <f t="shared" si="16"/>
        <v>0</v>
      </c>
      <c r="S15" s="197">
        <v>0</v>
      </c>
      <c r="T15" s="159">
        <f t="shared" si="11"/>
        <v>0</v>
      </c>
      <c r="U15" s="159">
        <f t="shared" si="12"/>
        <v>0</v>
      </c>
      <c r="V15" s="159">
        <f t="shared" si="13"/>
        <v>0</v>
      </c>
      <c r="W15" s="294"/>
      <c r="X15" s="162">
        <f t="shared" si="14"/>
        <v>0</v>
      </c>
      <c r="AA15" s="164">
        <f t="shared" si="3"/>
        <v>13870</v>
      </c>
      <c r="AB15" s="165">
        <f t="shared" si="4"/>
        <v>0</v>
      </c>
      <c r="AC15" s="165">
        <f t="shared" si="5"/>
        <v>28050</v>
      </c>
      <c r="AD15" s="165">
        <f t="shared" si="15"/>
        <v>0</v>
      </c>
      <c r="AE15" s="165">
        <f t="shared" si="6"/>
        <v>-12370</v>
      </c>
      <c r="AF15" s="165">
        <f t="shared" si="7"/>
        <v>0</v>
      </c>
      <c r="AG15" s="165"/>
      <c r="AH15" s="230">
        <f t="shared" si="8"/>
        <v>0</v>
      </c>
    </row>
    <row r="16" spans="2:34" ht="26.25" customHeight="1">
      <c r="B16" s="166">
        <f t="shared" si="9"/>
        <v>44605</v>
      </c>
      <c r="C16" s="221"/>
      <c r="D16" s="221">
        <v>0</v>
      </c>
      <c r="E16" s="291">
        <v>0</v>
      </c>
      <c r="F16" s="221">
        <v>0</v>
      </c>
      <c r="G16" s="221">
        <v>0</v>
      </c>
      <c r="H16" s="292">
        <f t="shared" si="17"/>
        <v>0</v>
      </c>
      <c r="I16" s="137">
        <v>0</v>
      </c>
      <c r="J16" s="137">
        <f t="shared" si="18"/>
        <v>0</v>
      </c>
      <c r="K16" s="298">
        <v>0</v>
      </c>
      <c r="L16" s="256">
        <f t="shared" si="19"/>
        <v>0</v>
      </c>
      <c r="M16" s="275">
        <v>0</v>
      </c>
      <c r="N16" s="256">
        <f t="shared" si="10"/>
        <v>0</v>
      </c>
      <c r="O16" s="323"/>
      <c r="P16" s="323"/>
      <c r="Q16" s="197">
        <v>0</v>
      </c>
      <c r="R16" s="211">
        <f t="shared" si="16"/>
        <v>0</v>
      </c>
      <c r="S16" s="197">
        <v>0</v>
      </c>
      <c r="T16" s="159">
        <f t="shared" si="11"/>
        <v>0</v>
      </c>
      <c r="U16" s="159">
        <f t="shared" si="12"/>
        <v>0</v>
      </c>
      <c r="V16" s="159">
        <f t="shared" si="13"/>
        <v>0</v>
      </c>
      <c r="W16" s="294"/>
      <c r="X16" s="162">
        <f t="shared" si="14"/>
        <v>0</v>
      </c>
      <c r="AA16" s="164">
        <f t="shared" si="3"/>
        <v>13870</v>
      </c>
      <c r="AB16" s="165">
        <f t="shared" si="4"/>
        <v>0</v>
      </c>
      <c r="AC16" s="165">
        <f t="shared" si="5"/>
        <v>28050</v>
      </c>
      <c r="AD16" s="165">
        <f t="shared" si="15"/>
        <v>0</v>
      </c>
      <c r="AE16" s="165">
        <f t="shared" si="6"/>
        <v>-12370</v>
      </c>
      <c r="AF16" s="165">
        <f t="shared" si="7"/>
        <v>0</v>
      </c>
      <c r="AG16" s="165"/>
      <c r="AH16" s="230">
        <f t="shared" si="8"/>
        <v>0</v>
      </c>
    </row>
    <row r="17" spans="2:34" s="296" customFormat="1" ht="26.25" customHeight="1">
      <c r="B17" s="297">
        <f t="shared" si="9"/>
        <v>44606</v>
      </c>
      <c r="C17" s="221"/>
      <c r="D17" s="221">
        <v>0</v>
      </c>
      <c r="E17" s="291">
        <v>0</v>
      </c>
      <c r="F17" s="221">
        <v>0</v>
      </c>
      <c r="G17" s="221">
        <v>0</v>
      </c>
      <c r="H17" s="292">
        <f t="shared" si="17"/>
        <v>0</v>
      </c>
      <c r="I17" s="137">
        <v>0</v>
      </c>
      <c r="J17" s="137">
        <f t="shared" si="18"/>
        <v>0</v>
      </c>
      <c r="K17" s="298">
        <v>0</v>
      </c>
      <c r="L17" s="256">
        <f t="shared" si="19"/>
        <v>0</v>
      </c>
      <c r="M17" s="275">
        <v>0</v>
      </c>
      <c r="N17" s="299">
        <f t="shared" si="10"/>
        <v>0</v>
      </c>
      <c r="O17" s="323"/>
      <c r="P17" s="323"/>
      <c r="Q17" s="197">
        <v>0</v>
      </c>
      <c r="R17" s="279">
        <f t="shared" si="16"/>
        <v>0</v>
      </c>
      <c r="S17" s="197">
        <v>0</v>
      </c>
      <c r="T17" s="300">
        <f t="shared" si="11"/>
        <v>0</v>
      </c>
      <c r="U17" s="300">
        <f t="shared" si="12"/>
        <v>0</v>
      </c>
      <c r="V17" s="300">
        <f t="shared" si="13"/>
        <v>0</v>
      </c>
      <c r="W17" s="301"/>
      <c r="X17" s="302">
        <f t="shared" si="14"/>
        <v>0</v>
      </c>
      <c r="AA17" s="303">
        <f t="shared" si="3"/>
        <v>13870</v>
      </c>
      <c r="AB17" s="304">
        <f t="shared" si="4"/>
        <v>0</v>
      </c>
      <c r="AC17" s="304">
        <f t="shared" si="5"/>
        <v>28050</v>
      </c>
      <c r="AD17" s="165">
        <f t="shared" si="15"/>
        <v>0</v>
      </c>
      <c r="AE17" s="304">
        <f t="shared" si="6"/>
        <v>-12370</v>
      </c>
      <c r="AF17" s="304">
        <f t="shared" si="7"/>
        <v>0</v>
      </c>
      <c r="AG17" s="304"/>
      <c r="AH17" s="305">
        <f t="shared" si="8"/>
        <v>0</v>
      </c>
    </row>
    <row r="18" spans="2:34" s="296" customFormat="1" ht="26.25" customHeight="1">
      <c r="B18" s="297">
        <f t="shared" si="9"/>
        <v>44607</v>
      </c>
      <c r="C18" s="291"/>
      <c r="D18" s="221">
        <v>0</v>
      </c>
      <c r="E18" s="291">
        <v>0</v>
      </c>
      <c r="F18" s="221">
        <v>0</v>
      </c>
      <c r="G18" s="221">
        <v>0</v>
      </c>
      <c r="H18" s="292">
        <f t="shared" si="17"/>
        <v>0</v>
      </c>
      <c r="I18" s="298">
        <v>0</v>
      </c>
      <c r="J18" s="137">
        <f t="shared" si="18"/>
        <v>0</v>
      </c>
      <c r="K18" s="137">
        <v>0</v>
      </c>
      <c r="L18" s="256">
        <f t="shared" si="19"/>
        <v>0</v>
      </c>
      <c r="M18" s="275">
        <v>0</v>
      </c>
      <c r="N18" s="299">
        <f t="shared" si="10"/>
        <v>0</v>
      </c>
      <c r="O18" s="323"/>
      <c r="P18" s="323"/>
      <c r="Q18" s="197">
        <v>0</v>
      </c>
      <c r="R18" s="279">
        <f t="shared" si="16"/>
        <v>0</v>
      </c>
      <c r="S18" s="197">
        <v>0</v>
      </c>
      <c r="T18" s="300">
        <f t="shared" si="11"/>
        <v>0</v>
      </c>
      <c r="U18" s="300">
        <f t="shared" si="12"/>
        <v>0</v>
      </c>
      <c r="V18" s="300">
        <f t="shared" si="13"/>
        <v>0</v>
      </c>
      <c r="W18" s="301"/>
      <c r="X18" s="302">
        <f t="shared" si="14"/>
        <v>0</v>
      </c>
      <c r="AA18" s="303">
        <f t="shared" si="3"/>
        <v>13870</v>
      </c>
      <c r="AB18" s="304">
        <f t="shared" si="4"/>
        <v>0</v>
      </c>
      <c r="AC18" s="304">
        <f t="shared" si="5"/>
        <v>28050</v>
      </c>
      <c r="AD18" s="304">
        <f t="shared" si="15"/>
        <v>0</v>
      </c>
      <c r="AE18" s="304">
        <f t="shared" si="6"/>
        <v>-12370</v>
      </c>
      <c r="AF18" s="304">
        <f t="shared" si="7"/>
        <v>0</v>
      </c>
      <c r="AG18" s="304"/>
      <c r="AH18" s="305">
        <f t="shared" si="8"/>
        <v>0</v>
      </c>
    </row>
    <row r="19" spans="2:34" ht="26.25" customHeight="1">
      <c r="B19" s="166">
        <f t="shared" si="9"/>
        <v>44608</v>
      </c>
      <c r="C19" s="291"/>
      <c r="D19" s="291">
        <v>0</v>
      </c>
      <c r="E19" s="291">
        <v>0</v>
      </c>
      <c r="F19" s="221">
        <v>0</v>
      </c>
      <c r="G19" s="221">
        <v>0</v>
      </c>
      <c r="H19" s="292">
        <f t="shared" si="17"/>
        <v>0</v>
      </c>
      <c r="I19" s="137">
        <v>0</v>
      </c>
      <c r="J19" s="137">
        <f t="shared" si="18"/>
        <v>0</v>
      </c>
      <c r="K19" s="137">
        <v>0</v>
      </c>
      <c r="L19" s="256">
        <f t="shared" si="19"/>
        <v>0</v>
      </c>
      <c r="M19" s="275">
        <v>0</v>
      </c>
      <c r="N19" s="256">
        <f t="shared" si="10"/>
        <v>0</v>
      </c>
      <c r="O19" s="323"/>
      <c r="P19" s="323"/>
      <c r="Q19" s="197">
        <v>0</v>
      </c>
      <c r="R19" s="211">
        <f t="shared" si="16"/>
        <v>0</v>
      </c>
      <c r="S19" s="197">
        <v>0</v>
      </c>
      <c r="T19" s="159">
        <f t="shared" si="11"/>
        <v>0</v>
      </c>
      <c r="U19" s="159">
        <f t="shared" si="12"/>
        <v>0</v>
      </c>
      <c r="V19" s="159">
        <f t="shared" si="13"/>
        <v>0</v>
      </c>
      <c r="W19" s="294"/>
      <c r="X19" s="162">
        <f t="shared" si="14"/>
        <v>0</v>
      </c>
      <c r="AA19" s="164">
        <f t="shared" si="3"/>
        <v>13870</v>
      </c>
      <c r="AB19" s="165">
        <f t="shared" si="4"/>
        <v>0</v>
      </c>
      <c r="AC19" s="165">
        <f t="shared" si="5"/>
        <v>28050</v>
      </c>
      <c r="AD19" s="165">
        <f t="shared" si="15"/>
        <v>0</v>
      </c>
      <c r="AE19" s="165">
        <f t="shared" si="6"/>
        <v>-12370</v>
      </c>
      <c r="AF19" s="165">
        <f t="shared" si="7"/>
        <v>0</v>
      </c>
      <c r="AG19" s="165"/>
      <c r="AH19" s="230">
        <f t="shared" si="8"/>
        <v>0</v>
      </c>
    </row>
    <row r="20" spans="2:34" ht="26.25" customHeight="1">
      <c r="B20" s="166">
        <f t="shared" si="9"/>
        <v>44609</v>
      </c>
      <c r="C20" s="291"/>
      <c r="D20" s="291">
        <v>0</v>
      </c>
      <c r="E20" s="291">
        <v>0</v>
      </c>
      <c r="F20" s="221">
        <v>0</v>
      </c>
      <c r="G20" s="221">
        <v>0</v>
      </c>
      <c r="H20" s="292">
        <f t="shared" si="17"/>
        <v>0</v>
      </c>
      <c r="I20" s="137">
        <v>0</v>
      </c>
      <c r="J20" s="137">
        <f t="shared" si="18"/>
        <v>0</v>
      </c>
      <c r="K20" s="137">
        <v>0</v>
      </c>
      <c r="L20" s="256">
        <f t="shared" si="19"/>
        <v>0</v>
      </c>
      <c r="M20" s="275">
        <v>0</v>
      </c>
      <c r="N20" s="256">
        <f t="shared" si="10"/>
        <v>0</v>
      </c>
      <c r="O20" s="323"/>
      <c r="P20" s="323"/>
      <c r="Q20" s="197">
        <v>0</v>
      </c>
      <c r="R20" s="211">
        <f t="shared" si="16"/>
        <v>0</v>
      </c>
      <c r="S20" s="135">
        <v>0</v>
      </c>
      <c r="T20" s="159">
        <f t="shared" si="11"/>
        <v>0</v>
      </c>
      <c r="U20" s="159">
        <f t="shared" si="12"/>
        <v>0</v>
      </c>
      <c r="V20" s="159">
        <f t="shared" si="13"/>
        <v>0</v>
      </c>
      <c r="W20" s="294"/>
      <c r="X20" s="162">
        <f t="shared" si="14"/>
        <v>0</v>
      </c>
      <c r="AA20" s="164">
        <f t="shared" si="3"/>
        <v>13870</v>
      </c>
      <c r="AB20" s="165">
        <f t="shared" si="4"/>
        <v>0</v>
      </c>
      <c r="AC20" s="165">
        <f t="shared" si="5"/>
        <v>28050</v>
      </c>
      <c r="AD20" s="165">
        <f t="shared" si="15"/>
        <v>0</v>
      </c>
      <c r="AE20" s="165">
        <f t="shared" si="6"/>
        <v>-12370</v>
      </c>
      <c r="AF20" s="165">
        <f t="shared" si="7"/>
        <v>0</v>
      </c>
      <c r="AG20" s="165"/>
      <c r="AH20" s="230">
        <f t="shared" si="8"/>
        <v>0</v>
      </c>
    </row>
    <row r="21" spans="2:34" ht="26.25" customHeight="1">
      <c r="B21" s="166">
        <f t="shared" si="9"/>
        <v>44610</v>
      </c>
      <c r="C21" s="291"/>
      <c r="D21" s="291">
        <v>0</v>
      </c>
      <c r="E21" s="291">
        <v>0</v>
      </c>
      <c r="F21" s="221">
        <v>0</v>
      </c>
      <c r="G21" s="221">
        <v>0</v>
      </c>
      <c r="H21" s="292">
        <f t="shared" si="17"/>
        <v>0</v>
      </c>
      <c r="I21" s="137">
        <v>0</v>
      </c>
      <c r="J21" s="137">
        <f t="shared" si="18"/>
        <v>0</v>
      </c>
      <c r="K21" s="137">
        <v>0</v>
      </c>
      <c r="L21" s="256">
        <f t="shared" si="19"/>
        <v>0</v>
      </c>
      <c r="M21" s="275">
        <v>0</v>
      </c>
      <c r="N21" s="256">
        <f t="shared" si="10"/>
        <v>0</v>
      </c>
      <c r="O21" s="323"/>
      <c r="P21" s="323"/>
      <c r="Q21" s="197">
        <v>0</v>
      </c>
      <c r="R21" s="211">
        <f t="shared" si="16"/>
        <v>0</v>
      </c>
      <c r="S21" s="135">
        <v>0</v>
      </c>
      <c r="T21" s="159">
        <f t="shared" si="11"/>
        <v>0</v>
      </c>
      <c r="U21" s="159">
        <f t="shared" si="12"/>
        <v>0</v>
      </c>
      <c r="V21" s="159">
        <f t="shared" si="13"/>
        <v>0</v>
      </c>
      <c r="W21" s="294"/>
      <c r="X21" s="162">
        <f t="shared" si="14"/>
        <v>0</v>
      </c>
      <c r="AA21" s="164">
        <f t="shared" si="3"/>
        <v>13870</v>
      </c>
      <c r="AB21" s="165">
        <f t="shared" si="4"/>
        <v>0</v>
      </c>
      <c r="AC21" s="165">
        <f t="shared" si="5"/>
        <v>28050</v>
      </c>
      <c r="AD21" s="165">
        <f t="shared" si="15"/>
        <v>0</v>
      </c>
      <c r="AE21" s="165">
        <f t="shared" si="6"/>
        <v>-12370</v>
      </c>
      <c r="AF21" s="165">
        <f t="shared" si="7"/>
        <v>0</v>
      </c>
      <c r="AG21" s="165"/>
      <c r="AH21" s="230">
        <f t="shared" si="8"/>
        <v>0</v>
      </c>
    </row>
    <row r="22" spans="2:34" ht="26.25" customHeight="1">
      <c r="B22" s="166">
        <f t="shared" si="9"/>
        <v>44611</v>
      </c>
      <c r="C22" s="291"/>
      <c r="D22" s="291"/>
      <c r="E22" s="291"/>
      <c r="F22" s="221"/>
      <c r="G22" s="221"/>
      <c r="H22" s="292">
        <f t="shared" si="17"/>
        <v>0</v>
      </c>
      <c r="I22" s="137">
        <v>0</v>
      </c>
      <c r="J22" s="137">
        <f t="shared" si="18"/>
        <v>0</v>
      </c>
      <c r="K22" s="137"/>
      <c r="L22" s="256">
        <f t="shared" si="19"/>
        <v>0</v>
      </c>
      <c r="M22" s="275"/>
      <c r="N22" s="256">
        <f t="shared" si="10"/>
        <v>0</v>
      </c>
      <c r="O22" s="323"/>
      <c r="P22" s="323"/>
      <c r="Q22" s="135"/>
      <c r="R22" s="211">
        <f t="shared" si="16"/>
        <v>0</v>
      </c>
      <c r="S22" s="135"/>
      <c r="T22" s="159">
        <f t="shared" si="11"/>
        <v>0</v>
      </c>
      <c r="U22" s="159">
        <f t="shared" si="12"/>
        <v>0</v>
      </c>
      <c r="V22" s="159">
        <f t="shared" si="13"/>
        <v>0</v>
      </c>
      <c r="W22" s="294"/>
      <c r="X22" s="162">
        <f t="shared" si="14"/>
        <v>0</v>
      </c>
      <c r="AA22" s="164">
        <f t="shared" si="3"/>
        <v>13870</v>
      </c>
      <c r="AB22" s="165">
        <f t="shared" si="4"/>
        <v>0</v>
      </c>
      <c r="AC22" s="165">
        <f t="shared" si="5"/>
        <v>28050</v>
      </c>
      <c r="AD22" s="165">
        <f t="shared" si="15"/>
        <v>0</v>
      </c>
      <c r="AE22" s="165">
        <f t="shared" si="6"/>
        <v>-12370</v>
      </c>
      <c r="AF22" s="165">
        <f t="shared" si="7"/>
        <v>0</v>
      </c>
      <c r="AG22" s="165"/>
      <c r="AH22" s="230">
        <f t="shared" si="8"/>
        <v>0</v>
      </c>
    </row>
    <row r="23" spans="2:34" ht="26.25" customHeight="1">
      <c r="B23" s="166">
        <f t="shared" si="9"/>
        <v>44612</v>
      </c>
      <c r="C23" s="221"/>
      <c r="D23" s="221"/>
      <c r="E23" s="221"/>
      <c r="F23" s="221"/>
      <c r="G23" s="221"/>
      <c r="H23" s="292">
        <f t="shared" si="17"/>
        <v>0</v>
      </c>
      <c r="I23" s="137">
        <v>0</v>
      </c>
      <c r="J23" s="137">
        <f t="shared" si="18"/>
        <v>0</v>
      </c>
      <c r="K23" s="137"/>
      <c r="L23" s="256">
        <f t="shared" si="19"/>
        <v>0</v>
      </c>
      <c r="M23" s="275"/>
      <c r="N23" s="256">
        <f t="shared" si="10"/>
        <v>0</v>
      </c>
      <c r="O23" s="323"/>
      <c r="P23" s="323"/>
      <c r="Q23" s="135"/>
      <c r="R23" s="211">
        <f t="shared" si="16"/>
        <v>0</v>
      </c>
      <c r="S23" s="135"/>
      <c r="T23" s="159">
        <f t="shared" si="11"/>
        <v>0</v>
      </c>
      <c r="U23" s="159">
        <f t="shared" si="12"/>
        <v>0</v>
      </c>
      <c r="V23" s="159">
        <f t="shared" si="13"/>
        <v>0</v>
      </c>
      <c r="W23" s="294"/>
      <c r="X23" s="162">
        <f t="shared" si="14"/>
        <v>0</v>
      </c>
      <c r="AA23" s="164">
        <f t="shared" si="3"/>
        <v>13870</v>
      </c>
      <c r="AB23" s="165">
        <f t="shared" si="4"/>
        <v>0</v>
      </c>
      <c r="AC23" s="165">
        <f t="shared" si="5"/>
        <v>28050</v>
      </c>
      <c r="AD23" s="165">
        <f t="shared" si="15"/>
        <v>0</v>
      </c>
      <c r="AE23" s="165">
        <f t="shared" si="6"/>
        <v>-12370</v>
      </c>
      <c r="AF23" s="165">
        <f t="shared" si="7"/>
        <v>0</v>
      </c>
      <c r="AG23" s="165"/>
      <c r="AH23" s="230">
        <f t="shared" si="8"/>
        <v>0</v>
      </c>
    </row>
    <row r="24" spans="2:34" ht="26.25" customHeight="1">
      <c r="B24" s="198">
        <f t="shared" si="9"/>
        <v>44613</v>
      </c>
      <c r="C24" s="221"/>
      <c r="D24" s="221"/>
      <c r="E24" s="221"/>
      <c r="F24" s="221"/>
      <c r="G24" s="221"/>
      <c r="H24" s="292">
        <f t="shared" si="17"/>
        <v>0</v>
      </c>
      <c r="I24" s="137">
        <v>0</v>
      </c>
      <c r="J24" s="137">
        <f t="shared" si="18"/>
        <v>0</v>
      </c>
      <c r="K24" s="137"/>
      <c r="L24" s="256">
        <f t="shared" si="19"/>
        <v>0</v>
      </c>
      <c r="M24" s="275"/>
      <c r="N24" s="256">
        <f t="shared" si="10"/>
        <v>0</v>
      </c>
      <c r="O24" s="323"/>
      <c r="P24" s="323"/>
      <c r="Q24" s="135"/>
      <c r="R24" s="211">
        <f t="shared" si="16"/>
        <v>0</v>
      </c>
      <c r="S24" s="135"/>
      <c r="T24" s="159">
        <f t="shared" si="11"/>
        <v>0</v>
      </c>
      <c r="U24" s="159">
        <f t="shared" si="12"/>
        <v>0</v>
      </c>
      <c r="V24" s="159">
        <f t="shared" si="13"/>
        <v>0</v>
      </c>
      <c r="W24" s="294"/>
      <c r="X24" s="162">
        <f t="shared" si="14"/>
        <v>0</v>
      </c>
      <c r="AA24" s="164">
        <f t="shared" si="3"/>
        <v>13870</v>
      </c>
      <c r="AB24" s="165">
        <f t="shared" si="4"/>
        <v>0</v>
      </c>
      <c r="AC24" s="165">
        <f t="shared" si="5"/>
        <v>28050</v>
      </c>
      <c r="AD24" s="165">
        <f t="shared" si="15"/>
        <v>0</v>
      </c>
      <c r="AE24" s="165">
        <f t="shared" si="6"/>
        <v>-12370</v>
      </c>
      <c r="AF24" s="165">
        <f t="shared" si="7"/>
        <v>0</v>
      </c>
      <c r="AG24" s="165"/>
      <c r="AH24" s="230">
        <f t="shared" si="8"/>
        <v>0</v>
      </c>
    </row>
    <row r="25" spans="2:34" ht="26.25" customHeight="1">
      <c r="B25" s="198">
        <f t="shared" si="9"/>
        <v>44614</v>
      </c>
      <c r="C25" s="221"/>
      <c r="D25" s="221"/>
      <c r="E25" s="221"/>
      <c r="F25" s="221"/>
      <c r="G25" s="221"/>
      <c r="H25" s="292">
        <f t="shared" si="17"/>
        <v>0</v>
      </c>
      <c r="I25" s="137">
        <v>0</v>
      </c>
      <c r="J25" s="137">
        <f t="shared" si="18"/>
        <v>0</v>
      </c>
      <c r="K25" s="137"/>
      <c r="L25" s="256">
        <f t="shared" si="19"/>
        <v>0</v>
      </c>
      <c r="M25" s="275"/>
      <c r="N25" s="256">
        <f t="shared" si="10"/>
        <v>0</v>
      </c>
      <c r="O25" s="323"/>
      <c r="P25" s="323"/>
      <c r="Q25" s="135"/>
      <c r="R25" s="211">
        <f t="shared" si="16"/>
        <v>0</v>
      </c>
      <c r="S25" s="135"/>
      <c r="T25" s="159">
        <f t="shared" si="11"/>
        <v>0</v>
      </c>
      <c r="U25" s="159">
        <f t="shared" si="12"/>
        <v>0</v>
      </c>
      <c r="V25" s="159">
        <f t="shared" si="13"/>
        <v>0</v>
      </c>
      <c r="W25" s="294"/>
      <c r="X25" s="162">
        <f t="shared" si="14"/>
        <v>0</v>
      </c>
      <c r="AA25" s="164">
        <f t="shared" si="3"/>
        <v>13870</v>
      </c>
      <c r="AB25" s="165">
        <f t="shared" si="4"/>
        <v>0</v>
      </c>
      <c r="AC25" s="165">
        <f t="shared" si="5"/>
        <v>28050</v>
      </c>
      <c r="AD25" s="165">
        <f t="shared" si="15"/>
        <v>0</v>
      </c>
      <c r="AE25" s="165">
        <f t="shared" si="6"/>
        <v>-12370</v>
      </c>
      <c r="AF25" s="165">
        <f t="shared" si="7"/>
        <v>0</v>
      </c>
      <c r="AG25" s="165"/>
      <c r="AH25" s="230">
        <f t="shared" si="8"/>
        <v>0</v>
      </c>
    </row>
    <row r="26" spans="2:34" ht="26.25" customHeight="1">
      <c r="B26" s="166">
        <f t="shared" si="9"/>
        <v>44615</v>
      </c>
      <c r="C26" s="221"/>
      <c r="D26" s="221"/>
      <c r="E26" s="221"/>
      <c r="F26" s="221"/>
      <c r="G26" s="221"/>
      <c r="H26" s="292">
        <f t="shared" si="17"/>
        <v>0</v>
      </c>
      <c r="I26" s="137">
        <v>0</v>
      </c>
      <c r="J26" s="137">
        <f t="shared" si="18"/>
        <v>0</v>
      </c>
      <c r="K26" s="137"/>
      <c r="L26" s="256">
        <f t="shared" si="19"/>
        <v>0</v>
      </c>
      <c r="M26" s="275"/>
      <c r="N26" s="256">
        <f t="shared" si="10"/>
        <v>0</v>
      </c>
      <c r="O26" s="323"/>
      <c r="P26" s="323"/>
      <c r="Q26" s="135"/>
      <c r="R26" s="211">
        <f t="shared" si="16"/>
        <v>0</v>
      </c>
      <c r="S26" s="135"/>
      <c r="T26" s="159">
        <f t="shared" si="11"/>
        <v>0</v>
      </c>
      <c r="U26" s="159">
        <f t="shared" si="12"/>
        <v>0</v>
      </c>
      <c r="V26" s="159">
        <f t="shared" si="13"/>
        <v>0</v>
      </c>
      <c r="W26" s="294"/>
      <c r="X26" s="162">
        <f t="shared" si="14"/>
        <v>0</v>
      </c>
      <c r="AA26" s="164">
        <f t="shared" si="3"/>
        <v>13870</v>
      </c>
      <c r="AB26" s="165">
        <f t="shared" si="4"/>
        <v>0</v>
      </c>
      <c r="AC26" s="165">
        <f t="shared" si="5"/>
        <v>28050</v>
      </c>
      <c r="AD26" s="165">
        <f t="shared" si="15"/>
        <v>0</v>
      </c>
      <c r="AE26" s="165">
        <f t="shared" si="6"/>
        <v>-12370</v>
      </c>
      <c r="AF26" s="165">
        <f t="shared" si="7"/>
        <v>0</v>
      </c>
      <c r="AG26" s="165"/>
      <c r="AH26" s="230">
        <f t="shared" si="8"/>
        <v>0</v>
      </c>
    </row>
    <row r="27" spans="2:34" ht="26.25" customHeight="1">
      <c r="B27" s="166">
        <f t="shared" si="9"/>
        <v>44616</v>
      </c>
      <c r="C27" s="221"/>
      <c r="D27" s="221"/>
      <c r="E27" s="221"/>
      <c r="F27" s="221"/>
      <c r="G27" s="221"/>
      <c r="H27" s="292">
        <f t="shared" si="17"/>
        <v>0</v>
      </c>
      <c r="I27" s="137">
        <v>0</v>
      </c>
      <c r="J27" s="137">
        <f t="shared" si="18"/>
        <v>0</v>
      </c>
      <c r="K27" s="137"/>
      <c r="L27" s="256">
        <f t="shared" si="19"/>
        <v>0</v>
      </c>
      <c r="M27" s="275"/>
      <c r="N27" s="256">
        <f t="shared" si="10"/>
        <v>0</v>
      </c>
      <c r="O27" s="323"/>
      <c r="P27" s="323"/>
      <c r="Q27" s="135"/>
      <c r="R27" s="211">
        <f t="shared" si="16"/>
        <v>0</v>
      </c>
      <c r="S27" s="135"/>
      <c r="T27" s="159">
        <f t="shared" si="11"/>
        <v>0</v>
      </c>
      <c r="U27" s="159">
        <f t="shared" si="12"/>
        <v>0</v>
      </c>
      <c r="V27" s="159">
        <f t="shared" si="13"/>
        <v>0</v>
      </c>
      <c r="W27" s="294"/>
      <c r="X27" s="162">
        <f t="shared" si="14"/>
        <v>0</v>
      </c>
      <c r="AA27" s="164">
        <f t="shared" si="3"/>
        <v>13870</v>
      </c>
      <c r="AB27" s="165">
        <f t="shared" si="4"/>
        <v>0</v>
      </c>
      <c r="AC27" s="165">
        <f t="shared" si="5"/>
        <v>28050</v>
      </c>
      <c r="AD27" s="165">
        <f t="shared" si="15"/>
        <v>0</v>
      </c>
      <c r="AE27" s="165">
        <f t="shared" si="6"/>
        <v>-12370</v>
      </c>
      <c r="AF27" s="165">
        <f t="shared" si="7"/>
        <v>0</v>
      </c>
      <c r="AG27" s="165"/>
      <c r="AH27" s="230">
        <f t="shared" si="8"/>
        <v>0</v>
      </c>
    </row>
    <row r="28" spans="2:34" ht="26.25" customHeight="1">
      <c r="B28" s="166">
        <f t="shared" si="9"/>
        <v>44617</v>
      </c>
      <c r="C28" s="221"/>
      <c r="D28" s="221"/>
      <c r="E28" s="221"/>
      <c r="F28" s="221"/>
      <c r="G28" s="221"/>
      <c r="H28" s="292">
        <f t="shared" si="17"/>
        <v>0</v>
      </c>
      <c r="I28" s="137">
        <v>0</v>
      </c>
      <c r="J28" s="137">
        <f t="shared" si="18"/>
        <v>0</v>
      </c>
      <c r="K28" s="137"/>
      <c r="L28" s="256">
        <f t="shared" si="19"/>
        <v>0</v>
      </c>
      <c r="M28" s="307"/>
      <c r="N28" s="278">
        <f t="shared" si="10"/>
        <v>0</v>
      </c>
      <c r="O28" s="323"/>
      <c r="P28" s="323"/>
      <c r="Q28" s="135"/>
      <c r="R28" s="211">
        <f t="shared" si="16"/>
        <v>0</v>
      </c>
      <c r="S28" s="135"/>
      <c r="T28" s="159">
        <f t="shared" si="11"/>
        <v>0</v>
      </c>
      <c r="U28" s="159">
        <f t="shared" si="12"/>
        <v>0</v>
      </c>
      <c r="V28" s="159">
        <f t="shared" si="13"/>
        <v>0</v>
      </c>
      <c r="W28" s="294"/>
      <c r="X28" s="162">
        <f t="shared" si="14"/>
        <v>0</v>
      </c>
      <c r="AA28" s="164">
        <f t="shared" si="3"/>
        <v>13870</v>
      </c>
      <c r="AB28" s="165">
        <f t="shared" si="4"/>
        <v>0</v>
      </c>
      <c r="AC28" s="165">
        <f t="shared" si="5"/>
        <v>28050</v>
      </c>
      <c r="AD28" s="165">
        <f t="shared" si="15"/>
        <v>0</v>
      </c>
      <c r="AE28" s="165">
        <f t="shared" si="6"/>
        <v>-12370</v>
      </c>
      <c r="AF28" s="165">
        <f t="shared" si="7"/>
        <v>0</v>
      </c>
      <c r="AG28" s="165"/>
      <c r="AH28" s="230">
        <f t="shared" si="8"/>
        <v>0</v>
      </c>
    </row>
    <row r="29" spans="2:34" ht="26.25" customHeight="1">
      <c r="B29" s="166">
        <f t="shared" si="9"/>
        <v>44618</v>
      </c>
      <c r="C29" s="221"/>
      <c r="D29" s="221"/>
      <c r="E29" s="221"/>
      <c r="F29" s="221"/>
      <c r="G29" s="221"/>
      <c r="H29" s="292">
        <f t="shared" si="17"/>
        <v>0</v>
      </c>
      <c r="I29" s="137">
        <v>0</v>
      </c>
      <c r="J29" s="137">
        <f t="shared" si="18"/>
        <v>0</v>
      </c>
      <c r="K29" s="137"/>
      <c r="L29" s="256">
        <f t="shared" si="19"/>
        <v>0</v>
      </c>
      <c r="M29" s="307"/>
      <c r="N29" s="256">
        <f t="shared" si="10"/>
        <v>0</v>
      </c>
      <c r="O29" s="323"/>
      <c r="P29" s="323"/>
      <c r="Q29" s="135"/>
      <c r="R29" s="211">
        <f t="shared" si="16"/>
        <v>0</v>
      </c>
      <c r="S29" s="135"/>
      <c r="T29" s="159">
        <f t="shared" si="11"/>
        <v>0</v>
      </c>
      <c r="U29" s="159">
        <f t="shared" si="12"/>
        <v>0</v>
      </c>
      <c r="V29" s="159">
        <f t="shared" si="13"/>
        <v>0</v>
      </c>
      <c r="W29" s="294"/>
      <c r="X29" s="162">
        <f t="shared" si="14"/>
        <v>0</v>
      </c>
      <c r="AA29" s="164">
        <f t="shared" si="3"/>
        <v>13870</v>
      </c>
      <c r="AB29" s="165">
        <f t="shared" si="4"/>
        <v>0</v>
      </c>
      <c r="AC29" s="165">
        <f t="shared" si="5"/>
        <v>28050</v>
      </c>
      <c r="AD29" s="165">
        <f t="shared" si="15"/>
        <v>0</v>
      </c>
      <c r="AE29" s="165">
        <f t="shared" si="6"/>
        <v>-12370</v>
      </c>
      <c r="AF29" s="165">
        <f t="shared" si="7"/>
        <v>0</v>
      </c>
      <c r="AG29" s="165"/>
      <c r="AH29" s="230">
        <f t="shared" si="8"/>
        <v>0</v>
      </c>
    </row>
    <row r="30" spans="2:34" ht="26.25" customHeight="1">
      <c r="B30" s="166">
        <f t="shared" si="9"/>
        <v>44619</v>
      </c>
      <c r="C30" s="221"/>
      <c r="D30" s="221"/>
      <c r="E30" s="221"/>
      <c r="F30" s="221"/>
      <c r="G30" s="221"/>
      <c r="H30" s="292">
        <f t="shared" si="17"/>
        <v>0</v>
      </c>
      <c r="I30" s="137">
        <v>0</v>
      </c>
      <c r="J30" s="137">
        <f t="shared" si="18"/>
        <v>0</v>
      </c>
      <c r="K30" s="137"/>
      <c r="L30" s="256">
        <f t="shared" si="19"/>
        <v>0</v>
      </c>
      <c r="M30" s="307"/>
      <c r="N30" s="256">
        <f>L30+M30</f>
        <v>0</v>
      </c>
      <c r="O30" s="323"/>
      <c r="P30" s="323"/>
      <c r="Q30" s="135"/>
      <c r="R30" s="211">
        <f t="shared" si="16"/>
        <v>0</v>
      </c>
      <c r="S30" s="135"/>
      <c r="T30" s="159">
        <f t="shared" si="11"/>
        <v>0</v>
      </c>
      <c r="U30" s="159">
        <v>0</v>
      </c>
      <c r="V30" s="159">
        <f t="shared" si="13"/>
        <v>0</v>
      </c>
      <c r="W30" s="294"/>
      <c r="X30" s="162">
        <f t="shared" si="14"/>
        <v>0</v>
      </c>
      <c r="AA30" s="164">
        <f t="shared" si="3"/>
        <v>13870</v>
      </c>
      <c r="AB30" s="165">
        <f t="shared" si="4"/>
        <v>0</v>
      </c>
      <c r="AC30" s="165">
        <f t="shared" si="5"/>
        <v>28050</v>
      </c>
      <c r="AD30" s="165">
        <f t="shared" si="15"/>
        <v>0</v>
      </c>
      <c r="AE30" s="165">
        <f t="shared" si="6"/>
        <v>-12370</v>
      </c>
      <c r="AF30" s="165">
        <f t="shared" si="7"/>
        <v>0</v>
      </c>
      <c r="AG30" s="165"/>
      <c r="AH30" s="230">
        <f t="shared" si="8"/>
        <v>0</v>
      </c>
    </row>
    <row r="31" spans="2:34" ht="26.25" customHeight="1">
      <c r="B31" s="166">
        <f t="shared" si="9"/>
        <v>44620</v>
      </c>
      <c r="C31" s="221"/>
      <c r="D31" s="221"/>
      <c r="E31" s="221"/>
      <c r="F31" s="221"/>
      <c r="G31" s="221"/>
      <c r="H31" s="292">
        <f t="shared" si="17"/>
        <v>0</v>
      </c>
      <c r="I31" s="137">
        <v>0</v>
      </c>
      <c r="J31" s="137">
        <f t="shared" si="18"/>
        <v>0</v>
      </c>
      <c r="K31" s="137"/>
      <c r="L31" s="256">
        <f t="shared" si="19"/>
        <v>0</v>
      </c>
      <c r="M31" s="136"/>
      <c r="N31" s="256">
        <f>L31+M31</f>
        <v>0</v>
      </c>
      <c r="O31" s="323"/>
      <c r="P31" s="323"/>
      <c r="Q31" s="135"/>
      <c r="R31" s="211">
        <f t="shared" si="16"/>
        <v>0</v>
      </c>
      <c r="S31" s="135"/>
      <c r="T31" s="159">
        <f t="shared" si="11"/>
        <v>0</v>
      </c>
      <c r="U31" s="159">
        <v>0</v>
      </c>
      <c r="V31" s="159">
        <f t="shared" si="13"/>
        <v>0</v>
      </c>
      <c r="W31" s="294"/>
      <c r="X31" s="162">
        <f t="shared" si="14"/>
        <v>0</v>
      </c>
      <c r="AA31" s="164">
        <f t="shared" si="3"/>
        <v>13870</v>
      </c>
      <c r="AB31" s="165">
        <f t="shared" si="4"/>
        <v>0</v>
      </c>
      <c r="AC31" s="165">
        <f t="shared" si="5"/>
        <v>28050</v>
      </c>
      <c r="AD31" s="165">
        <f t="shared" si="15"/>
        <v>0</v>
      </c>
      <c r="AE31" s="165">
        <f t="shared" si="6"/>
        <v>-12370</v>
      </c>
      <c r="AF31" s="165">
        <f t="shared" si="7"/>
        <v>0</v>
      </c>
      <c r="AG31" s="165"/>
      <c r="AH31" s="230">
        <f t="shared" si="8"/>
        <v>0</v>
      </c>
    </row>
    <row r="32" spans="2:34" ht="26.25" customHeight="1">
      <c r="B32" s="166">
        <f t="shared" si="9"/>
        <v>44621</v>
      </c>
      <c r="C32" s="221"/>
      <c r="D32" s="221"/>
      <c r="E32" s="221"/>
      <c r="F32" s="221"/>
      <c r="G32" s="221"/>
      <c r="H32" s="292">
        <f t="shared" si="17"/>
        <v>0</v>
      </c>
      <c r="I32" s="137">
        <v>0</v>
      </c>
      <c r="J32" s="137">
        <f t="shared" si="18"/>
        <v>0</v>
      </c>
      <c r="K32" s="137"/>
      <c r="L32" s="256">
        <f>-F32-G32-I32-K32+E32</f>
        <v>0</v>
      </c>
      <c r="M32" s="136"/>
      <c r="N32" s="256">
        <f t="shared" si="10"/>
        <v>0</v>
      </c>
      <c r="O32" s="323"/>
      <c r="P32" s="323"/>
      <c r="Q32" s="135"/>
      <c r="R32" s="211">
        <f t="shared" si="16"/>
        <v>0</v>
      </c>
      <c r="S32" s="135"/>
      <c r="T32" s="159">
        <f t="shared" si="11"/>
        <v>0</v>
      </c>
      <c r="U32" s="159">
        <v>0</v>
      </c>
      <c r="V32" s="159">
        <f t="shared" si="13"/>
        <v>0</v>
      </c>
      <c r="W32" s="294"/>
      <c r="X32" s="162">
        <f t="shared" si="14"/>
        <v>0</v>
      </c>
      <c r="AA32" s="164">
        <f t="shared" si="3"/>
        <v>13870</v>
      </c>
      <c r="AB32" s="165">
        <f t="shared" si="4"/>
        <v>0</v>
      </c>
      <c r="AC32" s="165">
        <f t="shared" si="5"/>
        <v>28050</v>
      </c>
      <c r="AD32" s="165">
        <f t="shared" si="15"/>
        <v>0</v>
      </c>
      <c r="AE32" s="165">
        <f t="shared" si="6"/>
        <v>-12370</v>
      </c>
      <c r="AF32" s="165">
        <f t="shared" si="7"/>
        <v>0</v>
      </c>
      <c r="AG32" s="165"/>
      <c r="AH32" s="230">
        <f t="shared" si="8"/>
        <v>0</v>
      </c>
    </row>
    <row r="33" spans="2:34" ht="26.25" customHeight="1">
      <c r="B33" s="166">
        <f t="shared" si="9"/>
        <v>44622</v>
      </c>
      <c r="C33" s="221"/>
      <c r="D33" s="221"/>
      <c r="E33" s="221"/>
      <c r="F33" s="221"/>
      <c r="G33" s="221"/>
      <c r="H33" s="292">
        <f>SUM(D33:G33)</f>
        <v>0</v>
      </c>
      <c r="I33" s="137">
        <v>0</v>
      </c>
      <c r="J33" s="137">
        <f t="shared" si="18"/>
        <v>0</v>
      </c>
      <c r="K33" s="137"/>
      <c r="L33" s="256">
        <f>-F33-G33-I33-K33</f>
        <v>0</v>
      </c>
      <c r="M33" s="136"/>
      <c r="N33" s="256">
        <f>L33+M33</f>
        <v>0</v>
      </c>
      <c r="O33" s="323"/>
      <c r="P33" s="323"/>
      <c r="Q33" s="135"/>
      <c r="R33" s="211">
        <f t="shared" si="16"/>
        <v>0</v>
      </c>
      <c r="S33" s="135"/>
      <c r="T33" s="159">
        <f t="shared" si="11"/>
        <v>0</v>
      </c>
      <c r="U33" s="159">
        <v>0</v>
      </c>
      <c r="V33" s="159">
        <f t="shared" si="13"/>
        <v>0</v>
      </c>
      <c r="W33" s="294"/>
      <c r="X33" s="162">
        <f t="shared" si="14"/>
        <v>0</v>
      </c>
      <c r="AA33" s="164">
        <f t="shared" si="3"/>
        <v>13870</v>
      </c>
      <c r="AB33" s="165">
        <f t="shared" si="4"/>
        <v>0</v>
      </c>
      <c r="AC33" s="165">
        <f t="shared" si="5"/>
        <v>28050</v>
      </c>
      <c r="AD33" s="165">
        <f t="shared" si="15"/>
        <v>0</v>
      </c>
      <c r="AE33" s="165">
        <f t="shared" si="6"/>
        <v>-12370</v>
      </c>
      <c r="AF33" s="165">
        <f t="shared" si="7"/>
        <v>0</v>
      </c>
      <c r="AG33" s="165"/>
      <c r="AH33" s="230">
        <f t="shared" si="8"/>
        <v>0</v>
      </c>
    </row>
    <row r="34" spans="2:34" ht="26.25" customHeight="1">
      <c r="B34" s="166">
        <f t="shared" si="9"/>
        <v>44623</v>
      </c>
      <c r="C34" s="221"/>
      <c r="D34" s="221"/>
      <c r="E34" s="221"/>
      <c r="F34" s="221"/>
      <c r="G34" s="221"/>
      <c r="H34" s="292">
        <f t="shared" si="17"/>
        <v>0</v>
      </c>
      <c r="I34" s="137"/>
      <c r="J34" s="137">
        <f t="shared" si="18"/>
        <v>0</v>
      </c>
      <c r="K34" s="137"/>
      <c r="L34" s="256">
        <f t="shared" si="19"/>
        <v>0</v>
      </c>
      <c r="M34" s="136"/>
      <c r="N34" s="256">
        <f t="shared" si="10"/>
        <v>0</v>
      </c>
      <c r="O34" s="323"/>
      <c r="P34" s="323"/>
      <c r="Q34" s="135"/>
      <c r="R34" s="211">
        <f>Q34-S34</f>
        <v>0</v>
      </c>
      <c r="S34" s="135"/>
      <c r="T34" s="159">
        <f t="shared" si="11"/>
        <v>0</v>
      </c>
      <c r="U34" s="159">
        <v>0</v>
      </c>
      <c r="V34" s="159">
        <f t="shared" si="13"/>
        <v>0</v>
      </c>
      <c r="W34" s="294"/>
      <c r="X34" s="162">
        <f t="shared" si="14"/>
        <v>0</v>
      </c>
      <c r="AA34" s="164">
        <f t="shared" si="3"/>
        <v>13870</v>
      </c>
      <c r="AB34" s="165">
        <f t="shared" si="4"/>
        <v>0</v>
      </c>
      <c r="AC34" s="165">
        <f t="shared" si="5"/>
        <v>28050</v>
      </c>
      <c r="AD34" s="165">
        <f t="shared" si="15"/>
        <v>0</v>
      </c>
      <c r="AE34" s="165">
        <f t="shared" si="6"/>
        <v>-12370</v>
      </c>
      <c r="AF34" s="165">
        <f t="shared" si="7"/>
        <v>0</v>
      </c>
      <c r="AG34" s="165"/>
      <c r="AH34" s="230">
        <f t="shared" si="8"/>
        <v>0</v>
      </c>
    </row>
    <row r="35" spans="2:34" ht="26.25" customHeight="1" thickBot="1">
      <c r="B35" s="138"/>
      <c r="C35" s="139"/>
      <c r="D35" s="139"/>
      <c r="E35" s="139"/>
      <c r="F35" s="140"/>
      <c r="G35" s="325"/>
      <c r="H35" s="326">
        <f t="shared" si="17"/>
        <v>0</v>
      </c>
      <c r="I35" s="142"/>
      <c r="J35" s="142">
        <f t="shared" si="18"/>
        <v>0</v>
      </c>
      <c r="K35" s="142"/>
      <c r="L35" s="143"/>
      <c r="M35" s="143"/>
      <c r="N35" s="143"/>
      <c r="O35" s="322"/>
      <c r="P35" s="322"/>
      <c r="Q35" s="144"/>
      <c r="R35" s="212"/>
      <c r="S35" s="144"/>
      <c r="T35" s="160"/>
      <c r="U35" s="160"/>
      <c r="V35" s="160">
        <f t="shared" si="13"/>
        <v>0</v>
      </c>
      <c r="W35" s="295"/>
      <c r="X35" s="163"/>
      <c r="AA35" s="164"/>
      <c r="AB35" s="165"/>
      <c r="AC35" s="165"/>
      <c r="AD35" s="165"/>
      <c r="AE35" s="165"/>
      <c r="AF35" s="165"/>
      <c r="AG35" s="165"/>
      <c r="AH35" s="230"/>
    </row>
    <row r="36" spans="2:34" ht="14.25" customHeight="1" thickBot="1">
      <c r="H36" s="324"/>
      <c r="AB36" s="165"/>
    </row>
    <row r="37" spans="2:34" ht="23.25" customHeight="1" thickBot="1">
      <c r="B37" s="145" t="s">
        <v>99</v>
      </c>
      <c r="C37" s="175">
        <f>SUM(C4:C35)</f>
        <v>0</v>
      </c>
      <c r="D37" s="175">
        <f t="shared" ref="D37:X37" si="20">SUM(D4:D35)</f>
        <v>0</v>
      </c>
      <c r="E37" s="175">
        <f t="shared" si="20"/>
        <v>0</v>
      </c>
      <c r="F37" s="175">
        <f t="shared" si="20"/>
        <v>43870</v>
      </c>
      <c r="G37" s="175">
        <f t="shared" si="20"/>
        <v>-30000</v>
      </c>
      <c r="H37" s="175">
        <f t="shared" si="20"/>
        <v>13870</v>
      </c>
      <c r="I37" s="175">
        <f>SUM(I4:I35)</f>
        <v>0</v>
      </c>
      <c r="J37" s="175">
        <f>SUM(J4:J35)</f>
        <v>0</v>
      </c>
      <c r="K37" s="175">
        <f t="shared" si="20"/>
        <v>0</v>
      </c>
      <c r="L37" s="175">
        <f>SUM(L4:L35)</f>
        <v>-13870</v>
      </c>
      <c r="M37" s="277">
        <f t="shared" si="20"/>
        <v>1500</v>
      </c>
      <c r="N37" s="277">
        <f t="shared" si="20"/>
        <v>-12370</v>
      </c>
      <c r="O37" s="175">
        <f t="shared" si="20"/>
        <v>0</v>
      </c>
      <c r="P37" s="175">
        <f t="shared" si="20"/>
        <v>0</v>
      </c>
      <c r="Q37" s="175">
        <f t="shared" si="20"/>
        <v>28050</v>
      </c>
      <c r="R37" s="175">
        <f t="shared" si="20"/>
        <v>28050</v>
      </c>
      <c r="S37" s="175">
        <f t="shared" si="20"/>
        <v>0</v>
      </c>
      <c r="T37" s="175">
        <f t="shared" si="20"/>
        <v>0</v>
      </c>
      <c r="U37" s="175">
        <f t="shared" si="20"/>
        <v>476.85</v>
      </c>
      <c r="V37" s="175">
        <f t="shared" si="20"/>
        <v>476.85</v>
      </c>
      <c r="W37" s="175">
        <f t="shared" si="20"/>
        <v>0</v>
      </c>
      <c r="X37" s="274">
        <f t="shared" si="20"/>
        <v>0</v>
      </c>
    </row>
    <row r="38" spans="2:34" ht="19.5" customHeight="1">
      <c r="I38" s="146"/>
      <c r="J38" s="146"/>
      <c r="K38" s="146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</row>
    <row r="39" spans="2:34" ht="19.5" customHeight="1">
      <c r="C39" s="434"/>
      <c r="D39" s="434"/>
      <c r="E39" s="434"/>
      <c r="F39" s="434"/>
      <c r="G39" s="434"/>
      <c r="H39" s="434"/>
      <c r="I39" s="434"/>
      <c r="J39" s="146"/>
      <c r="K39" s="146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</row>
    <row r="40" spans="2:34" ht="24" customHeight="1">
      <c r="C40" s="242" t="s">
        <v>163</v>
      </c>
      <c r="D40" s="242"/>
      <c r="E40" s="242"/>
      <c r="F40" s="173"/>
      <c r="G40" s="173"/>
      <c r="H40" s="411">
        <f>-H37</f>
        <v>-13870</v>
      </c>
      <c r="I40" s="411"/>
      <c r="J40" s="366"/>
      <c r="K40" s="264"/>
      <c r="L40" s="264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</row>
    <row r="41" spans="2:34" ht="24" customHeight="1" thickBot="1">
      <c r="C41" s="242" t="s">
        <v>178</v>
      </c>
      <c r="D41" s="242"/>
      <c r="E41" s="242"/>
      <c r="F41" s="150"/>
      <c r="G41" s="150"/>
      <c r="H41" s="419">
        <f>N37</f>
        <v>-12370</v>
      </c>
      <c r="I41" s="419"/>
      <c r="J41" s="367"/>
      <c r="K41" s="264"/>
      <c r="L41" s="264"/>
      <c r="M41" s="173"/>
      <c r="N41" s="257" t="s">
        <v>167</v>
      </c>
      <c r="O41" s="173"/>
      <c r="P41" s="173"/>
      <c r="Q41" s="173"/>
      <c r="R41" s="173"/>
      <c r="S41" s="173"/>
      <c r="T41" s="257" t="s">
        <v>171</v>
      </c>
      <c r="U41" s="173"/>
      <c r="V41" s="173"/>
      <c r="W41" s="173"/>
      <c r="Y41" s="173"/>
      <c r="Z41" s="173"/>
      <c r="AA41" s="173"/>
    </row>
    <row r="42" spans="2:34" ht="24" customHeight="1" thickTop="1">
      <c r="C42" s="242"/>
      <c r="D42" s="242"/>
      <c r="E42" s="242"/>
      <c r="F42" s="150"/>
      <c r="G42" s="150"/>
      <c r="H42" s="173"/>
      <c r="I42" s="265"/>
      <c r="J42" s="367"/>
      <c r="K42" s="264"/>
      <c r="L42" s="264"/>
      <c r="M42" s="173"/>
      <c r="N42" s="148" t="s">
        <v>168</v>
      </c>
      <c r="O42" s="246"/>
      <c r="P42" s="246"/>
      <c r="Q42" s="246"/>
      <c r="R42" s="173"/>
      <c r="S42" s="173"/>
      <c r="T42" s="148" t="s">
        <v>189</v>
      </c>
      <c r="U42" s="173"/>
      <c r="V42" s="173"/>
      <c r="W42" s="173"/>
      <c r="Y42" s="173"/>
      <c r="Z42" s="173"/>
      <c r="AA42" s="173"/>
    </row>
    <row r="43" spans="2:34" ht="24.75" customHeight="1">
      <c r="C43" s="242" t="s">
        <v>244</v>
      </c>
      <c r="D43" s="242"/>
      <c r="E43" s="242"/>
      <c r="F43" s="150"/>
      <c r="G43" s="150"/>
      <c r="H43" s="413">
        <v>0</v>
      </c>
      <c r="I43" s="413"/>
      <c r="J43" s="265"/>
      <c r="K43" s="264"/>
      <c r="L43" s="264"/>
      <c r="M43" s="173"/>
      <c r="N43" s="148"/>
      <c r="O43" s="173"/>
      <c r="P43" s="173"/>
      <c r="Q43" s="173"/>
      <c r="R43" s="173"/>
      <c r="S43" s="173"/>
      <c r="T43" s="148"/>
      <c r="U43" s="173"/>
      <c r="V43" s="173"/>
      <c r="W43" s="173"/>
      <c r="Y43" s="173"/>
      <c r="Z43" s="173"/>
      <c r="AA43" s="173"/>
    </row>
    <row r="44" spans="2:34" ht="24" customHeight="1">
      <c r="C44" s="242" t="s">
        <v>200</v>
      </c>
      <c r="D44" s="242"/>
      <c r="E44" s="242"/>
      <c r="F44" s="150"/>
      <c r="G44" s="150"/>
      <c r="H44" s="413">
        <f>H43*1.7%</f>
        <v>0</v>
      </c>
      <c r="I44" s="413"/>
      <c r="J44" s="367"/>
      <c r="K44" s="264"/>
      <c r="L44" s="264"/>
      <c r="M44" s="173"/>
      <c r="N44" s="257" t="s">
        <v>169</v>
      </c>
      <c r="O44" s="173"/>
      <c r="P44" s="173"/>
      <c r="Q44" s="173"/>
      <c r="R44" s="173"/>
      <c r="S44" s="173"/>
      <c r="T44" s="257" t="s">
        <v>169</v>
      </c>
      <c r="U44" s="173"/>
      <c r="V44" s="173"/>
      <c r="W44" s="173"/>
      <c r="Z44" s="173"/>
      <c r="AA44" s="173"/>
    </row>
    <row r="45" spans="2:34" ht="24" customHeight="1">
      <c r="C45" s="242" t="s">
        <v>201</v>
      </c>
      <c r="D45" s="242"/>
      <c r="E45" s="242"/>
      <c r="F45" s="150"/>
      <c r="G45" s="150"/>
      <c r="H45" s="413">
        <f>S37</f>
        <v>0</v>
      </c>
      <c r="I45" s="413"/>
      <c r="J45" s="367"/>
      <c r="K45" s="264"/>
      <c r="L45" s="264"/>
      <c r="M45" s="173"/>
      <c r="N45" s="148" t="s">
        <v>170</v>
      </c>
      <c r="O45" s="246"/>
      <c r="P45" s="246"/>
      <c r="Q45" s="246"/>
      <c r="R45" s="173"/>
      <c r="S45" s="173"/>
      <c r="T45" s="148" t="s">
        <v>204</v>
      </c>
      <c r="U45" s="173"/>
      <c r="V45" s="173"/>
      <c r="W45" s="173"/>
      <c r="Z45" s="173"/>
      <c r="AA45" s="173"/>
    </row>
    <row r="46" spans="2:34" ht="24" customHeight="1">
      <c r="C46" s="242" t="s">
        <v>202</v>
      </c>
      <c r="D46" s="242"/>
      <c r="E46" s="242"/>
      <c r="F46" s="150"/>
      <c r="G46" s="150"/>
      <c r="H46" s="413">
        <f>T37</f>
        <v>0</v>
      </c>
      <c r="I46" s="413"/>
      <c r="J46" s="367"/>
      <c r="K46" s="264"/>
      <c r="L46" s="264"/>
      <c r="M46" s="173"/>
      <c r="N46" s="148"/>
      <c r="O46" s="173"/>
      <c r="P46" s="173"/>
      <c r="Q46" s="173"/>
      <c r="R46" s="173"/>
      <c r="S46" s="173"/>
      <c r="V46" s="148"/>
      <c r="W46" s="148"/>
      <c r="Z46" s="173"/>
      <c r="AA46" s="173"/>
    </row>
    <row r="47" spans="2:34" ht="24" customHeight="1">
      <c r="C47" s="242" t="s">
        <v>177</v>
      </c>
      <c r="D47" s="124"/>
      <c r="E47" s="124"/>
      <c r="F47" s="124"/>
      <c r="G47" s="124"/>
      <c r="H47" s="413">
        <v>0</v>
      </c>
      <c r="I47" s="413"/>
      <c r="J47" s="367"/>
      <c r="K47" s="264"/>
      <c r="L47" s="264"/>
      <c r="M47" s="173"/>
      <c r="N47" s="148"/>
      <c r="O47" s="173"/>
      <c r="P47" s="173"/>
      <c r="Q47" s="173"/>
      <c r="R47" s="173"/>
      <c r="S47" s="173"/>
      <c r="V47" s="148"/>
      <c r="W47" s="148"/>
      <c r="Z47" s="173"/>
      <c r="AA47" s="173"/>
    </row>
    <row r="48" spans="2:34" ht="24" customHeight="1" thickBot="1">
      <c r="C48" s="242"/>
      <c r="D48" s="242"/>
      <c r="E48" s="242"/>
      <c r="F48" s="173"/>
      <c r="G48" s="173"/>
      <c r="H48" s="420">
        <f>H44-H46</f>
        <v>0</v>
      </c>
      <c r="I48" s="420"/>
      <c r="J48" s="367"/>
      <c r="K48" s="264"/>
      <c r="L48" s="264"/>
      <c r="M48" s="173"/>
      <c r="N48" s="148"/>
      <c r="O48" s="173"/>
      <c r="P48" s="173"/>
      <c r="Q48" s="173"/>
      <c r="R48" s="173"/>
      <c r="S48" s="173"/>
      <c r="V48" s="148"/>
      <c r="W48" s="148"/>
      <c r="Z48" s="173"/>
      <c r="AA48" s="173"/>
    </row>
    <row r="49" spans="2:27" ht="24" customHeight="1" thickTop="1">
      <c r="C49" s="242"/>
      <c r="D49" s="242"/>
      <c r="E49" s="242"/>
      <c r="F49" s="173"/>
      <c r="G49" s="173"/>
      <c r="H49" s="173"/>
      <c r="I49" s="366"/>
      <c r="J49" s="367"/>
      <c r="K49" s="264"/>
      <c r="L49" s="264"/>
      <c r="M49" s="173"/>
      <c r="N49" s="148"/>
      <c r="O49" s="173"/>
      <c r="P49" s="173"/>
      <c r="Q49" s="173"/>
      <c r="R49" s="173"/>
      <c r="S49" s="173"/>
      <c r="V49" s="148"/>
      <c r="W49" s="148"/>
      <c r="Z49" s="173"/>
      <c r="AA49" s="173"/>
    </row>
    <row r="50" spans="2:27" ht="24" customHeight="1">
      <c r="B50" s="149"/>
      <c r="C50" s="242" t="s">
        <v>203</v>
      </c>
      <c r="D50" s="242"/>
      <c r="E50" s="242"/>
      <c r="F50" s="173"/>
      <c r="G50" s="173"/>
      <c r="H50" s="421">
        <f>-H41</f>
        <v>12370</v>
      </c>
      <c r="I50" s="421"/>
      <c r="J50" s="367"/>
      <c r="K50" s="264"/>
      <c r="L50" s="264"/>
      <c r="M50" s="173"/>
      <c r="N50" s="369"/>
      <c r="O50" s="148"/>
      <c r="P50" s="173"/>
      <c r="Q50" s="173"/>
      <c r="R50" s="173"/>
      <c r="S50" s="173"/>
      <c r="V50" s="148"/>
      <c r="W50" s="148"/>
      <c r="Z50" s="173"/>
      <c r="AA50" s="173"/>
    </row>
    <row r="51" spans="2:27" ht="24" customHeight="1">
      <c r="B51" s="149"/>
      <c r="C51" s="242"/>
      <c r="D51" s="124"/>
      <c r="E51" s="124"/>
      <c r="F51" s="124"/>
      <c r="G51" s="124"/>
      <c r="H51" s="422"/>
      <c r="I51" s="422"/>
      <c r="J51" s="367"/>
      <c r="K51" s="264"/>
      <c r="L51" s="264"/>
      <c r="M51" s="173"/>
      <c r="N51" s="257" t="s">
        <v>173</v>
      </c>
      <c r="O51" s="173"/>
      <c r="P51" s="173"/>
      <c r="Q51" s="173"/>
      <c r="R51" s="173"/>
      <c r="S51" s="173"/>
      <c r="T51" s="257" t="s">
        <v>45</v>
      </c>
      <c r="U51" s="173"/>
      <c r="V51" s="173"/>
      <c r="W51" s="173"/>
      <c r="Z51" s="173"/>
      <c r="AA51" s="173"/>
    </row>
    <row r="52" spans="2:27" ht="21.75" customHeight="1">
      <c r="B52" s="149"/>
      <c r="C52" s="242" t="s">
        <v>175</v>
      </c>
      <c r="D52" s="242"/>
      <c r="E52" s="242"/>
      <c r="H52" s="412">
        <f>H40+H50</f>
        <v>-1500</v>
      </c>
      <c r="I52" s="412"/>
      <c r="J52" s="367"/>
      <c r="K52" s="264"/>
      <c r="L52" s="264"/>
      <c r="M52" s="173"/>
      <c r="N52" s="148" t="s">
        <v>172</v>
      </c>
      <c r="O52" s="246"/>
      <c r="P52" s="246"/>
      <c r="Q52" s="246"/>
      <c r="R52" s="173"/>
      <c r="S52" s="173"/>
      <c r="T52" s="148" t="s">
        <v>191</v>
      </c>
      <c r="U52" s="173"/>
      <c r="V52" s="173"/>
      <c r="W52" s="173"/>
      <c r="Z52" s="173"/>
      <c r="AA52" s="173"/>
    </row>
    <row r="53" spans="2:27" ht="30" customHeight="1">
      <c r="B53" s="149"/>
      <c r="D53" s="242"/>
      <c r="E53" s="242"/>
      <c r="G53" s="254"/>
      <c r="J53" s="367"/>
      <c r="K53" s="284"/>
      <c r="L53" s="284"/>
      <c r="M53" s="173"/>
      <c r="N53" s="148"/>
      <c r="O53" s="173"/>
      <c r="P53" s="173"/>
      <c r="Q53" s="173"/>
      <c r="R53" s="173"/>
      <c r="S53" s="173"/>
      <c r="T53" s="148"/>
      <c r="U53" s="173"/>
      <c r="V53" s="173"/>
      <c r="W53" s="173"/>
      <c r="Z53" s="173"/>
      <c r="AA53" s="173"/>
    </row>
    <row r="54" spans="2:27" ht="26.25" customHeight="1">
      <c r="B54" s="255"/>
      <c r="C54" s="124"/>
      <c r="D54" s="124"/>
      <c r="E54" s="124"/>
      <c r="F54" s="124"/>
      <c r="I54" s="151"/>
      <c r="J54" s="367"/>
      <c r="K54" s="283"/>
      <c r="L54" s="283"/>
      <c r="M54" s="173"/>
      <c r="N54" s="257" t="s">
        <v>169</v>
      </c>
      <c r="R54" s="173"/>
      <c r="S54" s="173"/>
      <c r="T54" s="257" t="s">
        <v>169</v>
      </c>
      <c r="U54" s="150"/>
      <c r="V54" s="150"/>
      <c r="W54" s="150"/>
      <c r="Z54" s="173"/>
      <c r="AA54" s="173"/>
    </row>
    <row r="55" spans="2:27" ht="26.25" customHeight="1">
      <c r="B55" s="254"/>
      <c r="C55" s="124"/>
      <c r="D55" s="124"/>
      <c r="E55" s="124"/>
      <c r="F55" s="124"/>
      <c r="G55" s="124"/>
      <c r="H55" s="124"/>
      <c r="J55" s="367"/>
      <c r="K55" s="283"/>
      <c r="L55" s="283"/>
      <c r="M55" s="173"/>
      <c r="N55" s="148" t="s">
        <v>170</v>
      </c>
      <c r="O55" s="248"/>
      <c r="P55" s="248"/>
      <c r="Q55" s="248"/>
      <c r="R55" s="173"/>
      <c r="S55" s="173"/>
      <c r="T55" s="148" t="s">
        <v>205</v>
      </c>
      <c r="U55" s="150"/>
      <c r="V55" s="150"/>
      <c r="W55" s="150"/>
      <c r="Z55" s="173"/>
      <c r="AA55" s="173"/>
    </row>
    <row r="56" spans="2:27" ht="25.5" customHeight="1">
      <c r="C56" s="124"/>
      <c r="D56" s="124"/>
      <c r="E56" s="124"/>
      <c r="F56" s="124"/>
      <c r="G56" s="124"/>
      <c r="H56" s="124"/>
      <c r="K56" s="283"/>
      <c r="L56" s="283"/>
      <c r="M56" s="173"/>
      <c r="S56" s="173"/>
      <c r="Z56" s="150"/>
      <c r="AA56" s="150"/>
    </row>
    <row r="57" spans="2:27" ht="28.5">
      <c r="B57" s="124"/>
      <c r="G57" s="124"/>
      <c r="H57" s="124"/>
      <c r="J57" s="151"/>
      <c r="K57" s="283"/>
      <c r="L57" s="283"/>
      <c r="M57" s="173"/>
      <c r="N57" s="148"/>
      <c r="O57" s="148"/>
      <c r="T57" s="148"/>
      <c r="U57" s="150"/>
      <c r="V57" s="150"/>
      <c r="W57" s="150"/>
      <c r="Y57" s="150"/>
      <c r="Z57" s="150"/>
      <c r="AA57" s="150"/>
    </row>
    <row r="58" spans="2:27" ht="28.5">
      <c r="B58" s="124"/>
      <c r="K58" s="283"/>
      <c r="L58" s="173"/>
      <c r="M58" s="368"/>
      <c r="N58" s="148"/>
      <c r="U58" s="148"/>
      <c r="V58" s="150"/>
      <c r="W58" s="150"/>
      <c r="X58" s="150"/>
      <c r="Y58" s="150"/>
      <c r="Z58" s="150"/>
    </row>
    <row r="59" spans="2:27" ht="28.5">
      <c r="B59" s="124"/>
      <c r="L59" s="153"/>
      <c r="N59" s="148"/>
      <c r="T59" s="148"/>
      <c r="U59" s="173"/>
      <c r="V59" s="173"/>
      <c r="W59" s="173"/>
      <c r="Y59" s="150"/>
    </row>
    <row r="60" spans="2:27" ht="23.25">
      <c r="L60" s="154"/>
      <c r="N60" s="257"/>
      <c r="T60" s="257"/>
      <c r="U60" s="150"/>
      <c r="V60" s="150"/>
      <c r="W60" s="150"/>
      <c r="Y60" s="150"/>
    </row>
    <row r="61" spans="2:27" ht="18.75">
      <c r="L61" s="155"/>
      <c r="M61" s="153"/>
      <c r="N61" s="148"/>
      <c r="T61" s="148"/>
      <c r="U61" s="150"/>
      <c r="V61" s="150"/>
      <c r="W61" s="150"/>
    </row>
    <row r="62" spans="2:27" ht="18.75">
      <c r="L62" s="156"/>
      <c r="M62" s="154"/>
      <c r="N62" s="247"/>
      <c r="T62" s="150"/>
      <c r="U62" s="150"/>
    </row>
    <row r="63" spans="2:27">
      <c r="L63" s="156"/>
      <c r="M63" s="155"/>
    </row>
    <row r="64" spans="2:27" ht="15.75">
      <c r="L64" s="156"/>
      <c r="M64" s="156"/>
      <c r="N64" s="153"/>
      <c r="Q64" s="152"/>
    </row>
    <row r="65" spans="9:24">
      <c r="L65" s="156"/>
      <c r="M65" s="156"/>
      <c r="N65" s="154"/>
    </row>
    <row r="66" spans="9:24">
      <c r="L66" s="156"/>
      <c r="M66" s="156"/>
      <c r="N66" s="155"/>
    </row>
    <row r="67" spans="9:24">
      <c r="L67" s="156"/>
      <c r="M67" s="156"/>
      <c r="N67" s="156"/>
    </row>
    <row r="68" spans="9:24">
      <c r="L68" s="156"/>
      <c r="M68" s="156"/>
      <c r="N68" s="156"/>
    </row>
    <row r="69" spans="9:24" s="123" customFormat="1">
      <c r="I69" s="124"/>
      <c r="J69" s="124"/>
      <c r="K69" s="124"/>
      <c r="L69" s="156"/>
      <c r="M69" s="156"/>
      <c r="N69" s="156"/>
      <c r="O69" s="124"/>
      <c r="P69" s="124"/>
      <c r="Q69" s="124"/>
      <c r="R69" s="124"/>
      <c r="S69" s="124"/>
      <c r="T69" s="124"/>
      <c r="U69" s="124"/>
      <c r="V69" s="124"/>
      <c r="W69" s="124"/>
      <c r="X69" s="124"/>
    </row>
    <row r="70" spans="9:24">
      <c r="L70" s="156"/>
      <c r="M70" s="156"/>
      <c r="N70" s="156"/>
    </row>
    <row r="71" spans="9:24">
      <c r="L71" s="156"/>
      <c r="M71" s="156"/>
      <c r="N71" s="156"/>
    </row>
    <row r="72" spans="9:24">
      <c r="M72" s="156"/>
      <c r="N72" s="156"/>
    </row>
    <row r="73" spans="9:24">
      <c r="M73" s="156"/>
      <c r="N73" s="156"/>
    </row>
    <row r="74" spans="9:24">
      <c r="N74" s="156"/>
    </row>
    <row r="75" spans="9:24">
      <c r="N75" s="156"/>
    </row>
    <row r="76" spans="9:24">
      <c r="N76" s="156"/>
    </row>
  </sheetData>
  <mergeCells count="13">
    <mergeCell ref="H50:I50"/>
    <mergeCell ref="H51:I51"/>
    <mergeCell ref="H52:I52"/>
    <mergeCell ref="H46:I46"/>
    <mergeCell ref="H45:I45"/>
    <mergeCell ref="H48:I48"/>
    <mergeCell ref="H47:I47"/>
    <mergeCell ref="H44:I44"/>
    <mergeCell ref="B2:X2"/>
    <mergeCell ref="H40:I40"/>
    <mergeCell ref="H41:I41"/>
    <mergeCell ref="H43:I43"/>
    <mergeCell ref="C39:I39"/>
  </mergeCells>
  <printOptions horizontalCentered="1"/>
  <pageMargins left="0" right="0" top="0" bottom="0" header="0" footer="0"/>
  <pageSetup scale="38" orientation="landscape" horizontalDpi="360" verticalDpi="360" r:id="rId1"/>
  <ignoredErrors>
    <ignoredError sqref="H33 L33" formula="1"/>
    <ignoredError sqref="J34" unlockedFormula="1"/>
    <ignoredError sqref="H14" formulaRange="1"/>
  </ignoredError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>
    <tabColor theme="0" tint="-0.34998626667073579"/>
    <pageSetUpPr fitToPage="1"/>
  </sheetPr>
  <dimension ref="B1:AH88"/>
  <sheetViews>
    <sheetView showGridLines="0" view="pageBreakPreview" zoomScale="70" zoomScaleNormal="90" zoomScaleSheetLayoutView="70" workbookViewId="0">
      <pane ySplit="3" topLeftCell="A4" activePane="bottomLeft" state="frozen"/>
      <selection activeCell="Q50" sqref="Q50"/>
      <selection pane="bottomLeft" activeCell="O25" sqref="O25"/>
    </sheetView>
  </sheetViews>
  <sheetFormatPr defaultRowHeight="15"/>
  <cols>
    <col min="1" max="1" width="1" style="124" customWidth="1"/>
    <col min="2" max="2" width="12.28515625" style="123" bestFit="1" customWidth="1"/>
    <col min="3" max="5" width="12.28515625" style="123" customWidth="1"/>
    <col min="6" max="6" width="14.140625" style="123" customWidth="1"/>
    <col min="7" max="7" width="14.28515625" style="123" customWidth="1"/>
    <col min="8" max="8" width="14.85546875" style="123" customWidth="1"/>
    <col min="9" max="10" width="15.42578125" style="124" customWidth="1"/>
    <col min="11" max="13" width="17.42578125" style="124" customWidth="1"/>
    <col min="14" max="14" width="15.85546875" style="124" bestFit="1" customWidth="1"/>
    <col min="15" max="15" width="14.140625" style="124" bestFit="1" customWidth="1"/>
    <col min="16" max="17" width="19" style="124" customWidth="1"/>
    <col min="18" max="18" width="19.85546875" style="124" customWidth="1"/>
    <col min="19" max="19" width="18.42578125" style="124" customWidth="1"/>
    <col min="20" max="20" width="16" style="124" customWidth="1"/>
    <col min="21" max="21" width="13.7109375" style="124" customWidth="1"/>
    <col min="22" max="22" width="14.7109375" style="124" bestFit="1" customWidth="1"/>
    <col min="23" max="23" width="20.140625" style="124" hidden="1" customWidth="1"/>
    <col min="24" max="24" width="20.85546875" style="124" customWidth="1"/>
    <col min="25" max="25" width="5.42578125" style="124" customWidth="1"/>
    <col min="26" max="37" width="16.5703125" style="124" customWidth="1"/>
    <col min="38" max="16384" width="9.140625" style="124"/>
  </cols>
  <sheetData>
    <row r="1" spans="2:34" ht="24.75" customHeight="1" thickBot="1"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</row>
    <row r="2" spans="2:34" ht="28.5" customHeight="1" thickBot="1">
      <c r="B2" s="414" t="s">
        <v>234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415"/>
      <c r="X2" s="416"/>
    </row>
    <row r="3" spans="2:34" ht="81" customHeight="1" thickBot="1">
      <c r="B3" s="125" t="s">
        <v>94</v>
      </c>
      <c r="C3" s="126" t="s">
        <v>121</v>
      </c>
      <c r="D3" s="126" t="s">
        <v>185</v>
      </c>
      <c r="E3" s="126" t="s">
        <v>187</v>
      </c>
      <c r="F3" s="282" t="s">
        <v>213</v>
      </c>
      <c r="G3" s="126" t="s">
        <v>212</v>
      </c>
      <c r="H3" s="126" t="s">
        <v>163</v>
      </c>
      <c r="I3" s="127" t="s">
        <v>111</v>
      </c>
      <c r="J3" s="127" t="s">
        <v>183</v>
      </c>
      <c r="K3" s="127" t="s">
        <v>180</v>
      </c>
      <c r="L3" s="127" t="s">
        <v>181</v>
      </c>
      <c r="M3" s="127" t="s">
        <v>182</v>
      </c>
      <c r="N3" s="128">
        <v>-0.8</v>
      </c>
      <c r="O3" s="157">
        <f>-100%-N3</f>
        <v>-0.19999999999999996</v>
      </c>
      <c r="P3" s="127" t="s">
        <v>207</v>
      </c>
      <c r="Q3" s="127" t="s">
        <v>142</v>
      </c>
      <c r="R3" s="127" t="s">
        <v>208</v>
      </c>
      <c r="S3" s="127" t="s">
        <v>125</v>
      </c>
      <c r="T3" s="206" t="s">
        <v>209</v>
      </c>
      <c r="U3" s="127" t="s">
        <v>97</v>
      </c>
      <c r="V3" s="127" t="s">
        <v>144</v>
      </c>
      <c r="W3" s="127" t="s">
        <v>145</v>
      </c>
      <c r="X3" s="129" t="s">
        <v>96</v>
      </c>
      <c r="AA3" s="130" t="s">
        <v>106</v>
      </c>
      <c r="AB3" s="130" t="s">
        <v>95</v>
      </c>
      <c r="AC3" s="130" t="s">
        <v>107</v>
      </c>
      <c r="AD3" s="131" t="s">
        <v>108</v>
      </c>
      <c r="AE3" s="131" t="s">
        <v>109</v>
      </c>
      <c r="AF3" s="130" t="s">
        <v>147</v>
      </c>
      <c r="AG3" s="130" t="s">
        <v>110</v>
      </c>
      <c r="AH3" s="130" t="s">
        <v>120</v>
      </c>
    </row>
    <row r="4" spans="2:34" ht="26.25" customHeight="1">
      <c r="B4" s="132">
        <v>44593</v>
      </c>
      <c r="C4" s="240"/>
      <c r="D4" s="240"/>
      <c r="E4" s="240"/>
      <c r="F4" s="240"/>
      <c r="G4" s="240"/>
      <c r="H4" s="168"/>
      <c r="I4" s="133"/>
      <c r="J4" s="133"/>
      <c r="K4" s="256"/>
      <c r="L4" s="136"/>
      <c r="M4" s="256"/>
      <c r="N4" s="159"/>
      <c r="O4" s="159"/>
      <c r="P4" s="134"/>
      <c r="Q4" s="210"/>
      <c r="R4" s="134"/>
      <c r="S4" s="159"/>
      <c r="T4" s="159"/>
      <c r="U4" s="158"/>
      <c r="V4" s="159"/>
      <c r="W4" s="159"/>
      <c r="X4" s="161"/>
      <c r="AA4" s="164">
        <f>H4</f>
        <v>0</v>
      </c>
      <c r="AB4" s="165">
        <f>I4+J4</f>
        <v>0</v>
      </c>
      <c r="AC4" s="165">
        <f>Q4</f>
        <v>0</v>
      </c>
      <c r="AD4" s="165">
        <f>W4-S4</f>
        <v>0</v>
      </c>
      <c r="AE4" s="165">
        <f>M4</f>
        <v>0</v>
      </c>
      <c r="AF4" s="165">
        <f>R4</f>
        <v>0</v>
      </c>
      <c r="AG4" s="165"/>
      <c r="AH4" s="213">
        <f>C4</f>
        <v>0</v>
      </c>
    </row>
    <row r="5" spans="2:34" ht="26.25" customHeight="1">
      <c r="B5" s="166">
        <f>B4+1</f>
        <v>44594</v>
      </c>
      <c r="C5" s="221"/>
      <c r="D5" s="221"/>
      <c r="E5" s="221"/>
      <c r="F5" s="221"/>
      <c r="G5" s="221"/>
      <c r="H5" s="168"/>
      <c r="I5" s="136"/>
      <c r="J5" s="136"/>
      <c r="K5" s="256"/>
      <c r="L5" s="136"/>
      <c r="M5" s="256"/>
      <c r="N5" s="159"/>
      <c r="O5" s="159"/>
      <c r="P5" s="135"/>
      <c r="Q5" s="211"/>
      <c r="R5" s="135"/>
      <c r="S5" s="159"/>
      <c r="T5" s="159"/>
      <c r="U5" s="159"/>
      <c r="V5" s="159"/>
      <c r="W5" s="159"/>
      <c r="X5" s="162"/>
      <c r="AA5" s="164">
        <f t="shared" ref="AA5:AA33" si="0">AA4+H5</f>
        <v>0</v>
      </c>
      <c r="AB5" s="165">
        <f t="shared" ref="AB5:AB33" si="1">AB4+I5+J5</f>
        <v>0</v>
      </c>
      <c r="AC5" s="165">
        <f>Q5+AC4</f>
        <v>0</v>
      </c>
      <c r="AD5" s="165">
        <f>AD4+W5-S5</f>
        <v>0</v>
      </c>
      <c r="AE5" s="165">
        <f>AE4+M5</f>
        <v>0</v>
      </c>
      <c r="AF5" s="165">
        <f>R5+AF4</f>
        <v>0</v>
      </c>
      <c r="AG5" s="165"/>
      <c r="AH5" s="230">
        <f t="shared" ref="AH5:AH33" si="2">C5+AH4</f>
        <v>0</v>
      </c>
    </row>
    <row r="6" spans="2:34" ht="26.25" customHeight="1">
      <c r="B6" s="166">
        <f t="shared" ref="B6:B33" si="3">B5+1</f>
        <v>44595</v>
      </c>
      <c r="C6" s="221"/>
      <c r="D6" s="221"/>
      <c r="E6" s="221"/>
      <c r="F6" s="221"/>
      <c r="G6" s="221"/>
      <c r="H6" s="168"/>
      <c r="I6" s="136"/>
      <c r="J6" s="136"/>
      <c r="K6" s="256"/>
      <c r="L6" s="136"/>
      <c r="M6" s="256"/>
      <c r="N6" s="159"/>
      <c r="O6" s="159"/>
      <c r="P6" s="135"/>
      <c r="Q6" s="211"/>
      <c r="R6" s="135"/>
      <c r="S6" s="159"/>
      <c r="T6" s="159"/>
      <c r="U6" s="159"/>
      <c r="V6" s="159"/>
      <c r="W6" s="159"/>
      <c r="X6" s="162"/>
      <c r="AA6" s="164">
        <f t="shared" si="0"/>
        <v>0</v>
      </c>
      <c r="AB6" s="165">
        <f t="shared" si="1"/>
        <v>0</v>
      </c>
      <c r="AC6" s="165">
        <f t="shared" ref="AC6:AC33" si="4">Q6+AC5</f>
        <v>0</v>
      </c>
      <c r="AD6" s="165">
        <f>AD5+W6-S6</f>
        <v>0</v>
      </c>
      <c r="AE6" s="165">
        <f t="shared" ref="AE6:AE33" si="5">AE5+M6</f>
        <v>0</v>
      </c>
      <c r="AF6" s="165">
        <f t="shared" ref="AF6:AF32" si="6">R6+AF5</f>
        <v>0</v>
      </c>
      <c r="AG6" s="165"/>
      <c r="AH6" s="230">
        <f t="shared" si="2"/>
        <v>0</v>
      </c>
    </row>
    <row r="7" spans="2:34" ht="26.25" customHeight="1">
      <c r="B7" s="166">
        <f t="shared" si="3"/>
        <v>44596</v>
      </c>
      <c r="C7" s="221"/>
      <c r="D7" s="221"/>
      <c r="E7" s="221"/>
      <c r="F7" s="221"/>
      <c r="G7" s="221"/>
      <c r="H7" s="168"/>
      <c r="I7" s="136"/>
      <c r="J7" s="136"/>
      <c r="K7" s="256"/>
      <c r="L7" s="136"/>
      <c r="M7" s="256"/>
      <c r="N7" s="159"/>
      <c r="O7" s="159"/>
      <c r="P7" s="135"/>
      <c r="Q7" s="211"/>
      <c r="R7" s="135"/>
      <c r="S7" s="159"/>
      <c r="T7" s="159"/>
      <c r="U7" s="159"/>
      <c r="V7" s="159"/>
      <c r="W7" s="159"/>
      <c r="X7" s="162"/>
      <c r="AA7" s="164">
        <f t="shared" si="0"/>
        <v>0</v>
      </c>
      <c r="AB7" s="165">
        <f t="shared" si="1"/>
        <v>0</v>
      </c>
      <c r="AC7" s="165">
        <f t="shared" si="4"/>
        <v>0</v>
      </c>
      <c r="AD7" s="165">
        <f t="shared" ref="AD7:AD33" si="7">AD6+W7-S7</f>
        <v>0</v>
      </c>
      <c r="AE7" s="165">
        <f t="shared" si="5"/>
        <v>0</v>
      </c>
      <c r="AF7" s="165">
        <f t="shared" si="6"/>
        <v>0</v>
      </c>
      <c r="AG7" s="165"/>
      <c r="AH7" s="230">
        <f t="shared" si="2"/>
        <v>0</v>
      </c>
    </row>
    <row r="8" spans="2:34" ht="26.25" customHeight="1">
      <c r="B8" s="166">
        <f t="shared" si="3"/>
        <v>44597</v>
      </c>
      <c r="C8" s="221"/>
      <c r="D8" s="221"/>
      <c r="E8" s="221"/>
      <c r="F8" s="221"/>
      <c r="G8" s="221"/>
      <c r="H8" s="168"/>
      <c r="I8" s="136"/>
      <c r="J8" s="136"/>
      <c r="K8" s="256"/>
      <c r="L8" s="136"/>
      <c r="M8" s="256"/>
      <c r="N8" s="159"/>
      <c r="O8" s="159"/>
      <c r="P8" s="135"/>
      <c r="Q8" s="211"/>
      <c r="R8" s="135"/>
      <c r="S8" s="159"/>
      <c r="T8" s="159"/>
      <c r="U8" s="159"/>
      <c r="V8" s="159"/>
      <c r="W8" s="159"/>
      <c r="X8" s="162"/>
      <c r="AA8" s="164">
        <f t="shared" si="0"/>
        <v>0</v>
      </c>
      <c r="AB8" s="165">
        <f t="shared" si="1"/>
        <v>0</v>
      </c>
      <c r="AC8" s="165">
        <f t="shared" si="4"/>
        <v>0</v>
      </c>
      <c r="AD8" s="165">
        <f t="shared" si="7"/>
        <v>0</v>
      </c>
      <c r="AE8" s="165">
        <f t="shared" si="5"/>
        <v>0</v>
      </c>
      <c r="AF8" s="165">
        <f t="shared" si="6"/>
        <v>0</v>
      </c>
      <c r="AG8" s="165"/>
      <c r="AH8" s="230">
        <f t="shared" si="2"/>
        <v>0</v>
      </c>
    </row>
    <row r="9" spans="2:34" ht="26.25" customHeight="1">
      <c r="B9" s="166">
        <f t="shared" si="3"/>
        <v>44598</v>
      </c>
      <c r="C9" s="221"/>
      <c r="D9" s="221"/>
      <c r="E9" s="221"/>
      <c r="F9" s="221"/>
      <c r="G9" s="221"/>
      <c r="H9" s="168"/>
      <c r="I9" s="136"/>
      <c r="J9" s="136"/>
      <c r="K9" s="256"/>
      <c r="L9" s="136"/>
      <c r="M9" s="256"/>
      <c r="N9" s="159"/>
      <c r="O9" s="159"/>
      <c r="P9" s="135"/>
      <c r="Q9" s="211"/>
      <c r="R9" s="135"/>
      <c r="S9" s="159"/>
      <c r="T9" s="159"/>
      <c r="U9" s="159"/>
      <c r="V9" s="159"/>
      <c r="W9" s="159"/>
      <c r="X9" s="162"/>
      <c r="AA9" s="164">
        <f t="shared" si="0"/>
        <v>0</v>
      </c>
      <c r="AB9" s="165">
        <f t="shared" si="1"/>
        <v>0</v>
      </c>
      <c r="AC9" s="165">
        <f t="shared" si="4"/>
        <v>0</v>
      </c>
      <c r="AD9" s="165">
        <f t="shared" si="7"/>
        <v>0</v>
      </c>
      <c r="AE9" s="165">
        <f t="shared" si="5"/>
        <v>0</v>
      </c>
      <c r="AF9" s="165">
        <f t="shared" si="6"/>
        <v>0</v>
      </c>
      <c r="AG9" s="165"/>
      <c r="AH9" s="230">
        <f t="shared" si="2"/>
        <v>0</v>
      </c>
    </row>
    <row r="10" spans="2:34" ht="26.25" customHeight="1">
      <c r="B10" s="166">
        <f t="shared" si="3"/>
        <v>44599</v>
      </c>
      <c r="C10" s="221"/>
      <c r="D10" s="221"/>
      <c r="E10" s="221"/>
      <c r="F10" s="221"/>
      <c r="G10" s="221"/>
      <c r="H10" s="168"/>
      <c r="I10" s="136"/>
      <c r="J10" s="136"/>
      <c r="K10" s="256"/>
      <c r="L10" s="136"/>
      <c r="M10" s="256"/>
      <c r="N10" s="159"/>
      <c r="O10" s="159"/>
      <c r="P10" s="135"/>
      <c r="Q10" s="211"/>
      <c r="R10" s="135"/>
      <c r="S10" s="159"/>
      <c r="T10" s="159"/>
      <c r="U10" s="159"/>
      <c r="V10" s="159"/>
      <c r="W10" s="159"/>
      <c r="X10" s="162"/>
      <c r="AA10" s="164">
        <f t="shared" si="0"/>
        <v>0</v>
      </c>
      <c r="AB10" s="165">
        <f t="shared" si="1"/>
        <v>0</v>
      </c>
      <c r="AC10" s="165">
        <f t="shared" si="4"/>
        <v>0</v>
      </c>
      <c r="AD10" s="165">
        <f t="shared" si="7"/>
        <v>0</v>
      </c>
      <c r="AE10" s="165">
        <f t="shared" si="5"/>
        <v>0</v>
      </c>
      <c r="AF10" s="165">
        <f t="shared" si="6"/>
        <v>0</v>
      </c>
      <c r="AG10" s="165"/>
      <c r="AH10" s="230">
        <f t="shared" si="2"/>
        <v>0</v>
      </c>
    </row>
    <row r="11" spans="2:34" ht="26.25" customHeight="1">
      <c r="B11" s="166">
        <f t="shared" si="3"/>
        <v>44600</v>
      </c>
      <c r="C11" s="221"/>
      <c r="D11" s="221"/>
      <c r="E11" s="221"/>
      <c r="F11" s="221"/>
      <c r="G11" s="221"/>
      <c r="H11" s="168"/>
      <c r="I11" s="136"/>
      <c r="J11" s="136"/>
      <c r="K11" s="256"/>
      <c r="L11" s="136"/>
      <c r="M11" s="256"/>
      <c r="N11" s="159"/>
      <c r="O11" s="159"/>
      <c r="P11" s="135"/>
      <c r="Q11" s="211"/>
      <c r="R11" s="135"/>
      <c r="S11" s="159"/>
      <c r="T11" s="159"/>
      <c r="U11" s="159"/>
      <c r="V11" s="159"/>
      <c r="W11" s="159"/>
      <c r="X11" s="162"/>
      <c r="AA11" s="164">
        <f t="shared" si="0"/>
        <v>0</v>
      </c>
      <c r="AB11" s="165">
        <f t="shared" si="1"/>
        <v>0</v>
      </c>
      <c r="AC11" s="165">
        <f t="shared" si="4"/>
        <v>0</v>
      </c>
      <c r="AD11" s="165">
        <f t="shared" si="7"/>
        <v>0</v>
      </c>
      <c r="AE11" s="165">
        <f t="shared" si="5"/>
        <v>0</v>
      </c>
      <c r="AF11" s="165">
        <f t="shared" si="6"/>
        <v>0</v>
      </c>
      <c r="AG11" s="165"/>
      <c r="AH11" s="230">
        <f t="shared" si="2"/>
        <v>0</v>
      </c>
    </row>
    <row r="12" spans="2:34" ht="26.25" customHeight="1">
      <c r="B12" s="166">
        <f t="shared" si="3"/>
        <v>44601</v>
      </c>
      <c r="C12" s="221"/>
      <c r="D12" s="221"/>
      <c r="E12" s="221"/>
      <c r="F12" s="221"/>
      <c r="G12" s="221"/>
      <c r="H12" s="168"/>
      <c r="I12" s="136"/>
      <c r="J12" s="136"/>
      <c r="K12" s="256"/>
      <c r="L12" s="136"/>
      <c r="M12" s="256"/>
      <c r="N12" s="159"/>
      <c r="O12" s="159"/>
      <c r="P12" s="135"/>
      <c r="Q12" s="211"/>
      <c r="R12" s="135"/>
      <c r="S12" s="159"/>
      <c r="T12" s="159"/>
      <c r="U12" s="159"/>
      <c r="V12" s="159"/>
      <c r="W12" s="159"/>
      <c r="X12" s="162"/>
      <c r="AA12" s="164">
        <f t="shared" si="0"/>
        <v>0</v>
      </c>
      <c r="AB12" s="165">
        <f t="shared" si="1"/>
        <v>0</v>
      </c>
      <c r="AC12" s="165">
        <f t="shared" si="4"/>
        <v>0</v>
      </c>
      <c r="AD12" s="165">
        <f t="shared" si="7"/>
        <v>0</v>
      </c>
      <c r="AE12" s="165">
        <f t="shared" si="5"/>
        <v>0</v>
      </c>
      <c r="AF12" s="165">
        <f t="shared" si="6"/>
        <v>0</v>
      </c>
      <c r="AG12" s="165"/>
      <c r="AH12" s="230">
        <f t="shared" si="2"/>
        <v>0</v>
      </c>
    </row>
    <row r="13" spans="2:34" ht="26.25" customHeight="1">
      <c r="B13" s="166">
        <f t="shared" si="3"/>
        <v>44602</v>
      </c>
      <c r="C13" s="221"/>
      <c r="D13" s="221"/>
      <c r="E13" s="221"/>
      <c r="F13" s="221"/>
      <c r="G13" s="221"/>
      <c r="H13" s="168"/>
      <c r="I13" s="136"/>
      <c r="J13" s="136"/>
      <c r="K13" s="256"/>
      <c r="L13" s="136"/>
      <c r="M13" s="256"/>
      <c r="N13" s="159"/>
      <c r="O13" s="159"/>
      <c r="P13" s="135"/>
      <c r="Q13" s="211"/>
      <c r="R13" s="135"/>
      <c r="S13" s="159"/>
      <c r="T13" s="159"/>
      <c r="U13" s="159"/>
      <c r="V13" s="159"/>
      <c r="W13" s="159"/>
      <c r="X13" s="162"/>
      <c r="AA13" s="164">
        <f t="shared" si="0"/>
        <v>0</v>
      </c>
      <c r="AB13" s="165">
        <f t="shared" si="1"/>
        <v>0</v>
      </c>
      <c r="AC13" s="165">
        <f>Q13+AC12</f>
        <v>0</v>
      </c>
      <c r="AD13" s="165">
        <f t="shared" si="7"/>
        <v>0</v>
      </c>
      <c r="AE13" s="165">
        <f t="shared" si="5"/>
        <v>0</v>
      </c>
      <c r="AF13" s="165">
        <f t="shared" si="6"/>
        <v>0</v>
      </c>
      <c r="AG13" s="165"/>
      <c r="AH13" s="230">
        <f t="shared" si="2"/>
        <v>0</v>
      </c>
    </row>
    <row r="14" spans="2:34" ht="26.25" customHeight="1">
      <c r="B14" s="166">
        <f t="shared" si="3"/>
        <v>44603</v>
      </c>
      <c r="C14" s="221"/>
      <c r="D14" s="221"/>
      <c r="E14" s="221"/>
      <c r="F14" s="221"/>
      <c r="G14" s="221"/>
      <c r="H14" s="168"/>
      <c r="I14" s="136"/>
      <c r="J14" s="136"/>
      <c r="K14" s="256"/>
      <c r="L14" s="136"/>
      <c r="M14" s="256"/>
      <c r="N14" s="159"/>
      <c r="O14" s="159"/>
      <c r="P14" s="135"/>
      <c r="Q14" s="211"/>
      <c r="R14" s="135"/>
      <c r="S14" s="159"/>
      <c r="T14" s="159"/>
      <c r="U14" s="159"/>
      <c r="V14" s="159"/>
      <c r="W14" s="159"/>
      <c r="X14" s="162"/>
      <c r="AA14" s="164">
        <f t="shared" si="0"/>
        <v>0</v>
      </c>
      <c r="AB14" s="165">
        <f t="shared" si="1"/>
        <v>0</v>
      </c>
      <c r="AC14" s="165">
        <f t="shared" si="4"/>
        <v>0</v>
      </c>
      <c r="AD14" s="165">
        <f t="shared" si="7"/>
        <v>0</v>
      </c>
      <c r="AE14" s="165">
        <f t="shared" si="5"/>
        <v>0</v>
      </c>
      <c r="AF14" s="165">
        <f t="shared" si="6"/>
        <v>0</v>
      </c>
      <c r="AG14" s="165"/>
      <c r="AH14" s="230">
        <f t="shared" si="2"/>
        <v>0</v>
      </c>
    </row>
    <row r="15" spans="2:34" ht="26.25" customHeight="1">
      <c r="B15" s="166">
        <f t="shared" si="3"/>
        <v>44604</v>
      </c>
      <c r="C15" s="221"/>
      <c r="D15" s="221"/>
      <c r="E15" s="221"/>
      <c r="F15" s="221"/>
      <c r="G15" s="221"/>
      <c r="H15" s="168"/>
      <c r="I15" s="136"/>
      <c r="J15" s="136"/>
      <c r="K15" s="256"/>
      <c r="L15" s="136"/>
      <c r="M15" s="256"/>
      <c r="N15" s="159"/>
      <c r="O15" s="159"/>
      <c r="P15" s="135"/>
      <c r="Q15" s="279"/>
      <c r="R15" s="197"/>
      <c r="S15" s="159"/>
      <c r="T15" s="159"/>
      <c r="U15" s="159"/>
      <c r="V15" s="159"/>
      <c r="W15" s="159"/>
      <c r="X15" s="162"/>
      <c r="AA15" s="164">
        <f t="shared" si="0"/>
        <v>0</v>
      </c>
      <c r="AB15" s="165">
        <f t="shared" si="1"/>
        <v>0</v>
      </c>
      <c r="AC15" s="165">
        <f t="shared" si="4"/>
        <v>0</v>
      </c>
      <c r="AD15" s="165">
        <f t="shared" si="7"/>
        <v>0</v>
      </c>
      <c r="AE15" s="165">
        <f t="shared" si="5"/>
        <v>0</v>
      </c>
      <c r="AF15" s="165">
        <f t="shared" si="6"/>
        <v>0</v>
      </c>
      <c r="AG15" s="165"/>
      <c r="AH15" s="230">
        <f t="shared" si="2"/>
        <v>0</v>
      </c>
    </row>
    <row r="16" spans="2:34" ht="26.25" customHeight="1">
      <c r="B16" s="166">
        <f t="shared" si="3"/>
        <v>44605</v>
      </c>
      <c r="C16" s="221"/>
      <c r="D16" s="221"/>
      <c r="E16" s="221"/>
      <c r="F16" s="221"/>
      <c r="G16" s="221"/>
      <c r="H16" s="168"/>
      <c r="I16" s="136"/>
      <c r="J16" s="136"/>
      <c r="K16" s="256"/>
      <c r="L16" s="136"/>
      <c r="M16" s="256"/>
      <c r="N16" s="159"/>
      <c r="O16" s="159"/>
      <c r="P16" s="135"/>
      <c r="Q16" s="211"/>
      <c r="R16" s="135"/>
      <c r="S16" s="159"/>
      <c r="T16" s="159"/>
      <c r="U16" s="159"/>
      <c r="V16" s="159"/>
      <c r="W16" s="159"/>
      <c r="X16" s="162"/>
      <c r="AA16" s="164">
        <f t="shared" si="0"/>
        <v>0</v>
      </c>
      <c r="AB16" s="165">
        <f t="shared" si="1"/>
        <v>0</v>
      </c>
      <c r="AC16" s="165">
        <f t="shared" si="4"/>
        <v>0</v>
      </c>
      <c r="AD16" s="165">
        <f t="shared" si="7"/>
        <v>0</v>
      </c>
      <c r="AE16" s="165">
        <f t="shared" si="5"/>
        <v>0</v>
      </c>
      <c r="AF16" s="165">
        <f t="shared" si="6"/>
        <v>0</v>
      </c>
      <c r="AG16" s="165"/>
      <c r="AH16" s="230">
        <f t="shared" si="2"/>
        <v>0</v>
      </c>
    </row>
    <row r="17" spans="2:34" s="296" customFormat="1" ht="26.25" customHeight="1">
      <c r="B17" s="297">
        <f t="shared" si="3"/>
        <v>44606</v>
      </c>
      <c r="C17" s="291"/>
      <c r="D17" s="221"/>
      <c r="E17" s="291"/>
      <c r="F17" s="221"/>
      <c r="G17" s="221"/>
      <c r="H17" s="292"/>
      <c r="I17" s="298"/>
      <c r="J17" s="298"/>
      <c r="K17" s="256"/>
      <c r="L17" s="275"/>
      <c r="M17" s="299"/>
      <c r="N17" s="159"/>
      <c r="O17" s="159"/>
      <c r="P17" s="135"/>
      <c r="Q17" s="279"/>
      <c r="R17" s="197"/>
      <c r="S17" s="300"/>
      <c r="T17" s="300"/>
      <c r="U17" s="300"/>
      <c r="V17" s="300"/>
      <c r="W17" s="300"/>
      <c r="X17" s="302"/>
      <c r="AA17" s="303">
        <f t="shared" si="0"/>
        <v>0</v>
      </c>
      <c r="AB17" s="304">
        <f t="shared" si="1"/>
        <v>0</v>
      </c>
      <c r="AC17" s="304">
        <f t="shared" si="4"/>
        <v>0</v>
      </c>
      <c r="AD17" s="304">
        <f t="shared" si="7"/>
        <v>0</v>
      </c>
      <c r="AE17" s="304">
        <f t="shared" si="5"/>
        <v>0</v>
      </c>
      <c r="AF17" s="304">
        <f t="shared" si="6"/>
        <v>0</v>
      </c>
      <c r="AG17" s="304"/>
      <c r="AH17" s="305">
        <f t="shared" si="2"/>
        <v>0</v>
      </c>
    </row>
    <row r="18" spans="2:34" s="296" customFormat="1" ht="26.25" customHeight="1">
      <c r="B18" s="297">
        <f t="shared" si="3"/>
        <v>44607</v>
      </c>
      <c r="C18" s="291"/>
      <c r="D18" s="221"/>
      <c r="E18" s="291"/>
      <c r="F18" s="291"/>
      <c r="G18" s="291"/>
      <c r="H18" s="292"/>
      <c r="I18" s="298"/>
      <c r="J18" s="298"/>
      <c r="K18" s="256"/>
      <c r="L18" s="275"/>
      <c r="M18" s="299"/>
      <c r="N18" s="159"/>
      <c r="O18" s="159"/>
      <c r="P18" s="135"/>
      <c r="Q18" s="279"/>
      <c r="R18" s="197"/>
      <c r="S18" s="300"/>
      <c r="T18" s="300"/>
      <c r="U18" s="300"/>
      <c r="V18" s="300"/>
      <c r="W18" s="300"/>
      <c r="X18" s="302"/>
      <c r="AA18" s="303">
        <f t="shared" si="0"/>
        <v>0</v>
      </c>
      <c r="AB18" s="304">
        <f t="shared" si="1"/>
        <v>0</v>
      </c>
      <c r="AC18" s="304">
        <f t="shared" si="4"/>
        <v>0</v>
      </c>
      <c r="AD18" s="304">
        <f t="shared" si="7"/>
        <v>0</v>
      </c>
      <c r="AE18" s="304">
        <f t="shared" si="5"/>
        <v>0</v>
      </c>
      <c r="AF18" s="304">
        <f t="shared" si="6"/>
        <v>0</v>
      </c>
      <c r="AG18" s="304"/>
      <c r="AH18" s="305">
        <f t="shared" si="2"/>
        <v>0</v>
      </c>
    </row>
    <row r="19" spans="2:34" ht="26.25" customHeight="1">
      <c r="B19" s="166">
        <f t="shared" si="3"/>
        <v>44608</v>
      </c>
      <c r="C19" s="291"/>
      <c r="D19" s="221"/>
      <c r="E19" s="291"/>
      <c r="F19" s="221"/>
      <c r="G19" s="221"/>
      <c r="H19" s="292"/>
      <c r="I19" s="137"/>
      <c r="J19" s="137"/>
      <c r="K19" s="256"/>
      <c r="L19" s="136"/>
      <c r="M19" s="256"/>
      <c r="N19" s="159"/>
      <c r="O19" s="159"/>
      <c r="P19" s="135"/>
      <c r="Q19" s="211"/>
      <c r="R19" s="135"/>
      <c r="S19" s="159"/>
      <c r="T19" s="159"/>
      <c r="U19" s="159"/>
      <c r="V19" s="159"/>
      <c r="W19" s="159"/>
      <c r="X19" s="162"/>
      <c r="AA19" s="164">
        <f t="shared" si="0"/>
        <v>0</v>
      </c>
      <c r="AB19" s="165">
        <f t="shared" si="1"/>
        <v>0</v>
      </c>
      <c r="AC19" s="165">
        <f t="shared" si="4"/>
        <v>0</v>
      </c>
      <c r="AD19" s="165">
        <f t="shared" si="7"/>
        <v>0</v>
      </c>
      <c r="AE19" s="165">
        <f t="shared" si="5"/>
        <v>0</v>
      </c>
      <c r="AF19" s="165">
        <f t="shared" si="6"/>
        <v>0</v>
      </c>
      <c r="AG19" s="165"/>
      <c r="AH19" s="230">
        <f t="shared" si="2"/>
        <v>0</v>
      </c>
    </row>
    <row r="20" spans="2:34" ht="26.25" customHeight="1">
      <c r="B20" s="166">
        <f t="shared" si="3"/>
        <v>44609</v>
      </c>
      <c r="C20" s="291"/>
      <c r="D20" s="291"/>
      <c r="E20" s="291"/>
      <c r="F20" s="221"/>
      <c r="G20" s="221"/>
      <c r="H20" s="292"/>
      <c r="I20" s="137"/>
      <c r="J20" s="137"/>
      <c r="K20" s="256"/>
      <c r="L20" s="136"/>
      <c r="M20" s="256"/>
      <c r="N20" s="159"/>
      <c r="O20" s="159"/>
      <c r="P20" s="135"/>
      <c r="Q20" s="211"/>
      <c r="R20" s="135"/>
      <c r="S20" s="159"/>
      <c r="T20" s="159"/>
      <c r="U20" s="159"/>
      <c r="V20" s="159"/>
      <c r="W20" s="159"/>
      <c r="X20" s="162"/>
      <c r="AA20" s="164">
        <f t="shared" si="0"/>
        <v>0</v>
      </c>
      <c r="AB20" s="165">
        <f t="shared" si="1"/>
        <v>0</v>
      </c>
      <c r="AC20" s="165">
        <f t="shared" si="4"/>
        <v>0</v>
      </c>
      <c r="AD20" s="165">
        <f t="shared" si="7"/>
        <v>0</v>
      </c>
      <c r="AE20" s="165">
        <f t="shared" si="5"/>
        <v>0</v>
      </c>
      <c r="AF20" s="165">
        <f t="shared" si="6"/>
        <v>0</v>
      </c>
      <c r="AG20" s="165"/>
      <c r="AH20" s="230">
        <f t="shared" si="2"/>
        <v>0</v>
      </c>
    </row>
    <row r="21" spans="2:34" ht="26.25" customHeight="1">
      <c r="B21" s="166">
        <f t="shared" si="3"/>
        <v>44610</v>
      </c>
      <c r="C21" s="291"/>
      <c r="D21" s="291"/>
      <c r="E21" s="291"/>
      <c r="F21" s="221"/>
      <c r="G21" s="221"/>
      <c r="H21" s="292"/>
      <c r="I21" s="137"/>
      <c r="J21" s="137"/>
      <c r="K21" s="256"/>
      <c r="L21" s="136"/>
      <c r="M21" s="256"/>
      <c r="N21" s="159"/>
      <c r="O21" s="159"/>
      <c r="P21" s="135"/>
      <c r="Q21" s="211"/>
      <c r="R21" s="135"/>
      <c r="S21" s="159"/>
      <c r="T21" s="159"/>
      <c r="U21" s="159"/>
      <c r="V21" s="159"/>
      <c r="W21" s="159"/>
      <c r="X21" s="162"/>
      <c r="AA21" s="164">
        <f t="shared" si="0"/>
        <v>0</v>
      </c>
      <c r="AB21" s="165">
        <f t="shared" si="1"/>
        <v>0</v>
      </c>
      <c r="AC21" s="165">
        <f>Q21+AC20</f>
        <v>0</v>
      </c>
      <c r="AD21" s="165">
        <f t="shared" si="7"/>
        <v>0</v>
      </c>
      <c r="AE21" s="165">
        <f t="shared" si="5"/>
        <v>0</v>
      </c>
      <c r="AF21" s="165">
        <f t="shared" si="6"/>
        <v>0</v>
      </c>
      <c r="AG21" s="165"/>
      <c r="AH21" s="230">
        <f t="shared" si="2"/>
        <v>0</v>
      </c>
    </row>
    <row r="22" spans="2:34" ht="26.25" customHeight="1">
      <c r="B22" s="166">
        <f t="shared" si="3"/>
        <v>44611</v>
      </c>
      <c r="C22" s="291"/>
      <c r="D22" s="221"/>
      <c r="E22" s="221"/>
      <c r="F22" s="221"/>
      <c r="G22" s="221"/>
      <c r="H22" s="292"/>
      <c r="I22" s="137"/>
      <c r="J22" s="137"/>
      <c r="K22" s="256"/>
      <c r="L22" s="136"/>
      <c r="M22" s="256"/>
      <c r="N22" s="159"/>
      <c r="O22" s="159"/>
      <c r="P22" s="135"/>
      <c r="Q22" s="211"/>
      <c r="R22" s="135"/>
      <c r="S22" s="159"/>
      <c r="T22" s="159"/>
      <c r="U22" s="159"/>
      <c r="V22" s="159"/>
      <c r="W22" s="159"/>
      <c r="X22" s="162"/>
      <c r="AA22" s="164">
        <f t="shared" si="0"/>
        <v>0</v>
      </c>
      <c r="AB22" s="165">
        <f t="shared" si="1"/>
        <v>0</v>
      </c>
      <c r="AC22" s="165">
        <f t="shared" si="4"/>
        <v>0</v>
      </c>
      <c r="AD22" s="165">
        <f t="shared" si="7"/>
        <v>0</v>
      </c>
      <c r="AE22" s="165">
        <f t="shared" si="5"/>
        <v>0</v>
      </c>
      <c r="AF22" s="165">
        <f t="shared" si="6"/>
        <v>0</v>
      </c>
      <c r="AG22" s="165"/>
      <c r="AH22" s="230">
        <f t="shared" si="2"/>
        <v>0</v>
      </c>
    </row>
    <row r="23" spans="2:34" ht="26.25" customHeight="1">
      <c r="B23" s="166">
        <f t="shared" si="3"/>
        <v>44612</v>
      </c>
      <c r="C23" s="221"/>
      <c r="D23" s="221"/>
      <c r="E23" s="221"/>
      <c r="F23" s="221"/>
      <c r="G23" s="221"/>
      <c r="H23" s="292"/>
      <c r="I23" s="137"/>
      <c r="J23" s="137"/>
      <c r="K23" s="256"/>
      <c r="L23" s="136"/>
      <c r="M23" s="256"/>
      <c r="N23" s="159"/>
      <c r="O23" s="159"/>
      <c r="P23" s="135"/>
      <c r="Q23" s="211"/>
      <c r="R23" s="135"/>
      <c r="S23" s="159"/>
      <c r="T23" s="159"/>
      <c r="U23" s="159"/>
      <c r="V23" s="159"/>
      <c r="W23" s="159"/>
      <c r="X23" s="162"/>
      <c r="AA23" s="164">
        <f t="shared" si="0"/>
        <v>0</v>
      </c>
      <c r="AB23" s="165">
        <f t="shared" si="1"/>
        <v>0</v>
      </c>
      <c r="AC23" s="165">
        <f t="shared" si="4"/>
        <v>0</v>
      </c>
      <c r="AD23" s="165">
        <f t="shared" si="7"/>
        <v>0</v>
      </c>
      <c r="AE23" s="165">
        <f t="shared" si="5"/>
        <v>0</v>
      </c>
      <c r="AF23" s="165">
        <f t="shared" si="6"/>
        <v>0</v>
      </c>
      <c r="AG23" s="165"/>
      <c r="AH23" s="230">
        <f t="shared" si="2"/>
        <v>0</v>
      </c>
    </row>
    <row r="24" spans="2:34" ht="26.25" customHeight="1">
      <c r="B24" s="198">
        <f t="shared" si="3"/>
        <v>44613</v>
      </c>
      <c r="C24" s="221"/>
      <c r="D24" s="221"/>
      <c r="E24" s="221"/>
      <c r="F24" s="221"/>
      <c r="G24" s="221"/>
      <c r="H24" s="292"/>
      <c r="I24" s="137"/>
      <c r="J24" s="137"/>
      <c r="K24" s="256"/>
      <c r="L24" s="312"/>
      <c r="M24" s="256"/>
      <c r="N24" s="159"/>
      <c r="O24" s="159"/>
      <c r="P24" s="135"/>
      <c r="Q24" s="211"/>
      <c r="R24" s="135"/>
      <c r="S24" s="159"/>
      <c r="T24" s="159"/>
      <c r="U24" s="159"/>
      <c r="V24" s="159"/>
      <c r="W24" s="159"/>
      <c r="X24" s="162"/>
      <c r="AA24" s="164">
        <f t="shared" si="0"/>
        <v>0</v>
      </c>
      <c r="AB24" s="165">
        <f t="shared" si="1"/>
        <v>0</v>
      </c>
      <c r="AC24" s="165">
        <f t="shared" si="4"/>
        <v>0</v>
      </c>
      <c r="AD24" s="165">
        <f t="shared" si="7"/>
        <v>0</v>
      </c>
      <c r="AE24" s="165">
        <f t="shared" si="5"/>
        <v>0</v>
      </c>
      <c r="AF24" s="165">
        <f t="shared" si="6"/>
        <v>0</v>
      </c>
      <c r="AG24" s="165"/>
      <c r="AH24" s="230">
        <f t="shared" si="2"/>
        <v>0</v>
      </c>
    </row>
    <row r="25" spans="2:34" ht="26.25" customHeight="1">
      <c r="B25" s="198">
        <f t="shared" si="3"/>
        <v>44614</v>
      </c>
      <c r="C25" s="221"/>
      <c r="D25" s="221"/>
      <c r="E25" s="221"/>
      <c r="F25" s="221"/>
      <c r="G25" s="221"/>
      <c r="H25" s="292"/>
      <c r="I25" s="137"/>
      <c r="J25" s="137"/>
      <c r="K25" s="256"/>
      <c r="L25" s="312"/>
      <c r="M25" s="256"/>
      <c r="N25" s="159"/>
      <c r="O25" s="159"/>
      <c r="P25" s="135"/>
      <c r="Q25" s="211"/>
      <c r="R25" s="135"/>
      <c r="S25" s="159"/>
      <c r="T25" s="159"/>
      <c r="U25" s="159"/>
      <c r="V25" s="159"/>
      <c r="W25" s="159"/>
      <c r="X25" s="162"/>
      <c r="AA25" s="164">
        <f t="shared" si="0"/>
        <v>0</v>
      </c>
      <c r="AB25" s="165">
        <f t="shared" si="1"/>
        <v>0</v>
      </c>
      <c r="AC25" s="165">
        <f t="shared" si="4"/>
        <v>0</v>
      </c>
      <c r="AD25" s="165">
        <f t="shared" si="7"/>
        <v>0</v>
      </c>
      <c r="AE25" s="165">
        <f t="shared" si="5"/>
        <v>0</v>
      </c>
      <c r="AF25" s="165">
        <f t="shared" si="6"/>
        <v>0</v>
      </c>
      <c r="AG25" s="165"/>
      <c r="AH25" s="230">
        <f t="shared" si="2"/>
        <v>0</v>
      </c>
    </row>
    <row r="26" spans="2:34" ht="26.25" customHeight="1">
      <c r="B26" s="166">
        <f t="shared" si="3"/>
        <v>44615</v>
      </c>
      <c r="C26" s="221"/>
      <c r="D26" s="221"/>
      <c r="E26" s="221"/>
      <c r="F26" s="221"/>
      <c r="G26" s="221"/>
      <c r="H26" s="292"/>
      <c r="I26" s="137"/>
      <c r="J26" s="137"/>
      <c r="K26" s="256"/>
      <c r="L26" s="312"/>
      <c r="M26" s="256"/>
      <c r="N26" s="159"/>
      <c r="O26" s="159"/>
      <c r="P26" s="135"/>
      <c r="Q26" s="211"/>
      <c r="R26" s="135"/>
      <c r="S26" s="159"/>
      <c r="T26" s="159"/>
      <c r="U26" s="159"/>
      <c r="V26" s="159"/>
      <c r="W26" s="159"/>
      <c r="X26" s="162"/>
      <c r="AA26" s="164">
        <f t="shared" si="0"/>
        <v>0</v>
      </c>
      <c r="AB26" s="165">
        <f t="shared" si="1"/>
        <v>0</v>
      </c>
      <c r="AC26" s="165">
        <f t="shared" si="4"/>
        <v>0</v>
      </c>
      <c r="AD26" s="165">
        <f t="shared" si="7"/>
        <v>0</v>
      </c>
      <c r="AE26" s="165">
        <f t="shared" si="5"/>
        <v>0</v>
      </c>
      <c r="AF26" s="165">
        <f t="shared" si="6"/>
        <v>0</v>
      </c>
      <c r="AG26" s="165"/>
      <c r="AH26" s="230">
        <f t="shared" si="2"/>
        <v>0</v>
      </c>
    </row>
    <row r="27" spans="2:34" ht="26.25" customHeight="1">
      <c r="B27" s="166">
        <f t="shared" si="3"/>
        <v>44616</v>
      </c>
      <c r="C27" s="221"/>
      <c r="D27" s="221"/>
      <c r="E27" s="221"/>
      <c r="F27" s="221"/>
      <c r="G27" s="221"/>
      <c r="H27" s="292"/>
      <c r="I27" s="137"/>
      <c r="J27" s="137"/>
      <c r="K27" s="256"/>
      <c r="L27" s="312"/>
      <c r="M27" s="256"/>
      <c r="N27" s="159"/>
      <c r="O27" s="159"/>
      <c r="P27" s="135"/>
      <c r="Q27" s="211"/>
      <c r="R27" s="135"/>
      <c r="S27" s="159"/>
      <c r="T27" s="159"/>
      <c r="U27" s="159"/>
      <c r="V27" s="159"/>
      <c r="W27" s="159"/>
      <c r="X27" s="162"/>
      <c r="AA27" s="164">
        <f t="shared" si="0"/>
        <v>0</v>
      </c>
      <c r="AB27" s="165">
        <f t="shared" si="1"/>
        <v>0</v>
      </c>
      <c r="AC27" s="165">
        <f t="shared" si="4"/>
        <v>0</v>
      </c>
      <c r="AD27" s="165">
        <f t="shared" si="7"/>
        <v>0</v>
      </c>
      <c r="AE27" s="165">
        <f t="shared" si="5"/>
        <v>0</v>
      </c>
      <c r="AF27" s="165">
        <f t="shared" si="6"/>
        <v>0</v>
      </c>
      <c r="AG27" s="165"/>
      <c r="AH27" s="230">
        <f t="shared" si="2"/>
        <v>0</v>
      </c>
    </row>
    <row r="28" spans="2:34" ht="26.25" customHeight="1">
      <c r="B28" s="166">
        <f t="shared" si="3"/>
        <v>44617</v>
      </c>
      <c r="C28" s="221"/>
      <c r="D28" s="221"/>
      <c r="E28" s="221"/>
      <c r="F28" s="221"/>
      <c r="G28" s="221"/>
      <c r="H28" s="292"/>
      <c r="I28" s="137"/>
      <c r="J28" s="137"/>
      <c r="K28" s="256"/>
      <c r="L28" s="312"/>
      <c r="M28" s="256"/>
      <c r="N28" s="159"/>
      <c r="O28" s="159"/>
      <c r="P28" s="135"/>
      <c r="Q28" s="211"/>
      <c r="R28" s="135"/>
      <c r="S28" s="159"/>
      <c r="T28" s="159"/>
      <c r="U28" s="159"/>
      <c r="V28" s="159"/>
      <c r="W28" s="159"/>
      <c r="X28" s="162"/>
      <c r="AA28" s="164">
        <f t="shared" si="0"/>
        <v>0</v>
      </c>
      <c r="AB28" s="165">
        <f t="shared" si="1"/>
        <v>0</v>
      </c>
      <c r="AC28" s="165">
        <f t="shared" si="4"/>
        <v>0</v>
      </c>
      <c r="AD28" s="165">
        <f t="shared" si="7"/>
        <v>0</v>
      </c>
      <c r="AE28" s="165">
        <f t="shared" si="5"/>
        <v>0</v>
      </c>
      <c r="AF28" s="165">
        <f t="shared" si="6"/>
        <v>0</v>
      </c>
      <c r="AG28" s="165"/>
      <c r="AH28" s="230">
        <f t="shared" si="2"/>
        <v>0</v>
      </c>
    </row>
    <row r="29" spans="2:34" ht="26.25" customHeight="1">
      <c r="B29" s="166">
        <f t="shared" si="3"/>
        <v>44618</v>
      </c>
      <c r="C29" s="221"/>
      <c r="D29" s="221"/>
      <c r="E29" s="221"/>
      <c r="F29" s="221"/>
      <c r="G29" s="221"/>
      <c r="H29" s="292"/>
      <c r="I29" s="137"/>
      <c r="J29" s="137"/>
      <c r="K29" s="256"/>
      <c r="L29" s="312"/>
      <c r="M29" s="256"/>
      <c r="N29" s="159"/>
      <c r="O29" s="159"/>
      <c r="P29" s="308"/>
      <c r="Q29" s="279"/>
      <c r="R29" s="308"/>
      <c r="S29" s="159"/>
      <c r="T29" s="159"/>
      <c r="U29" s="159"/>
      <c r="V29" s="159"/>
      <c r="W29" s="159"/>
      <c r="X29" s="162"/>
      <c r="AA29" s="164">
        <f t="shared" si="0"/>
        <v>0</v>
      </c>
      <c r="AB29" s="165">
        <f t="shared" si="1"/>
        <v>0</v>
      </c>
      <c r="AC29" s="165">
        <f t="shared" si="4"/>
        <v>0</v>
      </c>
      <c r="AD29" s="165">
        <f t="shared" si="7"/>
        <v>0</v>
      </c>
      <c r="AE29" s="165">
        <f t="shared" si="5"/>
        <v>0</v>
      </c>
      <c r="AF29" s="165">
        <f t="shared" si="6"/>
        <v>0</v>
      </c>
      <c r="AG29" s="165"/>
      <c r="AH29" s="230">
        <f t="shared" si="2"/>
        <v>0</v>
      </c>
    </row>
    <row r="30" spans="2:34" ht="26.25" customHeight="1">
      <c r="B30" s="166">
        <f t="shared" si="3"/>
        <v>44619</v>
      </c>
      <c r="C30" s="221"/>
      <c r="D30" s="221"/>
      <c r="E30" s="221"/>
      <c r="F30" s="221"/>
      <c r="G30" s="221"/>
      <c r="H30" s="292"/>
      <c r="I30" s="137"/>
      <c r="J30" s="137"/>
      <c r="K30" s="256"/>
      <c r="L30" s="312"/>
      <c r="M30" s="256"/>
      <c r="N30" s="159"/>
      <c r="O30" s="159"/>
      <c r="P30" s="135"/>
      <c r="Q30" s="211"/>
      <c r="R30" s="135"/>
      <c r="S30" s="159"/>
      <c r="T30" s="159"/>
      <c r="U30" s="159"/>
      <c r="V30" s="159"/>
      <c r="W30" s="159"/>
      <c r="X30" s="162"/>
      <c r="AA30" s="164">
        <f t="shared" si="0"/>
        <v>0</v>
      </c>
      <c r="AB30" s="165">
        <f t="shared" si="1"/>
        <v>0</v>
      </c>
      <c r="AC30" s="165">
        <f t="shared" si="4"/>
        <v>0</v>
      </c>
      <c r="AD30" s="165">
        <f t="shared" si="7"/>
        <v>0</v>
      </c>
      <c r="AE30" s="165">
        <f t="shared" si="5"/>
        <v>0</v>
      </c>
      <c r="AF30" s="165">
        <f t="shared" si="6"/>
        <v>0</v>
      </c>
      <c r="AG30" s="165"/>
      <c r="AH30" s="230">
        <f t="shared" si="2"/>
        <v>0</v>
      </c>
    </row>
    <row r="31" spans="2:34" ht="26.25" customHeight="1">
      <c r="B31" s="166">
        <f t="shared" si="3"/>
        <v>44620</v>
      </c>
      <c r="C31" s="221"/>
      <c r="D31" s="221"/>
      <c r="E31" s="221"/>
      <c r="F31" s="221"/>
      <c r="G31" s="221"/>
      <c r="H31" s="292"/>
      <c r="I31" s="137"/>
      <c r="J31" s="137"/>
      <c r="K31" s="256"/>
      <c r="L31" s="136"/>
      <c r="M31" s="256"/>
      <c r="N31" s="159"/>
      <c r="O31" s="159"/>
      <c r="P31" s="135"/>
      <c r="Q31" s="211"/>
      <c r="R31" s="135"/>
      <c r="S31" s="159"/>
      <c r="T31" s="159"/>
      <c r="U31" s="159"/>
      <c r="V31" s="159"/>
      <c r="W31" s="159"/>
      <c r="X31" s="162"/>
      <c r="AA31" s="164">
        <f t="shared" si="0"/>
        <v>0</v>
      </c>
      <c r="AB31" s="165">
        <f t="shared" si="1"/>
        <v>0</v>
      </c>
      <c r="AC31" s="165">
        <f t="shared" si="4"/>
        <v>0</v>
      </c>
      <c r="AD31" s="165">
        <f t="shared" si="7"/>
        <v>0</v>
      </c>
      <c r="AE31" s="165">
        <f t="shared" si="5"/>
        <v>0</v>
      </c>
      <c r="AF31" s="165">
        <f t="shared" si="6"/>
        <v>0</v>
      </c>
      <c r="AG31" s="165"/>
      <c r="AH31" s="230">
        <f t="shared" si="2"/>
        <v>0</v>
      </c>
    </row>
    <row r="32" spans="2:34" ht="26.25" hidden="1" customHeight="1">
      <c r="B32" s="166">
        <f t="shared" si="3"/>
        <v>44621</v>
      </c>
      <c r="C32" s="221"/>
      <c r="D32" s="221"/>
      <c r="E32" s="221"/>
      <c r="F32" s="221"/>
      <c r="G32" s="221"/>
      <c r="H32" s="292"/>
      <c r="I32" s="137"/>
      <c r="J32" s="137"/>
      <c r="K32" s="256"/>
      <c r="L32" s="136"/>
      <c r="M32" s="256"/>
      <c r="N32" s="159"/>
      <c r="O32" s="159"/>
      <c r="P32" s="135"/>
      <c r="Q32" s="211"/>
      <c r="R32" s="135"/>
      <c r="S32" s="159"/>
      <c r="T32" s="159"/>
      <c r="U32" s="159"/>
      <c r="V32" s="159"/>
      <c r="W32" s="159"/>
      <c r="X32" s="162"/>
      <c r="AA32" s="164">
        <f t="shared" si="0"/>
        <v>0</v>
      </c>
      <c r="AB32" s="165">
        <f t="shared" si="1"/>
        <v>0</v>
      </c>
      <c r="AC32" s="165">
        <f t="shared" si="4"/>
        <v>0</v>
      </c>
      <c r="AD32" s="165">
        <f t="shared" si="7"/>
        <v>0</v>
      </c>
      <c r="AE32" s="165">
        <f t="shared" si="5"/>
        <v>0</v>
      </c>
      <c r="AF32" s="165">
        <f t="shared" si="6"/>
        <v>0</v>
      </c>
      <c r="AG32" s="165"/>
      <c r="AH32" s="230">
        <f t="shared" si="2"/>
        <v>0</v>
      </c>
    </row>
    <row r="33" spans="2:34" ht="26.25" hidden="1" customHeight="1">
      <c r="B33" s="166">
        <f t="shared" si="3"/>
        <v>44622</v>
      </c>
      <c r="C33" s="221"/>
      <c r="D33" s="221"/>
      <c r="E33" s="221"/>
      <c r="F33" s="221"/>
      <c r="G33" s="221"/>
      <c r="H33" s="292"/>
      <c r="I33" s="137"/>
      <c r="J33" s="137"/>
      <c r="K33" s="256"/>
      <c r="L33" s="136"/>
      <c r="M33" s="256"/>
      <c r="N33" s="159"/>
      <c r="O33" s="159"/>
      <c r="P33" s="135"/>
      <c r="Q33" s="211"/>
      <c r="R33" s="135"/>
      <c r="S33" s="159"/>
      <c r="T33" s="159"/>
      <c r="U33" s="159"/>
      <c r="V33" s="159"/>
      <c r="W33" s="159"/>
      <c r="X33" s="162"/>
      <c r="AA33" s="164">
        <f t="shared" si="0"/>
        <v>0</v>
      </c>
      <c r="AB33" s="165">
        <f t="shared" si="1"/>
        <v>0</v>
      </c>
      <c r="AC33" s="165">
        <f t="shared" si="4"/>
        <v>0</v>
      </c>
      <c r="AD33" s="165">
        <f t="shared" si="7"/>
        <v>0</v>
      </c>
      <c r="AE33" s="165">
        <f t="shared" si="5"/>
        <v>0</v>
      </c>
      <c r="AF33" s="165">
        <f>R33+AF32</f>
        <v>0</v>
      </c>
      <c r="AG33" s="165"/>
      <c r="AH33" s="230">
        <f t="shared" si="2"/>
        <v>0</v>
      </c>
    </row>
    <row r="34" spans="2:34" ht="26.25" hidden="1" customHeight="1">
      <c r="B34" s="166">
        <v>44561</v>
      </c>
      <c r="C34" s="221"/>
      <c r="D34" s="221"/>
      <c r="E34" s="221"/>
      <c r="F34" s="221"/>
      <c r="G34" s="221"/>
      <c r="H34" s="292"/>
      <c r="I34" s="221"/>
      <c r="J34" s="221"/>
      <c r="K34" s="256"/>
      <c r="L34" s="221"/>
      <c r="M34" s="221"/>
      <c r="N34" s="221"/>
      <c r="O34" s="221"/>
      <c r="P34" s="135"/>
      <c r="Q34" s="211"/>
      <c r="R34" s="135"/>
      <c r="S34" s="159"/>
      <c r="T34" s="159"/>
      <c r="U34" s="159"/>
      <c r="V34" s="159"/>
      <c r="W34" s="221"/>
      <c r="X34" s="221"/>
      <c r="AA34" s="164"/>
      <c r="AB34" s="165"/>
      <c r="AC34" s="165"/>
      <c r="AD34" s="165"/>
      <c r="AE34" s="165"/>
      <c r="AF34" s="165"/>
      <c r="AG34" s="165"/>
      <c r="AH34" s="230"/>
    </row>
    <row r="35" spans="2:34" ht="26.25" customHeight="1" thickBot="1">
      <c r="B35" s="138"/>
      <c r="C35" s="139"/>
      <c r="D35" s="139"/>
      <c r="E35" s="139"/>
      <c r="F35" s="140"/>
      <c r="G35" s="140"/>
      <c r="H35" s="141"/>
      <c r="I35" s="142"/>
      <c r="J35" s="142"/>
      <c r="K35" s="143"/>
      <c r="L35" s="143"/>
      <c r="M35" s="143"/>
      <c r="N35" s="160"/>
      <c r="O35" s="160"/>
      <c r="P35" s="144"/>
      <c r="Q35" s="212"/>
      <c r="R35" s="144"/>
      <c r="S35" s="160"/>
      <c r="T35" s="160"/>
      <c r="U35" s="160"/>
      <c r="V35" s="160"/>
      <c r="W35" s="160"/>
      <c r="X35" s="163"/>
      <c r="AA35" s="164"/>
      <c r="AB35" s="165"/>
      <c r="AC35" s="165"/>
      <c r="AD35" s="165"/>
      <c r="AE35" s="165"/>
      <c r="AF35" s="165"/>
      <c r="AG35" s="165"/>
      <c r="AH35" s="230"/>
    </row>
    <row r="36" spans="2:34" ht="6.75" customHeight="1" thickBot="1">
      <c r="AB36" s="165"/>
    </row>
    <row r="37" spans="2:34" ht="23.25" customHeight="1" thickBot="1">
      <c r="B37" s="145" t="s">
        <v>99</v>
      </c>
      <c r="C37" s="175">
        <f>SUM(C4:C35)</f>
        <v>0</v>
      </c>
      <c r="D37" s="175">
        <f t="shared" ref="D37:X37" si="8">SUM(D4:D35)</f>
        <v>0</v>
      </c>
      <c r="E37" s="175">
        <f t="shared" si="8"/>
        <v>0</v>
      </c>
      <c r="F37" s="175">
        <f t="shared" si="8"/>
        <v>0</v>
      </c>
      <c r="G37" s="175">
        <f t="shared" si="8"/>
        <v>0</v>
      </c>
      <c r="H37" s="175">
        <f t="shared" si="8"/>
        <v>0</v>
      </c>
      <c r="I37" s="175">
        <f>SUM(I4:I35)</f>
        <v>0</v>
      </c>
      <c r="J37" s="175">
        <f>SUM(J4:J35)</f>
        <v>0</v>
      </c>
      <c r="K37" s="175">
        <f>SUM(K4:K35)</f>
        <v>0</v>
      </c>
      <c r="L37" s="175">
        <f>SUM(L4:L35)</f>
        <v>0</v>
      </c>
      <c r="M37" s="175">
        <f t="shared" si="8"/>
        <v>0</v>
      </c>
      <c r="N37" s="175">
        <f t="shared" si="8"/>
        <v>0</v>
      </c>
      <c r="O37" s="175">
        <f t="shared" si="8"/>
        <v>0</v>
      </c>
      <c r="P37" s="175">
        <f t="shared" si="8"/>
        <v>0</v>
      </c>
      <c r="Q37" s="175">
        <f>SUM(Q4:Q35)</f>
        <v>0</v>
      </c>
      <c r="R37" s="175">
        <f t="shared" si="8"/>
        <v>0</v>
      </c>
      <c r="S37" s="175">
        <f>SUM(S4:S35)</f>
        <v>0</v>
      </c>
      <c r="T37" s="175">
        <f t="shared" si="8"/>
        <v>0</v>
      </c>
      <c r="U37" s="175">
        <f t="shared" si="8"/>
        <v>0</v>
      </c>
      <c r="V37" s="175">
        <f t="shared" si="8"/>
        <v>0</v>
      </c>
      <c r="W37" s="175">
        <f t="shared" si="8"/>
        <v>0</v>
      </c>
      <c r="X37" s="274">
        <f t="shared" si="8"/>
        <v>0</v>
      </c>
    </row>
    <row r="38" spans="2:34" ht="23.25" customHeight="1">
      <c r="B38" s="145"/>
      <c r="C38" s="270"/>
      <c r="D38" s="270"/>
      <c r="E38" s="270"/>
      <c r="F38" s="270"/>
      <c r="G38" s="270"/>
      <c r="H38" s="270"/>
      <c r="I38" s="271"/>
      <c r="J38" s="271"/>
      <c r="K38" s="272"/>
      <c r="L38" s="272"/>
      <c r="M38" s="272"/>
      <c r="N38" s="272"/>
      <c r="O38" s="272"/>
      <c r="P38" s="272"/>
      <c r="Q38" s="272"/>
      <c r="R38" s="272"/>
      <c r="S38" s="272"/>
      <c r="T38" s="272"/>
      <c r="U38" s="272"/>
      <c r="V38" s="272"/>
      <c r="W38" s="272"/>
      <c r="X38" s="273"/>
    </row>
    <row r="39" spans="2:34" ht="23.25" customHeight="1">
      <c r="B39" s="145"/>
      <c r="C39" s="270"/>
      <c r="D39" s="270"/>
      <c r="E39" s="270"/>
      <c r="F39" s="270"/>
      <c r="G39" s="270"/>
      <c r="H39" s="270"/>
      <c r="I39" s="271"/>
      <c r="J39" s="271"/>
      <c r="K39" s="272"/>
      <c r="L39" s="272"/>
      <c r="M39" s="272"/>
      <c r="N39" s="272"/>
      <c r="O39" s="272"/>
      <c r="P39" s="272"/>
      <c r="Q39" s="272"/>
      <c r="R39" s="272"/>
      <c r="S39" s="272"/>
      <c r="T39" s="272"/>
      <c r="U39" s="272"/>
      <c r="V39" s="272"/>
      <c r="W39" s="272"/>
      <c r="X39" s="273"/>
    </row>
    <row r="40" spans="2:34" ht="29.25" customHeight="1">
      <c r="C40" s="242" t="s">
        <v>163</v>
      </c>
      <c r="D40" s="242"/>
      <c r="E40" s="242"/>
      <c r="F40" s="242"/>
      <c r="H40" s="411">
        <f>-H37</f>
        <v>0</v>
      </c>
      <c r="I40" s="411"/>
      <c r="J40" s="146"/>
      <c r="K40" s="146"/>
      <c r="L40" s="146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</row>
    <row r="41" spans="2:34" ht="24" customHeight="1">
      <c r="C41" s="242" t="s">
        <v>178</v>
      </c>
      <c r="D41" s="242"/>
      <c r="E41" s="242"/>
      <c r="F41" s="242"/>
      <c r="H41" s="418">
        <f>M37</f>
        <v>0</v>
      </c>
      <c r="I41" s="418"/>
      <c r="J41" s="146"/>
      <c r="K41" s="146"/>
      <c r="L41" s="146"/>
      <c r="M41" s="257" t="s">
        <v>167</v>
      </c>
      <c r="N41" s="173"/>
      <c r="O41" s="173"/>
      <c r="P41" s="173"/>
      <c r="Q41" s="173"/>
      <c r="R41" s="147"/>
      <c r="S41" s="147"/>
      <c r="T41" s="257" t="s">
        <v>171</v>
      </c>
      <c r="U41" s="173"/>
      <c r="V41" s="173"/>
      <c r="W41" s="147"/>
      <c r="X41" s="173"/>
      <c r="Y41" s="173"/>
      <c r="Z41" s="173"/>
      <c r="AA41" s="173"/>
      <c r="AB41" s="173"/>
    </row>
    <row r="42" spans="2:34" ht="24" customHeight="1" thickBot="1">
      <c r="C42" s="242" t="s">
        <v>176</v>
      </c>
      <c r="D42" s="242"/>
      <c r="E42" s="242"/>
      <c r="F42" s="242"/>
      <c r="H42" s="431">
        <f>-ROUNDDOWN(H41*80%,0)</f>
        <v>0</v>
      </c>
      <c r="I42" s="431"/>
      <c r="J42" s="146"/>
      <c r="K42" s="146"/>
      <c r="L42" s="146"/>
      <c r="M42" s="148" t="s">
        <v>168</v>
      </c>
      <c r="N42" s="246"/>
      <c r="O42" s="246"/>
      <c r="P42" s="246"/>
      <c r="Q42" s="173"/>
      <c r="R42" s="147"/>
      <c r="S42" s="147"/>
      <c r="T42" s="148" t="s">
        <v>189</v>
      </c>
      <c r="U42" s="173"/>
      <c r="V42" s="173"/>
      <c r="W42" s="147"/>
      <c r="X42" s="173"/>
      <c r="Y42" s="173"/>
      <c r="Z42" s="173"/>
      <c r="AA42" s="173"/>
      <c r="AB42" s="173"/>
    </row>
    <row r="43" spans="2:34" ht="24" customHeight="1" thickTop="1">
      <c r="C43" s="242"/>
      <c r="D43" s="242"/>
      <c r="E43" s="242"/>
      <c r="F43" s="242"/>
      <c r="H43" s="265"/>
      <c r="I43" s="265"/>
      <c r="J43" s="146"/>
      <c r="K43" s="146"/>
      <c r="L43" s="146"/>
      <c r="M43" s="148"/>
      <c r="N43" s="173"/>
      <c r="O43" s="173"/>
      <c r="P43" s="173"/>
      <c r="Q43" s="173"/>
      <c r="R43" s="147"/>
      <c r="S43" s="147"/>
      <c r="T43" s="148"/>
      <c r="U43" s="173"/>
      <c r="V43" s="173"/>
      <c r="W43" s="147"/>
      <c r="X43" s="173"/>
      <c r="Y43" s="173"/>
      <c r="Z43" s="173"/>
      <c r="AA43" s="173"/>
      <c r="AB43" s="173"/>
    </row>
    <row r="44" spans="2:34" ht="23.25" customHeight="1">
      <c r="C44" s="242" t="s">
        <v>164</v>
      </c>
      <c r="D44" s="242"/>
      <c r="E44" s="242"/>
      <c r="F44" s="242"/>
      <c r="H44" s="413">
        <f>Q37</f>
        <v>0</v>
      </c>
      <c r="I44" s="413"/>
      <c r="J44" s="146"/>
      <c r="K44" s="146"/>
      <c r="L44" s="146"/>
      <c r="M44" s="257" t="s">
        <v>169</v>
      </c>
      <c r="N44" s="173"/>
      <c r="O44" s="173"/>
      <c r="P44" s="173"/>
      <c r="Q44" s="173"/>
      <c r="R44" s="147"/>
      <c r="S44" s="147"/>
      <c r="T44" s="257" t="s">
        <v>169</v>
      </c>
      <c r="U44" s="173"/>
      <c r="V44" s="173"/>
      <c r="W44" s="147"/>
      <c r="X44" s="173"/>
      <c r="Y44" s="173"/>
      <c r="Z44" s="173"/>
      <c r="AA44" s="173"/>
      <c r="AB44" s="173"/>
    </row>
    <row r="45" spans="2:34" ht="24" customHeight="1">
      <c r="C45" s="242" t="s">
        <v>200</v>
      </c>
      <c r="D45" s="242"/>
      <c r="E45" s="242"/>
      <c r="F45" s="242"/>
      <c r="H45" s="413">
        <f>H44*1.7%</f>
        <v>0</v>
      </c>
      <c r="I45" s="413"/>
      <c r="J45" s="146"/>
      <c r="K45" s="146"/>
      <c r="L45" s="146"/>
      <c r="M45" s="148" t="s">
        <v>170</v>
      </c>
      <c r="N45" s="246"/>
      <c r="O45" s="246"/>
      <c r="P45" s="246"/>
      <c r="Q45" s="173"/>
      <c r="R45" s="147"/>
      <c r="S45" s="147"/>
      <c r="T45" s="148" t="s">
        <v>206</v>
      </c>
      <c r="U45" s="173"/>
      <c r="V45" s="173"/>
      <c r="W45" s="147"/>
      <c r="X45" s="173"/>
      <c r="AA45" s="173"/>
      <c r="AB45" s="173"/>
    </row>
    <row r="46" spans="2:34" ht="24" customHeight="1">
      <c r="C46" s="242" t="s">
        <v>218</v>
      </c>
      <c r="D46" s="242"/>
      <c r="E46" s="242"/>
      <c r="F46" s="242"/>
      <c r="H46" s="413">
        <v>0</v>
      </c>
      <c r="I46" s="413"/>
      <c r="J46" s="146"/>
      <c r="K46" s="146"/>
      <c r="L46" s="146"/>
      <c r="M46" s="148"/>
      <c r="N46" s="173"/>
      <c r="O46" s="173"/>
      <c r="P46" s="173"/>
      <c r="Q46" s="173"/>
      <c r="R46" s="147"/>
      <c r="S46" s="147"/>
      <c r="T46" s="148"/>
      <c r="U46" s="173"/>
      <c r="V46" s="173"/>
      <c r="W46" s="147"/>
      <c r="X46" s="173"/>
      <c r="AA46" s="173"/>
      <c r="AB46" s="173"/>
    </row>
    <row r="47" spans="2:34" ht="24" customHeight="1">
      <c r="C47" s="242" t="s">
        <v>201</v>
      </c>
      <c r="D47" s="242"/>
      <c r="E47" s="242"/>
      <c r="F47" s="242"/>
      <c r="H47" s="413">
        <f>R37</f>
        <v>0</v>
      </c>
      <c r="I47" s="413"/>
      <c r="J47" s="146"/>
      <c r="K47" s="146"/>
      <c r="L47" s="146"/>
      <c r="M47" s="148"/>
      <c r="N47" s="173"/>
      <c r="O47" s="173"/>
      <c r="P47" s="173"/>
      <c r="Q47" s="173"/>
      <c r="R47" s="147"/>
      <c r="S47" s="147"/>
      <c r="T47" s="148"/>
      <c r="U47" s="173"/>
      <c r="V47" s="173"/>
      <c r="W47" s="147"/>
      <c r="X47" s="173"/>
      <c r="AA47" s="173"/>
      <c r="AB47" s="173"/>
    </row>
    <row r="48" spans="2:34" ht="24" customHeight="1">
      <c r="C48" s="242" t="s">
        <v>202</v>
      </c>
      <c r="D48" s="242"/>
      <c r="E48" s="242"/>
      <c r="F48" s="242"/>
      <c r="H48" s="413">
        <f>H47*1.7%</f>
        <v>0</v>
      </c>
      <c r="I48" s="413"/>
      <c r="J48" s="146"/>
      <c r="K48" s="146"/>
      <c r="L48" s="146"/>
      <c r="M48" s="148"/>
      <c r="N48" s="173"/>
      <c r="O48" s="173"/>
      <c r="P48" s="173"/>
      <c r="Q48" s="173"/>
      <c r="R48" s="147"/>
      <c r="S48" s="147"/>
      <c r="T48" s="148"/>
      <c r="U48" s="173"/>
      <c r="V48" s="173"/>
      <c r="W48" s="147"/>
      <c r="X48" s="173"/>
      <c r="AA48" s="173"/>
      <c r="AB48" s="173"/>
    </row>
    <row r="49" spans="2:28" ht="24" customHeight="1">
      <c r="C49" s="242" t="s">
        <v>199</v>
      </c>
      <c r="D49" s="242"/>
      <c r="E49" s="242"/>
      <c r="F49" s="242"/>
      <c r="H49" s="413">
        <f>-H48/2</f>
        <v>0</v>
      </c>
      <c r="I49" s="413"/>
      <c r="J49" s="146"/>
      <c r="K49" s="146"/>
      <c r="L49" s="146"/>
      <c r="M49" s="148"/>
      <c r="N49" s="173"/>
      <c r="O49" s="173"/>
      <c r="P49" s="173"/>
      <c r="Q49" s="173"/>
      <c r="R49" s="147"/>
      <c r="S49" s="147"/>
      <c r="T49" s="148"/>
      <c r="U49" s="173"/>
      <c r="V49" s="173"/>
      <c r="W49" s="147"/>
      <c r="X49" s="173"/>
      <c r="AA49" s="173"/>
      <c r="AB49" s="173"/>
    </row>
    <row r="50" spans="2:28" ht="24" customHeight="1">
      <c r="C50" s="242" t="s">
        <v>177</v>
      </c>
      <c r="D50" s="242"/>
      <c r="E50" s="242"/>
      <c r="F50" s="242"/>
      <c r="H50" s="423">
        <v>0</v>
      </c>
      <c r="I50" s="423"/>
      <c r="J50" s="146"/>
      <c r="K50" s="146"/>
      <c r="L50" s="146"/>
      <c r="M50" s="148"/>
      <c r="N50" s="173"/>
      <c r="O50" s="173"/>
      <c r="P50" s="173"/>
      <c r="Q50" s="173"/>
      <c r="R50" s="147"/>
      <c r="S50" s="147"/>
      <c r="T50" s="148"/>
      <c r="U50" s="173"/>
      <c r="V50" s="173"/>
      <c r="W50" s="147"/>
      <c r="X50" s="173"/>
      <c r="AA50" s="173"/>
      <c r="AB50" s="173"/>
    </row>
    <row r="51" spans="2:28" ht="24" customHeight="1" thickBot="1">
      <c r="C51" s="242"/>
      <c r="D51" s="242"/>
      <c r="E51" s="242"/>
      <c r="F51" s="242"/>
      <c r="H51" s="428">
        <f>ROUNDDOWN(H45+H46+H49+H50,0)</f>
        <v>0</v>
      </c>
      <c r="I51" s="428"/>
      <c r="J51" s="146"/>
      <c r="K51" s="146"/>
      <c r="L51" s="146"/>
      <c r="M51" s="148"/>
      <c r="N51" s="173"/>
      <c r="O51" s="173"/>
      <c r="P51" s="173"/>
      <c r="Q51" s="173"/>
      <c r="R51" s="147"/>
      <c r="S51" s="147"/>
      <c r="T51" s="148"/>
      <c r="U51" s="173"/>
      <c r="V51" s="173"/>
      <c r="W51" s="147"/>
      <c r="X51" s="173"/>
      <c r="AA51" s="173"/>
      <c r="AB51" s="173"/>
    </row>
    <row r="52" spans="2:28" ht="26.25" customHeight="1" thickTop="1">
      <c r="C52" s="242"/>
      <c r="D52" s="242"/>
      <c r="E52" s="242"/>
      <c r="F52" s="242"/>
      <c r="H52" s="266"/>
      <c r="I52" s="266"/>
      <c r="J52" s="146"/>
      <c r="K52" s="146"/>
      <c r="L52" s="146"/>
      <c r="M52" s="257" t="s">
        <v>173</v>
      </c>
      <c r="N52" s="173"/>
      <c r="O52" s="173"/>
      <c r="P52" s="173"/>
      <c r="Q52" s="173"/>
      <c r="R52" s="147"/>
      <c r="S52" s="147"/>
      <c r="T52" s="257" t="s">
        <v>45</v>
      </c>
      <c r="U52" s="173"/>
      <c r="V52" s="173"/>
      <c r="W52" s="147"/>
      <c r="X52" s="173"/>
      <c r="AA52" s="173"/>
      <c r="AB52" s="173"/>
    </row>
    <row r="53" spans="2:28" ht="29.25" customHeight="1">
      <c r="C53" s="242" t="s">
        <v>203</v>
      </c>
      <c r="D53" s="242"/>
      <c r="E53" s="242"/>
      <c r="F53" s="242"/>
      <c r="H53" s="421">
        <f>H42+H51</f>
        <v>0</v>
      </c>
      <c r="I53" s="427"/>
      <c r="J53" s="146"/>
      <c r="K53" s="146"/>
      <c r="L53" s="146"/>
      <c r="M53" s="148" t="s">
        <v>172</v>
      </c>
      <c r="N53" s="246"/>
      <c r="O53" s="246"/>
      <c r="P53" s="246"/>
      <c r="Q53" s="173"/>
      <c r="R53" s="147"/>
      <c r="S53" s="147"/>
      <c r="T53" s="148" t="s">
        <v>191</v>
      </c>
      <c r="U53" s="173"/>
      <c r="V53" s="173"/>
      <c r="W53" s="147"/>
      <c r="X53" s="173"/>
      <c r="AA53" s="173"/>
      <c r="AB53" s="173"/>
    </row>
    <row r="54" spans="2:28" ht="24.75" customHeight="1">
      <c r="C54" s="124"/>
      <c r="D54" s="242"/>
      <c r="E54" s="242"/>
      <c r="F54" s="242"/>
      <c r="H54" s="124"/>
      <c r="J54" s="146"/>
      <c r="K54" s="146"/>
      <c r="L54" s="146"/>
      <c r="M54" s="148"/>
      <c r="N54" s="173"/>
      <c r="O54" s="173"/>
      <c r="P54" s="173"/>
      <c r="Q54" s="173"/>
      <c r="R54" s="147"/>
      <c r="S54" s="147"/>
      <c r="T54" s="148"/>
      <c r="U54" s="173"/>
      <c r="V54" s="173"/>
      <c r="W54" s="147"/>
      <c r="X54" s="173"/>
      <c r="AA54" s="173"/>
      <c r="AB54" s="173"/>
    </row>
    <row r="55" spans="2:28" ht="21.75" customHeight="1">
      <c r="C55" s="242"/>
      <c r="D55" s="242"/>
      <c r="E55" s="242"/>
      <c r="F55" s="242"/>
      <c r="H55" s="430"/>
      <c r="I55" s="422"/>
      <c r="J55" s="146"/>
      <c r="K55" s="146"/>
      <c r="L55" s="146"/>
      <c r="M55" s="257" t="s">
        <v>169</v>
      </c>
      <c r="R55" s="147"/>
      <c r="S55" s="147"/>
      <c r="T55" s="257" t="s">
        <v>169</v>
      </c>
      <c r="U55" s="150"/>
      <c r="V55" s="150"/>
      <c r="W55" s="147"/>
      <c r="X55" s="173"/>
      <c r="AA55" s="150"/>
      <c r="AB55" s="150"/>
    </row>
    <row r="56" spans="2:28" ht="22.5" customHeight="1">
      <c r="C56" s="242" t="s">
        <v>175</v>
      </c>
      <c r="D56" s="242"/>
      <c r="E56" s="242"/>
      <c r="F56" s="242"/>
      <c r="H56" s="429">
        <f>ROUNDUP(H40+H53,0)</f>
        <v>0</v>
      </c>
      <c r="I56" s="429"/>
      <c r="J56" s="146"/>
      <c r="K56" s="146"/>
      <c r="L56" s="146"/>
      <c r="M56" s="148" t="s">
        <v>170</v>
      </c>
      <c r="N56" s="248"/>
      <c r="O56" s="248"/>
      <c r="P56" s="248"/>
      <c r="R56" s="147"/>
      <c r="S56" s="147"/>
      <c r="T56" s="148" t="s">
        <v>190</v>
      </c>
      <c r="U56" s="150"/>
      <c r="V56" s="150"/>
      <c r="W56" s="147"/>
      <c r="X56" s="173"/>
      <c r="AA56" s="150"/>
      <c r="AB56" s="150"/>
    </row>
    <row r="57" spans="2:28" ht="24.75" customHeight="1">
      <c r="C57" s="124"/>
      <c r="D57" s="124"/>
      <c r="E57" s="124"/>
      <c r="F57" s="124"/>
      <c r="H57" s="124"/>
      <c r="K57" s="146"/>
      <c r="L57" s="146"/>
      <c r="M57" s="148"/>
      <c r="N57" s="269"/>
      <c r="O57" s="269"/>
      <c r="R57" s="147"/>
      <c r="S57" s="147"/>
      <c r="T57" s="148"/>
      <c r="U57" s="150"/>
      <c r="V57" s="150"/>
      <c r="W57" s="147"/>
      <c r="X57" s="173"/>
      <c r="AA57" s="150"/>
      <c r="AB57" s="150"/>
    </row>
    <row r="58" spans="2:28" ht="28.5">
      <c r="B58" s="124"/>
      <c r="C58" s="124"/>
      <c r="D58" s="124"/>
      <c r="E58" s="124"/>
      <c r="G58" s="124"/>
      <c r="H58" s="124"/>
      <c r="K58" s="146"/>
      <c r="L58" s="173"/>
      <c r="N58" s="148"/>
      <c r="O58" s="173"/>
      <c r="P58" s="147"/>
      <c r="Q58" s="147"/>
      <c r="T58" s="148"/>
      <c r="U58" s="147"/>
      <c r="V58" s="173"/>
      <c r="X58" s="150"/>
      <c r="Z58" s="150"/>
    </row>
    <row r="59" spans="2:28" ht="28.5">
      <c r="B59" s="124"/>
      <c r="G59" s="124"/>
      <c r="H59" s="124"/>
      <c r="K59" s="153"/>
      <c r="L59" s="153"/>
      <c r="M59" s="257"/>
      <c r="N59" s="173"/>
      <c r="O59" s="173"/>
      <c r="P59" s="147"/>
      <c r="S59" s="257"/>
      <c r="T59" s="150"/>
      <c r="U59" s="150"/>
      <c r="Y59" s="150"/>
    </row>
    <row r="60" spans="2:28" ht="28.5">
      <c r="K60" s="154"/>
      <c r="L60" s="154"/>
      <c r="M60" s="148"/>
      <c r="N60" s="173"/>
      <c r="O60" s="173"/>
      <c r="P60" s="147"/>
      <c r="S60" s="148"/>
      <c r="T60" s="150"/>
      <c r="U60" s="150"/>
    </row>
    <row r="61" spans="2:28" ht="28.5">
      <c r="K61" s="155"/>
      <c r="L61" s="155"/>
      <c r="M61" s="247"/>
      <c r="N61" s="173"/>
      <c r="O61" s="173"/>
      <c r="P61" s="173"/>
      <c r="S61" s="150"/>
      <c r="T61" s="150"/>
    </row>
    <row r="62" spans="2:28" ht="28.5">
      <c r="K62" s="156"/>
      <c r="L62" s="156"/>
      <c r="N62" s="173"/>
      <c r="O62" s="173"/>
      <c r="P62" s="173"/>
      <c r="V62" s="150"/>
    </row>
    <row r="63" spans="2:28" ht="28.5">
      <c r="K63" s="156"/>
      <c r="L63" s="156"/>
      <c r="M63" s="156"/>
      <c r="O63" s="173"/>
      <c r="P63" s="173"/>
    </row>
    <row r="64" spans="2:28">
      <c r="K64" s="156"/>
      <c r="L64" s="156"/>
      <c r="M64" s="156"/>
    </row>
    <row r="65" spans="6:25">
      <c r="K65" s="156"/>
      <c r="L65" s="156"/>
      <c r="M65" s="156"/>
    </row>
    <row r="66" spans="6:25">
      <c r="K66" s="156"/>
      <c r="L66" s="156"/>
      <c r="M66" s="156"/>
    </row>
    <row r="67" spans="6:25">
      <c r="K67" s="156"/>
      <c r="L67" s="156"/>
      <c r="M67" s="156"/>
    </row>
    <row r="68" spans="6:25">
      <c r="K68" s="156"/>
      <c r="L68" s="156"/>
      <c r="M68" s="156"/>
      <c r="Y68" s="123"/>
    </row>
    <row r="69" spans="6:25" s="123" customFormat="1">
      <c r="I69" s="124"/>
      <c r="J69" s="124"/>
      <c r="K69" s="156"/>
      <c r="L69" s="156"/>
      <c r="M69" s="156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</row>
    <row r="70" spans="6:25">
      <c r="K70" s="156"/>
      <c r="L70" s="156"/>
      <c r="M70" s="156"/>
    </row>
    <row r="71" spans="6:25">
      <c r="K71" s="156"/>
      <c r="L71" s="156"/>
    </row>
    <row r="72" spans="6:25" ht="21">
      <c r="F72" s="243"/>
    </row>
    <row r="73" spans="6:25">
      <c r="F73" s="267"/>
    </row>
    <row r="74" spans="6:25">
      <c r="F74" s="267"/>
    </row>
    <row r="75" spans="6:25">
      <c r="F75" s="267"/>
    </row>
    <row r="76" spans="6:25">
      <c r="F76" s="267"/>
    </row>
    <row r="77" spans="6:25">
      <c r="F77" s="267"/>
    </row>
    <row r="78" spans="6:25">
      <c r="F78" s="267"/>
    </row>
    <row r="79" spans="6:25">
      <c r="F79" s="267"/>
    </row>
    <row r="80" spans="6:25" ht="28.5">
      <c r="F80" s="264"/>
    </row>
    <row r="81" spans="6:6" ht="28.5">
      <c r="F81" s="264"/>
    </row>
    <row r="82" spans="6:6" ht="28.5">
      <c r="F82" s="264"/>
    </row>
    <row r="83" spans="6:6" ht="28.5">
      <c r="F83" s="264"/>
    </row>
    <row r="86" spans="6:6">
      <c r="F86" s="124"/>
    </row>
    <row r="87" spans="6:6">
      <c r="F87" s="124"/>
    </row>
    <row r="88" spans="6:6">
      <c r="F88" s="124"/>
    </row>
  </sheetData>
  <mergeCells count="15">
    <mergeCell ref="H53:I53"/>
    <mergeCell ref="H55:I55"/>
    <mergeCell ref="H56:I56"/>
    <mergeCell ref="H46:I46"/>
    <mergeCell ref="H47:I47"/>
    <mergeCell ref="H48:I48"/>
    <mergeCell ref="H49:I49"/>
    <mergeCell ref="H50:I50"/>
    <mergeCell ref="H51:I51"/>
    <mergeCell ref="H45:I45"/>
    <mergeCell ref="B2:X2"/>
    <mergeCell ref="H40:I40"/>
    <mergeCell ref="H41:I41"/>
    <mergeCell ref="H42:I42"/>
    <mergeCell ref="H44:I44"/>
  </mergeCells>
  <printOptions horizontalCentered="1"/>
  <pageMargins left="0" right="0" top="0" bottom="0" header="0" footer="0"/>
  <pageSetup scale="39" orientation="landscape" horizontalDpi="360" verticalDpi="36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0">
    <tabColor theme="0" tint="-0.34998626667073579"/>
    <pageSetUpPr fitToPage="1"/>
  </sheetPr>
  <dimension ref="B1:AI76"/>
  <sheetViews>
    <sheetView showGridLines="0" view="pageBreakPreview" zoomScale="80" zoomScaleNormal="90" zoomScaleSheetLayoutView="80" workbookViewId="0">
      <pane ySplit="3" topLeftCell="A19" activePane="bottomLeft" state="frozen"/>
      <selection activeCell="Q50" sqref="Q50"/>
      <selection pane="bottomLeft" activeCell="J19" sqref="J19"/>
    </sheetView>
  </sheetViews>
  <sheetFormatPr defaultRowHeight="15"/>
  <cols>
    <col min="1" max="1" width="1" style="124" customWidth="1"/>
    <col min="2" max="2" width="12.28515625" style="123" bestFit="1" customWidth="1"/>
    <col min="3" max="5" width="12.28515625" style="123" customWidth="1"/>
    <col min="6" max="6" width="14.140625" style="123" customWidth="1"/>
    <col min="7" max="7" width="14.42578125" style="123" bestFit="1" customWidth="1"/>
    <col min="8" max="8" width="14.85546875" style="123" customWidth="1"/>
    <col min="9" max="11" width="15.42578125" style="124" customWidth="1"/>
    <col min="12" max="14" width="17.42578125" style="124" customWidth="1"/>
    <col min="15" max="15" width="13.5703125" style="124" bestFit="1" customWidth="1"/>
    <col min="16" max="16" width="14.140625" style="124" bestFit="1" customWidth="1"/>
    <col min="17" max="19" width="19" style="124" customWidth="1"/>
    <col min="20" max="20" width="18.42578125" style="124" customWidth="1"/>
    <col min="21" max="21" width="13.85546875" style="124" customWidth="1"/>
    <col min="22" max="23" width="13.7109375" style="124" customWidth="1"/>
    <col min="24" max="24" width="24.140625" style="124" bestFit="1" customWidth="1"/>
    <col min="25" max="25" width="1.5703125" style="124" customWidth="1"/>
    <col min="26" max="26" width="9.140625" style="124" hidden="1" customWidth="1"/>
    <col min="27" max="27" width="8.85546875" style="124" hidden="1" customWidth="1"/>
    <col min="28" max="28" width="10.140625" style="124" hidden="1" customWidth="1"/>
    <col min="29" max="29" width="12.140625" style="124" hidden="1" customWidth="1"/>
    <col min="30" max="30" width="9.140625" style="124" hidden="1" customWidth="1"/>
    <col min="31" max="31" width="9.28515625" style="124" hidden="1" customWidth="1"/>
    <col min="32" max="32" width="11" style="124" hidden="1" customWidth="1"/>
    <col min="33" max="33" width="7.140625" style="124" hidden="1" customWidth="1"/>
    <col min="34" max="34" width="10.42578125" style="124" hidden="1" customWidth="1"/>
    <col min="35" max="35" width="10.5703125" style="124" hidden="1" customWidth="1"/>
    <col min="36" max="16384" width="9.140625" style="124"/>
  </cols>
  <sheetData>
    <row r="1" spans="2:34" ht="24.75" customHeight="1" thickBot="1"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</row>
    <row r="2" spans="2:34" ht="28.5" customHeight="1" thickBot="1">
      <c r="B2" s="414" t="s">
        <v>239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415"/>
      <c r="X2" s="416"/>
    </row>
    <row r="3" spans="2:34" ht="60.75" thickBot="1">
      <c r="B3" s="125" t="s">
        <v>94</v>
      </c>
      <c r="C3" s="126" t="s">
        <v>121</v>
      </c>
      <c r="D3" s="126" t="s">
        <v>216</v>
      </c>
      <c r="E3" s="126" t="s">
        <v>215</v>
      </c>
      <c r="F3" s="126" t="s">
        <v>188</v>
      </c>
      <c r="G3" s="126" t="s">
        <v>186</v>
      </c>
      <c r="H3" s="126" t="s">
        <v>163</v>
      </c>
      <c r="I3" s="127" t="s">
        <v>111</v>
      </c>
      <c r="J3" s="127" t="s">
        <v>217</v>
      </c>
      <c r="K3" s="127" t="s">
        <v>183</v>
      </c>
      <c r="L3" s="127" t="s">
        <v>180</v>
      </c>
      <c r="M3" s="127" t="s">
        <v>181</v>
      </c>
      <c r="N3" s="127" t="s">
        <v>182</v>
      </c>
      <c r="O3" s="128">
        <v>-0.5</v>
      </c>
      <c r="P3" s="157">
        <f>-100%-O3</f>
        <v>-0.5</v>
      </c>
      <c r="Q3" s="127" t="s">
        <v>141</v>
      </c>
      <c r="R3" s="127" t="s">
        <v>142</v>
      </c>
      <c r="S3" s="127" t="s">
        <v>208</v>
      </c>
      <c r="T3" s="127" t="s">
        <v>125</v>
      </c>
      <c r="U3" s="206" t="s">
        <v>143</v>
      </c>
      <c r="V3" s="127" t="s">
        <v>97</v>
      </c>
      <c r="W3" s="127" t="s">
        <v>144</v>
      </c>
      <c r="X3" s="129" t="s">
        <v>96</v>
      </c>
      <c r="AA3" s="130" t="s">
        <v>106</v>
      </c>
      <c r="AB3" s="130" t="s">
        <v>95</v>
      </c>
      <c r="AC3" s="130" t="s">
        <v>107</v>
      </c>
      <c r="AD3" s="131" t="s">
        <v>108</v>
      </c>
      <c r="AE3" s="131" t="s">
        <v>109</v>
      </c>
      <c r="AF3" s="130" t="s">
        <v>147</v>
      </c>
      <c r="AG3" s="130" t="s">
        <v>110</v>
      </c>
      <c r="AH3" s="130" t="s">
        <v>120</v>
      </c>
    </row>
    <row r="4" spans="2:34" ht="26.25" customHeight="1">
      <c r="B4" s="132">
        <v>44593</v>
      </c>
      <c r="C4" s="240">
        <v>0</v>
      </c>
      <c r="D4" s="240">
        <v>0</v>
      </c>
      <c r="E4" s="240">
        <v>0</v>
      </c>
      <c r="F4" s="240">
        <v>0</v>
      </c>
      <c r="G4" s="240">
        <v>0</v>
      </c>
      <c r="H4" s="292">
        <f t="shared" ref="H4:H9" si="0">SUM(F4:G4)</f>
        <v>0</v>
      </c>
      <c r="I4" s="133">
        <v>0</v>
      </c>
      <c r="J4" s="137">
        <f t="shared" ref="J4:J9" si="1">SUM(D4:E4)</f>
        <v>0</v>
      </c>
      <c r="K4" s="133">
        <v>0</v>
      </c>
      <c r="L4" s="256">
        <f t="shared" ref="L4:L9" si="2">-F4-G4-I4-K4+E4</f>
        <v>0</v>
      </c>
      <c r="M4" s="133">
        <v>0</v>
      </c>
      <c r="N4" s="256">
        <f>L4+M4</f>
        <v>0</v>
      </c>
      <c r="O4" s="321">
        <f>N4*$O$3-J4</f>
        <v>0</v>
      </c>
      <c r="P4" s="321">
        <f>N4*$P$3-J4</f>
        <v>0</v>
      </c>
      <c r="Q4" s="210">
        <v>0</v>
      </c>
      <c r="R4" s="210">
        <f>Q4-S4</f>
        <v>0</v>
      </c>
      <c r="S4" s="134">
        <v>0</v>
      </c>
      <c r="T4" s="159">
        <f>S4*1.7%</f>
        <v>0</v>
      </c>
      <c r="U4" s="158">
        <f>R4*1.7%</f>
        <v>0</v>
      </c>
      <c r="V4" s="158">
        <f>SUM(T4:U4)</f>
        <v>0</v>
      </c>
      <c r="W4" s="293">
        <f>V4*50%</f>
        <v>0</v>
      </c>
      <c r="X4" s="286">
        <f>O4+W4-T4</f>
        <v>0</v>
      </c>
      <c r="AA4" s="164">
        <f>H4</f>
        <v>0</v>
      </c>
      <c r="AB4" s="165">
        <f>I4+K4</f>
        <v>0</v>
      </c>
      <c r="AC4" s="165">
        <f>R4</f>
        <v>0</v>
      </c>
      <c r="AD4" s="165">
        <f>W4</f>
        <v>0</v>
      </c>
      <c r="AE4" s="165">
        <f>N4</f>
        <v>0</v>
      </c>
      <c r="AF4" s="165">
        <f>S4</f>
        <v>0</v>
      </c>
      <c r="AG4" s="165"/>
      <c r="AH4" s="213">
        <f>C4</f>
        <v>0</v>
      </c>
    </row>
    <row r="5" spans="2:34" ht="26.25" customHeight="1">
      <c r="B5" s="166">
        <f>B4+1</f>
        <v>44594</v>
      </c>
      <c r="C5" s="221">
        <v>0</v>
      </c>
      <c r="D5" s="221">
        <v>0</v>
      </c>
      <c r="E5" s="291">
        <v>0</v>
      </c>
      <c r="F5" s="291">
        <v>0</v>
      </c>
      <c r="G5" s="291">
        <v>0</v>
      </c>
      <c r="H5" s="292">
        <f t="shared" si="0"/>
        <v>0</v>
      </c>
      <c r="I5" s="136">
        <v>0</v>
      </c>
      <c r="J5" s="137">
        <f t="shared" si="1"/>
        <v>0</v>
      </c>
      <c r="K5" s="136">
        <v>0</v>
      </c>
      <c r="L5" s="256">
        <f t="shared" si="2"/>
        <v>0</v>
      </c>
      <c r="M5" s="136">
        <v>0</v>
      </c>
      <c r="N5" s="256">
        <f>L5+M5</f>
        <v>0</v>
      </c>
      <c r="O5" s="323">
        <f t="shared" ref="O5:O34" si="3">N5*$O$3-J5</f>
        <v>0</v>
      </c>
      <c r="P5" s="323">
        <f t="shared" ref="P5:P34" si="4">N5*$P$3-J5</f>
        <v>0</v>
      </c>
      <c r="Q5" s="135">
        <v>0</v>
      </c>
      <c r="R5" s="211">
        <f>Q5-S5</f>
        <v>0</v>
      </c>
      <c r="S5" s="135">
        <v>0</v>
      </c>
      <c r="T5" s="159">
        <f>S5*1.7%</f>
        <v>0</v>
      </c>
      <c r="U5" s="159">
        <f>R5*1.7%</f>
        <v>0</v>
      </c>
      <c r="V5" s="159">
        <f>SUM(T5:U5)</f>
        <v>0</v>
      </c>
      <c r="W5" s="294">
        <f>V5*50%</f>
        <v>0</v>
      </c>
      <c r="X5" s="162">
        <f>O5+W5-T5</f>
        <v>0</v>
      </c>
      <c r="AA5" s="164">
        <f t="shared" ref="AA5:AA34" si="5">AA4+H5</f>
        <v>0</v>
      </c>
      <c r="AB5" s="165">
        <f t="shared" ref="AB5:AB34" si="6">AB4+I5+K5</f>
        <v>0</v>
      </c>
      <c r="AC5" s="165">
        <f t="shared" ref="AC5:AC34" si="7">R5+AC4</f>
        <v>0</v>
      </c>
      <c r="AD5" s="165">
        <f>W5+AD4</f>
        <v>0</v>
      </c>
      <c r="AE5" s="165">
        <f t="shared" ref="AE5:AE34" si="8">AE4+N5</f>
        <v>0</v>
      </c>
      <c r="AF5" s="165">
        <f t="shared" ref="AF5:AF34" si="9">S5+AF4</f>
        <v>0</v>
      </c>
      <c r="AG5" s="165"/>
      <c r="AH5" s="230">
        <f t="shared" ref="AH5:AH34" si="10">C5+AH4</f>
        <v>0</v>
      </c>
    </row>
    <row r="6" spans="2:34" ht="26.25" customHeight="1">
      <c r="B6" s="166">
        <f t="shared" ref="B6:B34" si="11">B5+1</f>
        <v>44595</v>
      </c>
      <c r="C6" s="221">
        <v>0</v>
      </c>
      <c r="D6" s="221">
        <v>0</v>
      </c>
      <c r="E6" s="291">
        <v>0</v>
      </c>
      <c r="F6" s="291">
        <v>0</v>
      </c>
      <c r="G6" s="291">
        <v>0</v>
      </c>
      <c r="H6" s="292">
        <f t="shared" si="0"/>
        <v>0</v>
      </c>
      <c r="I6" s="136">
        <v>0</v>
      </c>
      <c r="J6" s="137">
        <f t="shared" si="1"/>
        <v>0</v>
      </c>
      <c r="K6" s="136">
        <v>0</v>
      </c>
      <c r="L6" s="256">
        <f t="shared" si="2"/>
        <v>0</v>
      </c>
      <c r="M6" s="136">
        <v>0</v>
      </c>
      <c r="N6" s="256">
        <f t="shared" ref="N6:N34" si="12">L6+M6</f>
        <v>0</v>
      </c>
      <c r="O6" s="323">
        <f t="shared" si="3"/>
        <v>0</v>
      </c>
      <c r="P6" s="323">
        <f t="shared" si="4"/>
        <v>0</v>
      </c>
      <c r="Q6" s="135">
        <v>0</v>
      </c>
      <c r="R6" s="211">
        <f>Q6-S6</f>
        <v>0</v>
      </c>
      <c r="S6" s="135">
        <v>0</v>
      </c>
      <c r="T6" s="159">
        <f t="shared" ref="T6:T34" si="13">S6*1.7%</f>
        <v>0</v>
      </c>
      <c r="U6" s="159">
        <f t="shared" ref="U6:U34" si="14">R6*1.7%</f>
        <v>0</v>
      </c>
      <c r="V6" s="159">
        <f t="shared" ref="V6:V34" si="15">SUM(T6:U6)</f>
        <v>0</v>
      </c>
      <c r="W6" s="294">
        <f t="shared" ref="W6:W34" si="16">V6*50%</f>
        <v>0</v>
      </c>
      <c r="X6" s="162">
        <f t="shared" ref="X6:X34" si="17">O6+W6-T6</f>
        <v>0</v>
      </c>
      <c r="AA6" s="164">
        <f t="shared" si="5"/>
        <v>0</v>
      </c>
      <c r="AB6" s="165">
        <f t="shared" si="6"/>
        <v>0</v>
      </c>
      <c r="AC6" s="165">
        <f t="shared" si="7"/>
        <v>0</v>
      </c>
      <c r="AD6" s="165">
        <f t="shared" ref="AD6:AD34" si="18">W6+AD5</f>
        <v>0</v>
      </c>
      <c r="AE6" s="165">
        <f t="shared" si="8"/>
        <v>0</v>
      </c>
      <c r="AF6" s="165">
        <f t="shared" si="9"/>
        <v>0</v>
      </c>
      <c r="AG6" s="165"/>
      <c r="AH6" s="230">
        <f t="shared" si="10"/>
        <v>0</v>
      </c>
    </row>
    <row r="7" spans="2:34" ht="26.25" customHeight="1">
      <c r="B7" s="166">
        <f t="shared" si="11"/>
        <v>44596</v>
      </c>
      <c r="C7" s="221">
        <v>0</v>
      </c>
      <c r="D7" s="221">
        <v>0</v>
      </c>
      <c r="E7" s="291">
        <v>0</v>
      </c>
      <c r="F7" s="291">
        <v>0</v>
      </c>
      <c r="G7" s="291">
        <v>0</v>
      </c>
      <c r="H7" s="292">
        <f t="shared" si="0"/>
        <v>0</v>
      </c>
      <c r="I7" s="136">
        <v>0</v>
      </c>
      <c r="J7" s="137">
        <f t="shared" si="1"/>
        <v>0</v>
      </c>
      <c r="K7" s="136">
        <v>0</v>
      </c>
      <c r="L7" s="256">
        <f t="shared" si="2"/>
        <v>0</v>
      </c>
      <c r="M7" s="136">
        <v>0</v>
      </c>
      <c r="N7" s="256">
        <f t="shared" si="12"/>
        <v>0</v>
      </c>
      <c r="O7" s="323">
        <f t="shared" si="3"/>
        <v>0</v>
      </c>
      <c r="P7" s="323">
        <f t="shared" si="4"/>
        <v>0</v>
      </c>
      <c r="Q7" s="135">
        <v>0</v>
      </c>
      <c r="R7" s="211">
        <f t="shared" ref="R7:R33" si="19">Q7-S7</f>
        <v>0</v>
      </c>
      <c r="S7" s="135">
        <v>0</v>
      </c>
      <c r="T7" s="159">
        <f t="shared" si="13"/>
        <v>0</v>
      </c>
      <c r="U7" s="159">
        <f t="shared" si="14"/>
        <v>0</v>
      </c>
      <c r="V7" s="159">
        <f t="shared" si="15"/>
        <v>0</v>
      </c>
      <c r="W7" s="294">
        <f t="shared" si="16"/>
        <v>0</v>
      </c>
      <c r="X7" s="162">
        <f t="shared" si="17"/>
        <v>0</v>
      </c>
      <c r="AA7" s="164">
        <f t="shared" si="5"/>
        <v>0</v>
      </c>
      <c r="AB7" s="165">
        <f t="shared" si="6"/>
        <v>0</v>
      </c>
      <c r="AC7" s="165">
        <f t="shared" si="7"/>
        <v>0</v>
      </c>
      <c r="AD7" s="165">
        <f t="shared" si="18"/>
        <v>0</v>
      </c>
      <c r="AE7" s="165">
        <f t="shared" si="8"/>
        <v>0</v>
      </c>
      <c r="AF7" s="165">
        <f t="shared" si="9"/>
        <v>0</v>
      </c>
      <c r="AG7" s="165"/>
      <c r="AH7" s="230">
        <f t="shared" si="10"/>
        <v>0</v>
      </c>
    </row>
    <row r="8" spans="2:34" ht="26.25" customHeight="1">
      <c r="B8" s="166">
        <f t="shared" si="11"/>
        <v>44597</v>
      </c>
      <c r="C8" s="221">
        <v>0</v>
      </c>
      <c r="D8" s="221">
        <v>0</v>
      </c>
      <c r="E8" s="291">
        <v>0</v>
      </c>
      <c r="F8" s="221">
        <v>0</v>
      </c>
      <c r="G8" s="221">
        <v>0</v>
      </c>
      <c r="H8" s="292">
        <f t="shared" si="0"/>
        <v>0</v>
      </c>
      <c r="I8" s="137">
        <v>0</v>
      </c>
      <c r="J8" s="137">
        <f t="shared" si="1"/>
        <v>0</v>
      </c>
      <c r="K8" s="137">
        <v>0</v>
      </c>
      <c r="L8" s="256">
        <f t="shared" si="2"/>
        <v>0</v>
      </c>
      <c r="M8" s="136">
        <v>0</v>
      </c>
      <c r="N8" s="256">
        <f t="shared" si="12"/>
        <v>0</v>
      </c>
      <c r="O8" s="323">
        <f t="shared" si="3"/>
        <v>0</v>
      </c>
      <c r="P8" s="323">
        <f t="shared" si="4"/>
        <v>0</v>
      </c>
      <c r="Q8" s="135">
        <v>0</v>
      </c>
      <c r="R8" s="211">
        <f t="shared" si="19"/>
        <v>0</v>
      </c>
      <c r="S8" s="135">
        <v>0</v>
      </c>
      <c r="T8" s="159">
        <f t="shared" si="13"/>
        <v>0</v>
      </c>
      <c r="U8" s="159">
        <f t="shared" si="14"/>
        <v>0</v>
      </c>
      <c r="V8" s="159">
        <f t="shared" si="15"/>
        <v>0</v>
      </c>
      <c r="W8" s="294">
        <f t="shared" si="16"/>
        <v>0</v>
      </c>
      <c r="X8" s="162">
        <f t="shared" si="17"/>
        <v>0</v>
      </c>
      <c r="AA8" s="164">
        <f t="shared" si="5"/>
        <v>0</v>
      </c>
      <c r="AB8" s="165">
        <f t="shared" si="6"/>
        <v>0</v>
      </c>
      <c r="AC8" s="165">
        <f t="shared" si="7"/>
        <v>0</v>
      </c>
      <c r="AD8" s="165">
        <f t="shared" si="18"/>
        <v>0</v>
      </c>
      <c r="AE8" s="165">
        <f t="shared" si="8"/>
        <v>0</v>
      </c>
      <c r="AF8" s="165">
        <f t="shared" si="9"/>
        <v>0</v>
      </c>
      <c r="AG8" s="165"/>
      <c r="AH8" s="230">
        <f t="shared" si="10"/>
        <v>0</v>
      </c>
    </row>
    <row r="9" spans="2:34" ht="26.25" customHeight="1">
      <c r="B9" s="166">
        <f t="shared" si="11"/>
        <v>44598</v>
      </c>
      <c r="C9" s="221">
        <v>0</v>
      </c>
      <c r="D9" s="221">
        <v>0</v>
      </c>
      <c r="E9" s="291">
        <v>0</v>
      </c>
      <c r="F9" s="221">
        <v>0</v>
      </c>
      <c r="G9" s="221">
        <v>0</v>
      </c>
      <c r="H9" s="292">
        <f t="shared" si="0"/>
        <v>0</v>
      </c>
      <c r="I9" s="137">
        <v>0</v>
      </c>
      <c r="J9" s="137">
        <f t="shared" si="1"/>
        <v>0</v>
      </c>
      <c r="K9" s="137">
        <v>0</v>
      </c>
      <c r="L9" s="256">
        <f t="shared" si="2"/>
        <v>0</v>
      </c>
      <c r="M9" s="136">
        <v>0</v>
      </c>
      <c r="N9" s="256">
        <f t="shared" si="12"/>
        <v>0</v>
      </c>
      <c r="O9" s="323">
        <f t="shared" si="3"/>
        <v>0</v>
      </c>
      <c r="P9" s="323">
        <f t="shared" si="4"/>
        <v>0</v>
      </c>
      <c r="Q9" s="135">
        <v>0</v>
      </c>
      <c r="R9" s="211">
        <f t="shared" si="19"/>
        <v>0</v>
      </c>
      <c r="S9" s="135">
        <v>0</v>
      </c>
      <c r="T9" s="159">
        <f t="shared" si="13"/>
        <v>0</v>
      </c>
      <c r="U9" s="159">
        <f t="shared" si="14"/>
        <v>0</v>
      </c>
      <c r="V9" s="159">
        <f t="shared" si="15"/>
        <v>0</v>
      </c>
      <c r="W9" s="294">
        <f t="shared" si="16"/>
        <v>0</v>
      </c>
      <c r="X9" s="162">
        <f t="shared" si="17"/>
        <v>0</v>
      </c>
      <c r="AA9" s="164">
        <f t="shared" si="5"/>
        <v>0</v>
      </c>
      <c r="AB9" s="165">
        <f t="shared" si="6"/>
        <v>0</v>
      </c>
      <c r="AC9" s="165">
        <f t="shared" si="7"/>
        <v>0</v>
      </c>
      <c r="AD9" s="165">
        <f t="shared" si="18"/>
        <v>0</v>
      </c>
      <c r="AE9" s="165">
        <f t="shared" si="8"/>
        <v>0</v>
      </c>
      <c r="AF9" s="165">
        <f t="shared" si="9"/>
        <v>0</v>
      </c>
      <c r="AG9" s="165"/>
      <c r="AH9" s="230">
        <f t="shared" si="10"/>
        <v>0</v>
      </c>
    </row>
    <row r="10" spans="2:34" ht="26.25" customHeight="1">
      <c r="B10" s="166">
        <f t="shared" si="11"/>
        <v>44599</v>
      </c>
      <c r="C10" s="221">
        <v>0</v>
      </c>
      <c r="D10" s="221">
        <v>0</v>
      </c>
      <c r="E10" s="291">
        <v>0</v>
      </c>
      <c r="F10" s="221">
        <v>0</v>
      </c>
      <c r="G10" s="221">
        <v>0</v>
      </c>
      <c r="H10" s="292">
        <f t="shared" ref="H10:H35" si="20">SUM(F10:G10)</f>
        <v>0</v>
      </c>
      <c r="I10" s="137">
        <v>0</v>
      </c>
      <c r="J10" s="137">
        <f t="shared" ref="J10:J35" si="21">SUM(D10:E10)</f>
        <v>0</v>
      </c>
      <c r="K10" s="137">
        <v>0</v>
      </c>
      <c r="L10" s="256">
        <f>-F10-G10-I10-K10+E10</f>
        <v>0</v>
      </c>
      <c r="M10" s="136">
        <v>0</v>
      </c>
      <c r="N10" s="256">
        <f t="shared" si="12"/>
        <v>0</v>
      </c>
      <c r="O10" s="323">
        <f t="shared" si="3"/>
        <v>0</v>
      </c>
      <c r="P10" s="323">
        <f t="shared" si="4"/>
        <v>0</v>
      </c>
      <c r="Q10" s="135">
        <v>0</v>
      </c>
      <c r="R10" s="211">
        <f t="shared" si="19"/>
        <v>0</v>
      </c>
      <c r="S10" s="135">
        <v>0</v>
      </c>
      <c r="T10" s="159">
        <f t="shared" si="13"/>
        <v>0</v>
      </c>
      <c r="U10" s="159">
        <f t="shared" si="14"/>
        <v>0</v>
      </c>
      <c r="V10" s="159">
        <f t="shared" si="15"/>
        <v>0</v>
      </c>
      <c r="W10" s="294">
        <f t="shared" si="16"/>
        <v>0</v>
      </c>
      <c r="X10" s="162">
        <f t="shared" si="17"/>
        <v>0</v>
      </c>
      <c r="AA10" s="164">
        <f t="shared" si="5"/>
        <v>0</v>
      </c>
      <c r="AB10" s="165">
        <f t="shared" si="6"/>
        <v>0</v>
      </c>
      <c r="AC10" s="165">
        <f t="shared" si="7"/>
        <v>0</v>
      </c>
      <c r="AD10" s="165">
        <f t="shared" si="18"/>
        <v>0</v>
      </c>
      <c r="AE10" s="165">
        <f t="shared" si="8"/>
        <v>0</v>
      </c>
      <c r="AF10" s="165">
        <f t="shared" si="9"/>
        <v>0</v>
      </c>
      <c r="AG10" s="165"/>
      <c r="AH10" s="230">
        <f>C10+AH9</f>
        <v>0</v>
      </c>
    </row>
    <row r="11" spans="2:34" ht="26.25" customHeight="1">
      <c r="B11" s="166">
        <f t="shared" si="11"/>
        <v>44600</v>
      </c>
      <c r="C11" s="221">
        <v>0</v>
      </c>
      <c r="D11" s="221">
        <v>0</v>
      </c>
      <c r="E11" s="291">
        <v>0</v>
      </c>
      <c r="F11" s="221">
        <v>0</v>
      </c>
      <c r="G11" s="221">
        <v>0</v>
      </c>
      <c r="H11" s="292">
        <f t="shared" si="20"/>
        <v>0</v>
      </c>
      <c r="I11" s="137">
        <v>0</v>
      </c>
      <c r="J11" s="137">
        <f t="shared" si="21"/>
        <v>0</v>
      </c>
      <c r="K11" s="137">
        <v>0</v>
      </c>
      <c r="L11" s="256">
        <f t="shared" ref="L11:L34" si="22">-F11-G11-I11-K11+E11</f>
        <v>0</v>
      </c>
      <c r="M11" s="136">
        <v>0</v>
      </c>
      <c r="N11" s="256">
        <f t="shared" si="12"/>
        <v>0</v>
      </c>
      <c r="O11" s="323">
        <f t="shared" si="3"/>
        <v>0</v>
      </c>
      <c r="P11" s="323">
        <f t="shared" si="4"/>
        <v>0</v>
      </c>
      <c r="Q11" s="135">
        <v>0</v>
      </c>
      <c r="R11" s="211">
        <f t="shared" si="19"/>
        <v>0</v>
      </c>
      <c r="S11" s="135">
        <v>0</v>
      </c>
      <c r="T11" s="159">
        <f t="shared" si="13"/>
        <v>0</v>
      </c>
      <c r="U11" s="159">
        <f t="shared" si="14"/>
        <v>0</v>
      </c>
      <c r="V11" s="159">
        <f t="shared" si="15"/>
        <v>0</v>
      </c>
      <c r="W11" s="294">
        <f t="shared" si="16"/>
        <v>0</v>
      </c>
      <c r="X11" s="162">
        <f t="shared" si="17"/>
        <v>0</v>
      </c>
      <c r="AA11" s="164">
        <f t="shared" si="5"/>
        <v>0</v>
      </c>
      <c r="AB11" s="165">
        <f t="shared" si="6"/>
        <v>0</v>
      </c>
      <c r="AC11" s="165">
        <f t="shared" si="7"/>
        <v>0</v>
      </c>
      <c r="AD11" s="165">
        <f t="shared" si="18"/>
        <v>0</v>
      </c>
      <c r="AE11" s="165">
        <f t="shared" si="8"/>
        <v>0</v>
      </c>
      <c r="AF11" s="165">
        <f t="shared" si="9"/>
        <v>0</v>
      </c>
      <c r="AG11" s="165"/>
      <c r="AH11" s="230">
        <f t="shared" si="10"/>
        <v>0</v>
      </c>
    </row>
    <row r="12" spans="2:34" ht="26.25" customHeight="1">
      <c r="B12" s="166">
        <f t="shared" si="11"/>
        <v>44601</v>
      </c>
      <c r="C12" s="221">
        <v>0</v>
      </c>
      <c r="D12" s="221">
        <v>0</v>
      </c>
      <c r="E12" s="291">
        <v>0</v>
      </c>
      <c r="F12" s="221">
        <v>0</v>
      </c>
      <c r="G12" s="221">
        <v>0</v>
      </c>
      <c r="H12" s="292">
        <f t="shared" si="20"/>
        <v>0</v>
      </c>
      <c r="I12" s="137">
        <v>0</v>
      </c>
      <c r="J12" s="137">
        <f t="shared" si="21"/>
        <v>0</v>
      </c>
      <c r="K12" s="137">
        <v>0</v>
      </c>
      <c r="L12" s="256">
        <f t="shared" si="22"/>
        <v>0</v>
      </c>
      <c r="M12" s="136">
        <v>0</v>
      </c>
      <c r="N12" s="256">
        <f t="shared" si="12"/>
        <v>0</v>
      </c>
      <c r="O12" s="323">
        <f t="shared" si="3"/>
        <v>0</v>
      </c>
      <c r="P12" s="323">
        <f t="shared" si="4"/>
        <v>0</v>
      </c>
      <c r="Q12" s="135">
        <v>0</v>
      </c>
      <c r="R12" s="211">
        <f t="shared" si="19"/>
        <v>0</v>
      </c>
      <c r="S12" s="135">
        <v>0</v>
      </c>
      <c r="T12" s="159">
        <f t="shared" si="13"/>
        <v>0</v>
      </c>
      <c r="U12" s="159">
        <f t="shared" si="14"/>
        <v>0</v>
      </c>
      <c r="V12" s="159">
        <f t="shared" si="15"/>
        <v>0</v>
      </c>
      <c r="W12" s="294">
        <f t="shared" si="16"/>
        <v>0</v>
      </c>
      <c r="X12" s="162">
        <f t="shared" si="17"/>
        <v>0</v>
      </c>
      <c r="AA12" s="164">
        <f t="shared" si="5"/>
        <v>0</v>
      </c>
      <c r="AB12" s="165">
        <f t="shared" si="6"/>
        <v>0</v>
      </c>
      <c r="AC12" s="165">
        <f t="shared" si="7"/>
        <v>0</v>
      </c>
      <c r="AD12" s="165">
        <f t="shared" si="18"/>
        <v>0</v>
      </c>
      <c r="AE12" s="165">
        <f t="shared" si="8"/>
        <v>0</v>
      </c>
      <c r="AF12" s="165">
        <f t="shared" si="9"/>
        <v>0</v>
      </c>
      <c r="AG12" s="165"/>
      <c r="AH12" s="230">
        <f t="shared" si="10"/>
        <v>0</v>
      </c>
    </row>
    <row r="13" spans="2:34" ht="26.25" customHeight="1">
      <c r="B13" s="166">
        <f t="shared" si="11"/>
        <v>44602</v>
      </c>
      <c r="C13" s="221">
        <v>0</v>
      </c>
      <c r="D13" s="221">
        <v>0</v>
      </c>
      <c r="E13" s="291">
        <v>0</v>
      </c>
      <c r="F13" s="221">
        <v>0</v>
      </c>
      <c r="G13" s="221">
        <v>0</v>
      </c>
      <c r="H13" s="292">
        <f t="shared" si="20"/>
        <v>0</v>
      </c>
      <c r="I13" s="137">
        <v>0</v>
      </c>
      <c r="J13" s="137">
        <f t="shared" si="21"/>
        <v>0</v>
      </c>
      <c r="K13" s="137">
        <v>0</v>
      </c>
      <c r="L13" s="256">
        <f t="shared" si="22"/>
        <v>0</v>
      </c>
      <c r="M13" s="136">
        <v>0</v>
      </c>
      <c r="N13" s="256">
        <f t="shared" si="12"/>
        <v>0</v>
      </c>
      <c r="O13" s="323">
        <f t="shared" si="3"/>
        <v>0</v>
      </c>
      <c r="P13" s="323">
        <f t="shared" si="4"/>
        <v>0</v>
      </c>
      <c r="Q13" s="135">
        <v>0</v>
      </c>
      <c r="R13" s="211">
        <f t="shared" si="19"/>
        <v>0</v>
      </c>
      <c r="S13" s="135">
        <v>0</v>
      </c>
      <c r="T13" s="159">
        <f t="shared" si="13"/>
        <v>0</v>
      </c>
      <c r="U13" s="159">
        <f t="shared" si="14"/>
        <v>0</v>
      </c>
      <c r="V13" s="159">
        <f t="shared" si="15"/>
        <v>0</v>
      </c>
      <c r="W13" s="294">
        <f t="shared" si="16"/>
        <v>0</v>
      </c>
      <c r="X13" s="162">
        <f t="shared" si="17"/>
        <v>0</v>
      </c>
      <c r="AA13" s="164">
        <f t="shared" si="5"/>
        <v>0</v>
      </c>
      <c r="AB13" s="165">
        <f t="shared" si="6"/>
        <v>0</v>
      </c>
      <c r="AC13" s="165">
        <f>R13+AC12</f>
        <v>0</v>
      </c>
      <c r="AD13" s="165">
        <f t="shared" si="18"/>
        <v>0</v>
      </c>
      <c r="AE13" s="165">
        <f t="shared" si="8"/>
        <v>0</v>
      </c>
      <c r="AF13" s="165">
        <f t="shared" si="9"/>
        <v>0</v>
      </c>
      <c r="AG13" s="165"/>
      <c r="AH13" s="230">
        <f t="shared" si="10"/>
        <v>0</v>
      </c>
    </row>
    <row r="14" spans="2:34" ht="26.25" customHeight="1">
      <c r="B14" s="166">
        <f t="shared" si="11"/>
        <v>44603</v>
      </c>
      <c r="C14" s="221">
        <v>0</v>
      </c>
      <c r="D14" s="221">
        <v>0</v>
      </c>
      <c r="E14" s="291">
        <v>0</v>
      </c>
      <c r="F14" s="221">
        <v>0</v>
      </c>
      <c r="G14" s="221">
        <v>0</v>
      </c>
      <c r="H14" s="292">
        <f t="shared" si="20"/>
        <v>0</v>
      </c>
      <c r="I14" s="137">
        <v>0</v>
      </c>
      <c r="J14" s="137">
        <f t="shared" si="21"/>
        <v>0</v>
      </c>
      <c r="K14" s="137">
        <v>0</v>
      </c>
      <c r="L14" s="256">
        <f t="shared" si="22"/>
        <v>0</v>
      </c>
      <c r="M14" s="136">
        <v>0</v>
      </c>
      <c r="N14" s="256">
        <f t="shared" si="12"/>
        <v>0</v>
      </c>
      <c r="O14" s="323">
        <f t="shared" si="3"/>
        <v>0</v>
      </c>
      <c r="P14" s="323">
        <f t="shared" si="4"/>
        <v>0</v>
      </c>
      <c r="Q14" s="135">
        <v>0</v>
      </c>
      <c r="R14" s="211">
        <f t="shared" si="19"/>
        <v>0</v>
      </c>
      <c r="S14" s="135">
        <v>0</v>
      </c>
      <c r="T14" s="159">
        <f t="shared" si="13"/>
        <v>0</v>
      </c>
      <c r="U14" s="159">
        <f t="shared" si="14"/>
        <v>0</v>
      </c>
      <c r="V14" s="159">
        <f t="shared" si="15"/>
        <v>0</v>
      </c>
      <c r="W14" s="294">
        <f t="shared" si="16"/>
        <v>0</v>
      </c>
      <c r="X14" s="162">
        <f t="shared" si="17"/>
        <v>0</v>
      </c>
      <c r="AA14" s="164">
        <f t="shared" si="5"/>
        <v>0</v>
      </c>
      <c r="AB14" s="165">
        <f t="shared" si="6"/>
        <v>0</v>
      </c>
      <c r="AC14" s="165">
        <f t="shared" si="7"/>
        <v>0</v>
      </c>
      <c r="AD14" s="165">
        <f t="shared" si="18"/>
        <v>0</v>
      </c>
      <c r="AE14" s="165">
        <f t="shared" si="8"/>
        <v>0</v>
      </c>
      <c r="AF14" s="165">
        <f t="shared" si="9"/>
        <v>0</v>
      </c>
      <c r="AG14" s="165"/>
      <c r="AH14" s="230">
        <f t="shared" si="10"/>
        <v>0</v>
      </c>
    </row>
    <row r="15" spans="2:34" ht="26.25" customHeight="1">
      <c r="B15" s="166">
        <f t="shared" si="11"/>
        <v>44604</v>
      </c>
      <c r="C15" s="221">
        <v>0</v>
      </c>
      <c r="D15" s="221">
        <v>0</v>
      </c>
      <c r="E15" s="291">
        <v>0</v>
      </c>
      <c r="F15" s="221">
        <v>0</v>
      </c>
      <c r="G15" s="221">
        <v>0</v>
      </c>
      <c r="H15" s="292">
        <f t="shared" si="20"/>
        <v>0</v>
      </c>
      <c r="I15" s="137">
        <v>0</v>
      </c>
      <c r="J15" s="137">
        <f t="shared" si="21"/>
        <v>0</v>
      </c>
      <c r="K15" s="298">
        <v>0</v>
      </c>
      <c r="L15" s="256">
        <f t="shared" si="22"/>
        <v>0</v>
      </c>
      <c r="M15" s="275">
        <v>0</v>
      </c>
      <c r="N15" s="299">
        <f>L15+M15</f>
        <v>0</v>
      </c>
      <c r="O15" s="323">
        <f t="shared" si="3"/>
        <v>0</v>
      </c>
      <c r="P15" s="323">
        <f t="shared" si="4"/>
        <v>0</v>
      </c>
      <c r="Q15" s="197">
        <v>0</v>
      </c>
      <c r="R15" s="279">
        <f t="shared" si="19"/>
        <v>0</v>
      </c>
      <c r="S15" s="197">
        <v>0</v>
      </c>
      <c r="T15" s="159">
        <f t="shared" si="13"/>
        <v>0</v>
      </c>
      <c r="U15" s="159">
        <f t="shared" si="14"/>
        <v>0</v>
      </c>
      <c r="V15" s="159">
        <f t="shared" si="15"/>
        <v>0</v>
      </c>
      <c r="W15" s="294">
        <f t="shared" si="16"/>
        <v>0</v>
      </c>
      <c r="X15" s="162">
        <f t="shared" si="17"/>
        <v>0</v>
      </c>
      <c r="AA15" s="164">
        <f t="shared" si="5"/>
        <v>0</v>
      </c>
      <c r="AB15" s="165">
        <f t="shared" si="6"/>
        <v>0</v>
      </c>
      <c r="AC15" s="165">
        <f t="shared" si="7"/>
        <v>0</v>
      </c>
      <c r="AD15" s="165">
        <f t="shared" si="18"/>
        <v>0</v>
      </c>
      <c r="AE15" s="165">
        <f t="shared" si="8"/>
        <v>0</v>
      </c>
      <c r="AF15" s="165">
        <f t="shared" si="9"/>
        <v>0</v>
      </c>
      <c r="AG15" s="165"/>
      <c r="AH15" s="230">
        <f t="shared" si="10"/>
        <v>0</v>
      </c>
    </row>
    <row r="16" spans="2:34" ht="26.25" customHeight="1">
      <c r="B16" s="166">
        <f t="shared" si="11"/>
        <v>44605</v>
      </c>
      <c r="C16" s="221">
        <v>0</v>
      </c>
      <c r="D16" s="221">
        <v>0</v>
      </c>
      <c r="E16" s="291">
        <v>0</v>
      </c>
      <c r="F16" s="221">
        <v>0</v>
      </c>
      <c r="G16" s="221">
        <v>0</v>
      </c>
      <c r="H16" s="292">
        <f t="shared" si="20"/>
        <v>0</v>
      </c>
      <c r="I16" s="137">
        <v>0</v>
      </c>
      <c r="J16" s="137">
        <f t="shared" si="21"/>
        <v>0</v>
      </c>
      <c r="K16" s="137">
        <v>0</v>
      </c>
      <c r="L16" s="256">
        <f t="shared" si="22"/>
        <v>0</v>
      </c>
      <c r="M16" s="275">
        <v>0</v>
      </c>
      <c r="N16" s="256">
        <f t="shared" si="12"/>
        <v>0</v>
      </c>
      <c r="O16" s="323">
        <f t="shared" si="3"/>
        <v>0</v>
      </c>
      <c r="P16" s="323">
        <f t="shared" si="4"/>
        <v>0</v>
      </c>
      <c r="Q16" s="197">
        <v>0</v>
      </c>
      <c r="R16" s="211">
        <f t="shared" si="19"/>
        <v>0</v>
      </c>
      <c r="S16" s="135">
        <v>0</v>
      </c>
      <c r="T16" s="159">
        <f t="shared" si="13"/>
        <v>0</v>
      </c>
      <c r="U16" s="159">
        <f t="shared" si="14"/>
        <v>0</v>
      </c>
      <c r="V16" s="159">
        <f t="shared" si="15"/>
        <v>0</v>
      </c>
      <c r="W16" s="294">
        <f t="shared" si="16"/>
        <v>0</v>
      </c>
      <c r="X16" s="162">
        <f t="shared" si="17"/>
        <v>0</v>
      </c>
      <c r="AA16" s="164">
        <f t="shared" si="5"/>
        <v>0</v>
      </c>
      <c r="AB16" s="165">
        <f t="shared" si="6"/>
        <v>0</v>
      </c>
      <c r="AC16" s="165">
        <f t="shared" si="7"/>
        <v>0</v>
      </c>
      <c r="AD16" s="165">
        <f t="shared" si="18"/>
        <v>0</v>
      </c>
      <c r="AE16" s="165">
        <f t="shared" si="8"/>
        <v>0</v>
      </c>
      <c r="AF16" s="165">
        <f t="shared" si="9"/>
        <v>0</v>
      </c>
      <c r="AG16" s="165"/>
      <c r="AH16" s="230">
        <f t="shared" si="10"/>
        <v>0</v>
      </c>
    </row>
    <row r="17" spans="2:34" s="296" customFormat="1" ht="26.25" customHeight="1">
      <c r="B17" s="297">
        <f t="shared" si="11"/>
        <v>44606</v>
      </c>
      <c r="C17" s="221">
        <v>0</v>
      </c>
      <c r="D17" s="221">
        <v>0</v>
      </c>
      <c r="E17" s="291">
        <v>0</v>
      </c>
      <c r="F17" s="221">
        <v>0</v>
      </c>
      <c r="G17" s="221">
        <v>0</v>
      </c>
      <c r="H17" s="292">
        <f t="shared" si="20"/>
        <v>0</v>
      </c>
      <c r="I17" s="137">
        <v>0</v>
      </c>
      <c r="J17" s="137">
        <f t="shared" si="21"/>
        <v>0</v>
      </c>
      <c r="K17" s="137">
        <v>0</v>
      </c>
      <c r="L17" s="256">
        <f t="shared" si="22"/>
        <v>0</v>
      </c>
      <c r="M17" s="275">
        <v>0</v>
      </c>
      <c r="N17" s="299">
        <f t="shared" si="12"/>
        <v>0</v>
      </c>
      <c r="O17" s="323">
        <f t="shared" si="3"/>
        <v>0</v>
      </c>
      <c r="P17" s="323">
        <f t="shared" si="4"/>
        <v>0</v>
      </c>
      <c r="Q17" s="197">
        <v>0</v>
      </c>
      <c r="R17" s="279">
        <f t="shared" si="19"/>
        <v>0</v>
      </c>
      <c r="S17" s="197">
        <v>0</v>
      </c>
      <c r="T17" s="300">
        <f t="shared" si="13"/>
        <v>0</v>
      </c>
      <c r="U17" s="300">
        <f t="shared" si="14"/>
        <v>0</v>
      </c>
      <c r="V17" s="300">
        <f t="shared" si="15"/>
        <v>0</v>
      </c>
      <c r="W17" s="301">
        <f t="shared" si="16"/>
        <v>0</v>
      </c>
      <c r="X17" s="302">
        <f t="shared" si="17"/>
        <v>0</v>
      </c>
      <c r="AA17" s="303">
        <f t="shared" si="5"/>
        <v>0</v>
      </c>
      <c r="AB17" s="304">
        <f t="shared" si="6"/>
        <v>0</v>
      </c>
      <c r="AC17" s="304">
        <f t="shared" si="7"/>
        <v>0</v>
      </c>
      <c r="AD17" s="165">
        <f t="shared" si="18"/>
        <v>0</v>
      </c>
      <c r="AE17" s="304">
        <f t="shared" si="8"/>
        <v>0</v>
      </c>
      <c r="AF17" s="304">
        <f t="shared" si="9"/>
        <v>0</v>
      </c>
      <c r="AG17" s="304"/>
      <c r="AH17" s="305">
        <f t="shared" si="10"/>
        <v>0</v>
      </c>
    </row>
    <row r="18" spans="2:34" s="296" customFormat="1" ht="26.25" customHeight="1">
      <c r="B18" s="297">
        <f t="shared" si="11"/>
        <v>44607</v>
      </c>
      <c r="C18" s="291">
        <v>0</v>
      </c>
      <c r="D18" s="291">
        <v>0</v>
      </c>
      <c r="E18" s="291">
        <v>0</v>
      </c>
      <c r="F18" s="221">
        <v>0</v>
      </c>
      <c r="G18" s="291">
        <v>0</v>
      </c>
      <c r="H18" s="292">
        <f t="shared" si="20"/>
        <v>0</v>
      </c>
      <c r="I18" s="298">
        <v>0</v>
      </c>
      <c r="J18" s="137">
        <f t="shared" si="21"/>
        <v>0</v>
      </c>
      <c r="K18" s="137">
        <v>0</v>
      </c>
      <c r="L18" s="256">
        <f t="shared" si="22"/>
        <v>0</v>
      </c>
      <c r="M18" s="275">
        <v>0</v>
      </c>
      <c r="N18" s="299">
        <f t="shared" si="12"/>
        <v>0</v>
      </c>
      <c r="O18" s="323">
        <f t="shared" si="3"/>
        <v>0</v>
      </c>
      <c r="P18" s="323">
        <f t="shared" si="4"/>
        <v>0</v>
      </c>
      <c r="Q18" s="197">
        <v>0</v>
      </c>
      <c r="R18" s="279">
        <f t="shared" si="19"/>
        <v>0</v>
      </c>
      <c r="S18" s="197">
        <v>0</v>
      </c>
      <c r="T18" s="300">
        <f t="shared" si="13"/>
        <v>0</v>
      </c>
      <c r="U18" s="300">
        <f t="shared" si="14"/>
        <v>0</v>
      </c>
      <c r="V18" s="300">
        <f t="shared" si="15"/>
        <v>0</v>
      </c>
      <c r="W18" s="301">
        <f t="shared" si="16"/>
        <v>0</v>
      </c>
      <c r="X18" s="302">
        <f t="shared" si="17"/>
        <v>0</v>
      </c>
      <c r="AA18" s="303">
        <f t="shared" si="5"/>
        <v>0</v>
      </c>
      <c r="AB18" s="304">
        <f t="shared" si="6"/>
        <v>0</v>
      </c>
      <c r="AC18" s="304">
        <f t="shared" si="7"/>
        <v>0</v>
      </c>
      <c r="AD18" s="304">
        <f t="shared" si="18"/>
        <v>0</v>
      </c>
      <c r="AE18" s="304">
        <f t="shared" si="8"/>
        <v>0</v>
      </c>
      <c r="AF18" s="304">
        <f t="shared" si="9"/>
        <v>0</v>
      </c>
      <c r="AG18" s="304"/>
      <c r="AH18" s="305">
        <f t="shared" si="10"/>
        <v>0</v>
      </c>
    </row>
    <row r="19" spans="2:34" ht="26.25" customHeight="1">
      <c r="B19" s="166">
        <f t="shared" si="11"/>
        <v>44608</v>
      </c>
      <c r="C19" s="291">
        <v>0</v>
      </c>
      <c r="D19" s="291">
        <v>0</v>
      </c>
      <c r="E19" s="291">
        <v>0</v>
      </c>
      <c r="F19" s="221">
        <v>0</v>
      </c>
      <c r="G19" s="221">
        <v>0</v>
      </c>
      <c r="H19" s="292">
        <f t="shared" si="20"/>
        <v>0</v>
      </c>
      <c r="I19" s="137">
        <v>0</v>
      </c>
      <c r="J19" s="137">
        <f t="shared" si="21"/>
        <v>0</v>
      </c>
      <c r="K19" s="137">
        <v>0</v>
      </c>
      <c r="L19" s="256">
        <f t="shared" si="22"/>
        <v>0</v>
      </c>
      <c r="M19" s="275">
        <v>0</v>
      </c>
      <c r="N19" s="256">
        <f t="shared" si="12"/>
        <v>0</v>
      </c>
      <c r="O19" s="323">
        <f t="shared" si="3"/>
        <v>0</v>
      </c>
      <c r="P19" s="323">
        <f t="shared" si="4"/>
        <v>0</v>
      </c>
      <c r="Q19" s="197">
        <v>0</v>
      </c>
      <c r="R19" s="211">
        <f t="shared" si="19"/>
        <v>0</v>
      </c>
      <c r="S19" s="197">
        <v>0</v>
      </c>
      <c r="T19" s="159">
        <f t="shared" si="13"/>
        <v>0</v>
      </c>
      <c r="U19" s="159">
        <f t="shared" si="14"/>
        <v>0</v>
      </c>
      <c r="V19" s="159">
        <f t="shared" si="15"/>
        <v>0</v>
      </c>
      <c r="W19" s="294">
        <f t="shared" si="16"/>
        <v>0</v>
      </c>
      <c r="X19" s="162">
        <f t="shared" si="17"/>
        <v>0</v>
      </c>
      <c r="AA19" s="164">
        <f t="shared" si="5"/>
        <v>0</v>
      </c>
      <c r="AB19" s="165">
        <f t="shared" si="6"/>
        <v>0</v>
      </c>
      <c r="AC19" s="165">
        <f t="shared" si="7"/>
        <v>0</v>
      </c>
      <c r="AD19" s="165">
        <f t="shared" si="18"/>
        <v>0</v>
      </c>
      <c r="AE19" s="165">
        <f t="shared" si="8"/>
        <v>0</v>
      </c>
      <c r="AF19" s="165">
        <f t="shared" si="9"/>
        <v>0</v>
      </c>
      <c r="AG19" s="165"/>
      <c r="AH19" s="230">
        <f t="shared" si="10"/>
        <v>0</v>
      </c>
    </row>
    <row r="20" spans="2:34" ht="26.25" customHeight="1">
      <c r="B20" s="166">
        <f t="shared" si="11"/>
        <v>44609</v>
      </c>
      <c r="C20" s="291">
        <v>0</v>
      </c>
      <c r="D20" s="291">
        <v>0</v>
      </c>
      <c r="E20" s="291">
        <v>0</v>
      </c>
      <c r="F20" s="221">
        <v>0</v>
      </c>
      <c r="G20" s="221">
        <v>0</v>
      </c>
      <c r="H20" s="292">
        <f t="shared" si="20"/>
        <v>0</v>
      </c>
      <c r="I20" s="137">
        <v>0</v>
      </c>
      <c r="J20" s="137">
        <f t="shared" si="21"/>
        <v>0</v>
      </c>
      <c r="K20" s="137">
        <v>0</v>
      </c>
      <c r="L20" s="256">
        <f t="shared" si="22"/>
        <v>0</v>
      </c>
      <c r="M20" s="275">
        <v>0</v>
      </c>
      <c r="N20" s="256">
        <f t="shared" si="12"/>
        <v>0</v>
      </c>
      <c r="O20" s="323">
        <f t="shared" si="3"/>
        <v>0</v>
      </c>
      <c r="P20" s="323">
        <f t="shared" si="4"/>
        <v>0</v>
      </c>
      <c r="Q20" s="197">
        <v>0</v>
      </c>
      <c r="R20" s="211">
        <f t="shared" si="19"/>
        <v>0</v>
      </c>
      <c r="S20" s="135">
        <v>0</v>
      </c>
      <c r="T20" s="159">
        <f t="shared" si="13"/>
        <v>0</v>
      </c>
      <c r="U20" s="159">
        <f t="shared" si="14"/>
        <v>0</v>
      </c>
      <c r="V20" s="159">
        <f t="shared" si="15"/>
        <v>0</v>
      </c>
      <c r="W20" s="294">
        <f t="shared" si="16"/>
        <v>0</v>
      </c>
      <c r="X20" s="162">
        <f t="shared" si="17"/>
        <v>0</v>
      </c>
      <c r="AA20" s="164">
        <f t="shared" si="5"/>
        <v>0</v>
      </c>
      <c r="AB20" s="165">
        <f t="shared" si="6"/>
        <v>0</v>
      </c>
      <c r="AC20" s="165">
        <f t="shared" si="7"/>
        <v>0</v>
      </c>
      <c r="AD20" s="165">
        <f t="shared" si="18"/>
        <v>0</v>
      </c>
      <c r="AE20" s="165">
        <f t="shared" si="8"/>
        <v>0</v>
      </c>
      <c r="AF20" s="165">
        <f t="shared" si="9"/>
        <v>0</v>
      </c>
      <c r="AG20" s="165"/>
      <c r="AH20" s="230">
        <f t="shared" si="10"/>
        <v>0</v>
      </c>
    </row>
    <row r="21" spans="2:34" ht="26.25" customHeight="1">
      <c r="B21" s="166">
        <f t="shared" si="11"/>
        <v>44610</v>
      </c>
      <c r="C21" s="291">
        <v>0</v>
      </c>
      <c r="D21" s="291">
        <v>0</v>
      </c>
      <c r="E21" s="291">
        <v>0</v>
      </c>
      <c r="F21" s="221">
        <v>0</v>
      </c>
      <c r="G21" s="221">
        <v>0</v>
      </c>
      <c r="H21" s="292">
        <f t="shared" si="20"/>
        <v>0</v>
      </c>
      <c r="I21" s="137">
        <v>0</v>
      </c>
      <c r="J21" s="137">
        <f t="shared" si="21"/>
        <v>0</v>
      </c>
      <c r="K21" s="137">
        <v>0</v>
      </c>
      <c r="L21" s="256">
        <f t="shared" si="22"/>
        <v>0</v>
      </c>
      <c r="M21" s="275">
        <v>0</v>
      </c>
      <c r="N21" s="256">
        <f t="shared" si="12"/>
        <v>0</v>
      </c>
      <c r="O21" s="323">
        <f t="shared" si="3"/>
        <v>0</v>
      </c>
      <c r="P21" s="323">
        <f t="shared" si="4"/>
        <v>0</v>
      </c>
      <c r="Q21" s="197">
        <v>0</v>
      </c>
      <c r="R21" s="211">
        <f t="shared" si="19"/>
        <v>0</v>
      </c>
      <c r="S21" s="135">
        <v>0</v>
      </c>
      <c r="T21" s="159">
        <f t="shared" si="13"/>
        <v>0</v>
      </c>
      <c r="U21" s="159">
        <f t="shared" si="14"/>
        <v>0</v>
      </c>
      <c r="V21" s="159">
        <f t="shared" si="15"/>
        <v>0</v>
      </c>
      <c r="W21" s="294">
        <f t="shared" si="16"/>
        <v>0</v>
      </c>
      <c r="X21" s="162">
        <f t="shared" si="17"/>
        <v>0</v>
      </c>
      <c r="AA21" s="164">
        <f t="shared" si="5"/>
        <v>0</v>
      </c>
      <c r="AB21" s="165">
        <f t="shared" si="6"/>
        <v>0</v>
      </c>
      <c r="AC21" s="165">
        <f t="shared" si="7"/>
        <v>0</v>
      </c>
      <c r="AD21" s="165">
        <f t="shared" si="18"/>
        <v>0</v>
      </c>
      <c r="AE21" s="165">
        <f t="shared" si="8"/>
        <v>0</v>
      </c>
      <c r="AF21" s="165">
        <f t="shared" si="9"/>
        <v>0</v>
      </c>
      <c r="AG21" s="165"/>
      <c r="AH21" s="230">
        <f t="shared" si="10"/>
        <v>0</v>
      </c>
    </row>
    <row r="22" spans="2:34" ht="26.25" customHeight="1">
      <c r="B22" s="166">
        <f t="shared" si="11"/>
        <v>44611</v>
      </c>
      <c r="C22" s="291">
        <v>0</v>
      </c>
      <c r="D22" s="291">
        <v>0</v>
      </c>
      <c r="E22" s="291">
        <v>0</v>
      </c>
      <c r="F22" s="221">
        <v>0</v>
      </c>
      <c r="G22" s="221">
        <v>0</v>
      </c>
      <c r="H22" s="292">
        <f t="shared" si="20"/>
        <v>0</v>
      </c>
      <c r="I22" s="137">
        <v>0</v>
      </c>
      <c r="J22" s="137">
        <f t="shared" si="21"/>
        <v>0</v>
      </c>
      <c r="K22" s="137">
        <v>0</v>
      </c>
      <c r="L22" s="256">
        <f t="shared" si="22"/>
        <v>0</v>
      </c>
      <c r="M22" s="275">
        <v>0</v>
      </c>
      <c r="N22" s="256">
        <f t="shared" si="12"/>
        <v>0</v>
      </c>
      <c r="O22" s="323">
        <f t="shared" si="3"/>
        <v>0</v>
      </c>
      <c r="P22" s="323">
        <f t="shared" si="4"/>
        <v>0</v>
      </c>
      <c r="Q22" s="135">
        <v>0</v>
      </c>
      <c r="R22" s="211">
        <f t="shared" si="19"/>
        <v>0</v>
      </c>
      <c r="S22" s="135">
        <v>0</v>
      </c>
      <c r="T22" s="159">
        <f t="shared" si="13"/>
        <v>0</v>
      </c>
      <c r="U22" s="159">
        <f t="shared" si="14"/>
        <v>0</v>
      </c>
      <c r="V22" s="159">
        <f t="shared" si="15"/>
        <v>0</v>
      </c>
      <c r="W22" s="294">
        <f t="shared" si="16"/>
        <v>0</v>
      </c>
      <c r="X22" s="162">
        <f t="shared" si="17"/>
        <v>0</v>
      </c>
      <c r="AA22" s="164">
        <f t="shared" si="5"/>
        <v>0</v>
      </c>
      <c r="AB22" s="165">
        <f t="shared" si="6"/>
        <v>0</v>
      </c>
      <c r="AC22" s="165">
        <f t="shared" si="7"/>
        <v>0</v>
      </c>
      <c r="AD22" s="165">
        <f t="shared" si="18"/>
        <v>0</v>
      </c>
      <c r="AE22" s="165">
        <f t="shared" si="8"/>
        <v>0</v>
      </c>
      <c r="AF22" s="165">
        <f t="shared" si="9"/>
        <v>0</v>
      </c>
      <c r="AG22" s="165"/>
      <c r="AH22" s="230">
        <f t="shared" si="10"/>
        <v>0</v>
      </c>
    </row>
    <row r="23" spans="2:34" ht="26.25" customHeight="1">
      <c r="B23" s="166">
        <f t="shared" si="11"/>
        <v>44612</v>
      </c>
      <c r="C23" s="221">
        <v>0</v>
      </c>
      <c r="D23" s="221">
        <v>0</v>
      </c>
      <c r="E23" s="221">
        <v>0</v>
      </c>
      <c r="F23" s="221">
        <v>0</v>
      </c>
      <c r="G23" s="221">
        <v>0</v>
      </c>
      <c r="H23" s="292">
        <f t="shared" si="20"/>
        <v>0</v>
      </c>
      <c r="I23" s="137">
        <v>0</v>
      </c>
      <c r="J23" s="137">
        <f t="shared" si="21"/>
        <v>0</v>
      </c>
      <c r="K23" s="137">
        <v>0</v>
      </c>
      <c r="L23" s="256">
        <f t="shared" si="22"/>
        <v>0</v>
      </c>
      <c r="M23" s="275">
        <v>0</v>
      </c>
      <c r="N23" s="256">
        <f t="shared" si="12"/>
        <v>0</v>
      </c>
      <c r="O23" s="323">
        <f t="shared" si="3"/>
        <v>0</v>
      </c>
      <c r="P23" s="323">
        <f t="shared" si="4"/>
        <v>0</v>
      </c>
      <c r="Q23" s="135">
        <v>0</v>
      </c>
      <c r="R23" s="211">
        <f t="shared" si="19"/>
        <v>0</v>
      </c>
      <c r="S23" s="135">
        <v>0</v>
      </c>
      <c r="T23" s="159">
        <f t="shared" si="13"/>
        <v>0</v>
      </c>
      <c r="U23" s="159">
        <f t="shared" si="14"/>
        <v>0</v>
      </c>
      <c r="V23" s="159">
        <f t="shared" si="15"/>
        <v>0</v>
      </c>
      <c r="W23" s="294">
        <f t="shared" si="16"/>
        <v>0</v>
      </c>
      <c r="X23" s="162">
        <f t="shared" si="17"/>
        <v>0</v>
      </c>
      <c r="AA23" s="164">
        <f t="shared" si="5"/>
        <v>0</v>
      </c>
      <c r="AB23" s="165">
        <f t="shared" si="6"/>
        <v>0</v>
      </c>
      <c r="AC23" s="165">
        <f t="shared" si="7"/>
        <v>0</v>
      </c>
      <c r="AD23" s="165">
        <f t="shared" si="18"/>
        <v>0</v>
      </c>
      <c r="AE23" s="165">
        <f t="shared" si="8"/>
        <v>0</v>
      </c>
      <c r="AF23" s="165">
        <f t="shared" si="9"/>
        <v>0</v>
      </c>
      <c r="AG23" s="165"/>
      <c r="AH23" s="230">
        <f t="shared" si="10"/>
        <v>0</v>
      </c>
    </row>
    <row r="24" spans="2:34" ht="26.25" customHeight="1">
      <c r="B24" s="198">
        <f t="shared" si="11"/>
        <v>44613</v>
      </c>
      <c r="C24" s="221">
        <v>0</v>
      </c>
      <c r="D24" s="221">
        <v>0</v>
      </c>
      <c r="E24" s="221">
        <v>0</v>
      </c>
      <c r="F24" s="221">
        <v>0</v>
      </c>
      <c r="G24" s="221">
        <v>0</v>
      </c>
      <c r="H24" s="292">
        <f t="shared" si="20"/>
        <v>0</v>
      </c>
      <c r="I24" s="137">
        <v>0</v>
      </c>
      <c r="J24" s="137">
        <f t="shared" si="21"/>
        <v>0</v>
      </c>
      <c r="K24" s="137">
        <v>0</v>
      </c>
      <c r="L24" s="256">
        <f t="shared" si="22"/>
        <v>0</v>
      </c>
      <c r="M24" s="275">
        <v>0</v>
      </c>
      <c r="N24" s="256">
        <f t="shared" si="12"/>
        <v>0</v>
      </c>
      <c r="O24" s="323">
        <f t="shared" si="3"/>
        <v>0</v>
      </c>
      <c r="P24" s="323">
        <f t="shared" si="4"/>
        <v>0</v>
      </c>
      <c r="Q24" s="135">
        <v>0</v>
      </c>
      <c r="R24" s="211">
        <f t="shared" si="19"/>
        <v>0</v>
      </c>
      <c r="S24" s="135">
        <v>0</v>
      </c>
      <c r="T24" s="159">
        <f t="shared" si="13"/>
        <v>0</v>
      </c>
      <c r="U24" s="159">
        <f t="shared" si="14"/>
        <v>0</v>
      </c>
      <c r="V24" s="159">
        <f t="shared" si="15"/>
        <v>0</v>
      </c>
      <c r="W24" s="294">
        <f t="shared" si="16"/>
        <v>0</v>
      </c>
      <c r="X24" s="162">
        <f t="shared" si="17"/>
        <v>0</v>
      </c>
      <c r="AA24" s="164">
        <f t="shared" si="5"/>
        <v>0</v>
      </c>
      <c r="AB24" s="165">
        <f t="shared" si="6"/>
        <v>0</v>
      </c>
      <c r="AC24" s="165">
        <f t="shared" si="7"/>
        <v>0</v>
      </c>
      <c r="AD24" s="165">
        <f t="shared" si="18"/>
        <v>0</v>
      </c>
      <c r="AE24" s="165">
        <f t="shared" si="8"/>
        <v>0</v>
      </c>
      <c r="AF24" s="165">
        <f t="shared" si="9"/>
        <v>0</v>
      </c>
      <c r="AG24" s="165"/>
      <c r="AH24" s="230">
        <f t="shared" si="10"/>
        <v>0</v>
      </c>
    </row>
    <row r="25" spans="2:34" ht="26.25" customHeight="1">
      <c r="B25" s="198">
        <f t="shared" si="11"/>
        <v>44614</v>
      </c>
      <c r="C25" s="221">
        <v>0</v>
      </c>
      <c r="D25" s="221">
        <v>0</v>
      </c>
      <c r="E25" s="221">
        <v>0</v>
      </c>
      <c r="F25" s="221">
        <v>0</v>
      </c>
      <c r="G25" s="221">
        <v>0</v>
      </c>
      <c r="H25" s="292">
        <f t="shared" si="20"/>
        <v>0</v>
      </c>
      <c r="I25" s="137">
        <v>0</v>
      </c>
      <c r="J25" s="137">
        <f t="shared" si="21"/>
        <v>0</v>
      </c>
      <c r="K25" s="137">
        <v>0</v>
      </c>
      <c r="L25" s="256">
        <f t="shared" si="22"/>
        <v>0</v>
      </c>
      <c r="M25" s="275">
        <v>0</v>
      </c>
      <c r="N25" s="256">
        <f t="shared" si="12"/>
        <v>0</v>
      </c>
      <c r="O25" s="323">
        <f t="shared" si="3"/>
        <v>0</v>
      </c>
      <c r="P25" s="323">
        <f t="shared" si="4"/>
        <v>0</v>
      </c>
      <c r="Q25" s="135">
        <v>0</v>
      </c>
      <c r="R25" s="211">
        <f t="shared" si="19"/>
        <v>0</v>
      </c>
      <c r="S25" s="135">
        <v>0</v>
      </c>
      <c r="T25" s="159">
        <f t="shared" si="13"/>
        <v>0</v>
      </c>
      <c r="U25" s="159">
        <f t="shared" si="14"/>
        <v>0</v>
      </c>
      <c r="V25" s="159">
        <f t="shared" si="15"/>
        <v>0</v>
      </c>
      <c r="W25" s="294">
        <f t="shared" si="16"/>
        <v>0</v>
      </c>
      <c r="X25" s="162">
        <f t="shared" si="17"/>
        <v>0</v>
      </c>
      <c r="AA25" s="164">
        <f t="shared" si="5"/>
        <v>0</v>
      </c>
      <c r="AB25" s="165">
        <f t="shared" si="6"/>
        <v>0</v>
      </c>
      <c r="AC25" s="165">
        <f t="shared" si="7"/>
        <v>0</v>
      </c>
      <c r="AD25" s="165">
        <f t="shared" si="18"/>
        <v>0</v>
      </c>
      <c r="AE25" s="165">
        <f t="shared" si="8"/>
        <v>0</v>
      </c>
      <c r="AF25" s="165">
        <f t="shared" si="9"/>
        <v>0</v>
      </c>
      <c r="AG25" s="165"/>
      <c r="AH25" s="230">
        <f t="shared" si="10"/>
        <v>0</v>
      </c>
    </row>
    <row r="26" spans="2:34" ht="26.25" customHeight="1">
      <c r="B26" s="166">
        <f t="shared" si="11"/>
        <v>44615</v>
      </c>
      <c r="C26" s="221">
        <v>0</v>
      </c>
      <c r="D26" s="221">
        <v>0</v>
      </c>
      <c r="E26" s="221">
        <v>0</v>
      </c>
      <c r="F26" s="221">
        <v>0</v>
      </c>
      <c r="G26" s="221">
        <v>0</v>
      </c>
      <c r="H26" s="292">
        <f t="shared" si="20"/>
        <v>0</v>
      </c>
      <c r="I26" s="137">
        <v>0</v>
      </c>
      <c r="J26" s="137">
        <f t="shared" si="21"/>
        <v>0</v>
      </c>
      <c r="K26" s="137">
        <v>0</v>
      </c>
      <c r="L26" s="256">
        <f t="shared" si="22"/>
        <v>0</v>
      </c>
      <c r="M26" s="275">
        <v>0</v>
      </c>
      <c r="N26" s="256">
        <f t="shared" si="12"/>
        <v>0</v>
      </c>
      <c r="O26" s="323">
        <f t="shared" si="3"/>
        <v>0</v>
      </c>
      <c r="P26" s="323">
        <f t="shared" si="4"/>
        <v>0</v>
      </c>
      <c r="Q26" s="135">
        <v>0</v>
      </c>
      <c r="R26" s="211">
        <f t="shared" si="19"/>
        <v>0</v>
      </c>
      <c r="S26" s="135">
        <v>0</v>
      </c>
      <c r="T26" s="159">
        <f t="shared" si="13"/>
        <v>0</v>
      </c>
      <c r="U26" s="159">
        <f t="shared" si="14"/>
        <v>0</v>
      </c>
      <c r="V26" s="159">
        <f t="shared" si="15"/>
        <v>0</v>
      </c>
      <c r="W26" s="294">
        <f t="shared" si="16"/>
        <v>0</v>
      </c>
      <c r="X26" s="162">
        <f t="shared" si="17"/>
        <v>0</v>
      </c>
      <c r="AA26" s="164">
        <f t="shared" si="5"/>
        <v>0</v>
      </c>
      <c r="AB26" s="165">
        <f t="shared" si="6"/>
        <v>0</v>
      </c>
      <c r="AC26" s="165">
        <f t="shared" si="7"/>
        <v>0</v>
      </c>
      <c r="AD26" s="165">
        <f t="shared" si="18"/>
        <v>0</v>
      </c>
      <c r="AE26" s="165">
        <f t="shared" si="8"/>
        <v>0</v>
      </c>
      <c r="AF26" s="165">
        <f t="shared" si="9"/>
        <v>0</v>
      </c>
      <c r="AG26" s="165"/>
      <c r="AH26" s="230">
        <f t="shared" si="10"/>
        <v>0</v>
      </c>
    </row>
    <row r="27" spans="2:34" ht="26.25" customHeight="1">
      <c r="B27" s="166">
        <f t="shared" si="11"/>
        <v>44616</v>
      </c>
      <c r="C27" s="221">
        <v>0</v>
      </c>
      <c r="D27" s="221">
        <v>0</v>
      </c>
      <c r="E27" s="221">
        <v>0</v>
      </c>
      <c r="F27" s="221">
        <v>0</v>
      </c>
      <c r="G27" s="221">
        <v>0</v>
      </c>
      <c r="H27" s="292">
        <f t="shared" si="20"/>
        <v>0</v>
      </c>
      <c r="I27" s="137">
        <v>0</v>
      </c>
      <c r="J27" s="137">
        <f t="shared" si="21"/>
        <v>0</v>
      </c>
      <c r="K27" s="137">
        <v>0</v>
      </c>
      <c r="L27" s="256">
        <f t="shared" si="22"/>
        <v>0</v>
      </c>
      <c r="M27" s="275">
        <v>0</v>
      </c>
      <c r="N27" s="256">
        <f t="shared" si="12"/>
        <v>0</v>
      </c>
      <c r="O27" s="323">
        <f t="shared" si="3"/>
        <v>0</v>
      </c>
      <c r="P27" s="323">
        <f t="shared" si="4"/>
        <v>0</v>
      </c>
      <c r="Q27" s="135">
        <v>0</v>
      </c>
      <c r="R27" s="211">
        <f t="shared" si="19"/>
        <v>0</v>
      </c>
      <c r="S27" s="135">
        <v>0</v>
      </c>
      <c r="T27" s="159">
        <f t="shared" si="13"/>
        <v>0</v>
      </c>
      <c r="U27" s="159">
        <f t="shared" si="14"/>
        <v>0</v>
      </c>
      <c r="V27" s="159">
        <f t="shared" si="15"/>
        <v>0</v>
      </c>
      <c r="W27" s="294">
        <f t="shared" si="16"/>
        <v>0</v>
      </c>
      <c r="X27" s="162">
        <f t="shared" si="17"/>
        <v>0</v>
      </c>
      <c r="AA27" s="164">
        <f t="shared" si="5"/>
        <v>0</v>
      </c>
      <c r="AB27" s="165">
        <f t="shared" si="6"/>
        <v>0</v>
      </c>
      <c r="AC27" s="165">
        <f t="shared" si="7"/>
        <v>0</v>
      </c>
      <c r="AD27" s="165">
        <f t="shared" si="18"/>
        <v>0</v>
      </c>
      <c r="AE27" s="165">
        <f t="shared" si="8"/>
        <v>0</v>
      </c>
      <c r="AF27" s="165">
        <f t="shared" si="9"/>
        <v>0</v>
      </c>
      <c r="AG27" s="165"/>
      <c r="AH27" s="230">
        <f t="shared" si="10"/>
        <v>0</v>
      </c>
    </row>
    <row r="28" spans="2:34" ht="26.25" customHeight="1">
      <c r="B28" s="166">
        <f t="shared" si="11"/>
        <v>44617</v>
      </c>
      <c r="C28" s="221">
        <v>0</v>
      </c>
      <c r="D28" s="221">
        <v>0</v>
      </c>
      <c r="E28" s="221">
        <v>0</v>
      </c>
      <c r="F28" s="221">
        <v>0</v>
      </c>
      <c r="G28" s="221">
        <v>0</v>
      </c>
      <c r="H28" s="292">
        <f t="shared" si="20"/>
        <v>0</v>
      </c>
      <c r="I28" s="137">
        <v>0</v>
      </c>
      <c r="J28" s="137">
        <f t="shared" si="21"/>
        <v>0</v>
      </c>
      <c r="K28" s="137">
        <v>0</v>
      </c>
      <c r="L28" s="256">
        <f t="shared" si="22"/>
        <v>0</v>
      </c>
      <c r="M28" s="275">
        <v>0</v>
      </c>
      <c r="N28" s="278">
        <f t="shared" si="12"/>
        <v>0</v>
      </c>
      <c r="O28" s="323">
        <f t="shared" si="3"/>
        <v>0</v>
      </c>
      <c r="P28" s="323">
        <f t="shared" si="4"/>
        <v>0</v>
      </c>
      <c r="Q28" s="135">
        <v>0</v>
      </c>
      <c r="R28" s="211">
        <f t="shared" si="19"/>
        <v>0</v>
      </c>
      <c r="S28" s="135">
        <v>0</v>
      </c>
      <c r="T28" s="159">
        <f t="shared" si="13"/>
        <v>0</v>
      </c>
      <c r="U28" s="159">
        <f t="shared" si="14"/>
        <v>0</v>
      </c>
      <c r="V28" s="159">
        <f t="shared" si="15"/>
        <v>0</v>
      </c>
      <c r="W28" s="294">
        <f t="shared" si="16"/>
        <v>0</v>
      </c>
      <c r="X28" s="162">
        <f t="shared" si="17"/>
        <v>0</v>
      </c>
      <c r="AA28" s="164">
        <f t="shared" si="5"/>
        <v>0</v>
      </c>
      <c r="AB28" s="165">
        <f t="shared" si="6"/>
        <v>0</v>
      </c>
      <c r="AC28" s="165">
        <f t="shared" si="7"/>
        <v>0</v>
      </c>
      <c r="AD28" s="165">
        <f t="shared" si="18"/>
        <v>0</v>
      </c>
      <c r="AE28" s="165">
        <f t="shared" si="8"/>
        <v>0</v>
      </c>
      <c r="AF28" s="165">
        <f t="shared" si="9"/>
        <v>0</v>
      </c>
      <c r="AG28" s="165"/>
      <c r="AH28" s="230">
        <f t="shared" si="10"/>
        <v>0</v>
      </c>
    </row>
    <row r="29" spans="2:34" ht="26.25" customHeight="1">
      <c r="B29" s="166">
        <f t="shared" si="11"/>
        <v>44618</v>
      </c>
      <c r="C29" s="221">
        <v>0</v>
      </c>
      <c r="D29" s="221">
        <v>0</v>
      </c>
      <c r="E29" s="221">
        <v>0</v>
      </c>
      <c r="F29" s="221">
        <v>0</v>
      </c>
      <c r="G29" s="221">
        <v>0</v>
      </c>
      <c r="H29" s="292">
        <f t="shared" si="20"/>
        <v>0</v>
      </c>
      <c r="I29" s="137">
        <v>0</v>
      </c>
      <c r="J29" s="137">
        <f t="shared" si="21"/>
        <v>0</v>
      </c>
      <c r="K29" s="137">
        <v>0</v>
      </c>
      <c r="L29" s="256">
        <f t="shared" si="22"/>
        <v>0</v>
      </c>
      <c r="M29" s="275">
        <v>0</v>
      </c>
      <c r="N29" s="256">
        <f t="shared" si="12"/>
        <v>0</v>
      </c>
      <c r="O29" s="323">
        <f t="shared" si="3"/>
        <v>0</v>
      </c>
      <c r="P29" s="323">
        <f t="shared" si="4"/>
        <v>0</v>
      </c>
      <c r="Q29" s="309"/>
      <c r="R29" s="211">
        <f t="shared" si="19"/>
        <v>0</v>
      </c>
      <c r="S29" s="135">
        <v>0</v>
      </c>
      <c r="T29" s="159">
        <f t="shared" si="13"/>
        <v>0</v>
      </c>
      <c r="U29" s="159">
        <f t="shared" si="14"/>
        <v>0</v>
      </c>
      <c r="V29" s="159">
        <f t="shared" si="15"/>
        <v>0</v>
      </c>
      <c r="W29" s="294">
        <f t="shared" si="16"/>
        <v>0</v>
      </c>
      <c r="X29" s="162">
        <f t="shared" si="17"/>
        <v>0</v>
      </c>
      <c r="AA29" s="164">
        <f t="shared" si="5"/>
        <v>0</v>
      </c>
      <c r="AB29" s="165">
        <f t="shared" si="6"/>
        <v>0</v>
      </c>
      <c r="AC29" s="165">
        <f t="shared" si="7"/>
        <v>0</v>
      </c>
      <c r="AD29" s="165">
        <f t="shared" si="18"/>
        <v>0</v>
      </c>
      <c r="AE29" s="165">
        <f t="shared" si="8"/>
        <v>0</v>
      </c>
      <c r="AF29" s="165">
        <f t="shared" si="9"/>
        <v>0</v>
      </c>
      <c r="AG29" s="165"/>
      <c r="AH29" s="230">
        <f t="shared" si="10"/>
        <v>0</v>
      </c>
    </row>
    <row r="30" spans="2:34" ht="26.25" customHeight="1">
      <c r="B30" s="166">
        <f t="shared" si="11"/>
        <v>44619</v>
      </c>
      <c r="C30" s="221">
        <v>0</v>
      </c>
      <c r="D30" s="221">
        <v>0</v>
      </c>
      <c r="E30" s="221">
        <v>0</v>
      </c>
      <c r="F30" s="221">
        <v>0</v>
      </c>
      <c r="G30" s="221">
        <v>0</v>
      </c>
      <c r="H30" s="292">
        <f t="shared" si="20"/>
        <v>0</v>
      </c>
      <c r="I30" s="137">
        <v>0</v>
      </c>
      <c r="J30" s="137">
        <f t="shared" si="21"/>
        <v>0</v>
      </c>
      <c r="K30" s="137">
        <v>0</v>
      </c>
      <c r="L30" s="256">
        <f t="shared" si="22"/>
        <v>0</v>
      </c>
      <c r="M30" s="275">
        <v>0</v>
      </c>
      <c r="N30" s="256">
        <f>L30+M30</f>
        <v>0</v>
      </c>
      <c r="O30" s="323">
        <f t="shared" si="3"/>
        <v>0</v>
      </c>
      <c r="P30" s="323">
        <f t="shared" si="4"/>
        <v>0</v>
      </c>
      <c r="Q30" s="370"/>
      <c r="R30" s="211">
        <f t="shared" si="19"/>
        <v>0</v>
      </c>
      <c r="S30" s="135">
        <v>0</v>
      </c>
      <c r="T30" s="159">
        <f t="shared" si="13"/>
        <v>0</v>
      </c>
      <c r="U30" s="159">
        <f t="shared" si="14"/>
        <v>0</v>
      </c>
      <c r="V30" s="159">
        <f t="shared" si="15"/>
        <v>0</v>
      </c>
      <c r="W30" s="294">
        <f t="shared" si="16"/>
        <v>0</v>
      </c>
      <c r="X30" s="162">
        <f t="shared" si="17"/>
        <v>0</v>
      </c>
      <c r="AA30" s="164">
        <f t="shared" si="5"/>
        <v>0</v>
      </c>
      <c r="AB30" s="165">
        <f t="shared" si="6"/>
        <v>0</v>
      </c>
      <c r="AC30" s="165">
        <f t="shared" si="7"/>
        <v>0</v>
      </c>
      <c r="AD30" s="165">
        <f t="shared" si="18"/>
        <v>0</v>
      </c>
      <c r="AE30" s="165">
        <f t="shared" si="8"/>
        <v>0</v>
      </c>
      <c r="AF30" s="165">
        <f t="shared" si="9"/>
        <v>0</v>
      </c>
      <c r="AG30" s="165"/>
      <c r="AH30" s="230">
        <f t="shared" si="10"/>
        <v>0</v>
      </c>
    </row>
    <row r="31" spans="2:34" ht="26.25" customHeight="1">
      <c r="B31" s="166">
        <f t="shared" si="11"/>
        <v>44620</v>
      </c>
      <c r="C31" s="221">
        <v>0</v>
      </c>
      <c r="D31" s="221">
        <v>0</v>
      </c>
      <c r="E31" s="221">
        <v>0</v>
      </c>
      <c r="F31" s="221">
        <v>0</v>
      </c>
      <c r="G31" s="221">
        <v>0</v>
      </c>
      <c r="H31" s="292">
        <f t="shared" si="20"/>
        <v>0</v>
      </c>
      <c r="I31" s="137">
        <v>0</v>
      </c>
      <c r="J31" s="137">
        <f t="shared" si="21"/>
        <v>0</v>
      </c>
      <c r="K31" s="137">
        <v>0</v>
      </c>
      <c r="L31" s="256">
        <f t="shared" si="22"/>
        <v>0</v>
      </c>
      <c r="M31" s="136">
        <v>0</v>
      </c>
      <c r="N31" s="256">
        <f>L31+M31</f>
        <v>0</v>
      </c>
      <c r="O31" s="323">
        <f t="shared" si="3"/>
        <v>0</v>
      </c>
      <c r="P31" s="323">
        <f t="shared" si="4"/>
        <v>0</v>
      </c>
      <c r="Q31" s="135">
        <v>0</v>
      </c>
      <c r="R31" s="211">
        <f t="shared" si="19"/>
        <v>0</v>
      </c>
      <c r="S31" s="135">
        <v>0</v>
      </c>
      <c r="T31" s="159">
        <f t="shared" si="13"/>
        <v>0</v>
      </c>
      <c r="U31" s="159">
        <f t="shared" si="14"/>
        <v>0</v>
      </c>
      <c r="V31" s="159">
        <f t="shared" si="15"/>
        <v>0</v>
      </c>
      <c r="W31" s="294">
        <f t="shared" si="16"/>
        <v>0</v>
      </c>
      <c r="X31" s="162">
        <f t="shared" si="17"/>
        <v>0</v>
      </c>
      <c r="AA31" s="164">
        <f t="shared" si="5"/>
        <v>0</v>
      </c>
      <c r="AB31" s="165">
        <f t="shared" si="6"/>
        <v>0</v>
      </c>
      <c r="AC31" s="165">
        <f t="shared" si="7"/>
        <v>0</v>
      </c>
      <c r="AD31" s="165">
        <f t="shared" si="18"/>
        <v>0</v>
      </c>
      <c r="AE31" s="165">
        <f t="shared" si="8"/>
        <v>0</v>
      </c>
      <c r="AF31" s="165">
        <f t="shared" si="9"/>
        <v>0</v>
      </c>
      <c r="AG31" s="165"/>
      <c r="AH31" s="230">
        <f t="shared" si="10"/>
        <v>0</v>
      </c>
    </row>
    <row r="32" spans="2:34" ht="26.25" customHeight="1">
      <c r="B32" s="166">
        <f t="shared" si="11"/>
        <v>44621</v>
      </c>
      <c r="C32" s="221"/>
      <c r="D32" s="221"/>
      <c r="E32" s="221"/>
      <c r="F32" s="221"/>
      <c r="G32" s="221"/>
      <c r="H32" s="292">
        <f t="shared" si="20"/>
        <v>0</v>
      </c>
      <c r="I32" s="137"/>
      <c r="J32" s="137">
        <f t="shared" si="21"/>
        <v>0</v>
      </c>
      <c r="K32" s="137"/>
      <c r="L32" s="256">
        <f t="shared" si="22"/>
        <v>0</v>
      </c>
      <c r="M32" s="136"/>
      <c r="N32" s="256">
        <f t="shared" si="12"/>
        <v>0</v>
      </c>
      <c r="O32" s="323">
        <f t="shared" si="3"/>
        <v>0</v>
      </c>
      <c r="P32" s="323">
        <f t="shared" si="4"/>
        <v>0</v>
      </c>
      <c r="Q32" s="135"/>
      <c r="R32" s="211">
        <f t="shared" si="19"/>
        <v>0</v>
      </c>
      <c r="S32" s="135">
        <v>0</v>
      </c>
      <c r="T32" s="159">
        <f t="shared" si="13"/>
        <v>0</v>
      </c>
      <c r="U32" s="159">
        <f t="shared" si="14"/>
        <v>0</v>
      </c>
      <c r="V32" s="159">
        <f t="shared" si="15"/>
        <v>0</v>
      </c>
      <c r="W32" s="294">
        <f t="shared" si="16"/>
        <v>0</v>
      </c>
      <c r="X32" s="162">
        <f t="shared" si="17"/>
        <v>0</v>
      </c>
      <c r="AA32" s="164">
        <f t="shared" si="5"/>
        <v>0</v>
      </c>
      <c r="AB32" s="165">
        <f t="shared" si="6"/>
        <v>0</v>
      </c>
      <c r="AC32" s="165">
        <f t="shared" si="7"/>
        <v>0</v>
      </c>
      <c r="AD32" s="165">
        <f t="shared" si="18"/>
        <v>0</v>
      </c>
      <c r="AE32" s="165">
        <f t="shared" si="8"/>
        <v>0</v>
      </c>
      <c r="AF32" s="165">
        <f t="shared" si="9"/>
        <v>0</v>
      </c>
      <c r="AG32" s="165"/>
      <c r="AH32" s="230">
        <f t="shared" si="10"/>
        <v>0</v>
      </c>
    </row>
    <row r="33" spans="2:34" ht="26.25" customHeight="1">
      <c r="B33" s="166">
        <f t="shared" si="11"/>
        <v>44622</v>
      </c>
      <c r="C33" s="221"/>
      <c r="D33" s="221"/>
      <c r="E33" s="221"/>
      <c r="F33" s="221"/>
      <c r="G33" s="221"/>
      <c r="H33" s="292">
        <f t="shared" si="20"/>
        <v>0</v>
      </c>
      <c r="I33" s="137"/>
      <c r="J33" s="137">
        <f t="shared" si="21"/>
        <v>0</v>
      </c>
      <c r="K33" s="137"/>
      <c r="L33" s="256">
        <f t="shared" si="22"/>
        <v>0</v>
      </c>
      <c r="M33" s="136"/>
      <c r="N33" s="256">
        <f>L33+M33</f>
        <v>0</v>
      </c>
      <c r="O33" s="323">
        <f t="shared" si="3"/>
        <v>0</v>
      </c>
      <c r="P33" s="323">
        <f t="shared" si="4"/>
        <v>0</v>
      </c>
      <c r="Q33" s="135"/>
      <c r="R33" s="211">
        <f t="shared" si="19"/>
        <v>0</v>
      </c>
      <c r="S33" s="135">
        <v>0</v>
      </c>
      <c r="T33" s="159">
        <f t="shared" si="13"/>
        <v>0</v>
      </c>
      <c r="U33" s="159">
        <f t="shared" si="14"/>
        <v>0</v>
      </c>
      <c r="V33" s="159">
        <f t="shared" si="15"/>
        <v>0</v>
      </c>
      <c r="W33" s="294">
        <f t="shared" si="16"/>
        <v>0</v>
      </c>
      <c r="X33" s="162">
        <f t="shared" si="17"/>
        <v>0</v>
      </c>
      <c r="AA33" s="164">
        <f t="shared" si="5"/>
        <v>0</v>
      </c>
      <c r="AB33" s="165">
        <f t="shared" si="6"/>
        <v>0</v>
      </c>
      <c r="AC33" s="165">
        <f t="shared" si="7"/>
        <v>0</v>
      </c>
      <c r="AD33" s="165">
        <f t="shared" si="18"/>
        <v>0</v>
      </c>
      <c r="AE33" s="165">
        <f t="shared" si="8"/>
        <v>0</v>
      </c>
      <c r="AF33" s="165">
        <f t="shared" si="9"/>
        <v>0</v>
      </c>
      <c r="AG33" s="165"/>
      <c r="AH33" s="230">
        <f t="shared" si="10"/>
        <v>0</v>
      </c>
    </row>
    <row r="34" spans="2:34" ht="26.25" customHeight="1">
      <c r="B34" s="166">
        <f t="shared" si="11"/>
        <v>44623</v>
      </c>
      <c r="C34" s="221"/>
      <c r="D34" s="221"/>
      <c r="E34" s="221"/>
      <c r="F34" s="221"/>
      <c r="G34" s="221"/>
      <c r="H34" s="292">
        <f t="shared" si="20"/>
        <v>0</v>
      </c>
      <c r="I34" s="137"/>
      <c r="J34" s="137">
        <f t="shared" si="21"/>
        <v>0</v>
      </c>
      <c r="K34" s="137"/>
      <c r="L34" s="256">
        <f t="shared" si="22"/>
        <v>0</v>
      </c>
      <c r="M34" s="136"/>
      <c r="N34" s="256">
        <f t="shared" si="12"/>
        <v>0</v>
      </c>
      <c r="O34" s="323">
        <f t="shared" si="3"/>
        <v>0</v>
      </c>
      <c r="P34" s="323">
        <f t="shared" si="4"/>
        <v>0</v>
      </c>
      <c r="Q34" s="135"/>
      <c r="R34" s="211">
        <f>Q34-S34</f>
        <v>0</v>
      </c>
      <c r="S34" s="135">
        <v>0</v>
      </c>
      <c r="T34" s="159">
        <f t="shared" si="13"/>
        <v>0</v>
      </c>
      <c r="U34" s="159">
        <f t="shared" si="14"/>
        <v>0</v>
      </c>
      <c r="V34" s="159">
        <f t="shared" si="15"/>
        <v>0</v>
      </c>
      <c r="W34" s="294">
        <f t="shared" si="16"/>
        <v>0</v>
      </c>
      <c r="X34" s="162">
        <f t="shared" si="17"/>
        <v>0</v>
      </c>
      <c r="AA34" s="164">
        <f t="shared" si="5"/>
        <v>0</v>
      </c>
      <c r="AB34" s="165">
        <f t="shared" si="6"/>
        <v>0</v>
      </c>
      <c r="AC34" s="165">
        <f t="shared" si="7"/>
        <v>0</v>
      </c>
      <c r="AD34" s="165">
        <f t="shared" si="18"/>
        <v>0</v>
      </c>
      <c r="AE34" s="165">
        <f t="shared" si="8"/>
        <v>0</v>
      </c>
      <c r="AF34" s="165">
        <f t="shared" si="9"/>
        <v>0</v>
      </c>
      <c r="AG34" s="165"/>
      <c r="AH34" s="230">
        <f t="shared" si="10"/>
        <v>0</v>
      </c>
    </row>
    <row r="35" spans="2:34" ht="26.25" customHeight="1" thickBot="1">
      <c r="B35" s="138"/>
      <c r="C35" s="139"/>
      <c r="D35" s="139"/>
      <c r="E35" s="139"/>
      <c r="F35" s="140"/>
      <c r="G35" s="325"/>
      <c r="H35" s="326">
        <f t="shared" si="20"/>
        <v>0</v>
      </c>
      <c r="I35" s="142"/>
      <c r="J35" s="142">
        <f t="shared" si="21"/>
        <v>0</v>
      </c>
      <c r="K35" s="142"/>
      <c r="L35" s="143"/>
      <c r="M35" s="143"/>
      <c r="N35" s="143"/>
      <c r="O35" s="322"/>
      <c r="P35" s="322"/>
      <c r="Q35" s="144"/>
      <c r="R35" s="212"/>
      <c r="S35" s="144"/>
      <c r="T35" s="160"/>
      <c r="U35" s="160"/>
      <c r="V35" s="160"/>
      <c r="W35" s="295"/>
      <c r="X35" s="163"/>
      <c r="AA35" s="164"/>
      <c r="AB35" s="165"/>
      <c r="AC35" s="165"/>
      <c r="AD35" s="165"/>
      <c r="AE35" s="165"/>
      <c r="AF35" s="165"/>
      <c r="AG35" s="165"/>
      <c r="AH35" s="230"/>
    </row>
    <row r="36" spans="2:34" ht="14.25" customHeight="1" thickBot="1">
      <c r="H36" s="324"/>
      <c r="AB36" s="165"/>
    </row>
    <row r="37" spans="2:34" ht="23.25" customHeight="1" thickBot="1">
      <c r="B37" s="145" t="s">
        <v>99</v>
      </c>
      <c r="C37" s="175">
        <f>SUM(C4:C35)</f>
        <v>0</v>
      </c>
      <c r="D37" s="175">
        <f t="shared" ref="D37:X37" si="23">SUM(D4:D35)</f>
        <v>0</v>
      </c>
      <c r="E37" s="175">
        <f t="shared" si="23"/>
        <v>0</v>
      </c>
      <c r="F37" s="175">
        <f t="shared" si="23"/>
        <v>0</v>
      </c>
      <c r="G37" s="175">
        <f t="shared" si="23"/>
        <v>0</v>
      </c>
      <c r="H37" s="175">
        <f t="shared" si="23"/>
        <v>0</v>
      </c>
      <c r="I37" s="175">
        <f>SUM(I4:I35)</f>
        <v>0</v>
      </c>
      <c r="J37" s="175">
        <f>SUM(J4:J35)</f>
        <v>0</v>
      </c>
      <c r="K37" s="175">
        <f t="shared" si="23"/>
        <v>0</v>
      </c>
      <c r="L37" s="175">
        <f>SUM(L4:L35)</f>
        <v>0</v>
      </c>
      <c r="M37" s="277">
        <f t="shared" si="23"/>
        <v>0</v>
      </c>
      <c r="N37" s="277">
        <f t="shared" si="23"/>
        <v>0</v>
      </c>
      <c r="O37" s="175">
        <f t="shared" si="23"/>
        <v>0</v>
      </c>
      <c r="P37" s="175">
        <f t="shared" si="23"/>
        <v>0</v>
      </c>
      <c r="Q37" s="175">
        <f t="shared" si="23"/>
        <v>0</v>
      </c>
      <c r="R37" s="175">
        <f t="shared" si="23"/>
        <v>0</v>
      </c>
      <c r="S37" s="175">
        <f t="shared" si="23"/>
        <v>0</v>
      </c>
      <c r="T37" s="175">
        <f t="shared" si="23"/>
        <v>0</v>
      </c>
      <c r="U37" s="175">
        <f t="shared" si="23"/>
        <v>0</v>
      </c>
      <c r="V37" s="175">
        <f t="shared" si="23"/>
        <v>0</v>
      </c>
      <c r="W37" s="175">
        <f t="shared" si="23"/>
        <v>0</v>
      </c>
      <c r="X37" s="274">
        <f t="shared" si="23"/>
        <v>0</v>
      </c>
    </row>
    <row r="38" spans="2:34" ht="19.5" customHeight="1">
      <c r="I38" s="146"/>
      <c r="J38" s="146"/>
      <c r="K38" s="146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</row>
    <row r="39" spans="2:34" ht="19.5" customHeight="1">
      <c r="I39" s="146"/>
      <c r="J39" s="146"/>
      <c r="K39" s="146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</row>
    <row r="40" spans="2:34" ht="24" customHeight="1">
      <c r="C40" s="242" t="s">
        <v>163</v>
      </c>
      <c r="D40" s="242"/>
      <c r="E40" s="242"/>
      <c r="F40" s="173"/>
      <c r="G40" s="173"/>
      <c r="H40" s="411">
        <f>-H37</f>
        <v>0</v>
      </c>
      <c r="I40" s="411"/>
      <c r="J40" s="338"/>
      <c r="K40" s="264"/>
      <c r="L40" s="264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</row>
    <row r="41" spans="2:34" ht="24" customHeight="1">
      <c r="C41" s="242" t="s">
        <v>178</v>
      </c>
      <c r="D41" s="242"/>
      <c r="E41" s="242"/>
      <c r="F41" s="150"/>
      <c r="G41" s="150"/>
      <c r="H41" s="418">
        <f>N37</f>
        <v>0</v>
      </c>
      <c r="I41" s="418"/>
      <c r="J41" s="339"/>
      <c r="K41" s="264"/>
      <c r="L41" s="264"/>
      <c r="M41" s="173"/>
      <c r="N41" s="257" t="s">
        <v>167</v>
      </c>
      <c r="O41" s="173"/>
      <c r="P41" s="173"/>
      <c r="Q41" s="173"/>
      <c r="R41" s="173"/>
      <c r="S41" s="173"/>
      <c r="T41" s="257" t="s">
        <v>171</v>
      </c>
      <c r="U41" s="173"/>
      <c r="V41" s="173"/>
      <c r="W41" s="173"/>
      <c r="Y41" s="173"/>
      <c r="Z41" s="173"/>
      <c r="AA41" s="173"/>
    </row>
    <row r="42" spans="2:34" ht="24" customHeight="1" thickBot="1">
      <c r="C42" s="242" t="s">
        <v>176</v>
      </c>
      <c r="D42" s="242"/>
      <c r="E42" s="242"/>
      <c r="F42" s="150"/>
      <c r="G42" s="150"/>
      <c r="H42" s="419">
        <f>-ROUNDDOWN(H41*50%,0)</f>
        <v>0</v>
      </c>
      <c r="I42" s="419"/>
      <c r="J42" s="339"/>
      <c r="K42" s="264"/>
      <c r="L42" s="264"/>
      <c r="M42" s="173"/>
      <c r="N42" s="148" t="s">
        <v>168</v>
      </c>
      <c r="O42" s="246"/>
      <c r="P42" s="246"/>
      <c r="Q42" s="246"/>
      <c r="R42" s="173"/>
      <c r="S42" s="173"/>
      <c r="T42" s="148" t="s">
        <v>189</v>
      </c>
      <c r="U42" s="173"/>
      <c r="V42" s="173"/>
      <c r="W42" s="173"/>
      <c r="Y42" s="173"/>
      <c r="Z42" s="173"/>
      <c r="AA42" s="173"/>
    </row>
    <row r="43" spans="2:34" ht="8.25" customHeight="1" thickTop="1">
      <c r="C43" s="242"/>
      <c r="D43" s="242"/>
      <c r="E43" s="242"/>
      <c r="F43" s="150"/>
      <c r="G43" s="150"/>
      <c r="H43" s="173"/>
      <c r="I43" s="265"/>
      <c r="J43" s="265"/>
      <c r="K43" s="264"/>
      <c r="L43" s="264"/>
      <c r="M43" s="173"/>
      <c r="N43" s="148"/>
      <c r="O43" s="173"/>
      <c r="P43" s="173"/>
      <c r="Q43" s="173"/>
      <c r="R43" s="173"/>
      <c r="S43" s="173"/>
      <c r="T43" s="148"/>
      <c r="U43" s="173"/>
      <c r="V43" s="173"/>
      <c r="W43" s="173"/>
      <c r="Y43" s="173"/>
      <c r="Z43" s="173"/>
      <c r="AA43" s="173"/>
    </row>
    <row r="44" spans="2:34" ht="24" customHeight="1">
      <c r="C44" s="242" t="s">
        <v>164</v>
      </c>
      <c r="D44" s="242"/>
      <c r="E44" s="242"/>
      <c r="F44" s="150"/>
      <c r="G44" s="150"/>
      <c r="H44" s="413">
        <f>R37</f>
        <v>0</v>
      </c>
      <c r="I44" s="413"/>
      <c r="J44" s="339"/>
      <c r="K44" s="264"/>
      <c r="L44" s="264"/>
      <c r="M44" s="173"/>
      <c r="N44" s="257" t="s">
        <v>169</v>
      </c>
      <c r="O44" s="173"/>
      <c r="P44" s="173"/>
      <c r="Q44" s="173"/>
      <c r="R44" s="173"/>
      <c r="S44" s="173"/>
      <c r="T44" s="257" t="s">
        <v>169</v>
      </c>
      <c r="U44" s="173"/>
      <c r="V44" s="173"/>
      <c r="W44" s="173"/>
      <c r="Z44" s="173"/>
      <c r="AA44" s="173"/>
    </row>
    <row r="45" spans="2:34" ht="24" customHeight="1">
      <c r="C45" s="242" t="s">
        <v>200</v>
      </c>
      <c r="D45" s="242"/>
      <c r="E45" s="242"/>
      <c r="F45" s="150"/>
      <c r="G45" s="150"/>
      <c r="H45" s="413">
        <f>H44*1.7%</f>
        <v>0</v>
      </c>
      <c r="I45" s="413"/>
      <c r="J45" s="339"/>
      <c r="K45" s="264"/>
      <c r="L45" s="264"/>
      <c r="M45" s="173"/>
      <c r="N45" s="148" t="s">
        <v>170</v>
      </c>
      <c r="O45" s="246"/>
      <c r="P45" s="246"/>
      <c r="Q45" s="246"/>
      <c r="R45" s="173"/>
      <c r="S45" s="173"/>
      <c r="T45" s="148" t="s">
        <v>204</v>
      </c>
      <c r="U45" s="173"/>
      <c r="V45" s="173"/>
      <c r="W45" s="173"/>
      <c r="Z45" s="173"/>
      <c r="AA45" s="173"/>
    </row>
    <row r="46" spans="2:34" ht="24" customHeight="1">
      <c r="C46" s="242" t="s">
        <v>198</v>
      </c>
      <c r="D46" s="242"/>
      <c r="E46" s="242"/>
      <c r="F46" s="150"/>
      <c r="G46" s="150"/>
      <c r="H46" s="413">
        <f>-H45*50%</f>
        <v>0</v>
      </c>
      <c r="I46" s="413"/>
      <c r="J46" s="339"/>
      <c r="K46" s="264"/>
      <c r="L46" s="264"/>
      <c r="M46" s="173"/>
      <c r="N46" s="148"/>
      <c r="O46" s="173"/>
      <c r="P46" s="173"/>
      <c r="Q46" s="173"/>
      <c r="R46" s="173"/>
      <c r="S46" s="173"/>
      <c r="V46" s="148"/>
      <c r="W46" s="148"/>
      <c r="Z46" s="173"/>
      <c r="AA46" s="173"/>
    </row>
    <row r="47" spans="2:34" ht="24" customHeight="1">
      <c r="C47" s="242" t="s">
        <v>201</v>
      </c>
      <c r="D47" s="242"/>
      <c r="E47" s="242"/>
      <c r="F47" s="150"/>
      <c r="G47" s="150"/>
      <c r="H47" s="413">
        <f>S37</f>
        <v>0</v>
      </c>
      <c r="I47" s="413"/>
      <c r="J47" s="339"/>
      <c r="K47" s="264"/>
      <c r="L47" s="264"/>
      <c r="M47" s="173"/>
      <c r="N47" s="148"/>
      <c r="O47" s="173"/>
      <c r="P47" s="173"/>
      <c r="Q47" s="173"/>
      <c r="R47" s="173"/>
      <c r="S47" s="173"/>
      <c r="V47" s="148"/>
      <c r="W47" s="148"/>
      <c r="Z47" s="173"/>
      <c r="AA47" s="173"/>
    </row>
    <row r="48" spans="2:34" ht="24" customHeight="1">
      <c r="C48" s="242" t="s">
        <v>202</v>
      </c>
      <c r="D48" s="242"/>
      <c r="E48" s="242"/>
      <c r="F48" s="150"/>
      <c r="G48" s="150"/>
      <c r="H48" s="413">
        <f>T37</f>
        <v>0</v>
      </c>
      <c r="I48" s="413"/>
      <c r="J48" s="339"/>
      <c r="K48" s="264"/>
      <c r="L48" s="264"/>
      <c r="M48" s="173"/>
      <c r="N48" s="148"/>
      <c r="O48" s="173"/>
      <c r="P48" s="173"/>
      <c r="Q48" s="173"/>
      <c r="R48" s="173"/>
      <c r="S48" s="173"/>
      <c r="V48" s="148"/>
      <c r="W48" s="148"/>
      <c r="Z48" s="173"/>
      <c r="AA48" s="173"/>
    </row>
    <row r="49" spans="2:27" ht="24" customHeight="1">
      <c r="C49" s="242" t="s">
        <v>199</v>
      </c>
      <c r="D49" s="242"/>
      <c r="E49" s="242"/>
      <c r="F49" s="150"/>
      <c r="G49" s="150"/>
      <c r="H49" s="413">
        <f>-H48*50%</f>
        <v>0</v>
      </c>
      <c r="I49" s="413"/>
      <c r="J49" s="339"/>
      <c r="K49" s="264"/>
      <c r="L49" s="264"/>
      <c r="M49" s="173"/>
      <c r="N49" s="148"/>
      <c r="O49" s="173"/>
      <c r="P49" s="173"/>
      <c r="Q49" s="173"/>
      <c r="R49" s="173"/>
      <c r="S49" s="173"/>
      <c r="V49" s="148"/>
      <c r="W49" s="148"/>
      <c r="Z49" s="173"/>
      <c r="AA49" s="173"/>
    </row>
    <row r="50" spans="2:27" ht="24" customHeight="1">
      <c r="B50" s="149"/>
      <c r="C50" s="242" t="s">
        <v>177</v>
      </c>
      <c r="D50" s="124"/>
      <c r="E50" s="124"/>
      <c r="F50" s="124"/>
      <c r="G50" s="124"/>
      <c r="H50" s="413">
        <v>0</v>
      </c>
      <c r="I50" s="413"/>
      <c r="J50" s="339"/>
      <c r="K50" s="264"/>
      <c r="L50" s="264"/>
      <c r="M50" s="173"/>
      <c r="N50" s="341"/>
      <c r="O50" s="148"/>
      <c r="P50" s="173"/>
      <c r="Q50" s="173"/>
      <c r="R50" s="173"/>
      <c r="S50" s="173"/>
      <c r="V50" s="148"/>
      <c r="W50" s="148"/>
      <c r="Z50" s="173"/>
      <c r="AA50" s="173"/>
    </row>
    <row r="51" spans="2:27" ht="24" customHeight="1" thickBot="1">
      <c r="B51" s="149"/>
      <c r="C51" s="242"/>
      <c r="D51" s="242"/>
      <c r="E51" s="242"/>
      <c r="F51" s="173"/>
      <c r="G51" s="173"/>
      <c r="H51" s="420">
        <f>ROUNDDOWN(H45+H46+H49+H50,0)</f>
        <v>0</v>
      </c>
      <c r="I51" s="420"/>
      <c r="J51" s="339"/>
      <c r="K51" s="264"/>
      <c r="L51" s="264"/>
      <c r="M51" s="173"/>
      <c r="N51" s="257" t="s">
        <v>173</v>
      </c>
      <c r="O51" s="173"/>
      <c r="P51" s="173"/>
      <c r="Q51" s="173"/>
      <c r="R51" s="173"/>
      <c r="S51" s="173"/>
      <c r="T51" s="257" t="s">
        <v>45</v>
      </c>
      <c r="U51" s="173"/>
      <c r="V51" s="173"/>
      <c r="W51" s="173"/>
      <c r="Z51" s="173"/>
      <c r="AA51" s="173"/>
    </row>
    <row r="52" spans="2:27" ht="21.75" customHeight="1" thickTop="1">
      <c r="B52" s="149"/>
      <c r="C52" s="242"/>
      <c r="D52" s="242"/>
      <c r="E52" s="242"/>
      <c r="F52" s="173"/>
      <c r="G52" s="173"/>
      <c r="H52" s="173"/>
      <c r="I52" s="338"/>
      <c r="J52" s="339"/>
      <c r="K52" s="264"/>
      <c r="L52" s="264"/>
      <c r="M52" s="173"/>
      <c r="N52" s="148" t="s">
        <v>172</v>
      </c>
      <c r="O52" s="246"/>
      <c r="P52" s="246"/>
      <c r="Q52" s="246"/>
      <c r="R52" s="173"/>
      <c r="S52" s="173"/>
      <c r="T52" s="148" t="s">
        <v>191</v>
      </c>
      <c r="U52" s="173"/>
      <c r="V52" s="173"/>
      <c r="W52" s="173"/>
      <c r="Z52" s="173"/>
      <c r="AA52" s="173"/>
    </row>
    <row r="53" spans="2:27" ht="30" customHeight="1">
      <c r="B53" s="149"/>
      <c r="C53" s="242" t="s">
        <v>203</v>
      </c>
      <c r="D53" s="242"/>
      <c r="E53" s="242"/>
      <c r="F53" s="173"/>
      <c r="G53" s="173"/>
      <c r="H53" s="421">
        <f>H42+H51</f>
        <v>0</v>
      </c>
      <c r="I53" s="421"/>
      <c r="J53" s="339"/>
      <c r="K53" s="284"/>
      <c r="L53" s="284"/>
      <c r="M53" s="173"/>
      <c r="N53" s="148"/>
      <c r="O53" s="173"/>
      <c r="P53" s="173"/>
      <c r="Q53" s="173"/>
      <c r="R53" s="173"/>
      <c r="S53" s="173"/>
      <c r="T53" s="148"/>
      <c r="U53" s="173"/>
      <c r="V53" s="173"/>
      <c r="W53" s="173"/>
      <c r="Z53" s="173"/>
      <c r="AA53" s="173"/>
    </row>
    <row r="54" spans="2:27" ht="26.25" customHeight="1">
      <c r="B54" s="255"/>
      <c r="C54" s="242"/>
      <c r="D54" s="124"/>
      <c r="E54" s="124"/>
      <c r="F54" s="124"/>
      <c r="G54" s="124"/>
      <c r="H54" s="422"/>
      <c r="I54" s="422"/>
      <c r="J54" s="339"/>
      <c r="K54" s="283"/>
      <c r="L54" s="283"/>
      <c r="M54" s="173"/>
      <c r="N54" s="257" t="s">
        <v>169</v>
      </c>
      <c r="R54" s="173"/>
      <c r="S54" s="173"/>
      <c r="T54" s="257" t="s">
        <v>169</v>
      </c>
      <c r="U54" s="150"/>
      <c r="V54" s="150"/>
      <c r="W54" s="150"/>
      <c r="Z54" s="173"/>
      <c r="AA54" s="173"/>
    </row>
    <row r="55" spans="2:27" ht="26.25" customHeight="1">
      <c r="B55" s="254"/>
      <c r="C55" s="242" t="s">
        <v>175</v>
      </c>
      <c r="D55" s="242"/>
      <c r="E55" s="242"/>
      <c r="H55" s="412">
        <f>H40+H53</f>
        <v>0</v>
      </c>
      <c r="I55" s="412"/>
      <c r="J55" s="339"/>
      <c r="K55" s="283"/>
      <c r="L55" s="283"/>
      <c r="M55" s="173"/>
      <c r="N55" s="148" t="s">
        <v>170</v>
      </c>
      <c r="O55" s="248"/>
      <c r="P55" s="248"/>
      <c r="Q55" s="248"/>
      <c r="R55" s="173"/>
      <c r="S55" s="173"/>
      <c r="T55" s="148" t="s">
        <v>205</v>
      </c>
      <c r="U55" s="150"/>
      <c r="V55" s="150"/>
      <c r="W55" s="150"/>
      <c r="Z55" s="173"/>
      <c r="AA55" s="173"/>
    </row>
    <row r="56" spans="2:27" ht="25.5" customHeight="1">
      <c r="D56" s="242"/>
      <c r="E56" s="242"/>
      <c r="G56" s="254"/>
      <c r="K56" s="283"/>
      <c r="L56" s="283"/>
      <c r="M56" s="173"/>
      <c r="S56" s="173"/>
      <c r="Z56" s="150"/>
      <c r="AA56" s="150"/>
    </row>
    <row r="57" spans="2:27" ht="28.5">
      <c r="B57" s="124"/>
      <c r="C57" s="124"/>
      <c r="D57" s="124"/>
      <c r="E57" s="124"/>
      <c r="F57" s="124"/>
      <c r="I57" s="151"/>
      <c r="J57" s="151"/>
      <c r="K57" s="283"/>
      <c r="L57" s="283"/>
      <c r="M57" s="173"/>
      <c r="N57" s="148"/>
      <c r="O57" s="148"/>
      <c r="T57" s="148"/>
      <c r="U57" s="150"/>
      <c r="V57" s="150"/>
      <c r="W57" s="150"/>
      <c r="Y57" s="150"/>
      <c r="Z57" s="150"/>
      <c r="AA57" s="150"/>
    </row>
    <row r="58" spans="2:27" ht="28.5">
      <c r="B58" s="124"/>
      <c r="C58" s="124"/>
      <c r="D58" s="124"/>
      <c r="E58" s="124"/>
      <c r="F58" s="124"/>
      <c r="G58" s="124"/>
      <c r="H58" s="124"/>
      <c r="K58" s="283"/>
      <c r="L58" s="173"/>
      <c r="M58" s="340"/>
      <c r="N58" s="148"/>
      <c r="U58" s="148"/>
      <c r="V58" s="150"/>
      <c r="W58" s="150"/>
      <c r="X58" s="150"/>
      <c r="Y58" s="150"/>
      <c r="Z58" s="150"/>
    </row>
    <row r="59" spans="2:27" ht="28.5">
      <c r="B59" s="124"/>
      <c r="C59" s="124"/>
      <c r="D59" s="124"/>
      <c r="E59" s="124"/>
      <c r="F59" s="124"/>
      <c r="G59" s="124"/>
      <c r="H59" s="124"/>
      <c r="L59" s="153"/>
      <c r="N59" s="148"/>
      <c r="T59" s="148"/>
      <c r="U59" s="173"/>
      <c r="V59" s="173"/>
      <c r="W59" s="173"/>
      <c r="Y59" s="150"/>
    </row>
    <row r="60" spans="2:27" ht="23.25">
      <c r="G60" s="124"/>
      <c r="H60" s="124"/>
      <c r="L60" s="154"/>
      <c r="N60" s="257"/>
      <c r="T60" s="257"/>
      <c r="U60" s="150"/>
      <c r="V60" s="150"/>
      <c r="W60" s="150"/>
      <c r="Y60" s="150"/>
    </row>
    <row r="61" spans="2:27" ht="18.75">
      <c r="L61" s="155"/>
      <c r="M61" s="153"/>
      <c r="N61" s="148"/>
      <c r="T61" s="148"/>
      <c r="U61" s="150"/>
      <c r="V61" s="150"/>
      <c r="W61" s="150"/>
    </row>
    <row r="62" spans="2:27" ht="18.75">
      <c r="L62" s="156"/>
      <c r="M62" s="154"/>
      <c r="N62" s="247"/>
      <c r="T62" s="150"/>
      <c r="U62" s="150"/>
    </row>
    <row r="63" spans="2:27">
      <c r="L63" s="156"/>
      <c r="M63" s="155"/>
    </row>
    <row r="64" spans="2:27" ht="15.75">
      <c r="L64" s="156"/>
      <c r="M64" s="156"/>
      <c r="N64" s="153"/>
      <c r="Q64" s="152"/>
    </row>
    <row r="65" spans="9:24">
      <c r="L65" s="156"/>
      <c r="M65" s="156"/>
      <c r="N65" s="154"/>
    </row>
    <row r="66" spans="9:24">
      <c r="L66" s="156"/>
      <c r="M66" s="156"/>
      <c r="N66" s="155"/>
    </row>
    <row r="67" spans="9:24">
      <c r="L67" s="156"/>
      <c r="M67" s="156"/>
      <c r="N67" s="156"/>
    </row>
    <row r="68" spans="9:24">
      <c r="L68" s="156"/>
      <c r="M68" s="156"/>
      <c r="N68" s="156"/>
    </row>
    <row r="69" spans="9:24" s="123" customFormat="1">
      <c r="I69" s="124"/>
      <c r="J69" s="124"/>
      <c r="K69" s="124"/>
      <c r="L69" s="156"/>
      <c r="M69" s="156"/>
      <c r="N69" s="156"/>
      <c r="O69" s="124"/>
      <c r="P69" s="124"/>
      <c r="Q69" s="124"/>
      <c r="R69" s="124"/>
      <c r="S69" s="124"/>
      <c r="T69" s="124"/>
      <c r="U69" s="124"/>
      <c r="V69" s="124"/>
      <c r="W69" s="124"/>
      <c r="X69" s="124"/>
    </row>
    <row r="70" spans="9:24">
      <c r="L70" s="156"/>
      <c r="M70" s="156"/>
      <c r="N70" s="156"/>
    </row>
    <row r="71" spans="9:24">
      <c r="L71" s="156"/>
      <c r="M71" s="156"/>
      <c r="N71" s="156"/>
    </row>
    <row r="72" spans="9:24">
      <c r="M72" s="156"/>
      <c r="N72" s="156"/>
    </row>
    <row r="73" spans="9:24">
      <c r="M73" s="156"/>
      <c r="N73" s="156"/>
    </row>
    <row r="74" spans="9:24">
      <c r="N74" s="156"/>
    </row>
    <row r="75" spans="9:24">
      <c r="N75" s="156"/>
    </row>
    <row r="76" spans="9:24">
      <c r="N76" s="156"/>
    </row>
  </sheetData>
  <sheetProtection algorithmName="SHA-512" hashValue="I4GNbElD1+qqEnZeH+1Evq79n9GZVlIDsocIj/tLABfa3HE689mz6TXOnNzVNTSULBuYYuevf+4huwIpQtEGtg==" saltValue="51uqdHfKhX1aECCDtFUaoA==" spinCount="100000" sheet="1" objects="1" scenarios="1"/>
  <mergeCells count="15">
    <mergeCell ref="H45:I45"/>
    <mergeCell ref="B2:X2"/>
    <mergeCell ref="H40:I40"/>
    <mergeCell ref="H41:I41"/>
    <mergeCell ref="H42:I42"/>
    <mergeCell ref="H44:I44"/>
    <mergeCell ref="H53:I53"/>
    <mergeCell ref="H54:I54"/>
    <mergeCell ref="H55:I55"/>
    <mergeCell ref="H46:I46"/>
    <mergeCell ref="H47:I47"/>
    <mergeCell ref="H48:I48"/>
    <mergeCell ref="H49:I49"/>
    <mergeCell ref="H50:I50"/>
    <mergeCell ref="H51:I51"/>
  </mergeCells>
  <printOptions horizontalCentered="1"/>
  <pageMargins left="0" right="0" top="0" bottom="0" header="0" footer="0"/>
  <pageSetup scale="38" orientation="landscape" horizontalDpi="360" verticalDpi="36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1">
    <tabColor theme="0" tint="-0.34998626667073579"/>
    <pageSetUpPr fitToPage="1"/>
  </sheetPr>
  <dimension ref="B1:AI76"/>
  <sheetViews>
    <sheetView showGridLines="0" view="pageBreakPreview" zoomScale="80" zoomScaleNormal="90" zoomScaleSheetLayoutView="80" workbookViewId="0">
      <pane ySplit="3" topLeftCell="A4" activePane="bottomLeft" state="frozen"/>
      <selection activeCell="I7" sqref="I7"/>
      <selection pane="bottomLeft" activeCell="I19" sqref="I19"/>
    </sheetView>
  </sheetViews>
  <sheetFormatPr defaultRowHeight="15"/>
  <cols>
    <col min="1" max="1" width="1" style="124" customWidth="1"/>
    <col min="2" max="2" width="12.28515625" style="123" bestFit="1" customWidth="1"/>
    <col min="3" max="5" width="12.28515625" style="123" customWidth="1"/>
    <col min="6" max="6" width="14.140625" style="123" customWidth="1"/>
    <col min="7" max="7" width="14.42578125" style="123" bestFit="1" customWidth="1"/>
    <col min="8" max="8" width="14.85546875" style="123" customWidth="1"/>
    <col min="9" max="11" width="15.42578125" style="124" customWidth="1"/>
    <col min="12" max="14" width="17.42578125" style="124" customWidth="1"/>
    <col min="15" max="15" width="13.5703125" style="124" bestFit="1" customWidth="1"/>
    <col min="16" max="16" width="14.140625" style="124" bestFit="1" customWidth="1"/>
    <col min="17" max="19" width="19" style="124" customWidth="1"/>
    <col min="20" max="20" width="18.42578125" style="124" customWidth="1"/>
    <col min="21" max="21" width="13.85546875" style="124" customWidth="1"/>
    <col min="22" max="23" width="13.7109375" style="124" customWidth="1"/>
    <col min="24" max="24" width="24.140625" style="124" bestFit="1" customWidth="1"/>
    <col min="25" max="25" width="1.5703125" style="124" customWidth="1"/>
    <col min="26" max="26" width="9.140625" style="124" hidden="1" customWidth="1"/>
    <col min="27" max="27" width="8.85546875" style="124" hidden="1" customWidth="1"/>
    <col min="28" max="28" width="10.140625" style="124" hidden="1" customWidth="1"/>
    <col min="29" max="29" width="12.140625" style="124" hidden="1" customWidth="1"/>
    <col min="30" max="30" width="9.140625" style="124" hidden="1" customWidth="1"/>
    <col min="31" max="31" width="9.28515625" style="124" hidden="1" customWidth="1"/>
    <col min="32" max="32" width="11" style="124" hidden="1" customWidth="1"/>
    <col min="33" max="33" width="7.140625" style="124" hidden="1" customWidth="1"/>
    <col min="34" max="34" width="10.42578125" style="124" hidden="1" customWidth="1"/>
    <col min="35" max="35" width="10.5703125" style="124" hidden="1" customWidth="1"/>
    <col min="36" max="16384" width="9.140625" style="124"/>
  </cols>
  <sheetData>
    <row r="1" spans="2:34" ht="24.75" customHeight="1" thickBot="1"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</row>
    <row r="2" spans="2:34" ht="28.5" customHeight="1" thickBot="1">
      <c r="B2" s="414" t="s">
        <v>240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415"/>
      <c r="X2" s="416"/>
    </row>
    <row r="3" spans="2:34" ht="60.75" thickBot="1">
      <c r="B3" s="125" t="s">
        <v>94</v>
      </c>
      <c r="C3" s="126" t="s">
        <v>121</v>
      </c>
      <c r="D3" s="126" t="s">
        <v>216</v>
      </c>
      <c r="E3" s="126" t="s">
        <v>215</v>
      </c>
      <c r="F3" s="126" t="s">
        <v>188</v>
      </c>
      <c r="G3" s="126" t="s">
        <v>186</v>
      </c>
      <c r="H3" s="126" t="s">
        <v>163</v>
      </c>
      <c r="I3" s="127" t="s">
        <v>111</v>
      </c>
      <c r="J3" s="127" t="s">
        <v>217</v>
      </c>
      <c r="K3" s="127" t="s">
        <v>183</v>
      </c>
      <c r="L3" s="127" t="s">
        <v>180</v>
      </c>
      <c r="M3" s="127" t="s">
        <v>181</v>
      </c>
      <c r="N3" s="127" t="s">
        <v>182</v>
      </c>
      <c r="O3" s="128">
        <v>-0.5</v>
      </c>
      <c r="P3" s="157">
        <f>-100%-O3</f>
        <v>-0.5</v>
      </c>
      <c r="Q3" s="127" t="s">
        <v>141</v>
      </c>
      <c r="R3" s="127" t="s">
        <v>142</v>
      </c>
      <c r="S3" s="127" t="s">
        <v>208</v>
      </c>
      <c r="T3" s="127" t="s">
        <v>125</v>
      </c>
      <c r="U3" s="206" t="s">
        <v>143</v>
      </c>
      <c r="V3" s="127" t="s">
        <v>97</v>
      </c>
      <c r="W3" s="127" t="s">
        <v>144</v>
      </c>
      <c r="X3" s="129" t="s">
        <v>96</v>
      </c>
      <c r="AA3" s="130" t="s">
        <v>106</v>
      </c>
      <c r="AB3" s="130" t="s">
        <v>95</v>
      </c>
      <c r="AC3" s="130" t="s">
        <v>107</v>
      </c>
      <c r="AD3" s="131" t="s">
        <v>108</v>
      </c>
      <c r="AE3" s="131" t="s">
        <v>109</v>
      </c>
      <c r="AF3" s="130" t="s">
        <v>147</v>
      </c>
      <c r="AG3" s="130" t="s">
        <v>110</v>
      </c>
      <c r="AH3" s="130" t="s">
        <v>120</v>
      </c>
    </row>
    <row r="4" spans="2:34" ht="26.25" customHeight="1">
      <c r="B4" s="132">
        <v>44593</v>
      </c>
      <c r="C4" s="240">
        <v>0</v>
      </c>
      <c r="D4" s="240">
        <v>0</v>
      </c>
      <c r="E4" s="240">
        <v>0</v>
      </c>
      <c r="F4" s="240">
        <v>0</v>
      </c>
      <c r="G4" s="240">
        <v>0</v>
      </c>
      <c r="H4" s="292">
        <f t="shared" ref="H4:H9" si="0">SUM(F4:G4)</f>
        <v>0</v>
      </c>
      <c r="I4" s="133">
        <v>0</v>
      </c>
      <c r="J4" s="137">
        <f t="shared" ref="J4:J9" si="1">SUM(D4:E4)</f>
        <v>0</v>
      </c>
      <c r="K4" s="133">
        <v>0</v>
      </c>
      <c r="L4" s="256">
        <f t="shared" ref="L4:L9" si="2">-F4-G4-I4-K4+E4</f>
        <v>0</v>
      </c>
      <c r="M4" s="133">
        <v>0</v>
      </c>
      <c r="N4" s="256">
        <f>L4+M4</f>
        <v>0</v>
      </c>
      <c r="O4" s="321">
        <f>N4*$O$3-J4</f>
        <v>0</v>
      </c>
      <c r="P4" s="321">
        <f>N4*$P$3-J4</f>
        <v>0</v>
      </c>
      <c r="Q4" s="210">
        <v>0</v>
      </c>
      <c r="R4" s="210">
        <f>Q4-S4</f>
        <v>0</v>
      </c>
      <c r="S4" s="134">
        <v>0</v>
      </c>
      <c r="T4" s="159">
        <f>S4*1.7%</f>
        <v>0</v>
      </c>
      <c r="U4" s="158">
        <f>R4*1.7%</f>
        <v>0</v>
      </c>
      <c r="V4" s="158">
        <f>SUM(T4:U4)</f>
        <v>0</v>
      </c>
      <c r="W4" s="293">
        <f>V4*50%</f>
        <v>0</v>
      </c>
      <c r="X4" s="286">
        <f>O4+W4-T4</f>
        <v>0</v>
      </c>
      <c r="AA4" s="164">
        <f>H4</f>
        <v>0</v>
      </c>
      <c r="AB4" s="165">
        <f>I4+K4</f>
        <v>0</v>
      </c>
      <c r="AC4" s="165">
        <f>R4</f>
        <v>0</v>
      </c>
      <c r="AD4" s="165">
        <f>W4</f>
        <v>0</v>
      </c>
      <c r="AE4" s="165">
        <f>N4</f>
        <v>0</v>
      </c>
      <c r="AF4" s="165">
        <f>S4</f>
        <v>0</v>
      </c>
      <c r="AG4" s="165"/>
      <c r="AH4" s="213">
        <f>C4</f>
        <v>0</v>
      </c>
    </row>
    <row r="5" spans="2:34" ht="26.25" customHeight="1">
      <c r="B5" s="166">
        <f>B4+1</f>
        <v>44594</v>
      </c>
      <c r="C5" s="221">
        <v>0</v>
      </c>
      <c r="D5" s="221">
        <v>0</v>
      </c>
      <c r="E5" s="291">
        <v>0</v>
      </c>
      <c r="F5" s="291">
        <v>0</v>
      </c>
      <c r="G5" s="291">
        <v>0</v>
      </c>
      <c r="H5" s="292">
        <f t="shared" si="0"/>
        <v>0</v>
      </c>
      <c r="I5" s="136">
        <v>0</v>
      </c>
      <c r="J5" s="137">
        <f t="shared" si="1"/>
        <v>0</v>
      </c>
      <c r="K5" s="136">
        <v>0</v>
      </c>
      <c r="L5" s="256">
        <f t="shared" si="2"/>
        <v>0</v>
      </c>
      <c r="M5" s="136">
        <v>0</v>
      </c>
      <c r="N5" s="256">
        <f>L5+M5</f>
        <v>0</v>
      </c>
      <c r="O5" s="323">
        <f t="shared" ref="O5:O34" si="3">N5*$O$3-J5</f>
        <v>0</v>
      </c>
      <c r="P5" s="323">
        <f t="shared" ref="P5:P34" si="4">N5*$P$3-J5</f>
        <v>0</v>
      </c>
      <c r="Q5" s="135">
        <v>0</v>
      </c>
      <c r="R5" s="211">
        <f>Q5-S5</f>
        <v>0</v>
      </c>
      <c r="S5" s="135">
        <v>0</v>
      </c>
      <c r="T5" s="159">
        <f>S5*1.7%</f>
        <v>0</v>
      </c>
      <c r="U5" s="159">
        <f>R5*1.7%</f>
        <v>0</v>
      </c>
      <c r="V5" s="159">
        <f>SUM(T5:U5)</f>
        <v>0</v>
      </c>
      <c r="W5" s="294">
        <f>V5*50%</f>
        <v>0</v>
      </c>
      <c r="X5" s="162">
        <f>O5+W5-T5</f>
        <v>0</v>
      </c>
      <c r="AA5" s="164">
        <f t="shared" ref="AA5:AA34" si="5">AA4+H5</f>
        <v>0</v>
      </c>
      <c r="AB5" s="165">
        <f t="shared" ref="AB5:AB34" si="6">AB4+I5+K5</f>
        <v>0</v>
      </c>
      <c r="AC5" s="165">
        <f t="shared" ref="AC5:AC34" si="7">R5+AC4</f>
        <v>0</v>
      </c>
      <c r="AD5" s="165">
        <f>W5+AD4</f>
        <v>0</v>
      </c>
      <c r="AE5" s="165">
        <f t="shared" ref="AE5:AE34" si="8">AE4+N5</f>
        <v>0</v>
      </c>
      <c r="AF5" s="165">
        <f t="shared" ref="AF5:AF34" si="9">S5+AF4</f>
        <v>0</v>
      </c>
      <c r="AG5" s="165"/>
      <c r="AH5" s="230">
        <f t="shared" ref="AH5:AH34" si="10">C5+AH4</f>
        <v>0</v>
      </c>
    </row>
    <row r="6" spans="2:34" ht="26.25" customHeight="1">
      <c r="B6" s="166">
        <f t="shared" ref="B6:B34" si="11">B5+1</f>
        <v>44595</v>
      </c>
      <c r="C6" s="221">
        <v>0</v>
      </c>
      <c r="D6" s="221">
        <v>0</v>
      </c>
      <c r="E6" s="291">
        <v>0</v>
      </c>
      <c r="F6" s="291">
        <v>0</v>
      </c>
      <c r="G6" s="291">
        <v>0</v>
      </c>
      <c r="H6" s="292">
        <f t="shared" si="0"/>
        <v>0</v>
      </c>
      <c r="I6" s="136">
        <v>0</v>
      </c>
      <c r="J6" s="137">
        <f t="shared" si="1"/>
        <v>0</v>
      </c>
      <c r="K6" s="136">
        <v>0</v>
      </c>
      <c r="L6" s="256">
        <f t="shared" si="2"/>
        <v>0</v>
      </c>
      <c r="M6" s="136">
        <v>0</v>
      </c>
      <c r="N6" s="256">
        <f t="shared" ref="N6:N34" si="12">L6+M6</f>
        <v>0</v>
      </c>
      <c r="O6" s="323">
        <f t="shared" si="3"/>
        <v>0</v>
      </c>
      <c r="P6" s="323">
        <f t="shared" si="4"/>
        <v>0</v>
      </c>
      <c r="Q6" s="135">
        <v>0</v>
      </c>
      <c r="R6" s="211">
        <f>Q6-S6</f>
        <v>0</v>
      </c>
      <c r="S6" s="135">
        <v>0</v>
      </c>
      <c r="T6" s="159">
        <f t="shared" ref="T6:T34" si="13">S6*1.7%</f>
        <v>0</v>
      </c>
      <c r="U6" s="159">
        <f t="shared" ref="U6:U34" si="14">R6*1.7%</f>
        <v>0</v>
      </c>
      <c r="V6" s="159">
        <f t="shared" ref="V6:V34" si="15">SUM(T6:U6)</f>
        <v>0</v>
      </c>
      <c r="W6" s="294">
        <f t="shared" ref="W6:W34" si="16">V6*50%</f>
        <v>0</v>
      </c>
      <c r="X6" s="162">
        <f t="shared" ref="X6:X34" si="17">O6+W6-T6</f>
        <v>0</v>
      </c>
      <c r="AA6" s="164">
        <f t="shared" si="5"/>
        <v>0</v>
      </c>
      <c r="AB6" s="165">
        <f t="shared" si="6"/>
        <v>0</v>
      </c>
      <c r="AC6" s="165">
        <f t="shared" si="7"/>
        <v>0</v>
      </c>
      <c r="AD6" s="165">
        <f t="shared" ref="AD6:AD34" si="18">W6+AD5</f>
        <v>0</v>
      </c>
      <c r="AE6" s="165">
        <f t="shared" si="8"/>
        <v>0</v>
      </c>
      <c r="AF6" s="165">
        <f t="shared" si="9"/>
        <v>0</v>
      </c>
      <c r="AG6" s="165"/>
      <c r="AH6" s="230">
        <f t="shared" si="10"/>
        <v>0</v>
      </c>
    </row>
    <row r="7" spans="2:34" ht="26.25" customHeight="1">
      <c r="B7" s="166">
        <f t="shared" si="11"/>
        <v>44596</v>
      </c>
      <c r="C7" s="221">
        <v>0</v>
      </c>
      <c r="D7" s="221">
        <v>0</v>
      </c>
      <c r="E7" s="291">
        <v>0</v>
      </c>
      <c r="F7" s="291">
        <v>0</v>
      </c>
      <c r="G7" s="291">
        <v>0</v>
      </c>
      <c r="H7" s="292">
        <f t="shared" si="0"/>
        <v>0</v>
      </c>
      <c r="I7" s="136">
        <v>0</v>
      </c>
      <c r="J7" s="137">
        <f t="shared" si="1"/>
        <v>0</v>
      </c>
      <c r="K7" s="136">
        <v>0</v>
      </c>
      <c r="L7" s="256">
        <f t="shared" si="2"/>
        <v>0</v>
      </c>
      <c r="M7" s="136">
        <v>0</v>
      </c>
      <c r="N7" s="256">
        <f t="shared" si="12"/>
        <v>0</v>
      </c>
      <c r="O7" s="323">
        <f t="shared" si="3"/>
        <v>0</v>
      </c>
      <c r="P7" s="323">
        <f t="shared" si="4"/>
        <v>0</v>
      </c>
      <c r="Q7" s="135">
        <v>0</v>
      </c>
      <c r="R7" s="211">
        <f t="shared" ref="R7:R33" si="19">Q7-S7</f>
        <v>0</v>
      </c>
      <c r="S7" s="135">
        <v>0</v>
      </c>
      <c r="T7" s="159">
        <f t="shared" si="13"/>
        <v>0</v>
      </c>
      <c r="U7" s="159">
        <f t="shared" si="14"/>
        <v>0</v>
      </c>
      <c r="V7" s="159">
        <f t="shared" si="15"/>
        <v>0</v>
      </c>
      <c r="W7" s="294">
        <f t="shared" si="16"/>
        <v>0</v>
      </c>
      <c r="X7" s="162">
        <f t="shared" si="17"/>
        <v>0</v>
      </c>
      <c r="AA7" s="164">
        <f t="shared" si="5"/>
        <v>0</v>
      </c>
      <c r="AB7" s="165">
        <f t="shared" si="6"/>
        <v>0</v>
      </c>
      <c r="AC7" s="165">
        <f t="shared" si="7"/>
        <v>0</v>
      </c>
      <c r="AD7" s="165">
        <f t="shared" si="18"/>
        <v>0</v>
      </c>
      <c r="AE7" s="165">
        <f t="shared" si="8"/>
        <v>0</v>
      </c>
      <c r="AF7" s="165">
        <f t="shared" si="9"/>
        <v>0</v>
      </c>
      <c r="AG7" s="165"/>
      <c r="AH7" s="230">
        <f t="shared" si="10"/>
        <v>0</v>
      </c>
    </row>
    <row r="8" spans="2:34" ht="26.25" customHeight="1">
      <c r="B8" s="166">
        <f t="shared" si="11"/>
        <v>44597</v>
      </c>
      <c r="C8" s="221">
        <v>0</v>
      </c>
      <c r="D8" s="221">
        <v>0</v>
      </c>
      <c r="E8" s="291">
        <v>0</v>
      </c>
      <c r="F8" s="221">
        <v>0</v>
      </c>
      <c r="G8" s="221">
        <v>0</v>
      </c>
      <c r="H8" s="292">
        <f t="shared" si="0"/>
        <v>0</v>
      </c>
      <c r="I8" s="137">
        <v>0</v>
      </c>
      <c r="J8" s="137">
        <f t="shared" si="1"/>
        <v>0</v>
      </c>
      <c r="K8" s="137">
        <v>0</v>
      </c>
      <c r="L8" s="256">
        <f t="shared" si="2"/>
        <v>0</v>
      </c>
      <c r="M8" s="136">
        <v>0</v>
      </c>
      <c r="N8" s="256">
        <f t="shared" si="12"/>
        <v>0</v>
      </c>
      <c r="O8" s="323">
        <f t="shared" si="3"/>
        <v>0</v>
      </c>
      <c r="P8" s="323">
        <f t="shared" si="4"/>
        <v>0</v>
      </c>
      <c r="Q8" s="135">
        <v>0</v>
      </c>
      <c r="R8" s="211">
        <f t="shared" si="19"/>
        <v>0</v>
      </c>
      <c r="S8" s="135">
        <v>0</v>
      </c>
      <c r="T8" s="159">
        <f t="shared" si="13"/>
        <v>0</v>
      </c>
      <c r="U8" s="159">
        <f t="shared" si="14"/>
        <v>0</v>
      </c>
      <c r="V8" s="159">
        <f t="shared" si="15"/>
        <v>0</v>
      </c>
      <c r="W8" s="294">
        <f t="shared" si="16"/>
        <v>0</v>
      </c>
      <c r="X8" s="162">
        <f t="shared" si="17"/>
        <v>0</v>
      </c>
      <c r="AA8" s="164">
        <f t="shared" si="5"/>
        <v>0</v>
      </c>
      <c r="AB8" s="165">
        <f t="shared" si="6"/>
        <v>0</v>
      </c>
      <c r="AC8" s="165">
        <f t="shared" si="7"/>
        <v>0</v>
      </c>
      <c r="AD8" s="165">
        <f t="shared" si="18"/>
        <v>0</v>
      </c>
      <c r="AE8" s="165">
        <f t="shared" si="8"/>
        <v>0</v>
      </c>
      <c r="AF8" s="165">
        <f t="shared" si="9"/>
        <v>0</v>
      </c>
      <c r="AG8" s="165"/>
      <c r="AH8" s="230">
        <f t="shared" si="10"/>
        <v>0</v>
      </c>
    </row>
    <row r="9" spans="2:34" ht="26.25" customHeight="1">
      <c r="B9" s="166">
        <f t="shared" si="11"/>
        <v>44598</v>
      </c>
      <c r="C9" s="221">
        <v>0</v>
      </c>
      <c r="D9" s="221">
        <v>0</v>
      </c>
      <c r="E9" s="291">
        <v>0</v>
      </c>
      <c r="F9" s="221">
        <v>0</v>
      </c>
      <c r="G9" s="221">
        <v>0</v>
      </c>
      <c r="H9" s="292">
        <f t="shared" si="0"/>
        <v>0</v>
      </c>
      <c r="I9" s="137">
        <v>0</v>
      </c>
      <c r="J9" s="137">
        <f t="shared" si="1"/>
        <v>0</v>
      </c>
      <c r="K9" s="137">
        <v>0</v>
      </c>
      <c r="L9" s="256">
        <f t="shared" si="2"/>
        <v>0</v>
      </c>
      <c r="M9" s="136">
        <v>0</v>
      </c>
      <c r="N9" s="256">
        <f t="shared" si="12"/>
        <v>0</v>
      </c>
      <c r="O9" s="323">
        <f t="shared" si="3"/>
        <v>0</v>
      </c>
      <c r="P9" s="323">
        <f t="shared" si="4"/>
        <v>0</v>
      </c>
      <c r="Q9" s="135">
        <v>0</v>
      </c>
      <c r="R9" s="211">
        <f t="shared" si="19"/>
        <v>0</v>
      </c>
      <c r="S9" s="135">
        <v>0</v>
      </c>
      <c r="T9" s="159">
        <f t="shared" si="13"/>
        <v>0</v>
      </c>
      <c r="U9" s="159">
        <f t="shared" si="14"/>
        <v>0</v>
      </c>
      <c r="V9" s="159">
        <f t="shared" si="15"/>
        <v>0</v>
      </c>
      <c r="W9" s="294">
        <f t="shared" si="16"/>
        <v>0</v>
      </c>
      <c r="X9" s="162">
        <f t="shared" si="17"/>
        <v>0</v>
      </c>
      <c r="AA9" s="164">
        <f t="shared" si="5"/>
        <v>0</v>
      </c>
      <c r="AB9" s="165">
        <f t="shared" si="6"/>
        <v>0</v>
      </c>
      <c r="AC9" s="165">
        <f t="shared" si="7"/>
        <v>0</v>
      </c>
      <c r="AD9" s="165">
        <f t="shared" si="18"/>
        <v>0</v>
      </c>
      <c r="AE9" s="165">
        <f t="shared" si="8"/>
        <v>0</v>
      </c>
      <c r="AF9" s="165">
        <f t="shared" si="9"/>
        <v>0</v>
      </c>
      <c r="AG9" s="165"/>
      <c r="AH9" s="230">
        <f t="shared" si="10"/>
        <v>0</v>
      </c>
    </row>
    <row r="10" spans="2:34" ht="26.25" customHeight="1">
      <c r="B10" s="166">
        <f t="shared" si="11"/>
        <v>44599</v>
      </c>
      <c r="C10" s="221">
        <v>0</v>
      </c>
      <c r="D10" s="221">
        <v>0</v>
      </c>
      <c r="E10" s="291">
        <v>0</v>
      </c>
      <c r="F10" s="221">
        <v>0</v>
      </c>
      <c r="G10" s="221">
        <v>0</v>
      </c>
      <c r="H10" s="292">
        <f t="shared" ref="H10:H35" si="20">SUM(F10:G10)</f>
        <v>0</v>
      </c>
      <c r="I10" s="137">
        <v>0</v>
      </c>
      <c r="J10" s="137">
        <f t="shared" ref="J10:J35" si="21">SUM(D10:E10)</f>
        <v>0</v>
      </c>
      <c r="K10" s="137">
        <v>0</v>
      </c>
      <c r="L10" s="256">
        <f>-F10-G10-I10-K10+E10</f>
        <v>0</v>
      </c>
      <c r="M10" s="136">
        <v>0</v>
      </c>
      <c r="N10" s="256">
        <f t="shared" si="12"/>
        <v>0</v>
      </c>
      <c r="O10" s="323">
        <f t="shared" si="3"/>
        <v>0</v>
      </c>
      <c r="P10" s="323">
        <f t="shared" si="4"/>
        <v>0</v>
      </c>
      <c r="Q10" s="135">
        <v>0</v>
      </c>
      <c r="R10" s="211">
        <f t="shared" si="19"/>
        <v>0</v>
      </c>
      <c r="S10" s="135">
        <v>0</v>
      </c>
      <c r="T10" s="159">
        <f t="shared" si="13"/>
        <v>0</v>
      </c>
      <c r="U10" s="159">
        <f t="shared" si="14"/>
        <v>0</v>
      </c>
      <c r="V10" s="159">
        <f t="shared" si="15"/>
        <v>0</v>
      </c>
      <c r="W10" s="294">
        <f t="shared" si="16"/>
        <v>0</v>
      </c>
      <c r="X10" s="162">
        <f t="shared" si="17"/>
        <v>0</v>
      </c>
      <c r="AA10" s="164">
        <f t="shared" si="5"/>
        <v>0</v>
      </c>
      <c r="AB10" s="165">
        <f t="shared" si="6"/>
        <v>0</v>
      </c>
      <c r="AC10" s="165">
        <f t="shared" si="7"/>
        <v>0</v>
      </c>
      <c r="AD10" s="165">
        <f t="shared" si="18"/>
        <v>0</v>
      </c>
      <c r="AE10" s="165">
        <f t="shared" si="8"/>
        <v>0</v>
      </c>
      <c r="AF10" s="165">
        <f t="shared" si="9"/>
        <v>0</v>
      </c>
      <c r="AG10" s="165"/>
      <c r="AH10" s="230">
        <f>C10+AH9</f>
        <v>0</v>
      </c>
    </row>
    <row r="11" spans="2:34" ht="26.25" customHeight="1">
      <c r="B11" s="166">
        <f t="shared" si="11"/>
        <v>44600</v>
      </c>
      <c r="C11" s="221">
        <v>0</v>
      </c>
      <c r="D11" s="221">
        <v>0</v>
      </c>
      <c r="E11" s="291">
        <v>0</v>
      </c>
      <c r="F11" s="221">
        <v>0</v>
      </c>
      <c r="G11" s="221">
        <v>0</v>
      </c>
      <c r="H11" s="292">
        <f t="shared" si="20"/>
        <v>0</v>
      </c>
      <c r="I11" s="137">
        <v>0</v>
      </c>
      <c r="J11" s="137">
        <f t="shared" si="21"/>
        <v>0</v>
      </c>
      <c r="K11" s="137">
        <v>0</v>
      </c>
      <c r="L11" s="256">
        <f t="shared" ref="L11:L34" si="22">-F11-G11-I11-K11+E11</f>
        <v>0</v>
      </c>
      <c r="M11" s="136">
        <v>0</v>
      </c>
      <c r="N11" s="256">
        <f t="shared" si="12"/>
        <v>0</v>
      </c>
      <c r="O11" s="323">
        <f t="shared" si="3"/>
        <v>0</v>
      </c>
      <c r="P11" s="323">
        <f t="shared" si="4"/>
        <v>0</v>
      </c>
      <c r="Q11" s="135">
        <v>0</v>
      </c>
      <c r="R11" s="211">
        <f t="shared" si="19"/>
        <v>0</v>
      </c>
      <c r="S11" s="135">
        <v>0</v>
      </c>
      <c r="T11" s="159">
        <f t="shared" si="13"/>
        <v>0</v>
      </c>
      <c r="U11" s="159">
        <f t="shared" si="14"/>
        <v>0</v>
      </c>
      <c r="V11" s="159">
        <f t="shared" si="15"/>
        <v>0</v>
      </c>
      <c r="W11" s="294">
        <f t="shared" si="16"/>
        <v>0</v>
      </c>
      <c r="X11" s="162">
        <f t="shared" si="17"/>
        <v>0</v>
      </c>
      <c r="AA11" s="164">
        <f t="shared" si="5"/>
        <v>0</v>
      </c>
      <c r="AB11" s="165">
        <f t="shared" si="6"/>
        <v>0</v>
      </c>
      <c r="AC11" s="165">
        <f t="shared" si="7"/>
        <v>0</v>
      </c>
      <c r="AD11" s="165">
        <f t="shared" si="18"/>
        <v>0</v>
      </c>
      <c r="AE11" s="165">
        <f t="shared" si="8"/>
        <v>0</v>
      </c>
      <c r="AF11" s="165">
        <f t="shared" si="9"/>
        <v>0</v>
      </c>
      <c r="AG11" s="165"/>
      <c r="AH11" s="230">
        <f t="shared" si="10"/>
        <v>0</v>
      </c>
    </row>
    <row r="12" spans="2:34" ht="26.25" customHeight="1">
      <c r="B12" s="166">
        <f t="shared" si="11"/>
        <v>44601</v>
      </c>
      <c r="C12" s="221">
        <v>0</v>
      </c>
      <c r="D12" s="221">
        <v>0</v>
      </c>
      <c r="E12" s="291">
        <v>0</v>
      </c>
      <c r="F12" s="221">
        <v>0</v>
      </c>
      <c r="G12" s="221">
        <v>0</v>
      </c>
      <c r="H12" s="292">
        <f t="shared" si="20"/>
        <v>0</v>
      </c>
      <c r="I12" s="137">
        <v>0</v>
      </c>
      <c r="J12" s="137">
        <f t="shared" si="21"/>
        <v>0</v>
      </c>
      <c r="K12" s="137">
        <v>0</v>
      </c>
      <c r="L12" s="256">
        <f t="shared" si="22"/>
        <v>0</v>
      </c>
      <c r="M12" s="136">
        <v>0</v>
      </c>
      <c r="N12" s="256">
        <f t="shared" si="12"/>
        <v>0</v>
      </c>
      <c r="O12" s="323">
        <f t="shared" si="3"/>
        <v>0</v>
      </c>
      <c r="P12" s="323">
        <f t="shared" si="4"/>
        <v>0</v>
      </c>
      <c r="Q12" s="135">
        <v>0</v>
      </c>
      <c r="R12" s="211">
        <f t="shared" si="19"/>
        <v>0</v>
      </c>
      <c r="S12" s="135">
        <v>0</v>
      </c>
      <c r="T12" s="159">
        <f t="shared" si="13"/>
        <v>0</v>
      </c>
      <c r="U12" s="159">
        <f t="shared" si="14"/>
        <v>0</v>
      </c>
      <c r="V12" s="159">
        <f t="shared" si="15"/>
        <v>0</v>
      </c>
      <c r="W12" s="294">
        <f t="shared" si="16"/>
        <v>0</v>
      </c>
      <c r="X12" s="162">
        <f t="shared" si="17"/>
        <v>0</v>
      </c>
      <c r="AA12" s="164">
        <f t="shared" si="5"/>
        <v>0</v>
      </c>
      <c r="AB12" s="165">
        <f t="shared" si="6"/>
        <v>0</v>
      </c>
      <c r="AC12" s="165">
        <f t="shared" si="7"/>
        <v>0</v>
      </c>
      <c r="AD12" s="165">
        <f t="shared" si="18"/>
        <v>0</v>
      </c>
      <c r="AE12" s="165">
        <f t="shared" si="8"/>
        <v>0</v>
      </c>
      <c r="AF12" s="165">
        <f t="shared" si="9"/>
        <v>0</v>
      </c>
      <c r="AG12" s="165"/>
      <c r="AH12" s="230">
        <f t="shared" si="10"/>
        <v>0</v>
      </c>
    </row>
    <row r="13" spans="2:34" ht="26.25" customHeight="1">
      <c r="B13" s="166">
        <f t="shared" si="11"/>
        <v>44602</v>
      </c>
      <c r="C13" s="221">
        <v>0</v>
      </c>
      <c r="D13" s="221">
        <v>0</v>
      </c>
      <c r="E13" s="291">
        <v>0</v>
      </c>
      <c r="F13" s="221">
        <v>0</v>
      </c>
      <c r="G13" s="221">
        <v>0</v>
      </c>
      <c r="H13" s="292">
        <f t="shared" si="20"/>
        <v>0</v>
      </c>
      <c r="I13" s="137">
        <v>0</v>
      </c>
      <c r="J13" s="137">
        <f t="shared" si="21"/>
        <v>0</v>
      </c>
      <c r="K13" s="137">
        <v>0</v>
      </c>
      <c r="L13" s="256">
        <f t="shared" si="22"/>
        <v>0</v>
      </c>
      <c r="M13" s="136">
        <v>0</v>
      </c>
      <c r="N13" s="256">
        <f t="shared" si="12"/>
        <v>0</v>
      </c>
      <c r="O13" s="323">
        <f t="shared" si="3"/>
        <v>0</v>
      </c>
      <c r="P13" s="323">
        <f t="shared" si="4"/>
        <v>0</v>
      </c>
      <c r="Q13" s="135">
        <v>0</v>
      </c>
      <c r="R13" s="211">
        <f t="shared" si="19"/>
        <v>0</v>
      </c>
      <c r="S13" s="135">
        <v>0</v>
      </c>
      <c r="T13" s="159">
        <f t="shared" si="13"/>
        <v>0</v>
      </c>
      <c r="U13" s="159">
        <f t="shared" si="14"/>
        <v>0</v>
      </c>
      <c r="V13" s="159">
        <f t="shared" si="15"/>
        <v>0</v>
      </c>
      <c r="W13" s="294">
        <f t="shared" si="16"/>
        <v>0</v>
      </c>
      <c r="X13" s="162">
        <f t="shared" si="17"/>
        <v>0</v>
      </c>
      <c r="AA13" s="164">
        <f t="shared" si="5"/>
        <v>0</v>
      </c>
      <c r="AB13" s="165">
        <f t="shared" si="6"/>
        <v>0</v>
      </c>
      <c r="AC13" s="165">
        <f>R13+AC12</f>
        <v>0</v>
      </c>
      <c r="AD13" s="165">
        <f t="shared" si="18"/>
        <v>0</v>
      </c>
      <c r="AE13" s="165">
        <f t="shared" si="8"/>
        <v>0</v>
      </c>
      <c r="AF13" s="165">
        <f t="shared" si="9"/>
        <v>0</v>
      </c>
      <c r="AG13" s="165"/>
      <c r="AH13" s="230">
        <f t="shared" si="10"/>
        <v>0</v>
      </c>
    </row>
    <row r="14" spans="2:34" ht="26.25" customHeight="1">
      <c r="B14" s="166">
        <f t="shared" si="11"/>
        <v>44603</v>
      </c>
      <c r="C14" s="221">
        <v>0</v>
      </c>
      <c r="D14" s="221">
        <v>0</v>
      </c>
      <c r="E14" s="291">
        <v>0</v>
      </c>
      <c r="F14" s="221">
        <v>0</v>
      </c>
      <c r="G14" s="221">
        <v>0</v>
      </c>
      <c r="H14" s="292">
        <f t="shared" si="20"/>
        <v>0</v>
      </c>
      <c r="I14" s="137">
        <v>0</v>
      </c>
      <c r="J14" s="137">
        <f t="shared" si="21"/>
        <v>0</v>
      </c>
      <c r="K14" s="137">
        <v>0</v>
      </c>
      <c r="L14" s="256">
        <f t="shared" si="22"/>
        <v>0</v>
      </c>
      <c r="M14" s="136">
        <v>0</v>
      </c>
      <c r="N14" s="256">
        <f t="shared" si="12"/>
        <v>0</v>
      </c>
      <c r="O14" s="323">
        <f t="shared" si="3"/>
        <v>0</v>
      </c>
      <c r="P14" s="323">
        <f t="shared" si="4"/>
        <v>0</v>
      </c>
      <c r="Q14" s="135">
        <v>0</v>
      </c>
      <c r="R14" s="211">
        <f t="shared" si="19"/>
        <v>0</v>
      </c>
      <c r="S14" s="135">
        <v>0</v>
      </c>
      <c r="T14" s="159">
        <f t="shared" si="13"/>
        <v>0</v>
      </c>
      <c r="U14" s="159">
        <f t="shared" si="14"/>
        <v>0</v>
      </c>
      <c r="V14" s="159">
        <f t="shared" si="15"/>
        <v>0</v>
      </c>
      <c r="W14" s="294">
        <f t="shared" si="16"/>
        <v>0</v>
      </c>
      <c r="X14" s="162">
        <f t="shared" si="17"/>
        <v>0</v>
      </c>
      <c r="AA14" s="164">
        <f t="shared" si="5"/>
        <v>0</v>
      </c>
      <c r="AB14" s="165">
        <f t="shared" si="6"/>
        <v>0</v>
      </c>
      <c r="AC14" s="165">
        <f t="shared" si="7"/>
        <v>0</v>
      </c>
      <c r="AD14" s="165">
        <f t="shared" si="18"/>
        <v>0</v>
      </c>
      <c r="AE14" s="165">
        <f t="shared" si="8"/>
        <v>0</v>
      </c>
      <c r="AF14" s="165">
        <f t="shared" si="9"/>
        <v>0</v>
      </c>
      <c r="AG14" s="165"/>
      <c r="AH14" s="230">
        <f t="shared" si="10"/>
        <v>0</v>
      </c>
    </row>
    <row r="15" spans="2:34" ht="26.25" customHeight="1">
      <c r="B15" s="166">
        <f t="shared" si="11"/>
        <v>44604</v>
      </c>
      <c r="C15" s="221">
        <v>0</v>
      </c>
      <c r="D15" s="221">
        <v>0</v>
      </c>
      <c r="E15" s="291">
        <v>0</v>
      </c>
      <c r="F15" s="221">
        <v>0</v>
      </c>
      <c r="G15" s="221">
        <v>0</v>
      </c>
      <c r="H15" s="292">
        <f t="shared" si="20"/>
        <v>0</v>
      </c>
      <c r="I15" s="137">
        <v>0</v>
      </c>
      <c r="J15" s="137">
        <f t="shared" si="21"/>
        <v>0</v>
      </c>
      <c r="K15" s="298">
        <v>0</v>
      </c>
      <c r="L15" s="256">
        <f t="shared" si="22"/>
        <v>0</v>
      </c>
      <c r="M15" s="275">
        <v>0</v>
      </c>
      <c r="N15" s="299">
        <f>L15+M15</f>
        <v>0</v>
      </c>
      <c r="O15" s="323">
        <f t="shared" si="3"/>
        <v>0</v>
      </c>
      <c r="P15" s="323">
        <f t="shared" si="4"/>
        <v>0</v>
      </c>
      <c r="Q15" s="197">
        <v>0</v>
      </c>
      <c r="R15" s="279">
        <f t="shared" si="19"/>
        <v>0</v>
      </c>
      <c r="S15" s="197">
        <v>0</v>
      </c>
      <c r="T15" s="159">
        <f t="shared" si="13"/>
        <v>0</v>
      </c>
      <c r="U15" s="159">
        <f t="shared" si="14"/>
        <v>0</v>
      </c>
      <c r="V15" s="159">
        <f t="shared" si="15"/>
        <v>0</v>
      </c>
      <c r="W15" s="294">
        <f t="shared" si="16"/>
        <v>0</v>
      </c>
      <c r="X15" s="162">
        <f t="shared" si="17"/>
        <v>0</v>
      </c>
      <c r="AA15" s="164">
        <f t="shared" si="5"/>
        <v>0</v>
      </c>
      <c r="AB15" s="165">
        <f t="shared" si="6"/>
        <v>0</v>
      </c>
      <c r="AC15" s="165">
        <f t="shared" si="7"/>
        <v>0</v>
      </c>
      <c r="AD15" s="165">
        <f t="shared" si="18"/>
        <v>0</v>
      </c>
      <c r="AE15" s="165">
        <f t="shared" si="8"/>
        <v>0</v>
      </c>
      <c r="AF15" s="165">
        <f t="shared" si="9"/>
        <v>0</v>
      </c>
      <c r="AG15" s="165"/>
      <c r="AH15" s="230">
        <f t="shared" si="10"/>
        <v>0</v>
      </c>
    </row>
    <row r="16" spans="2:34" ht="26.25" customHeight="1">
      <c r="B16" s="166">
        <f t="shared" si="11"/>
        <v>44605</v>
      </c>
      <c r="C16" s="221">
        <v>0</v>
      </c>
      <c r="D16" s="221">
        <v>0</v>
      </c>
      <c r="E16" s="291">
        <v>0</v>
      </c>
      <c r="F16" s="221">
        <v>0</v>
      </c>
      <c r="G16" s="221">
        <v>0</v>
      </c>
      <c r="H16" s="292">
        <f t="shared" si="20"/>
        <v>0</v>
      </c>
      <c r="I16" s="137">
        <v>0</v>
      </c>
      <c r="J16" s="137">
        <f t="shared" si="21"/>
        <v>0</v>
      </c>
      <c r="K16" s="137">
        <v>0</v>
      </c>
      <c r="L16" s="256">
        <f t="shared" si="22"/>
        <v>0</v>
      </c>
      <c r="M16" s="275">
        <v>0</v>
      </c>
      <c r="N16" s="256">
        <f t="shared" si="12"/>
        <v>0</v>
      </c>
      <c r="O16" s="323">
        <f t="shared" si="3"/>
        <v>0</v>
      </c>
      <c r="P16" s="323">
        <f t="shared" si="4"/>
        <v>0</v>
      </c>
      <c r="Q16" s="197">
        <v>0</v>
      </c>
      <c r="R16" s="211">
        <f t="shared" si="19"/>
        <v>0</v>
      </c>
      <c r="S16" s="135">
        <v>0</v>
      </c>
      <c r="T16" s="159">
        <f t="shared" si="13"/>
        <v>0</v>
      </c>
      <c r="U16" s="159">
        <f t="shared" si="14"/>
        <v>0</v>
      </c>
      <c r="V16" s="159">
        <f t="shared" si="15"/>
        <v>0</v>
      </c>
      <c r="W16" s="294">
        <f t="shared" si="16"/>
        <v>0</v>
      </c>
      <c r="X16" s="162">
        <f t="shared" si="17"/>
        <v>0</v>
      </c>
      <c r="AA16" s="164">
        <f t="shared" si="5"/>
        <v>0</v>
      </c>
      <c r="AB16" s="165">
        <f t="shared" si="6"/>
        <v>0</v>
      </c>
      <c r="AC16" s="165">
        <f t="shared" si="7"/>
        <v>0</v>
      </c>
      <c r="AD16" s="165">
        <f t="shared" si="18"/>
        <v>0</v>
      </c>
      <c r="AE16" s="165">
        <f t="shared" si="8"/>
        <v>0</v>
      </c>
      <c r="AF16" s="165">
        <f t="shared" si="9"/>
        <v>0</v>
      </c>
      <c r="AG16" s="165"/>
      <c r="AH16" s="230">
        <f t="shared" si="10"/>
        <v>0</v>
      </c>
    </row>
    <row r="17" spans="2:34" s="296" customFormat="1" ht="26.25" customHeight="1">
      <c r="B17" s="297">
        <f t="shared" si="11"/>
        <v>44606</v>
      </c>
      <c r="C17" s="221">
        <v>0</v>
      </c>
      <c r="D17" s="221">
        <v>0</v>
      </c>
      <c r="E17" s="291">
        <v>0</v>
      </c>
      <c r="F17" s="221">
        <v>0</v>
      </c>
      <c r="G17" s="221">
        <v>0</v>
      </c>
      <c r="H17" s="292">
        <f t="shared" si="20"/>
        <v>0</v>
      </c>
      <c r="I17" s="137">
        <v>0</v>
      </c>
      <c r="J17" s="137">
        <f t="shared" si="21"/>
        <v>0</v>
      </c>
      <c r="K17" s="137">
        <v>0</v>
      </c>
      <c r="L17" s="256">
        <f t="shared" si="22"/>
        <v>0</v>
      </c>
      <c r="M17" s="275">
        <v>0</v>
      </c>
      <c r="N17" s="299">
        <f t="shared" si="12"/>
        <v>0</v>
      </c>
      <c r="O17" s="323">
        <f t="shared" si="3"/>
        <v>0</v>
      </c>
      <c r="P17" s="323">
        <f t="shared" si="4"/>
        <v>0</v>
      </c>
      <c r="Q17" s="197">
        <v>0</v>
      </c>
      <c r="R17" s="279">
        <f t="shared" si="19"/>
        <v>0</v>
      </c>
      <c r="S17" s="197">
        <v>0</v>
      </c>
      <c r="T17" s="300">
        <f t="shared" si="13"/>
        <v>0</v>
      </c>
      <c r="U17" s="300">
        <f t="shared" si="14"/>
        <v>0</v>
      </c>
      <c r="V17" s="300">
        <f t="shared" si="15"/>
        <v>0</v>
      </c>
      <c r="W17" s="301">
        <f t="shared" si="16"/>
        <v>0</v>
      </c>
      <c r="X17" s="302">
        <f t="shared" si="17"/>
        <v>0</v>
      </c>
      <c r="AA17" s="303">
        <f t="shared" si="5"/>
        <v>0</v>
      </c>
      <c r="AB17" s="304">
        <f t="shared" si="6"/>
        <v>0</v>
      </c>
      <c r="AC17" s="304">
        <f t="shared" si="7"/>
        <v>0</v>
      </c>
      <c r="AD17" s="165">
        <f t="shared" si="18"/>
        <v>0</v>
      </c>
      <c r="AE17" s="304">
        <f t="shared" si="8"/>
        <v>0</v>
      </c>
      <c r="AF17" s="304">
        <f t="shared" si="9"/>
        <v>0</v>
      </c>
      <c r="AG17" s="304"/>
      <c r="AH17" s="305">
        <f t="shared" si="10"/>
        <v>0</v>
      </c>
    </row>
    <row r="18" spans="2:34" s="296" customFormat="1" ht="26.25" customHeight="1">
      <c r="B18" s="297">
        <f t="shared" si="11"/>
        <v>44607</v>
      </c>
      <c r="C18" s="291">
        <v>0</v>
      </c>
      <c r="D18" s="291">
        <v>0</v>
      </c>
      <c r="E18" s="291">
        <v>0</v>
      </c>
      <c r="F18" s="221">
        <v>0</v>
      </c>
      <c r="G18" s="291">
        <v>0</v>
      </c>
      <c r="H18" s="292">
        <f t="shared" si="20"/>
        <v>0</v>
      </c>
      <c r="I18" s="298">
        <v>0</v>
      </c>
      <c r="J18" s="137">
        <f t="shared" si="21"/>
        <v>0</v>
      </c>
      <c r="K18" s="137">
        <v>0</v>
      </c>
      <c r="L18" s="256">
        <f t="shared" si="22"/>
        <v>0</v>
      </c>
      <c r="M18" s="275">
        <v>0</v>
      </c>
      <c r="N18" s="299">
        <f t="shared" si="12"/>
        <v>0</v>
      </c>
      <c r="O18" s="323">
        <f t="shared" si="3"/>
        <v>0</v>
      </c>
      <c r="P18" s="323">
        <f t="shared" si="4"/>
        <v>0</v>
      </c>
      <c r="Q18" s="197">
        <v>0</v>
      </c>
      <c r="R18" s="279">
        <f t="shared" si="19"/>
        <v>0</v>
      </c>
      <c r="S18" s="197">
        <v>0</v>
      </c>
      <c r="T18" s="300">
        <f t="shared" si="13"/>
        <v>0</v>
      </c>
      <c r="U18" s="300">
        <f t="shared" si="14"/>
        <v>0</v>
      </c>
      <c r="V18" s="300">
        <f t="shared" si="15"/>
        <v>0</v>
      </c>
      <c r="W18" s="301">
        <f t="shared" si="16"/>
        <v>0</v>
      </c>
      <c r="X18" s="302">
        <f t="shared" si="17"/>
        <v>0</v>
      </c>
      <c r="AA18" s="303">
        <f t="shared" si="5"/>
        <v>0</v>
      </c>
      <c r="AB18" s="304">
        <f t="shared" si="6"/>
        <v>0</v>
      </c>
      <c r="AC18" s="304">
        <f t="shared" si="7"/>
        <v>0</v>
      </c>
      <c r="AD18" s="304">
        <f t="shared" si="18"/>
        <v>0</v>
      </c>
      <c r="AE18" s="304">
        <f t="shared" si="8"/>
        <v>0</v>
      </c>
      <c r="AF18" s="304">
        <f t="shared" si="9"/>
        <v>0</v>
      </c>
      <c r="AG18" s="304"/>
      <c r="AH18" s="305">
        <f t="shared" si="10"/>
        <v>0</v>
      </c>
    </row>
    <row r="19" spans="2:34" ht="26.25" customHeight="1">
      <c r="B19" s="166">
        <f t="shared" si="11"/>
        <v>44608</v>
      </c>
      <c r="C19" s="291">
        <v>0</v>
      </c>
      <c r="D19" s="291">
        <v>0</v>
      </c>
      <c r="E19" s="291">
        <v>0</v>
      </c>
      <c r="F19" s="221">
        <v>0</v>
      </c>
      <c r="G19" s="221">
        <v>0</v>
      </c>
      <c r="H19" s="292">
        <f t="shared" si="20"/>
        <v>0</v>
      </c>
      <c r="I19" s="137">
        <v>0</v>
      </c>
      <c r="J19" s="137">
        <f t="shared" si="21"/>
        <v>0</v>
      </c>
      <c r="K19" s="137">
        <v>0</v>
      </c>
      <c r="L19" s="256">
        <f t="shared" si="22"/>
        <v>0</v>
      </c>
      <c r="M19" s="275">
        <v>0</v>
      </c>
      <c r="N19" s="256">
        <f t="shared" si="12"/>
        <v>0</v>
      </c>
      <c r="O19" s="323">
        <f t="shared" si="3"/>
        <v>0</v>
      </c>
      <c r="P19" s="323">
        <f t="shared" si="4"/>
        <v>0</v>
      </c>
      <c r="Q19" s="197">
        <v>0</v>
      </c>
      <c r="R19" s="211">
        <f t="shared" si="19"/>
        <v>0</v>
      </c>
      <c r="S19" s="197">
        <v>0</v>
      </c>
      <c r="T19" s="159">
        <f t="shared" si="13"/>
        <v>0</v>
      </c>
      <c r="U19" s="159">
        <f t="shared" si="14"/>
        <v>0</v>
      </c>
      <c r="V19" s="159">
        <f t="shared" si="15"/>
        <v>0</v>
      </c>
      <c r="W19" s="294">
        <f t="shared" si="16"/>
        <v>0</v>
      </c>
      <c r="X19" s="162">
        <f t="shared" si="17"/>
        <v>0</v>
      </c>
      <c r="AA19" s="164">
        <f t="shared" si="5"/>
        <v>0</v>
      </c>
      <c r="AB19" s="165">
        <f t="shared" si="6"/>
        <v>0</v>
      </c>
      <c r="AC19" s="165">
        <f t="shared" si="7"/>
        <v>0</v>
      </c>
      <c r="AD19" s="165">
        <f t="shared" si="18"/>
        <v>0</v>
      </c>
      <c r="AE19" s="165">
        <f t="shared" si="8"/>
        <v>0</v>
      </c>
      <c r="AF19" s="165">
        <f t="shared" si="9"/>
        <v>0</v>
      </c>
      <c r="AG19" s="165"/>
      <c r="AH19" s="230">
        <f t="shared" si="10"/>
        <v>0</v>
      </c>
    </row>
    <row r="20" spans="2:34" ht="26.25" customHeight="1">
      <c r="B20" s="166">
        <f t="shared" si="11"/>
        <v>44609</v>
      </c>
      <c r="C20" s="291">
        <v>0</v>
      </c>
      <c r="D20" s="291">
        <v>0</v>
      </c>
      <c r="E20" s="291">
        <v>0</v>
      </c>
      <c r="F20" s="221">
        <v>0</v>
      </c>
      <c r="G20" s="221">
        <v>0</v>
      </c>
      <c r="H20" s="292">
        <f t="shared" si="20"/>
        <v>0</v>
      </c>
      <c r="I20" s="137">
        <v>0</v>
      </c>
      <c r="J20" s="137">
        <f t="shared" si="21"/>
        <v>0</v>
      </c>
      <c r="K20" s="137">
        <v>0</v>
      </c>
      <c r="L20" s="256">
        <f t="shared" si="22"/>
        <v>0</v>
      </c>
      <c r="M20" s="275">
        <v>0</v>
      </c>
      <c r="N20" s="256">
        <f t="shared" si="12"/>
        <v>0</v>
      </c>
      <c r="O20" s="323">
        <f t="shared" si="3"/>
        <v>0</v>
      </c>
      <c r="P20" s="323">
        <f t="shared" si="4"/>
        <v>0</v>
      </c>
      <c r="Q20" s="197">
        <v>0</v>
      </c>
      <c r="R20" s="211">
        <f t="shared" si="19"/>
        <v>0</v>
      </c>
      <c r="S20" s="135">
        <v>0</v>
      </c>
      <c r="T20" s="159">
        <f t="shared" si="13"/>
        <v>0</v>
      </c>
      <c r="U20" s="159">
        <f t="shared" si="14"/>
        <v>0</v>
      </c>
      <c r="V20" s="159">
        <f t="shared" si="15"/>
        <v>0</v>
      </c>
      <c r="W20" s="294">
        <f t="shared" si="16"/>
        <v>0</v>
      </c>
      <c r="X20" s="162">
        <f t="shared" si="17"/>
        <v>0</v>
      </c>
      <c r="AA20" s="164">
        <f t="shared" si="5"/>
        <v>0</v>
      </c>
      <c r="AB20" s="165">
        <f t="shared" si="6"/>
        <v>0</v>
      </c>
      <c r="AC20" s="165">
        <f t="shared" si="7"/>
        <v>0</v>
      </c>
      <c r="AD20" s="165">
        <f t="shared" si="18"/>
        <v>0</v>
      </c>
      <c r="AE20" s="165">
        <f t="shared" si="8"/>
        <v>0</v>
      </c>
      <c r="AF20" s="165">
        <f t="shared" si="9"/>
        <v>0</v>
      </c>
      <c r="AG20" s="165"/>
      <c r="AH20" s="230">
        <f t="shared" si="10"/>
        <v>0</v>
      </c>
    </row>
    <row r="21" spans="2:34" ht="26.25" customHeight="1">
      <c r="B21" s="166">
        <f t="shared" si="11"/>
        <v>44610</v>
      </c>
      <c r="C21" s="291">
        <v>0</v>
      </c>
      <c r="D21" s="291">
        <v>0</v>
      </c>
      <c r="E21" s="291">
        <v>0</v>
      </c>
      <c r="F21" s="221">
        <v>0</v>
      </c>
      <c r="G21" s="221">
        <v>0</v>
      </c>
      <c r="H21" s="292">
        <f t="shared" si="20"/>
        <v>0</v>
      </c>
      <c r="I21" s="137">
        <v>0</v>
      </c>
      <c r="J21" s="137">
        <f t="shared" si="21"/>
        <v>0</v>
      </c>
      <c r="K21" s="137">
        <v>0</v>
      </c>
      <c r="L21" s="256">
        <f t="shared" si="22"/>
        <v>0</v>
      </c>
      <c r="M21" s="275">
        <v>0</v>
      </c>
      <c r="N21" s="256">
        <f t="shared" si="12"/>
        <v>0</v>
      </c>
      <c r="O21" s="323">
        <f t="shared" si="3"/>
        <v>0</v>
      </c>
      <c r="P21" s="323">
        <f t="shared" si="4"/>
        <v>0</v>
      </c>
      <c r="Q21" s="197">
        <v>0</v>
      </c>
      <c r="R21" s="211">
        <f t="shared" si="19"/>
        <v>0</v>
      </c>
      <c r="S21" s="135">
        <v>0</v>
      </c>
      <c r="T21" s="159">
        <f t="shared" si="13"/>
        <v>0</v>
      </c>
      <c r="U21" s="159">
        <f t="shared" si="14"/>
        <v>0</v>
      </c>
      <c r="V21" s="159">
        <f t="shared" si="15"/>
        <v>0</v>
      </c>
      <c r="W21" s="294">
        <f t="shared" si="16"/>
        <v>0</v>
      </c>
      <c r="X21" s="162">
        <f t="shared" si="17"/>
        <v>0</v>
      </c>
      <c r="AA21" s="164">
        <f t="shared" si="5"/>
        <v>0</v>
      </c>
      <c r="AB21" s="165">
        <f t="shared" si="6"/>
        <v>0</v>
      </c>
      <c r="AC21" s="165">
        <f t="shared" si="7"/>
        <v>0</v>
      </c>
      <c r="AD21" s="165">
        <f t="shared" si="18"/>
        <v>0</v>
      </c>
      <c r="AE21" s="165">
        <f t="shared" si="8"/>
        <v>0</v>
      </c>
      <c r="AF21" s="165">
        <f t="shared" si="9"/>
        <v>0</v>
      </c>
      <c r="AG21" s="165"/>
      <c r="AH21" s="230">
        <f t="shared" si="10"/>
        <v>0</v>
      </c>
    </row>
    <row r="22" spans="2:34" ht="26.25" customHeight="1">
      <c r="B22" s="166">
        <f t="shared" si="11"/>
        <v>44611</v>
      </c>
      <c r="C22" s="291">
        <v>0</v>
      </c>
      <c r="D22" s="291">
        <v>0</v>
      </c>
      <c r="E22" s="291">
        <v>0</v>
      </c>
      <c r="F22" s="221">
        <v>0</v>
      </c>
      <c r="G22" s="221">
        <v>0</v>
      </c>
      <c r="H22" s="292">
        <f t="shared" si="20"/>
        <v>0</v>
      </c>
      <c r="I22" s="137">
        <v>0</v>
      </c>
      <c r="J22" s="137">
        <f t="shared" si="21"/>
        <v>0</v>
      </c>
      <c r="K22" s="137">
        <v>0</v>
      </c>
      <c r="L22" s="256">
        <f t="shared" si="22"/>
        <v>0</v>
      </c>
      <c r="M22" s="275">
        <v>0</v>
      </c>
      <c r="N22" s="256">
        <f t="shared" si="12"/>
        <v>0</v>
      </c>
      <c r="O22" s="323">
        <f t="shared" si="3"/>
        <v>0</v>
      </c>
      <c r="P22" s="323">
        <f t="shared" si="4"/>
        <v>0</v>
      </c>
      <c r="Q22" s="135">
        <v>0</v>
      </c>
      <c r="R22" s="211">
        <f t="shared" si="19"/>
        <v>0</v>
      </c>
      <c r="S22" s="135">
        <v>0</v>
      </c>
      <c r="T22" s="159">
        <f t="shared" si="13"/>
        <v>0</v>
      </c>
      <c r="U22" s="159">
        <f t="shared" si="14"/>
        <v>0</v>
      </c>
      <c r="V22" s="159">
        <f t="shared" si="15"/>
        <v>0</v>
      </c>
      <c r="W22" s="294">
        <f t="shared" si="16"/>
        <v>0</v>
      </c>
      <c r="X22" s="162">
        <f t="shared" si="17"/>
        <v>0</v>
      </c>
      <c r="AA22" s="164">
        <f t="shared" si="5"/>
        <v>0</v>
      </c>
      <c r="AB22" s="165">
        <f t="shared" si="6"/>
        <v>0</v>
      </c>
      <c r="AC22" s="165">
        <f t="shared" si="7"/>
        <v>0</v>
      </c>
      <c r="AD22" s="165">
        <f t="shared" si="18"/>
        <v>0</v>
      </c>
      <c r="AE22" s="165">
        <f t="shared" si="8"/>
        <v>0</v>
      </c>
      <c r="AF22" s="165">
        <f t="shared" si="9"/>
        <v>0</v>
      </c>
      <c r="AG22" s="165"/>
      <c r="AH22" s="230">
        <f t="shared" si="10"/>
        <v>0</v>
      </c>
    </row>
    <row r="23" spans="2:34" ht="26.25" customHeight="1">
      <c r="B23" s="166">
        <f t="shared" si="11"/>
        <v>44612</v>
      </c>
      <c r="C23" s="221">
        <v>0</v>
      </c>
      <c r="D23" s="221">
        <v>0</v>
      </c>
      <c r="E23" s="221">
        <v>0</v>
      </c>
      <c r="F23" s="221">
        <v>0</v>
      </c>
      <c r="G23" s="221">
        <v>0</v>
      </c>
      <c r="H23" s="292">
        <f t="shared" si="20"/>
        <v>0</v>
      </c>
      <c r="I23" s="137">
        <v>0</v>
      </c>
      <c r="J23" s="137">
        <f t="shared" si="21"/>
        <v>0</v>
      </c>
      <c r="K23" s="137">
        <v>0</v>
      </c>
      <c r="L23" s="256">
        <f t="shared" si="22"/>
        <v>0</v>
      </c>
      <c r="M23" s="275">
        <v>0</v>
      </c>
      <c r="N23" s="256">
        <f t="shared" si="12"/>
        <v>0</v>
      </c>
      <c r="O23" s="323">
        <f t="shared" si="3"/>
        <v>0</v>
      </c>
      <c r="P23" s="323">
        <f t="shared" si="4"/>
        <v>0</v>
      </c>
      <c r="Q23" s="135">
        <v>0</v>
      </c>
      <c r="R23" s="211">
        <f t="shared" si="19"/>
        <v>0</v>
      </c>
      <c r="S23" s="135">
        <v>0</v>
      </c>
      <c r="T23" s="159">
        <f t="shared" si="13"/>
        <v>0</v>
      </c>
      <c r="U23" s="159">
        <f t="shared" si="14"/>
        <v>0</v>
      </c>
      <c r="V23" s="159">
        <f t="shared" si="15"/>
        <v>0</v>
      </c>
      <c r="W23" s="294">
        <f t="shared" si="16"/>
        <v>0</v>
      </c>
      <c r="X23" s="162">
        <f t="shared" si="17"/>
        <v>0</v>
      </c>
      <c r="AA23" s="164">
        <f t="shared" si="5"/>
        <v>0</v>
      </c>
      <c r="AB23" s="165">
        <f t="shared" si="6"/>
        <v>0</v>
      </c>
      <c r="AC23" s="165">
        <f t="shared" si="7"/>
        <v>0</v>
      </c>
      <c r="AD23" s="165">
        <f t="shared" si="18"/>
        <v>0</v>
      </c>
      <c r="AE23" s="165">
        <f t="shared" si="8"/>
        <v>0</v>
      </c>
      <c r="AF23" s="165">
        <f t="shared" si="9"/>
        <v>0</v>
      </c>
      <c r="AG23" s="165"/>
      <c r="AH23" s="230">
        <f t="shared" si="10"/>
        <v>0</v>
      </c>
    </row>
    <row r="24" spans="2:34" ht="26.25" customHeight="1">
      <c r="B24" s="198">
        <f t="shared" si="11"/>
        <v>44613</v>
      </c>
      <c r="C24" s="221">
        <v>0</v>
      </c>
      <c r="D24" s="221">
        <v>0</v>
      </c>
      <c r="E24" s="221">
        <v>0</v>
      </c>
      <c r="F24" s="221">
        <v>0</v>
      </c>
      <c r="G24" s="221">
        <v>0</v>
      </c>
      <c r="H24" s="292">
        <f t="shared" si="20"/>
        <v>0</v>
      </c>
      <c r="I24" s="137">
        <v>0</v>
      </c>
      <c r="J24" s="137">
        <f t="shared" si="21"/>
        <v>0</v>
      </c>
      <c r="K24" s="137">
        <v>0</v>
      </c>
      <c r="L24" s="256">
        <f t="shared" si="22"/>
        <v>0</v>
      </c>
      <c r="M24" s="275">
        <v>0</v>
      </c>
      <c r="N24" s="256">
        <f t="shared" si="12"/>
        <v>0</v>
      </c>
      <c r="O24" s="323">
        <f t="shared" si="3"/>
        <v>0</v>
      </c>
      <c r="P24" s="323">
        <f t="shared" si="4"/>
        <v>0</v>
      </c>
      <c r="Q24" s="135">
        <v>0</v>
      </c>
      <c r="R24" s="211">
        <f t="shared" si="19"/>
        <v>0</v>
      </c>
      <c r="S24" s="135">
        <v>0</v>
      </c>
      <c r="T24" s="159">
        <f t="shared" si="13"/>
        <v>0</v>
      </c>
      <c r="U24" s="159">
        <f t="shared" si="14"/>
        <v>0</v>
      </c>
      <c r="V24" s="159">
        <f t="shared" si="15"/>
        <v>0</v>
      </c>
      <c r="W24" s="294">
        <f t="shared" si="16"/>
        <v>0</v>
      </c>
      <c r="X24" s="162">
        <f t="shared" si="17"/>
        <v>0</v>
      </c>
      <c r="AA24" s="164">
        <f t="shared" si="5"/>
        <v>0</v>
      </c>
      <c r="AB24" s="165">
        <f t="shared" si="6"/>
        <v>0</v>
      </c>
      <c r="AC24" s="165">
        <f t="shared" si="7"/>
        <v>0</v>
      </c>
      <c r="AD24" s="165">
        <f t="shared" si="18"/>
        <v>0</v>
      </c>
      <c r="AE24" s="165">
        <f t="shared" si="8"/>
        <v>0</v>
      </c>
      <c r="AF24" s="165">
        <f t="shared" si="9"/>
        <v>0</v>
      </c>
      <c r="AG24" s="165"/>
      <c r="AH24" s="230">
        <f t="shared" si="10"/>
        <v>0</v>
      </c>
    </row>
    <row r="25" spans="2:34" ht="26.25" customHeight="1">
      <c r="B25" s="198">
        <f t="shared" si="11"/>
        <v>44614</v>
      </c>
      <c r="C25" s="221">
        <v>0</v>
      </c>
      <c r="D25" s="221">
        <v>0</v>
      </c>
      <c r="E25" s="221">
        <v>0</v>
      </c>
      <c r="F25" s="221">
        <v>0</v>
      </c>
      <c r="G25" s="221">
        <v>0</v>
      </c>
      <c r="H25" s="292">
        <f t="shared" si="20"/>
        <v>0</v>
      </c>
      <c r="I25" s="137">
        <v>0</v>
      </c>
      <c r="J25" s="137">
        <f t="shared" si="21"/>
        <v>0</v>
      </c>
      <c r="K25" s="137">
        <v>0</v>
      </c>
      <c r="L25" s="256">
        <f t="shared" si="22"/>
        <v>0</v>
      </c>
      <c r="M25" s="275">
        <v>0</v>
      </c>
      <c r="N25" s="256">
        <f t="shared" si="12"/>
        <v>0</v>
      </c>
      <c r="O25" s="323">
        <f t="shared" si="3"/>
        <v>0</v>
      </c>
      <c r="P25" s="323">
        <f t="shared" si="4"/>
        <v>0</v>
      </c>
      <c r="Q25" s="135">
        <v>0</v>
      </c>
      <c r="R25" s="211">
        <f t="shared" si="19"/>
        <v>0</v>
      </c>
      <c r="S25" s="135">
        <v>0</v>
      </c>
      <c r="T25" s="159">
        <f t="shared" si="13"/>
        <v>0</v>
      </c>
      <c r="U25" s="159">
        <f t="shared" si="14"/>
        <v>0</v>
      </c>
      <c r="V25" s="159">
        <f t="shared" si="15"/>
        <v>0</v>
      </c>
      <c r="W25" s="294">
        <f t="shared" si="16"/>
        <v>0</v>
      </c>
      <c r="X25" s="162">
        <f t="shared" si="17"/>
        <v>0</v>
      </c>
      <c r="AA25" s="164">
        <f t="shared" si="5"/>
        <v>0</v>
      </c>
      <c r="AB25" s="165">
        <f t="shared" si="6"/>
        <v>0</v>
      </c>
      <c r="AC25" s="165">
        <f t="shared" si="7"/>
        <v>0</v>
      </c>
      <c r="AD25" s="165">
        <f t="shared" si="18"/>
        <v>0</v>
      </c>
      <c r="AE25" s="165">
        <f t="shared" si="8"/>
        <v>0</v>
      </c>
      <c r="AF25" s="165">
        <f t="shared" si="9"/>
        <v>0</v>
      </c>
      <c r="AG25" s="165"/>
      <c r="AH25" s="230">
        <f t="shared" si="10"/>
        <v>0</v>
      </c>
    </row>
    <row r="26" spans="2:34" ht="26.25" customHeight="1">
      <c r="B26" s="166">
        <f t="shared" si="11"/>
        <v>44615</v>
      </c>
      <c r="C26" s="221">
        <v>0</v>
      </c>
      <c r="D26" s="221">
        <v>0</v>
      </c>
      <c r="E26" s="221">
        <v>0</v>
      </c>
      <c r="F26" s="221">
        <v>0</v>
      </c>
      <c r="G26" s="221">
        <v>0</v>
      </c>
      <c r="H26" s="292">
        <f t="shared" si="20"/>
        <v>0</v>
      </c>
      <c r="I26" s="137">
        <v>0</v>
      </c>
      <c r="J26" s="137">
        <f t="shared" si="21"/>
        <v>0</v>
      </c>
      <c r="K26" s="137">
        <v>0</v>
      </c>
      <c r="L26" s="256">
        <f t="shared" si="22"/>
        <v>0</v>
      </c>
      <c r="M26" s="275">
        <v>0</v>
      </c>
      <c r="N26" s="256">
        <f t="shared" si="12"/>
        <v>0</v>
      </c>
      <c r="O26" s="323">
        <f t="shared" si="3"/>
        <v>0</v>
      </c>
      <c r="P26" s="323">
        <f t="shared" si="4"/>
        <v>0</v>
      </c>
      <c r="Q26" s="135">
        <v>0</v>
      </c>
      <c r="R26" s="211">
        <f t="shared" si="19"/>
        <v>0</v>
      </c>
      <c r="S26" s="135">
        <v>0</v>
      </c>
      <c r="T26" s="159">
        <f t="shared" si="13"/>
        <v>0</v>
      </c>
      <c r="U26" s="159">
        <f t="shared" si="14"/>
        <v>0</v>
      </c>
      <c r="V26" s="159">
        <f t="shared" si="15"/>
        <v>0</v>
      </c>
      <c r="W26" s="294">
        <f t="shared" si="16"/>
        <v>0</v>
      </c>
      <c r="X26" s="162">
        <f t="shared" si="17"/>
        <v>0</v>
      </c>
      <c r="AA26" s="164">
        <f t="shared" si="5"/>
        <v>0</v>
      </c>
      <c r="AB26" s="165">
        <f t="shared" si="6"/>
        <v>0</v>
      </c>
      <c r="AC26" s="165">
        <f t="shared" si="7"/>
        <v>0</v>
      </c>
      <c r="AD26" s="165">
        <f t="shared" si="18"/>
        <v>0</v>
      </c>
      <c r="AE26" s="165">
        <f t="shared" si="8"/>
        <v>0</v>
      </c>
      <c r="AF26" s="165">
        <f t="shared" si="9"/>
        <v>0</v>
      </c>
      <c r="AG26" s="165"/>
      <c r="AH26" s="230">
        <f t="shared" si="10"/>
        <v>0</v>
      </c>
    </row>
    <row r="27" spans="2:34" ht="26.25" customHeight="1">
      <c r="B27" s="166">
        <f t="shared" si="11"/>
        <v>44616</v>
      </c>
      <c r="C27" s="221">
        <v>0</v>
      </c>
      <c r="D27" s="221">
        <v>0</v>
      </c>
      <c r="E27" s="221">
        <v>0</v>
      </c>
      <c r="F27" s="221">
        <v>0</v>
      </c>
      <c r="G27" s="221">
        <v>0</v>
      </c>
      <c r="H27" s="292">
        <f t="shared" si="20"/>
        <v>0</v>
      </c>
      <c r="I27" s="137">
        <v>0</v>
      </c>
      <c r="J27" s="137">
        <f t="shared" si="21"/>
        <v>0</v>
      </c>
      <c r="K27" s="137">
        <v>0</v>
      </c>
      <c r="L27" s="256">
        <f t="shared" si="22"/>
        <v>0</v>
      </c>
      <c r="M27" s="275">
        <v>0</v>
      </c>
      <c r="N27" s="256">
        <f t="shared" si="12"/>
        <v>0</v>
      </c>
      <c r="O27" s="323">
        <f t="shared" si="3"/>
        <v>0</v>
      </c>
      <c r="P27" s="323">
        <f t="shared" si="4"/>
        <v>0</v>
      </c>
      <c r="Q27" s="135">
        <v>0</v>
      </c>
      <c r="R27" s="211">
        <f t="shared" si="19"/>
        <v>0</v>
      </c>
      <c r="S27" s="135">
        <v>0</v>
      </c>
      <c r="T27" s="159">
        <f t="shared" si="13"/>
        <v>0</v>
      </c>
      <c r="U27" s="159">
        <f t="shared" si="14"/>
        <v>0</v>
      </c>
      <c r="V27" s="159">
        <f t="shared" si="15"/>
        <v>0</v>
      </c>
      <c r="W27" s="294">
        <f t="shared" si="16"/>
        <v>0</v>
      </c>
      <c r="X27" s="162">
        <f t="shared" si="17"/>
        <v>0</v>
      </c>
      <c r="AA27" s="164">
        <f t="shared" si="5"/>
        <v>0</v>
      </c>
      <c r="AB27" s="165">
        <f t="shared" si="6"/>
        <v>0</v>
      </c>
      <c r="AC27" s="165">
        <f t="shared" si="7"/>
        <v>0</v>
      </c>
      <c r="AD27" s="165">
        <f t="shared" si="18"/>
        <v>0</v>
      </c>
      <c r="AE27" s="165">
        <f t="shared" si="8"/>
        <v>0</v>
      </c>
      <c r="AF27" s="165">
        <f t="shared" si="9"/>
        <v>0</v>
      </c>
      <c r="AG27" s="165"/>
      <c r="AH27" s="230">
        <f t="shared" si="10"/>
        <v>0</v>
      </c>
    </row>
    <row r="28" spans="2:34" ht="26.25" customHeight="1">
      <c r="B28" s="166">
        <f t="shared" si="11"/>
        <v>44617</v>
      </c>
      <c r="C28" s="221">
        <v>0</v>
      </c>
      <c r="D28" s="221">
        <v>0</v>
      </c>
      <c r="E28" s="221">
        <v>0</v>
      </c>
      <c r="F28" s="221">
        <v>0</v>
      </c>
      <c r="G28" s="221">
        <v>0</v>
      </c>
      <c r="H28" s="292">
        <f t="shared" si="20"/>
        <v>0</v>
      </c>
      <c r="I28" s="137">
        <v>0</v>
      </c>
      <c r="J28" s="137">
        <f t="shared" si="21"/>
        <v>0</v>
      </c>
      <c r="K28" s="137">
        <v>0</v>
      </c>
      <c r="L28" s="256">
        <f t="shared" si="22"/>
        <v>0</v>
      </c>
      <c r="M28" s="275">
        <v>0</v>
      </c>
      <c r="N28" s="278">
        <f t="shared" si="12"/>
        <v>0</v>
      </c>
      <c r="O28" s="323">
        <f t="shared" si="3"/>
        <v>0</v>
      </c>
      <c r="P28" s="323">
        <f t="shared" si="4"/>
        <v>0</v>
      </c>
      <c r="Q28" s="135">
        <v>0</v>
      </c>
      <c r="R28" s="211">
        <f t="shared" si="19"/>
        <v>0</v>
      </c>
      <c r="S28" s="135">
        <v>0</v>
      </c>
      <c r="T28" s="159">
        <f t="shared" si="13"/>
        <v>0</v>
      </c>
      <c r="U28" s="159">
        <f t="shared" si="14"/>
        <v>0</v>
      </c>
      <c r="V28" s="159">
        <f t="shared" si="15"/>
        <v>0</v>
      </c>
      <c r="W28" s="294">
        <f t="shared" si="16"/>
        <v>0</v>
      </c>
      <c r="X28" s="162">
        <f t="shared" si="17"/>
        <v>0</v>
      </c>
      <c r="AA28" s="164">
        <f t="shared" si="5"/>
        <v>0</v>
      </c>
      <c r="AB28" s="165">
        <f t="shared" si="6"/>
        <v>0</v>
      </c>
      <c r="AC28" s="165">
        <f t="shared" si="7"/>
        <v>0</v>
      </c>
      <c r="AD28" s="165">
        <f t="shared" si="18"/>
        <v>0</v>
      </c>
      <c r="AE28" s="165">
        <f t="shared" si="8"/>
        <v>0</v>
      </c>
      <c r="AF28" s="165">
        <f t="shared" si="9"/>
        <v>0</v>
      </c>
      <c r="AG28" s="165"/>
      <c r="AH28" s="230">
        <f t="shared" si="10"/>
        <v>0</v>
      </c>
    </row>
    <row r="29" spans="2:34" ht="26.25" customHeight="1">
      <c r="B29" s="166">
        <f t="shared" si="11"/>
        <v>44618</v>
      </c>
      <c r="C29" s="221">
        <v>0</v>
      </c>
      <c r="D29" s="221">
        <v>0</v>
      </c>
      <c r="E29" s="221">
        <v>0</v>
      </c>
      <c r="F29" s="221">
        <v>0</v>
      </c>
      <c r="G29" s="221">
        <v>0</v>
      </c>
      <c r="H29" s="292">
        <f t="shared" si="20"/>
        <v>0</v>
      </c>
      <c r="I29" s="137">
        <v>0</v>
      </c>
      <c r="J29" s="137">
        <f t="shared" si="21"/>
        <v>0</v>
      </c>
      <c r="K29" s="137">
        <v>0</v>
      </c>
      <c r="L29" s="256">
        <f t="shared" si="22"/>
        <v>0</v>
      </c>
      <c r="M29" s="275">
        <v>0</v>
      </c>
      <c r="N29" s="256">
        <f t="shared" si="12"/>
        <v>0</v>
      </c>
      <c r="O29" s="323">
        <f t="shared" si="3"/>
        <v>0</v>
      </c>
      <c r="P29" s="323">
        <f t="shared" si="4"/>
        <v>0</v>
      </c>
      <c r="Q29" s="309"/>
      <c r="R29" s="211">
        <f t="shared" si="19"/>
        <v>0</v>
      </c>
      <c r="S29" s="135">
        <v>0</v>
      </c>
      <c r="T29" s="159">
        <f t="shared" si="13"/>
        <v>0</v>
      </c>
      <c r="U29" s="159">
        <f t="shared" si="14"/>
        <v>0</v>
      </c>
      <c r="V29" s="159">
        <f t="shared" si="15"/>
        <v>0</v>
      </c>
      <c r="W29" s="294">
        <f t="shared" si="16"/>
        <v>0</v>
      </c>
      <c r="X29" s="162">
        <f t="shared" si="17"/>
        <v>0</v>
      </c>
      <c r="AA29" s="164">
        <f t="shared" si="5"/>
        <v>0</v>
      </c>
      <c r="AB29" s="165">
        <f t="shared" si="6"/>
        <v>0</v>
      </c>
      <c r="AC29" s="165">
        <f t="shared" si="7"/>
        <v>0</v>
      </c>
      <c r="AD29" s="165">
        <f t="shared" si="18"/>
        <v>0</v>
      </c>
      <c r="AE29" s="165">
        <f t="shared" si="8"/>
        <v>0</v>
      </c>
      <c r="AF29" s="165">
        <f t="shared" si="9"/>
        <v>0</v>
      </c>
      <c r="AG29" s="165"/>
      <c r="AH29" s="230">
        <f t="shared" si="10"/>
        <v>0</v>
      </c>
    </row>
    <row r="30" spans="2:34" ht="26.25" customHeight="1">
      <c r="B30" s="166">
        <f t="shared" si="11"/>
        <v>44619</v>
      </c>
      <c r="C30" s="221">
        <v>0</v>
      </c>
      <c r="D30" s="221">
        <v>0</v>
      </c>
      <c r="E30" s="221">
        <v>0</v>
      </c>
      <c r="F30" s="221">
        <v>0</v>
      </c>
      <c r="G30" s="221">
        <v>0</v>
      </c>
      <c r="H30" s="292">
        <f t="shared" si="20"/>
        <v>0</v>
      </c>
      <c r="I30" s="137">
        <v>0</v>
      </c>
      <c r="J30" s="137">
        <f t="shared" si="21"/>
        <v>0</v>
      </c>
      <c r="K30" s="137">
        <v>0</v>
      </c>
      <c r="L30" s="256">
        <f t="shared" si="22"/>
        <v>0</v>
      </c>
      <c r="M30" s="275">
        <v>0</v>
      </c>
      <c r="N30" s="256">
        <f>L30+M30</f>
        <v>0</v>
      </c>
      <c r="O30" s="323">
        <f t="shared" si="3"/>
        <v>0</v>
      </c>
      <c r="P30" s="323">
        <f t="shared" si="4"/>
        <v>0</v>
      </c>
      <c r="Q30" s="135"/>
      <c r="R30" s="211">
        <f t="shared" si="19"/>
        <v>0</v>
      </c>
      <c r="S30" s="135">
        <v>0</v>
      </c>
      <c r="T30" s="159">
        <f t="shared" si="13"/>
        <v>0</v>
      </c>
      <c r="U30" s="159">
        <f t="shared" si="14"/>
        <v>0</v>
      </c>
      <c r="V30" s="159">
        <f t="shared" si="15"/>
        <v>0</v>
      </c>
      <c r="W30" s="294">
        <f t="shared" si="16"/>
        <v>0</v>
      </c>
      <c r="X30" s="162">
        <f t="shared" si="17"/>
        <v>0</v>
      </c>
      <c r="AA30" s="164">
        <f t="shared" si="5"/>
        <v>0</v>
      </c>
      <c r="AB30" s="165">
        <f t="shared" si="6"/>
        <v>0</v>
      </c>
      <c r="AC30" s="165">
        <f t="shared" si="7"/>
        <v>0</v>
      </c>
      <c r="AD30" s="165">
        <f t="shared" si="18"/>
        <v>0</v>
      </c>
      <c r="AE30" s="165">
        <f t="shared" si="8"/>
        <v>0</v>
      </c>
      <c r="AF30" s="165">
        <f t="shared" si="9"/>
        <v>0</v>
      </c>
      <c r="AG30" s="165"/>
      <c r="AH30" s="230">
        <f t="shared" si="10"/>
        <v>0</v>
      </c>
    </row>
    <row r="31" spans="2:34" ht="26.25" customHeight="1">
      <c r="B31" s="166">
        <f t="shared" si="11"/>
        <v>44620</v>
      </c>
      <c r="C31" s="221">
        <v>0</v>
      </c>
      <c r="D31" s="221">
        <v>0</v>
      </c>
      <c r="E31" s="221">
        <v>0</v>
      </c>
      <c r="F31" s="221">
        <v>0</v>
      </c>
      <c r="G31" s="221">
        <v>0</v>
      </c>
      <c r="H31" s="292">
        <f t="shared" si="20"/>
        <v>0</v>
      </c>
      <c r="I31" s="137">
        <v>0</v>
      </c>
      <c r="J31" s="137">
        <f t="shared" si="21"/>
        <v>0</v>
      </c>
      <c r="K31" s="137">
        <v>0</v>
      </c>
      <c r="L31" s="256">
        <f t="shared" si="22"/>
        <v>0</v>
      </c>
      <c r="M31" s="136">
        <v>0</v>
      </c>
      <c r="N31" s="256">
        <f>L31+M31</f>
        <v>0</v>
      </c>
      <c r="O31" s="323">
        <f t="shared" si="3"/>
        <v>0</v>
      </c>
      <c r="P31" s="323">
        <f t="shared" si="4"/>
        <v>0</v>
      </c>
      <c r="Q31" s="135">
        <v>0</v>
      </c>
      <c r="R31" s="211">
        <f t="shared" si="19"/>
        <v>0</v>
      </c>
      <c r="S31" s="135">
        <v>0</v>
      </c>
      <c r="T31" s="159">
        <f t="shared" si="13"/>
        <v>0</v>
      </c>
      <c r="U31" s="159">
        <f t="shared" si="14"/>
        <v>0</v>
      </c>
      <c r="V31" s="159">
        <f t="shared" si="15"/>
        <v>0</v>
      </c>
      <c r="W31" s="294">
        <f t="shared" si="16"/>
        <v>0</v>
      </c>
      <c r="X31" s="162">
        <f t="shared" si="17"/>
        <v>0</v>
      </c>
      <c r="AA31" s="164">
        <f t="shared" si="5"/>
        <v>0</v>
      </c>
      <c r="AB31" s="165">
        <f t="shared" si="6"/>
        <v>0</v>
      </c>
      <c r="AC31" s="165">
        <f t="shared" si="7"/>
        <v>0</v>
      </c>
      <c r="AD31" s="165">
        <f t="shared" si="18"/>
        <v>0</v>
      </c>
      <c r="AE31" s="165">
        <f t="shared" si="8"/>
        <v>0</v>
      </c>
      <c r="AF31" s="165">
        <f t="shared" si="9"/>
        <v>0</v>
      </c>
      <c r="AG31" s="165"/>
      <c r="AH31" s="230">
        <f t="shared" si="10"/>
        <v>0</v>
      </c>
    </row>
    <row r="32" spans="2:34" ht="26.25" customHeight="1">
      <c r="B32" s="166">
        <f t="shared" si="11"/>
        <v>44621</v>
      </c>
      <c r="C32" s="221"/>
      <c r="D32" s="221"/>
      <c r="E32" s="221"/>
      <c r="F32" s="221"/>
      <c r="G32" s="221"/>
      <c r="H32" s="292">
        <f t="shared" si="20"/>
        <v>0</v>
      </c>
      <c r="I32" s="137"/>
      <c r="J32" s="137">
        <f t="shared" si="21"/>
        <v>0</v>
      </c>
      <c r="K32" s="137"/>
      <c r="L32" s="256">
        <f t="shared" si="22"/>
        <v>0</v>
      </c>
      <c r="M32" s="136"/>
      <c r="N32" s="256">
        <f t="shared" si="12"/>
        <v>0</v>
      </c>
      <c r="O32" s="323">
        <f t="shared" si="3"/>
        <v>0</v>
      </c>
      <c r="P32" s="323">
        <f t="shared" si="4"/>
        <v>0</v>
      </c>
      <c r="Q32" s="135"/>
      <c r="R32" s="211">
        <f t="shared" si="19"/>
        <v>0</v>
      </c>
      <c r="S32" s="135">
        <v>0</v>
      </c>
      <c r="T32" s="159">
        <f t="shared" si="13"/>
        <v>0</v>
      </c>
      <c r="U32" s="159">
        <f t="shared" si="14"/>
        <v>0</v>
      </c>
      <c r="V32" s="159">
        <f t="shared" si="15"/>
        <v>0</v>
      </c>
      <c r="W32" s="294">
        <f t="shared" si="16"/>
        <v>0</v>
      </c>
      <c r="X32" s="162">
        <f t="shared" si="17"/>
        <v>0</v>
      </c>
      <c r="AA32" s="164">
        <f t="shared" si="5"/>
        <v>0</v>
      </c>
      <c r="AB32" s="165">
        <f t="shared" si="6"/>
        <v>0</v>
      </c>
      <c r="AC32" s="165">
        <f t="shared" si="7"/>
        <v>0</v>
      </c>
      <c r="AD32" s="165">
        <f t="shared" si="18"/>
        <v>0</v>
      </c>
      <c r="AE32" s="165">
        <f t="shared" si="8"/>
        <v>0</v>
      </c>
      <c r="AF32" s="165">
        <f t="shared" si="9"/>
        <v>0</v>
      </c>
      <c r="AG32" s="165"/>
      <c r="AH32" s="230">
        <f t="shared" si="10"/>
        <v>0</v>
      </c>
    </row>
    <row r="33" spans="2:34" ht="26.25" customHeight="1">
      <c r="B33" s="166">
        <f t="shared" si="11"/>
        <v>44622</v>
      </c>
      <c r="C33" s="221"/>
      <c r="D33" s="221"/>
      <c r="E33" s="221"/>
      <c r="F33" s="221"/>
      <c r="G33" s="221"/>
      <c r="H33" s="292">
        <f t="shared" si="20"/>
        <v>0</v>
      </c>
      <c r="I33" s="137"/>
      <c r="J33" s="137">
        <f t="shared" si="21"/>
        <v>0</v>
      </c>
      <c r="K33" s="137"/>
      <c r="L33" s="256">
        <f t="shared" si="22"/>
        <v>0</v>
      </c>
      <c r="M33" s="136"/>
      <c r="N33" s="256">
        <f>L33+M33</f>
        <v>0</v>
      </c>
      <c r="O33" s="323">
        <f t="shared" si="3"/>
        <v>0</v>
      </c>
      <c r="P33" s="323">
        <f t="shared" si="4"/>
        <v>0</v>
      </c>
      <c r="Q33" s="135"/>
      <c r="R33" s="211">
        <f t="shared" si="19"/>
        <v>0</v>
      </c>
      <c r="S33" s="135">
        <v>0</v>
      </c>
      <c r="T33" s="159">
        <f t="shared" si="13"/>
        <v>0</v>
      </c>
      <c r="U33" s="159">
        <f t="shared" si="14"/>
        <v>0</v>
      </c>
      <c r="V33" s="159">
        <f t="shared" si="15"/>
        <v>0</v>
      </c>
      <c r="W33" s="294">
        <f t="shared" si="16"/>
        <v>0</v>
      </c>
      <c r="X33" s="162">
        <f t="shared" si="17"/>
        <v>0</v>
      </c>
      <c r="AA33" s="164">
        <f t="shared" si="5"/>
        <v>0</v>
      </c>
      <c r="AB33" s="165">
        <f t="shared" si="6"/>
        <v>0</v>
      </c>
      <c r="AC33" s="165">
        <f t="shared" si="7"/>
        <v>0</v>
      </c>
      <c r="AD33" s="165">
        <f t="shared" si="18"/>
        <v>0</v>
      </c>
      <c r="AE33" s="165">
        <f t="shared" si="8"/>
        <v>0</v>
      </c>
      <c r="AF33" s="165">
        <f t="shared" si="9"/>
        <v>0</v>
      </c>
      <c r="AG33" s="165"/>
      <c r="AH33" s="230">
        <f t="shared" si="10"/>
        <v>0</v>
      </c>
    </row>
    <row r="34" spans="2:34" ht="26.25" customHeight="1">
      <c r="B34" s="166">
        <f t="shared" si="11"/>
        <v>44623</v>
      </c>
      <c r="C34" s="221"/>
      <c r="D34" s="221"/>
      <c r="E34" s="221"/>
      <c r="F34" s="221"/>
      <c r="G34" s="221"/>
      <c r="H34" s="292">
        <f t="shared" si="20"/>
        <v>0</v>
      </c>
      <c r="I34" s="137"/>
      <c r="J34" s="137">
        <f t="shared" si="21"/>
        <v>0</v>
      </c>
      <c r="K34" s="137"/>
      <c r="L34" s="256">
        <f t="shared" si="22"/>
        <v>0</v>
      </c>
      <c r="M34" s="136"/>
      <c r="N34" s="256">
        <f t="shared" si="12"/>
        <v>0</v>
      </c>
      <c r="O34" s="323">
        <f t="shared" si="3"/>
        <v>0</v>
      </c>
      <c r="P34" s="323">
        <f t="shared" si="4"/>
        <v>0</v>
      </c>
      <c r="Q34" s="135"/>
      <c r="R34" s="211">
        <f>Q34-S34</f>
        <v>0</v>
      </c>
      <c r="S34" s="135">
        <v>0</v>
      </c>
      <c r="T34" s="159">
        <f t="shared" si="13"/>
        <v>0</v>
      </c>
      <c r="U34" s="159">
        <f t="shared" si="14"/>
        <v>0</v>
      </c>
      <c r="V34" s="159">
        <f t="shared" si="15"/>
        <v>0</v>
      </c>
      <c r="W34" s="294">
        <f t="shared" si="16"/>
        <v>0</v>
      </c>
      <c r="X34" s="162">
        <f t="shared" si="17"/>
        <v>0</v>
      </c>
      <c r="AA34" s="164">
        <f t="shared" si="5"/>
        <v>0</v>
      </c>
      <c r="AB34" s="165">
        <f t="shared" si="6"/>
        <v>0</v>
      </c>
      <c r="AC34" s="165">
        <f t="shared" si="7"/>
        <v>0</v>
      </c>
      <c r="AD34" s="165">
        <f t="shared" si="18"/>
        <v>0</v>
      </c>
      <c r="AE34" s="165">
        <f t="shared" si="8"/>
        <v>0</v>
      </c>
      <c r="AF34" s="165">
        <f t="shared" si="9"/>
        <v>0</v>
      </c>
      <c r="AG34" s="165"/>
      <c r="AH34" s="230">
        <f t="shared" si="10"/>
        <v>0</v>
      </c>
    </row>
    <row r="35" spans="2:34" ht="26.25" customHeight="1" thickBot="1">
      <c r="B35" s="138"/>
      <c r="C35" s="139"/>
      <c r="D35" s="139"/>
      <c r="E35" s="139"/>
      <c r="F35" s="140"/>
      <c r="G35" s="325"/>
      <c r="H35" s="326">
        <f t="shared" si="20"/>
        <v>0</v>
      </c>
      <c r="I35" s="142"/>
      <c r="J35" s="142">
        <f t="shared" si="21"/>
        <v>0</v>
      </c>
      <c r="K35" s="142"/>
      <c r="L35" s="143"/>
      <c r="M35" s="143"/>
      <c r="N35" s="143"/>
      <c r="O35" s="322"/>
      <c r="P35" s="322"/>
      <c r="Q35" s="144"/>
      <c r="R35" s="212"/>
      <c r="S35" s="144"/>
      <c r="T35" s="160"/>
      <c r="U35" s="160"/>
      <c r="V35" s="160"/>
      <c r="W35" s="295"/>
      <c r="X35" s="163"/>
      <c r="AA35" s="164"/>
      <c r="AB35" s="165"/>
      <c r="AC35" s="165"/>
      <c r="AD35" s="165"/>
      <c r="AE35" s="165"/>
      <c r="AF35" s="165"/>
      <c r="AG35" s="165"/>
      <c r="AH35" s="230"/>
    </row>
    <row r="36" spans="2:34" ht="14.25" customHeight="1" thickBot="1">
      <c r="H36" s="324"/>
      <c r="AB36" s="165"/>
    </row>
    <row r="37" spans="2:34" ht="23.25" customHeight="1" thickBot="1">
      <c r="B37" s="145" t="s">
        <v>99</v>
      </c>
      <c r="C37" s="175">
        <f>SUM(C4:C35)</f>
        <v>0</v>
      </c>
      <c r="D37" s="175">
        <f t="shared" ref="D37:X37" si="23">SUM(D4:D35)</f>
        <v>0</v>
      </c>
      <c r="E37" s="175">
        <f t="shared" si="23"/>
        <v>0</v>
      </c>
      <c r="F37" s="175">
        <f t="shared" si="23"/>
        <v>0</v>
      </c>
      <c r="G37" s="175">
        <f t="shared" si="23"/>
        <v>0</v>
      </c>
      <c r="H37" s="175">
        <f t="shared" si="23"/>
        <v>0</v>
      </c>
      <c r="I37" s="175">
        <f>SUM(I4:I35)</f>
        <v>0</v>
      </c>
      <c r="J37" s="175">
        <f>SUM(J4:J35)</f>
        <v>0</v>
      </c>
      <c r="K37" s="175">
        <f t="shared" si="23"/>
        <v>0</v>
      </c>
      <c r="L37" s="175">
        <f>SUM(L4:L35)</f>
        <v>0</v>
      </c>
      <c r="M37" s="277">
        <f t="shared" si="23"/>
        <v>0</v>
      </c>
      <c r="N37" s="277">
        <f t="shared" si="23"/>
        <v>0</v>
      </c>
      <c r="O37" s="175">
        <f t="shared" si="23"/>
        <v>0</v>
      </c>
      <c r="P37" s="175">
        <f t="shared" si="23"/>
        <v>0</v>
      </c>
      <c r="Q37" s="175">
        <f t="shared" si="23"/>
        <v>0</v>
      </c>
      <c r="R37" s="175">
        <f t="shared" si="23"/>
        <v>0</v>
      </c>
      <c r="S37" s="175">
        <f t="shared" si="23"/>
        <v>0</v>
      </c>
      <c r="T37" s="175">
        <f t="shared" si="23"/>
        <v>0</v>
      </c>
      <c r="U37" s="175">
        <f t="shared" si="23"/>
        <v>0</v>
      </c>
      <c r="V37" s="175">
        <f t="shared" si="23"/>
        <v>0</v>
      </c>
      <c r="W37" s="175">
        <f t="shared" si="23"/>
        <v>0</v>
      </c>
      <c r="X37" s="274">
        <f t="shared" si="23"/>
        <v>0</v>
      </c>
    </row>
    <row r="38" spans="2:34" ht="19.5" customHeight="1">
      <c r="I38" s="146"/>
      <c r="J38" s="146"/>
      <c r="K38" s="146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</row>
    <row r="39" spans="2:34" ht="19.5" customHeight="1">
      <c r="I39" s="146"/>
      <c r="J39" s="146"/>
      <c r="K39" s="146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</row>
    <row r="40" spans="2:34" ht="24" customHeight="1">
      <c r="C40" s="242" t="s">
        <v>163</v>
      </c>
      <c r="D40" s="242"/>
      <c r="E40" s="242"/>
      <c r="F40" s="173"/>
      <c r="G40" s="173"/>
      <c r="H40" s="411">
        <f>-H37</f>
        <v>0</v>
      </c>
      <c r="I40" s="411"/>
      <c r="J40" s="353"/>
      <c r="K40" s="264"/>
      <c r="L40" s="264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</row>
    <row r="41" spans="2:34" ht="24" customHeight="1">
      <c r="C41" s="242" t="s">
        <v>178</v>
      </c>
      <c r="D41" s="242"/>
      <c r="E41" s="242"/>
      <c r="F41" s="150"/>
      <c r="G41" s="150"/>
      <c r="H41" s="418">
        <f>N37</f>
        <v>0</v>
      </c>
      <c r="I41" s="418"/>
      <c r="J41" s="354"/>
      <c r="K41" s="264"/>
      <c r="L41" s="264"/>
      <c r="M41" s="173"/>
      <c r="N41" s="257" t="s">
        <v>167</v>
      </c>
      <c r="O41" s="173"/>
      <c r="P41" s="173"/>
      <c r="Q41" s="173"/>
      <c r="R41" s="173"/>
      <c r="S41" s="173"/>
      <c r="T41" s="257" t="s">
        <v>171</v>
      </c>
      <c r="U41" s="173"/>
      <c r="V41" s="173"/>
      <c r="W41" s="173"/>
      <c r="Y41" s="173"/>
      <c r="Z41" s="173"/>
      <c r="AA41" s="173"/>
    </row>
    <row r="42" spans="2:34" ht="24" customHeight="1" thickBot="1">
      <c r="C42" s="242" t="s">
        <v>176</v>
      </c>
      <c r="D42" s="242"/>
      <c r="E42" s="242"/>
      <c r="F42" s="150"/>
      <c r="G42" s="150"/>
      <c r="H42" s="419">
        <f>-ROUNDDOWN(H41*50%,0)</f>
        <v>0</v>
      </c>
      <c r="I42" s="419"/>
      <c r="J42" s="354"/>
      <c r="K42" s="264"/>
      <c r="L42" s="264"/>
      <c r="M42" s="173"/>
      <c r="N42" s="148" t="s">
        <v>168</v>
      </c>
      <c r="O42" s="246"/>
      <c r="P42" s="246"/>
      <c r="Q42" s="246"/>
      <c r="R42" s="173"/>
      <c r="S42" s="173"/>
      <c r="T42" s="148" t="s">
        <v>189</v>
      </c>
      <c r="U42" s="173"/>
      <c r="V42" s="173"/>
      <c r="W42" s="173"/>
      <c r="Y42" s="173"/>
      <c r="Z42" s="173"/>
      <c r="AA42" s="173"/>
    </row>
    <row r="43" spans="2:34" ht="8.25" customHeight="1" thickTop="1">
      <c r="C43" s="242"/>
      <c r="D43" s="242"/>
      <c r="E43" s="242"/>
      <c r="F43" s="150"/>
      <c r="G43" s="150"/>
      <c r="H43" s="173"/>
      <c r="I43" s="265"/>
      <c r="J43" s="265"/>
      <c r="K43" s="264"/>
      <c r="L43" s="264"/>
      <c r="M43" s="173"/>
      <c r="N43" s="148"/>
      <c r="O43" s="173"/>
      <c r="P43" s="173"/>
      <c r="Q43" s="173"/>
      <c r="R43" s="173"/>
      <c r="S43" s="173"/>
      <c r="T43" s="148"/>
      <c r="U43" s="173"/>
      <c r="V43" s="173"/>
      <c r="W43" s="173"/>
      <c r="Y43" s="173"/>
      <c r="Z43" s="173"/>
      <c r="AA43" s="173"/>
    </row>
    <row r="44" spans="2:34" ht="24" customHeight="1">
      <c r="C44" s="242" t="s">
        <v>164</v>
      </c>
      <c r="D44" s="242"/>
      <c r="E44" s="242"/>
      <c r="F44" s="150"/>
      <c r="G44" s="150"/>
      <c r="H44" s="413">
        <f>R37</f>
        <v>0</v>
      </c>
      <c r="I44" s="413"/>
      <c r="J44" s="354"/>
      <c r="K44" s="264"/>
      <c r="L44" s="264"/>
      <c r="M44" s="173"/>
      <c r="N44" s="257" t="s">
        <v>169</v>
      </c>
      <c r="O44" s="173"/>
      <c r="P44" s="173"/>
      <c r="Q44" s="173"/>
      <c r="R44" s="173"/>
      <c r="S44" s="173"/>
      <c r="T44" s="257" t="s">
        <v>169</v>
      </c>
      <c r="U44" s="173"/>
      <c r="V44" s="173"/>
      <c r="W44" s="173"/>
      <c r="Z44" s="173"/>
      <c r="AA44" s="173"/>
    </row>
    <row r="45" spans="2:34" ht="24" customHeight="1">
      <c r="C45" s="242" t="s">
        <v>200</v>
      </c>
      <c r="D45" s="242"/>
      <c r="E45" s="242"/>
      <c r="F45" s="150"/>
      <c r="G45" s="150"/>
      <c r="H45" s="413">
        <f>H44*1.7%</f>
        <v>0</v>
      </c>
      <c r="I45" s="413"/>
      <c r="J45" s="354"/>
      <c r="K45" s="264"/>
      <c r="L45" s="264"/>
      <c r="M45" s="173"/>
      <c r="N45" s="148" t="s">
        <v>170</v>
      </c>
      <c r="O45" s="246"/>
      <c r="P45" s="246"/>
      <c r="Q45" s="246"/>
      <c r="R45" s="173"/>
      <c r="S45" s="173"/>
      <c r="T45" s="148" t="s">
        <v>204</v>
      </c>
      <c r="U45" s="173"/>
      <c r="V45" s="173"/>
      <c r="W45" s="173"/>
      <c r="Z45" s="173"/>
      <c r="AA45" s="173"/>
    </row>
    <row r="46" spans="2:34" ht="24" customHeight="1">
      <c r="C46" s="242" t="s">
        <v>198</v>
      </c>
      <c r="D46" s="242"/>
      <c r="E46" s="242"/>
      <c r="F46" s="150"/>
      <c r="G46" s="150"/>
      <c r="H46" s="413">
        <f>-H45*50%</f>
        <v>0</v>
      </c>
      <c r="I46" s="413"/>
      <c r="J46" s="354"/>
      <c r="K46" s="264"/>
      <c r="L46" s="264"/>
      <c r="M46" s="173"/>
      <c r="N46" s="148"/>
      <c r="O46" s="173"/>
      <c r="P46" s="173"/>
      <c r="Q46" s="173"/>
      <c r="R46" s="173"/>
      <c r="S46" s="173"/>
      <c r="V46" s="148"/>
      <c r="W46" s="148"/>
      <c r="Z46" s="173"/>
      <c r="AA46" s="173"/>
    </row>
    <row r="47" spans="2:34" ht="24" customHeight="1">
      <c r="C47" s="242" t="s">
        <v>201</v>
      </c>
      <c r="D47" s="242"/>
      <c r="E47" s="242"/>
      <c r="F47" s="150"/>
      <c r="G47" s="150"/>
      <c r="H47" s="413">
        <f>S37</f>
        <v>0</v>
      </c>
      <c r="I47" s="413"/>
      <c r="J47" s="354"/>
      <c r="K47" s="264"/>
      <c r="L47" s="264"/>
      <c r="M47" s="173"/>
      <c r="N47" s="148"/>
      <c r="O47" s="173"/>
      <c r="P47" s="173"/>
      <c r="Q47" s="173"/>
      <c r="R47" s="173"/>
      <c r="S47" s="173"/>
      <c r="V47" s="148"/>
      <c r="W47" s="148"/>
      <c r="Z47" s="173"/>
      <c r="AA47" s="173"/>
    </row>
    <row r="48" spans="2:34" ht="24" customHeight="1">
      <c r="C48" s="242" t="s">
        <v>202</v>
      </c>
      <c r="D48" s="242"/>
      <c r="E48" s="242"/>
      <c r="F48" s="150"/>
      <c r="G48" s="150"/>
      <c r="H48" s="413">
        <f>T37</f>
        <v>0</v>
      </c>
      <c r="I48" s="413"/>
      <c r="J48" s="354"/>
      <c r="K48" s="264"/>
      <c r="L48" s="264"/>
      <c r="M48" s="173"/>
      <c r="N48" s="148"/>
      <c r="O48" s="173"/>
      <c r="P48" s="173"/>
      <c r="Q48" s="173"/>
      <c r="R48" s="173"/>
      <c r="S48" s="173"/>
      <c r="V48" s="148"/>
      <c r="W48" s="148"/>
      <c r="Z48" s="173"/>
      <c r="AA48" s="173"/>
    </row>
    <row r="49" spans="2:27" ht="24" customHeight="1">
      <c r="C49" s="242" t="s">
        <v>199</v>
      </c>
      <c r="D49" s="242"/>
      <c r="E49" s="242"/>
      <c r="F49" s="150"/>
      <c r="G49" s="150"/>
      <c r="H49" s="413">
        <f>-H48*50%</f>
        <v>0</v>
      </c>
      <c r="I49" s="413"/>
      <c r="J49" s="354"/>
      <c r="K49" s="264"/>
      <c r="L49" s="264"/>
      <c r="M49" s="173"/>
      <c r="N49" s="148"/>
      <c r="O49" s="173"/>
      <c r="P49" s="173"/>
      <c r="Q49" s="173"/>
      <c r="R49" s="173"/>
      <c r="S49" s="173"/>
      <c r="V49" s="148"/>
      <c r="W49" s="148"/>
      <c r="Z49" s="173"/>
      <c r="AA49" s="173"/>
    </row>
    <row r="50" spans="2:27" ht="24" customHeight="1">
      <c r="B50" s="149"/>
      <c r="C50" s="242" t="s">
        <v>177</v>
      </c>
      <c r="D50" s="124"/>
      <c r="E50" s="124"/>
      <c r="F50" s="124"/>
      <c r="G50" s="124"/>
      <c r="H50" s="413">
        <v>0</v>
      </c>
      <c r="I50" s="413"/>
      <c r="J50" s="354"/>
      <c r="K50" s="264"/>
      <c r="L50" s="264"/>
      <c r="M50" s="173"/>
      <c r="N50" s="356"/>
      <c r="O50" s="148"/>
      <c r="P50" s="173"/>
      <c r="Q50" s="173"/>
      <c r="R50" s="173"/>
      <c r="S50" s="173"/>
      <c r="V50" s="148"/>
      <c r="W50" s="148"/>
      <c r="Z50" s="173"/>
      <c r="AA50" s="173"/>
    </row>
    <row r="51" spans="2:27" ht="24" customHeight="1" thickBot="1">
      <c r="B51" s="149"/>
      <c r="C51" s="242"/>
      <c r="D51" s="242"/>
      <c r="E51" s="242"/>
      <c r="F51" s="173"/>
      <c r="G51" s="173"/>
      <c r="H51" s="420">
        <f>ROUNDDOWN(H45+H46+H49+H50,0)</f>
        <v>0</v>
      </c>
      <c r="I51" s="420"/>
      <c r="J51" s="354"/>
      <c r="K51" s="264"/>
      <c r="L51" s="264"/>
      <c r="M51" s="173"/>
      <c r="N51" s="257" t="s">
        <v>173</v>
      </c>
      <c r="O51" s="173"/>
      <c r="P51" s="173"/>
      <c r="Q51" s="173"/>
      <c r="R51" s="173"/>
      <c r="S51" s="173"/>
      <c r="T51" s="257" t="s">
        <v>45</v>
      </c>
      <c r="U51" s="173"/>
      <c r="V51" s="173"/>
      <c r="W51" s="173"/>
      <c r="Z51" s="173"/>
      <c r="AA51" s="173"/>
    </row>
    <row r="52" spans="2:27" ht="21.75" customHeight="1" thickTop="1">
      <c r="B52" s="149"/>
      <c r="C52" s="242"/>
      <c r="D52" s="242"/>
      <c r="E52" s="242"/>
      <c r="F52" s="173"/>
      <c r="G52" s="173"/>
      <c r="H52" s="173"/>
      <c r="I52" s="353"/>
      <c r="J52" s="354"/>
      <c r="K52" s="264"/>
      <c r="L52" s="264"/>
      <c r="M52" s="173"/>
      <c r="N52" s="148" t="s">
        <v>172</v>
      </c>
      <c r="O52" s="246"/>
      <c r="P52" s="246"/>
      <c r="Q52" s="246"/>
      <c r="R52" s="173"/>
      <c r="S52" s="173"/>
      <c r="T52" s="148" t="s">
        <v>191</v>
      </c>
      <c r="U52" s="173"/>
      <c r="V52" s="173"/>
      <c r="W52" s="173"/>
      <c r="Z52" s="173"/>
      <c r="AA52" s="173"/>
    </row>
    <row r="53" spans="2:27" ht="30" customHeight="1">
      <c r="B53" s="149"/>
      <c r="C53" s="242" t="s">
        <v>203</v>
      </c>
      <c r="D53" s="242"/>
      <c r="E53" s="242"/>
      <c r="F53" s="173"/>
      <c r="G53" s="173"/>
      <c r="H53" s="421">
        <f>H42+H51</f>
        <v>0</v>
      </c>
      <c r="I53" s="421"/>
      <c r="J53" s="354"/>
      <c r="K53" s="284"/>
      <c r="L53" s="284"/>
      <c r="M53" s="173"/>
      <c r="N53" s="148"/>
      <c r="O53" s="173"/>
      <c r="P53" s="173"/>
      <c r="Q53" s="173"/>
      <c r="R53" s="173"/>
      <c r="S53" s="173"/>
      <c r="T53" s="148"/>
      <c r="U53" s="173"/>
      <c r="V53" s="173"/>
      <c r="W53" s="173"/>
      <c r="Z53" s="173"/>
      <c r="AA53" s="173"/>
    </row>
    <row r="54" spans="2:27" ht="26.25" customHeight="1">
      <c r="B54" s="255"/>
      <c r="C54" s="242"/>
      <c r="D54" s="124"/>
      <c r="E54" s="124"/>
      <c r="F54" s="124"/>
      <c r="G54" s="124"/>
      <c r="H54" s="422"/>
      <c r="I54" s="422"/>
      <c r="J54" s="354"/>
      <c r="K54" s="283"/>
      <c r="L54" s="283"/>
      <c r="M54" s="173"/>
      <c r="N54" s="257" t="s">
        <v>169</v>
      </c>
      <c r="R54" s="173"/>
      <c r="S54" s="173"/>
      <c r="T54" s="257" t="s">
        <v>169</v>
      </c>
      <c r="U54" s="150"/>
      <c r="V54" s="150"/>
      <c r="W54" s="150"/>
      <c r="Z54" s="173"/>
      <c r="AA54" s="173"/>
    </row>
    <row r="55" spans="2:27" ht="26.25" customHeight="1">
      <c r="B55" s="254"/>
      <c r="C55" s="242" t="s">
        <v>175</v>
      </c>
      <c r="D55" s="242"/>
      <c r="E55" s="242"/>
      <c r="H55" s="412">
        <f>H40+H53</f>
        <v>0</v>
      </c>
      <c r="I55" s="412"/>
      <c r="J55" s="354"/>
      <c r="K55" s="283"/>
      <c r="L55" s="283"/>
      <c r="M55" s="173"/>
      <c r="N55" s="148" t="s">
        <v>170</v>
      </c>
      <c r="O55" s="248"/>
      <c r="P55" s="248"/>
      <c r="Q55" s="248"/>
      <c r="R55" s="173"/>
      <c r="S55" s="173"/>
      <c r="T55" s="148" t="s">
        <v>205</v>
      </c>
      <c r="U55" s="150"/>
      <c r="V55" s="150"/>
      <c r="W55" s="150"/>
      <c r="Z55" s="173"/>
      <c r="AA55" s="173"/>
    </row>
    <row r="56" spans="2:27" ht="25.5" customHeight="1">
      <c r="D56" s="242"/>
      <c r="E56" s="242"/>
      <c r="G56" s="254"/>
      <c r="K56" s="283"/>
      <c r="L56" s="283"/>
      <c r="M56" s="173"/>
      <c r="S56" s="173"/>
      <c r="Z56" s="150"/>
      <c r="AA56" s="150"/>
    </row>
    <row r="57" spans="2:27" ht="28.5">
      <c r="B57" s="124"/>
      <c r="C57" s="124"/>
      <c r="D57" s="124"/>
      <c r="E57" s="124"/>
      <c r="F57" s="124"/>
      <c r="I57" s="151"/>
      <c r="J57" s="151"/>
      <c r="K57" s="283"/>
      <c r="L57" s="283"/>
      <c r="M57" s="173"/>
      <c r="N57" s="148"/>
      <c r="O57" s="148"/>
      <c r="T57" s="148"/>
      <c r="U57" s="150"/>
      <c r="V57" s="150"/>
      <c r="W57" s="150"/>
      <c r="Y57" s="150"/>
      <c r="Z57" s="150"/>
      <c r="AA57" s="150"/>
    </row>
    <row r="58" spans="2:27" ht="28.5">
      <c r="B58" s="124"/>
      <c r="C58" s="124"/>
      <c r="D58" s="124"/>
      <c r="E58" s="124"/>
      <c r="F58" s="124"/>
      <c r="G58" s="124"/>
      <c r="H58" s="124"/>
      <c r="K58" s="283"/>
      <c r="L58" s="173"/>
      <c r="M58" s="355"/>
      <c r="N58" s="148"/>
      <c r="U58" s="148"/>
      <c r="V58" s="150"/>
      <c r="W58" s="150"/>
      <c r="X58" s="150"/>
      <c r="Y58" s="150"/>
      <c r="Z58" s="150"/>
    </row>
    <row r="59" spans="2:27" ht="28.5">
      <c r="B59" s="124"/>
      <c r="C59" s="124"/>
      <c r="D59" s="124"/>
      <c r="E59" s="124"/>
      <c r="F59" s="124"/>
      <c r="G59" s="124"/>
      <c r="H59" s="124"/>
      <c r="L59" s="153"/>
      <c r="N59" s="148"/>
      <c r="T59" s="148"/>
      <c r="U59" s="173"/>
      <c r="V59" s="173"/>
      <c r="W59" s="173"/>
      <c r="Y59" s="150"/>
    </row>
    <row r="60" spans="2:27" ht="23.25">
      <c r="G60" s="124"/>
      <c r="H60" s="124"/>
      <c r="L60" s="154"/>
      <c r="N60" s="257"/>
      <c r="T60" s="257"/>
      <c r="U60" s="150"/>
      <c r="V60" s="150"/>
      <c r="W60" s="150"/>
      <c r="Y60" s="150"/>
    </row>
    <row r="61" spans="2:27" ht="18.75">
      <c r="L61" s="155"/>
      <c r="M61" s="153"/>
      <c r="N61" s="148"/>
      <c r="T61" s="148"/>
      <c r="U61" s="150"/>
      <c r="V61" s="150"/>
      <c r="W61" s="150"/>
    </row>
    <row r="62" spans="2:27" ht="18.75">
      <c r="L62" s="156"/>
      <c r="M62" s="154"/>
      <c r="N62" s="247"/>
      <c r="T62" s="150"/>
      <c r="U62" s="150"/>
    </row>
    <row r="63" spans="2:27">
      <c r="L63" s="156"/>
      <c r="M63" s="155"/>
    </row>
    <row r="64" spans="2:27" ht="15.75">
      <c r="L64" s="156"/>
      <c r="M64" s="156"/>
      <c r="N64" s="153"/>
      <c r="Q64" s="152"/>
    </row>
    <row r="65" spans="9:24">
      <c r="L65" s="156"/>
      <c r="M65" s="156"/>
      <c r="N65" s="154"/>
    </row>
    <row r="66" spans="9:24">
      <c r="L66" s="156"/>
      <c r="M66" s="156"/>
      <c r="N66" s="155"/>
    </row>
    <row r="67" spans="9:24">
      <c r="L67" s="156"/>
      <c r="M67" s="156"/>
      <c r="N67" s="156"/>
    </row>
    <row r="68" spans="9:24">
      <c r="L68" s="156"/>
      <c r="M68" s="156"/>
      <c r="N68" s="156"/>
    </row>
    <row r="69" spans="9:24" s="123" customFormat="1">
      <c r="I69" s="124"/>
      <c r="J69" s="124"/>
      <c r="K69" s="124"/>
      <c r="L69" s="156"/>
      <c r="M69" s="156"/>
      <c r="N69" s="156"/>
      <c r="O69" s="124"/>
      <c r="P69" s="124"/>
      <c r="Q69" s="124"/>
      <c r="R69" s="124"/>
      <c r="S69" s="124"/>
      <c r="T69" s="124"/>
      <c r="U69" s="124"/>
      <c r="V69" s="124"/>
      <c r="W69" s="124"/>
      <c r="X69" s="124"/>
    </row>
    <row r="70" spans="9:24">
      <c r="L70" s="156"/>
      <c r="M70" s="156"/>
      <c r="N70" s="156"/>
    </row>
    <row r="71" spans="9:24">
      <c r="L71" s="156"/>
      <c r="M71" s="156"/>
      <c r="N71" s="156"/>
    </row>
    <row r="72" spans="9:24">
      <c r="M72" s="156"/>
      <c r="N72" s="156"/>
    </row>
    <row r="73" spans="9:24">
      <c r="M73" s="156"/>
      <c r="N73" s="156"/>
    </row>
    <row r="74" spans="9:24">
      <c r="N74" s="156"/>
    </row>
    <row r="75" spans="9:24">
      <c r="N75" s="156"/>
    </row>
    <row r="76" spans="9:24">
      <c r="N76" s="156"/>
    </row>
  </sheetData>
  <sheetProtection algorithmName="SHA-512" hashValue="I4GNbElD1+qqEnZeH+1Evq79n9GZVlIDsocIj/tLABfa3HE689mz6TXOnNzVNTSULBuYYuevf+4huwIpQtEGtg==" saltValue="51uqdHfKhX1aECCDtFUaoA==" spinCount="100000" sheet="1" objects="1" scenarios="1"/>
  <mergeCells count="15">
    <mergeCell ref="H53:I53"/>
    <mergeCell ref="H54:I54"/>
    <mergeCell ref="H55:I55"/>
    <mergeCell ref="H46:I46"/>
    <mergeCell ref="H47:I47"/>
    <mergeCell ref="H48:I48"/>
    <mergeCell ref="H49:I49"/>
    <mergeCell ref="H50:I50"/>
    <mergeCell ref="H51:I51"/>
    <mergeCell ref="H45:I45"/>
    <mergeCell ref="B2:X2"/>
    <mergeCell ref="H40:I40"/>
    <mergeCell ref="H41:I41"/>
    <mergeCell ref="H42:I42"/>
    <mergeCell ref="H44:I44"/>
  </mergeCells>
  <printOptions horizontalCentered="1"/>
  <pageMargins left="0" right="0" top="0" bottom="0" header="0" footer="0"/>
  <pageSetup scale="38" orientation="landscape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L59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M7" sqref="M7"/>
    </sheetView>
  </sheetViews>
  <sheetFormatPr defaultRowHeight="15"/>
  <cols>
    <col min="1" max="1" width="11.28515625" style="54" customWidth="1"/>
    <col min="2" max="2" width="23.5703125" style="59" bestFit="1" customWidth="1"/>
    <col min="3" max="7" width="22.7109375" style="59" customWidth="1"/>
    <col min="8" max="8" width="22.7109375" style="59" hidden="1" customWidth="1"/>
    <col min="9" max="10" width="22.7109375" style="59" customWidth="1"/>
    <col min="11" max="11" width="9.140625" style="59"/>
    <col min="12" max="12" width="9.85546875" style="59" bestFit="1" customWidth="1"/>
    <col min="13" max="16384" width="9.140625" style="59"/>
  </cols>
  <sheetData>
    <row r="1" spans="1:12">
      <c r="A1" s="390" t="s">
        <v>93</v>
      </c>
      <c r="B1" s="390"/>
      <c r="C1" s="390"/>
      <c r="D1" s="390"/>
      <c r="E1" s="390"/>
      <c r="F1" s="390"/>
      <c r="G1" s="390"/>
      <c r="H1" s="390"/>
      <c r="I1" s="390"/>
      <c r="J1" s="390"/>
    </row>
    <row r="2" spans="1:12" ht="24.95" customHeight="1" thickBot="1">
      <c r="A2" s="390"/>
      <c r="B2" s="390"/>
      <c r="C2" s="390"/>
      <c r="D2" s="390"/>
      <c r="E2" s="390"/>
      <c r="F2" s="390"/>
      <c r="G2" s="390"/>
      <c r="H2" s="390"/>
      <c r="I2" s="390"/>
      <c r="J2" s="390"/>
    </row>
    <row r="3" spans="1:12" s="54" customFormat="1" ht="30" customHeight="1">
      <c r="A3" s="102" t="s">
        <v>94</v>
      </c>
      <c r="B3" s="104" t="s">
        <v>95</v>
      </c>
      <c r="C3" s="98" t="s">
        <v>102</v>
      </c>
      <c r="D3" s="99" t="s">
        <v>80</v>
      </c>
      <c r="E3" s="98" t="s">
        <v>78</v>
      </c>
      <c r="F3" s="98" t="s">
        <v>79</v>
      </c>
      <c r="G3" s="99" t="s">
        <v>81</v>
      </c>
      <c r="H3" s="99" t="s">
        <v>82</v>
      </c>
      <c r="I3" s="99" t="s">
        <v>83</v>
      </c>
      <c r="J3" s="100" t="s">
        <v>77</v>
      </c>
    </row>
    <row r="4" spans="1:12" s="54" customFormat="1" ht="24.95" customHeight="1">
      <c r="A4" s="103">
        <v>44440</v>
      </c>
      <c r="B4" s="105" t="e">
        <f>IFERROR(VLOOKUP($A4,#REF!,2,FALSE),"")+VLOOKUP($A4,#REF!,2,FALSE)+VLOOKUP($A4,#REF!,2,FALSE)+VLOOKUP($A4,#REF!,2,FALSE)</f>
        <v>#VALUE!</v>
      </c>
      <c r="C4" s="105" t="e">
        <f>IFERROR(VLOOKUP($A4,#REF!,3,FALSE),"")+VLOOKUP($A4,#REF!,3,FALSE)+VLOOKUP($A4,#REF!,3,FALSE)+VLOOKUP($A4,#REF!,3,FALSE)</f>
        <v>#VALUE!</v>
      </c>
      <c r="D4" s="105" t="e">
        <f>IFERROR(VLOOKUP($A4,#REF!,4,FALSE),"")+VLOOKUP($A4,#REF!,4,FALSE)+VLOOKUP($A4,#REF!,4,FALSE)+VLOOKUP($A4,#REF!,4,FALSE)</f>
        <v>#VALUE!</v>
      </c>
      <c r="E4" s="105" t="e">
        <f>IFERROR(VLOOKUP($A4,#REF!,6,FALSE),"")+VLOOKUP($A4,#REF!,6,FALSE)+VLOOKUP($A4,#REF!,6,FALSE)+VLOOKUP($A4,#REF!,6,FALSE)+VLOOKUP($A4,#REF!,7,FALSE)+VLOOKUP($A4,#REF!,7,FALSE)+VLOOKUP($A4,#REF!,7,FALSE)+VLOOKUP($A4,#REF!,7,FALSE)</f>
        <v>#VALUE!</v>
      </c>
      <c r="F4" s="105" t="e">
        <f>IFERROR(VLOOKUP($A4,#REF!,10,FALSE),"")+VLOOKUP($A4,#REF!,10,FALSE)+VLOOKUP($A4,#REF!,10,FALSE)+VLOOKUP($A4,#REF!,10,FALSE)+VLOOKUP($A4,#REF!,11,FALSE)+VLOOKUP($A4,#REF!,11,FALSE)+VLOOKUP($A4,#REF!,11,FALSE)+VLOOKUP($A4,#REF!,11,FALSE)</f>
        <v>#VALUE!</v>
      </c>
      <c r="G4" s="105" t="e">
        <f>IFERROR(VLOOKUP($A4,#REF!,9,FALSE),"")+VLOOKUP($A4,#REF!,9,FALSE)+VLOOKUP($A4,#REF!,9,FALSE)+VLOOKUP($A4,#REF!,9,FALSE)</f>
        <v>#VALUE!</v>
      </c>
      <c r="H4" s="101"/>
      <c r="I4" s="101"/>
      <c r="J4" s="105" t="e">
        <f>IFERROR(VLOOKUP($A4,#REF!,15,FALSE),"")+VLOOKUP($A4,#REF!,15,FALSE)+VLOOKUP($A4,#REF!,15,FALSE)+VLOOKUP($A4,#REF!,15,FALSE)</f>
        <v>#VALUE!</v>
      </c>
      <c r="L4" s="58"/>
    </row>
    <row r="5" spans="1:12" s="54" customFormat="1" ht="24.95" customHeight="1">
      <c r="A5" s="103">
        <v>44441</v>
      </c>
      <c r="B5" s="105" t="e">
        <f>IFERROR(VLOOKUP($A5,#REF!,2,FALSE),"")+VLOOKUP($A5,#REF!,2,FALSE)+VLOOKUP($A5,#REF!,2,FALSE)+VLOOKUP($A5,#REF!,2,FALSE)</f>
        <v>#VALUE!</v>
      </c>
      <c r="C5" s="105" t="e">
        <f>IFERROR(VLOOKUP($A5,#REF!,3,FALSE),"")+VLOOKUP($A5,#REF!,3,FALSE)+VLOOKUP($A5,#REF!,3,FALSE)+VLOOKUP($A5,#REF!,3,FALSE)</f>
        <v>#VALUE!</v>
      </c>
      <c r="D5" s="105" t="e">
        <f>IFERROR(VLOOKUP($A5,#REF!,4,FALSE),"")+VLOOKUP($A5,#REF!,4,FALSE)+VLOOKUP($A5,#REF!,4,FALSE)+VLOOKUP($A5,#REF!,4,FALSE)</f>
        <v>#VALUE!</v>
      </c>
      <c r="E5" s="105" t="e">
        <f>IFERROR(VLOOKUP($A5,#REF!,6,FALSE),"")+VLOOKUP($A5,#REF!,6,FALSE)+VLOOKUP($A5,#REF!,6,FALSE)+VLOOKUP($A5,#REF!,6,FALSE)+VLOOKUP($A5,#REF!,7,FALSE)+VLOOKUP($A5,#REF!,7,FALSE)+VLOOKUP($A5,#REF!,7,FALSE)+VLOOKUP($A5,#REF!,7,FALSE)</f>
        <v>#VALUE!</v>
      </c>
      <c r="F5" s="105" t="e">
        <f>IFERROR(VLOOKUP($A5,#REF!,10,FALSE),"")+VLOOKUP($A5,#REF!,10,FALSE)+VLOOKUP($A5,#REF!,10,FALSE)+VLOOKUP($A5,#REF!,10,FALSE)+VLOOKUP($A5,#REF!,11,FALSE)+VLOOKUP($A5,#REF!,11,FALSE)+VLOOKUP($A5,#REF!,11,FALSE)+VLOOKUP($A5,#REF!,11,FALSE)</f>
        <v>#VALUE!</v>
      </c>
      <c r="G5" s="105" t="e">
        <f>IFERROR(VLOOKUP($A5,#REF!,9,FALSE),"")+VLOOKUP($A5,#REF!,9,FALSE)+VLOOKUP($A5,#REF!,9,FALSE)+VLOOKUP($A5,#REF!,9,FALSE)</f>
        <v>#VALUE!</v>
      </c>
      <c r="H5" s="101"/>
      <c r="I5" s="101"/>
      <c r="J5" s="105" t="e">
        <f>IFERROR(VLOOKUP($A5,#REF!,15,FALSE),"")+VLOOKUP($A5,#REF!,15,FALSE)+VLOOKUP($A5,#REF!,15,FALSE)+VLOOKUP($A5,#REF!,15,FALSE)</f>
        <v>#VALUE!</v>
      </c>
      <c r="L5" s="58"/>
    </row>
    <row r="6" spans="1:12" s="54" customFormat="1" ht="24.95" customHeight="1">
      <c r="A6" s="103">
        <v>44442</v>
      </c>
      <c r="B6" s="105" t="e">
        <f>IFERROR(VLOOKUP($A6,#REF!,2,FALSE),"")+VLOOKUP($A6,#REF!,2,FALSE)+VLOOKUP($A6,#REF!,2,FALSE)+VLOOKUP($A6,#REF!,2,FALSE)</f>
        <v>#VALUE!</v>
      </c>
      <c r="C6" s="105" t="e">
        <f>IFERROR(VLOOKUP($A6,#REF!,3,FALSE),"")+VLOOKUP($A6,#REF!,3,FALSE)+VLOOKUP($A6,#REF!,3,FALSE)+VLOOKUP($A6,#REF!,3,FALSE)</f>
        <v>#VALUE!</v>
      </c>
      <c r="D6" s="105" t="e">
        <f>IFERROR(VLOOKUP($A6,#REF!,4,FALSE),"")+VLOOKUP($A6,#REF!,4,FALSE)+VLOOKUP($A6,#REF!,4,FALSE)+VLOOKUP($A6,#REF!,4,FALSE)</f>
        <v>#VALUE!</v>
      </c>
      <c r="E6" s="105" t="e">
        <f>IFERROR(VLOOKUP($A6,#REF!,6,FALSE),"")+VLOOKUP($A6,#REF!,6,FALSE)+VLOOKUP($A6,#REF!,6,FALSE)+VLOOKUP($A6,#REF!,6,FALSE)+VLOOKUP($A6,#REF!,7,FALSE)+VLOOKUP($A6,#REF!,7,FALSE)+VLOOKUP($A6,#REF!,7,FALSE)+VLOOKUP($A6,#REF!,7,FALSE)</f>
        <v>#VALUE!</v>
      </c>
      <c r="F6" s="105" t="e">
        <f>IFERROR(VLOOKUP($A6,#REF!,10,FALSE),"")+VLOOKUP($A6,#REF!,10,FALSE)+VLOOKUP($A6,#REF!,10,FALSE)+VLOOKUP($A6,#REF!,10,FALSE)+VLOOKUP($A6,#REF!,11,FALSE)+VLOOKUP($A6,#REF!,11,FALSE)+VLOOKUP($A6,#REF!,11,FALSE)+VLOOKUP($A6,#REF!,11,FALSE)</f>
        <v>#VALUE!</v>
      </c>
      <c r="G6" s="105" t="e">
        <f>IFERROR(VLOOKUP($A6,#REF!,9,FALSE),"")+VLOOKUP($A6,#REF!,9,FALSE)+VLOOKUP($A6,#REF!,9,FALSE)+VLOOKUP($A6,#REF!,9,FALSE)</f>
        <v>#VALUE!</v>
      </c>
      <c r="H6" s="101"/>
      <c r="I6" s="101"/>
      <c r="J6" s="105" t="e">
        <f>IFERROR(VLOOKUP($A6,#REF!,15,FALSE),"")+VLOOKUP($A6,#REF!,15,FALSE)+VLOOKUP($A6,#REF!,15,FALSE)+VLOOKUP($A6,#REF!,15,FALSE)</f>
        <v>#VALUE!</v>
      </c>
      <c r="L6" s="58"/>
    </row>
    <row r="7" spans="1:12" s="54" customFormat="1" ht="24.95" customHeight="1">
      <c r="A7" s="103">
        <v>44443</v>
      </c>
      <c r="B7" s="105" t="e">
        <f>IFERROR(VLOOKUP($A7,#REF!,2,FALSE),"")+VLOOKUP($A7,#REF!,2,FALSE)+VLOOKUP($A7,#REF!,2,FALSE)+VLOOKUP($A7,#REF!,2,FALSE)</f>
        <v>#VALUE!</v>
      </c>
      <c r="C7" s="105" t="e">
        <f>IFERROR(VLOOKUP($A7,#REF!,3,FALSE),"")+VLOOKUP($A7,#REF!,3,FALSE)+VLOOKUP($A7,#REF!,3,FALSE)+VLOOKUP($A7,#REF!,3,FALSE)</f>
        <v>#VALUE!</v>
      </c>
      <c r="D7" s="105" t="e">
        <f>IFERROR(VLOOKUP($A7,#REF!,4,FALSE),"")+VLOOKUP($A7,#REF!,4,FALSE)+VLOOKUP($A7,#REF!,4,FALSE)+VLOOKUP($A7,#REF!,4,FALSE)</f>
        <v>#VALUE!</v>
      </c>
      <c r="E7" s="105" t="e">
        <f>IFERROR(VLOOKUP($A7,#REF!,6,FALSE),"")+VLOOKUP($A7,#REF!,6,FALSE)+VLOOKUP($A7,#REF!,6,FALSE)+VLOOKUP($A7,#REF!,6,FALSE)+VLOOKUP($A7,#REF!,7,FALSE)+VLOOKUP($A7,#REF!,7,FALSE)+VLOOKUP($A7,#REF!,7,FALSE)+VLOOKUP($A7,#REF!,7,FALSE)</f>
        <v>#VALUE!</v>
      </c>
      <c r="F7" s="105" t="e">
        <f>IFERROR(VLOOKUP($A7,#REF!,10,FALSE),"")+VLOOKUP($A7,#REF!,10,FALSE)+VLOOKUP($A7,#REF!,10,FALSE)+VLOOKUP($A7,#REF!,10,FALSE)+VLOOKUP($A7,#REF!,11,FALSE)+VLOOKUP($A7,#REF!,11,FALSE)+VLOOKUP($A7,#REF!,11,FALSE)+VLOOKUP($A7,#REF!,11,FALSE)</f>
        <v>#VALUE!</v>
      </c>
      <c r="G7" s="105" t="e">
        <f>IFERROR(VLOOKUP($A7,#REF!,9,FALSE),"")+VLOOKUP($A7,#REF!,9,FALSE)+VLOOKUP($A7,#REF!,9,FALSE)+VLOOKUP($A7,#REF!,9,FALSE)</f>
        <v>#VALUE!</v>
      </c>
      <c r="H7" s="101"/>
      <c r="I7" s="101"/>
      <c r="J7" s="105" t="e">
        <f>IFERROR(VLOOKUP($A7,#REF!,15,FALSE),"")+VLOOKUP($A7,#REF!,15,FALSE)+VLOOKUP($A7,#REF!,15,FALSE)+VLOOKUP($A7,#REF!,15,FALSE)</f>
        <v>#VALUE!</v>
      </c>
      <c r="L7" s="58"/>
    </row>
    <row r="8" spans="1:12" s="54" customFormat="1" ht="24.95" customHeight="1">
      <c r="A8" s="103">
        <v>44444</v>
      </c>
      <c r="B8" s="105" t="e">
        <f>IFERROR(VLOOKUP($A8,#REF!,2,FALSE),"")+VLOOKUP($A8,#REF!,2,FALSE)+VLOOKUP($A8,#REF!,2,FALSE)+VLOOKUP($A8,#REF!,2,FALSE)</f>
        <v>#VALUE!</v>
      </c>
      <c r="C8" s="105" t="e">
        <f>IFERROR(VLOOKUP($A8,#REF!,3,FALSE),"")+VLOOKUP($A8,#REF!,3,FALSE)+VLOOKUP($A8,#REF!,3,FALSE)+VLOOKUP($A8,#REF!,3,FALSE)</f>
        <v>#VALUE!</v>
      </c>
      <c r="D8" s="105" t="e">
        <f>IFERROR(VLOOKUP($A8,#REF!,4,FALSE),"")+VLOOKUP($A8,#REF!,4,FALSE)+VLOOKUP($A8,#REF!,4,FALSE)+VLOOKUP($A8,#REF!,4,FALSE)</f>
        <v>#VALUE!</v>
      </c>
      <c r="E8" s="105" t="e">
        <f>IFERROR(VLOOKUP($A8,#REF!,6,FALSE),"")+VLOOKUP($A8,#REF!,6,FALSE)+VLOOKUP($A8,#REF!,6,FALSE)+VLOOKUP($A8,#REF!,6,FALSE)+VLOOKUP($A8,#REF!,7,FALSE)+VLOOKUP($A8,#REF!,7,FALSE)+VLOOKUP($A8,#REF!,7,FALSE)+VLOOKUP($A8,#REF!,7,FALSE)</f>
        <v>#VALUE!</v>
      </c>
      <c r="F8" s="105" t="e">
        <f>IFERROR(VLOOKUP($A8,#REF!,10,FALSE),"")+VLOOKUP($A8,#REF!,10,FALSE)+VLOOKUP($A8,#REF!,10,FALSE)+VLOOKUP($A8,#REF!,10,FALSE)+VLOOKUP($A8,#REF!,11,FALSE)+VLOOKUP($A8,#REF!,11,FALSE)+VLOOKUP($A8,#REF!,11,FALSE)+VLOOKUP($A8,#REF!,11,FALSE)</f>
        <v>#VALUE!</v>
      </c>
      <c r="G8" s="105" t="e">
        <f>IFERROR(VLOOKUP($A8,#REF!,9,FALSE),"")+VLOOKUP($A8,#REF!,9,FALSE)+VLOOKUP($A8,#REF!,9,FALSE)+VLOOKUP($A8,#REF!,9,FALSE)</f>
        <v>#VALUE!</v>
      </c>
      <c r="H8" s="101"/>
      <c r="I8" s="101"/>
      <c r="J8" s="105" t="e">
        <f>IFERROR(VLOOKUP($A8,#REF!,15,FALSE),"")+VLOOKUP($A8,#REF!,15,FALSE)+VLOOKUP($A8,#REF!,15,FALSE)+VLOOKUP($A8,#REF!,15,FALSE)</f>
        <v>#VALUE!</v>
      </c>
      <c r="L8" s="58"/>
    </row>
    <row r="9" spans="1:12" s="54" customFormat="1" ht="24.95" customHeight="1">
      <c r="A9" s="103">
        <v>44445</v>
      </c>
      <c r="B9" s="105" t="e">
        <f>IFERROR(VLOOKUP($A9,#REF!,2,FALSE),"")+VLOOKUP($A9,#REF!,2,FALSE)+VLOOKUP($A9,#REF!,2,FALSE)+VLOOKUP($A9,#REF!,2,FALSE)</f>
        <v>#VALUE!</v>
      </c>
      <c r="C9" s="105" t="e">
        <f>IFERROR(VLOOKUP($A9,#REF!,3,FALSE),"")+VLOOKUP($A9,#REF!,3,FALSE)+VLOOKUP($A9,#REF!,3,FALSE)+VLOOKUP($A9,#REF!,3,FALSE)</f>
        <v>#VALUE!</v>
      </c>
      <c r="D9" s="105" t="e">
        <f>IFERROR(VLOOKUP($A9,#REF!,4,FALSE),"")+VLOOKUP($A9,#REF!,4,FALSE)+VLOOKUP($A9,#REF!,4,FALSE)+VLOOKUP($A9,#REF!,4,FALSE)</f>
        <v>#VALUE!</v>
      </c>
      <c r="E9" s="105" t="e">
        <f>IFERROR(VLOOKUP($A9,#REF!,6,FALSE),"")+VLOOKUP($A9,#REF!,6,FALSE)+VLOOKUP($A9,#REF!,6,FALSE)+VLOOKUP($A9,#REF!,6,FALSE)+VLOOKUP($A9,#REF!,7,FALSE)+VLOOKUP($A9,#REF!,7,FALSE)+VLOOKUP($A9,#REF!,7,FALSE)+VLOOKUP($A9,#REF!,7,FALSE)</f>
        <v>#VALUE!</v>
      </c>
      <c r="F9" s="105" t="e">
        <f>IFERROR(VLOOKUP($A9,#REF!,10,FALSE),"")+VLOOKUP($A9,#REF!,10,FALSE)+VLOOKUP($A9,#REF!,10,FALSE)+VLOOKUP($A9,#REF!,10,FALSE)+VLOOKUP($A9,#REF!,11,FALSE)+VLOOKUP($A9,#REF!,11,FALSE)+VLOOKUP($A9,#REF!,11,FALSE)+VLOOKUP($A9,#REF!,11,FALSE)</f>
        <v>#VALUE!</v>
      </c>
      <c r="G9" s="105" t="e">
        <f>IFERROR(VLOOKUP($A9,#REF!,9,FALSE),"")+VLOOKUP($A9,#REF!,9,FALSE)+VLOOKUP($A9,#REF!,9,FALSE)+VLOOKUP($A9,#REF!,9,FALSE)</f>
        <v>#VALUE!</v>
      </c>
      <c r="H9" s="101"/>
      <c r="I9" s="101"/>
      <c r="J9" s="105" t="e">
        <f>IFERROR(VLOOKUP($A9,#REF!,15,FALSE),"")+VLOOKUP($A9,#REF!,15,FALSE)+VLOOKUP($A9,#REF!,15,FALSE)+VLOOKUP($A9,#REF!,15,FALSE)</f>
        <v>#VALUE!</v>
      </c>
      <c r="L9" s="58"/>
    </row>
    <row r="10" spans="1:12" s="54" customFormat="1" ht="24.95" customHeight="1">
      <c r="A10" s="103">
        <v>44446</v>
      </c>
      <c r="B10" s="105" t="e">
        <f>IFERROR(VLOOKUP($A10,#REF!,2,FALSE),"")+VLOOKUP($A10,#REF!,2,FALSE)+VLOOKUP($A10,#REF!,2,FALSE)+VLOOKUP($A10,#REF!,2,FALSE)</f>
        <v>#VALUE!</v>
      </c>
      <c r="C10" s="105" t="e">
        <f>IFERROR(VLOOKUP($A10,#REF!,3,FALSE),"")+VLOOKUP($A10,#REF!,3,FALSE)+VLOOKUP($A10,#REF!,3,FALSE)+VLOOKUP($A10,#REF!,3,FALSE)</f>
        <v>#VALUE!</v>
      </c>
      <c r="D10" s="105" t="e">
        <f>IFERROR(VLOOKUP($A10,#REF!,4,FALSE),"")+VLOOKUP($A10,#REF!,4,FALSE)+VLOOKUP($A10,#REF!,4,FALSE)+VLOOKUP($A10,#REF!,4,FALSE)</f>
        <v>#VALUE!</v>
      </c>
      <c r="E10" s="105" t="e">
        <f>IFERROR(VLOOKUP($A10,#REF!,6,FALSE),"")+VLOOKUP($A10,#REF!,6,FALSE)+VLOOKUP($A10,#REF!,6,FALSE)+VLOOKUP($A10,#REF!,6,FALSE)+VLOOKUP($A10,#REF!,7,FALSE)+VLOOKUP($A10,#REF!,7,FALSE)+VLOOKUP($A10,#REF!,7,FALSE)+VLOOKUP($A10,#REF!,7,FALSE)</f>
        <v>#VALUE!</v>
      </c>
      <c r="F10" s="105" t="e">
        <f>IFERROR(VLOOKUP($A10,#REF!,10,FALSE),"")+VLOOKUP($A10,#REF!,10,FALSE)+VLOOKUP($A10,#REF!,10,FALSE)+VLOOKUP($A10,#REF!,10,FALSE)+VLOOKUP($A10,#REF!,11,FALSE)+VLOOKUP($A10,#REF!,11,FALSE)+VLOOKUP($A10,#REF!,11,FALSE)+VLOOKUP($A10,#REF!,11,FALSE)</f>
        <v>#VALUE!</v>
      </c>
      <c r="G10" s="105" t="e">
        <f>IFERROR(VLOOKUP($A10,#REF!,9,FALSE),"")+VLOOKUP($A10,#REF!,9,FALSE)+VLOOKUP($A10,#REF!,9,FALSE)+VLOOKUP($A10,#REF!,9,FALSE)</f>
        <v>#VALUE!</v>
      </c>
      <c r="H10" s="101"/>
      <c r="I10" s="101"/>
      <c r="J10" s="105" t="e">
        <f>IFERROR(VLOOKUP($A10,#REF!,15,FALSE),"")+VLOOKUP($A10,#REF!,15,FALSE)+VLOOKUP($A10,#REF!,15,FALSE)+VLOOKUP($A10,#REF!,15,FALSE)</f>
        <v>#VALUE!</v>
      </c>
      <c r="L10" s="58"/>
    </row>
    <row r="11" spans="1:12" s="54" customFormat="1" ht="24.95" customHeight="1">
      <c r="A11" s="103">
        <v>44447</v>
      </c>
      <c r="B11" s="105" t="e">
        <f>IFERROR(VLOOKUP($A11,#REF!,2,FALSE),"")+VLOOKUP($A11,#REF!,2,FALSE)+VLOOKUP($A11,#REF!,2,FALSE)+VLOOKUP($A11,#REF!,2,FALSE)</f>
        <v>#VALUE!</v>
      </c>
      <c r="C11" s="105" t="e">
        <f>IFERROR(VLOOKUP($A11,#REF!,3,FALSE),"")+VLOOKUP($A11,#REF!,3,FALSE)+VLOOKUP($A11,#REF!,3,FALSE)+VLOOKUP($A11,#REF!,3,FALSE)</f>
        <v>#VALUE!</v>
      </c>
      <c r="D11" s="105" t="e">
        <f>IFERROR(VLOOKUP($A11,#REF!,4,FALSE),"")+VLOOKUP($A11,#REF!,4,FALSE)+VLOOKUP($A11,#REF!,4,FALSE)+VLOOKUP($A11,#REF!,4,FALSE)</f>
        <v>#VALUE!</v>
      </c>
      <c r="E11" s="105" t="e">
        <f>IFERROR(VLOOKUP($A11,#REF!,6,FALSE),"")+VLOOKUP($A11,#REF!,6,FALSE)+VLOOKUP($A11,#REF!,6,FALSE)+VLOOKUP($A11,#REF!,6,FALSE)+VLOOKUP($A11,#REF!,7,FALSE)+VLOOKUP($A11,#REF!,7,FALSE)+VLOOKUP($A11,#REF!,7,FALSE)+VLOOKUP($A11,#REF!,7,FALSE)</f>
        <v>#VALUE!</v>
      </c>
      <c r="F11" s="105" t="e">
        <f>IFERROR(VLOOKUP($A11,#REF!,10,FALSE),"")+VLOOKUP($A11,#REF!,10,FALSE)+VLOOKUP($A11,#REF!,10,FALSE)+VLOOKUP($A11,#REF!,10,FALSE)+VLOOKUP($A11,#REF!,11,FALSE)+VLOOKUP($A11,#REF!,11,FALSE)+VLOOKUP($A11,#REF!,11,FALSE)+VLOOKUP($A11,#REF!,11,FALSE)</f>
        <v>#VALUE!</v>
      </c>
      <c r="G11" s="105" t="e">
        <f>IFERROR(VLOOKUP($A11,#REF!,9,FALSE),"")+VLOOKUP($A11,#REF!,9,FALSE)+VLOOKUP($A11,#REF!,9,FALSE)+VLOOKUP($A11,#REF!,9,FALSE)</f>
        <v>#VALUE!</v>
      </c>
      <c r="H11" s="101"/>
      <c r="I11" s="101"/>
      <c r="J11" s="105" t="e">
        <f>IFERROR(VLOOKUP($A11,#REF!,15,FALSE),"")+VLOOKUP($A11,#REF!,15,FALSE)+VLOOKUP($A11,#REF!,15,FALSE)+VLOOKUP($A11,#REF!,15,FALSE)</f>
        <v>#VALUE!</v>
      </c>
      <c r="L11" s="58"/>
    </row>
    <row r="12" spans="1:12" s="54" customFormat="1" ht="24.95" customHeight="1">
      <c r="A12" s="103">
        <v>44448</v>
      </c>
      <c r="B12" s="105" t="e">
        <f>IFERROR(VLOOKUP($A12,#REF!,2,FALSE),"")+VLOOKUP($A12,#REF!,2,FALSE)+VLOOKUP($A12,#REF!,2,FALSE)+VLOOKUP($A12,#REF!,2,FALSE)</f>
        <v>#VALUE!</v>
      </c>
      <c r="C12" s="105" t="e">
        <f>IFERROR(VLOOKUP($A12,#REF!,3,FALSE),"")+VLOOKUP($A12,#REF!,3,FALSE)+VLOOKUP($A12,#REF!,3,FALSE)+VLOOKUP($A12,#REF!,3,FALSE)</f>
        <v>#VALUE!</v>
      </c>
      <c r="D12" s="105" t="e">
        <f>IFERROR(VLOOKUP($A12,#REF!,4,FALSE),"")+VLOOKUP($A12,#REF!,4,FALSE)+VLOOKUP($A12,#REF!,4,FALSE)+VLOOKUP($A12,#REF!,4,FALSE)</f>
        <v>#VALUE!</v>
      </c>
      <c r="E12" s="105" t="e">
        <f>IFERROR(VLOOKUP($A12,#REF!,6,FALSE),"")+VLOOKUP($A12,#REF!,6,FALSE)+VLOOKUP($A12,#REF!,6,FALSE)+VLOOKUP($A12,#REF!,6,FALSE)+VLOOKUP($A12,#REF!,7,FALSE)+VLOOKUP($A12,#REF!,7,FALSE)+VLOOKUP($A12,#REF!,7,FALSE)+VLOOKUP($A12,#REF!,7,FALSE)</f>
        <v>#VALUE!</v>
      </c>
      <c r="F12" s="105" t="e">
        <f>IFERROR(VLOOKUP($A12,#REF!,10,FALSE),"")+VLOOKUP($A12,#REF!,10,FALSE)+VLOOKUP($A12,#REF!,10,FALSE)+VLOOKUP($A12,#REF!,10,FALSE)+VLOOKUP($A12,#REF!,11,FALSE)+VLOOKUP($A12,#REF!,11,FALSE)+VLOOKUP($A12,#REF!,11,FALSE)+VLOOKUP($A12,#REF!,11,FALSE)</f>
        <v>#VALUE!</v>
      </c>
      <c r="G12" s="105" t="e">
        <f>IFERROR(VLOOKUP($A12,#REF!,9,FALSE),"")+VLOOKUP($A12,#REF!,9,FALSE)+VLOOKUP($A12,#REF!,9,FALSE)+VLOOKUP($A12,#REF!,9,FALSE)</f>
        <v>#VALUE!</v>
      </c>
      <c r="H12" s="101"/>
      <c r="I12" s="101"/>
      <c r="J12" s="105" t="e">
        <f>IFERROR(VLOOKUP($A12,#REF!,15,FALSE),"")+VLOOKUP($A12,#REF!,15,FALSE)+VLOOKUP($A12,#REF!,15,FALSE)+VLOOKUP($A12,#REF!,15,FALSE)</f>
        <v>#VALUE!</v>
      </c>
      <c r="L12" s="58"/>
    </row>
    <row r="13" spans="1:12" s="54" customFormat="1" ht="24.95" customHeight="1">
      <c r="A13" s="103">
        <v>44449</v>
      </c>
      <c r="B13" s="105" t="e">
        <f>IFERROR(VLOOKUP($A13,#REF!,2,FALSE),"")+VLOOKUP($A13,#REF!,2,FALSE)+VLOOKUP($A13,#REF!,2,FALSE)+VLOOKUP($A13,#REF!,2,FALSE)</f>
        <v>#VALUE!</v>
      </c>
      <c r="C13" s="105" t="e">
        <f>IFERROR(VLOOKUP($A13,#REF!,3,FALSE),"")+VLOOKUP($A13,#REF!,3,FALSE)+VLOOKUP($A13,#REF!,3,FALSE)+VLOOKUP($A13,#REF!,3,FALSE)</f>
        <v>#VALUE!</v>
      </c>
      <c r="D13" s="105" t="e">
        <f>IFERROR(VLOOKUP($A13,#REF!,4,FALSE),"")+VLOOKUP($A13,#REF!,4,FALSE)+VLOOKUP($A13,#REF!,4,FALSE)+VLOOKUP($A13,#REF!,4,FALSE)</f>
        <v>#VALUE!</v>
      </c>
      <c r="E13" s="105" t="e">
        <f>IFERROR(VLOOKUP($A13,#REF!,6,FALSE),"")+VLOOKUP($A13,#REF!,6,FALSE)+VLOOKUP($A13,#REF!,6,FALSE)+VLOOKUP($A13,#REF!,6,FALSE)+VLOOKUP($A13,#REF!,7,FALSE)+VLOOKUP($A13,#REF!,7,FALSE)+VLOOKUP($A13,#REF!,7,FALSE)+VLOOKUP($A13,#REF!,7,FALSE)</f>
        <v>#VALUE!</v>
      </c>
      <c r="F13" s="105" t="e">
        <f>IFERROR(VLOOKUP($A13,#REF!,10,FALSE),"")+VLOOKUP($A13,#REF!,10,FALSE)+VLOOKUP($A13,#REF!,10,FALSE)+VLOOKUP($A13,#REF!,10,FALSE)+VLOOKUP($A13,#REF!,11,FALSE)+VLOOKUP($A13,#REF!,11,FALSE)+VLOOKUP($A13,#REF!,11,FALSE)+VLOOKUP($A13,#REF!,11,FALSE)</f>
        <v>#VALUE!</v>
      </c>
      <c r="G13" s="105" t="e">
        <f>IFERROR(VLOOKUP($A13,#REF!,9,FALSE),"")+VLOOKUP($A13,#REF!,9,FALSE)+VLOOKUP($A13,#REF!,9,FALSE)+VLOOKUP($A13,#REF!,9,FALSE)</f>
        <v>#VALUE!</v>
      </c>
      <c r="H13" s="101"/>
      <c r="I13" s="101"/>
      <c r="J13" s="105" t="e">
        <f>IFERROR(VLOOKUP($A13,#REF!,15,FALSE),"")+VLOOKUP($A13,#REF!,15,FALSE)+VLOOKUP($A13,#REF!,15,FALSE)+VLOOKUP($A13,#REF!,15,FALSE)</f>
        <v>#VALUE!</v>
      </c>
      <c r="L13" s="58"/>
    </row>
    <row r="14" spans="1:12" s="54" customFormat="1" ht="24.95" customHeight="1">
      <c r="A14" s="103">
        <v>44450</v>
      </c>
      <c r="B14" s="105" t="e">
        <f>IFERROR(VLOOKUP($A14,#REF!,2,FALSE),"")+VLOOKUP($A14,#REF!,2,FALSE)+VLOOKUP($A14,#REF!,2,FALSE)+VLOOKUP($A14,#REF!,2,FALSE)</f>
        <v>#VALUE!</v>
      </c>
      <c r="C14" s="105" t="e">
        <f>IFERROR(VLOOKUP($A14,#REF!,3,FALSE),"")+VLOOKUP($A14,#REF!,3,FALSE)+VLOOKUP($A14,#REF!,3,FALSE)+VLOOKUP($A14,#REF!,3,FALSE)</f>
        <v>#VALUE!</v>
      </c>
      <c r="D14" s="105" t="e">
        <f>IFERROR(VLOOKUP($A14,#REF!,4,FALSE),"")+VLOOKUP($A14,#REF!,4,FALSE)+VLOOKUP($A14,#REF!,4,FALSE)+VLOOKUP($A14,#REF!,4,FALSE)</f>
        <v>#VALUE!</v>
      </c>
      <c r="E14" s="105" t="e">
        <f>IFERROR(VLOOKUP($A14,#REF!,6,FALSE),"")+VLOOKUP($A14,#REF!,6,FALSE)+VLOOKUP($A14,#REF!,6,FALSE)+VLOOKUP($A14,#REF!,6,FALSE)+VLOOKUP($A14,#REF!,7,FALSE)+VLOOKUP($A14,#REF!,7,FALSE)+VLOOKUP($A14,#REF!,7,FALSE)+VLOOKUP($A14,#REF!,7,FALSE)</f>
        <v>#VALUE!</v>
      </c>
      <c r="F14" s="105" t="e">
        <f>IFERROR(VLOOKUP($A14,#REF!,10,FALSE),"")+VLOOKUP($A14,#REF!,10,FALSE)+VLOOKUP($A14,#REF!,10,FALSE)+VLOOKUP($A14,#REF!,10,FALSE)+VLOOKUP($A14,#REF!,11,FALSE)+VLOOKUP($A14,#REF!,11,FALSE)+VLOOKUP($A14,#REF!,11,FALSE)+VLOOKUP($A14,#REF!,11,FALSE)</f>
        <v>#VALUE!</v>
      </c>
      <c r="G14" s="105" t="e">
        <f>IFERROR(VLOOKUP($A14,#REF!,9,FALSE),"")+VLOOKUP($A14,#REF!,9,FALSE)+VLOOKUP($A14,#REF!,9,FALSE)+VLOOKUP($A14,#REF!,9,FALSE)</f>
        <v>#VALUE!</v>
      </c>
      <c r="H14" s="101"/>
      <c r="I14" s="101"/>
      <c r="J14" s="105" t="e">
        <f>IFERROR(VLOOKUP($A14,#REF!,15,FALSE),"")+VLOOKUP($A14,#REF!,15,FALSE)+VLOOKUP($A14,#REF!,15,FALSE)+VLOOKUP($A14,#REF!,15,FALSE)</f>
        <v>#VALUE!</v>
      </c>
      <c r="L14" s="58"/>
    </row>
    <row r="15" spans="1:12" s="54" customFormat="1" ht="24.95" customHeight="1">
      <c r="A15" s="103">
        <v>44451</v>
      </c>
      <c r="B15" s="105" t="e">
        <f>IFERROR(VLOOKUP($A15,#REF!,2,FALSE),"")+VLOOKUP($A15,#REF!,2,FALSE)+VLOOKUP($A15,#REF!,2,FALSE)+VLOOKUP($A15,#REF!,2,FALSE)</f>
        <v>#VALUE!</v>
      </c>
      <c r="C15" s="105" t="e">
        <f>IFERROR(VLOOKUP($A15,#REF!,3,FALSE),"")+VLOOKUP($A15,#REF!,3,FALSE)+VLOOKUP($A15,#REF!,3,FALSE)+VLOOKUP($A15,#REF!,3,FALSE)</f>
        <v>#VALUE!</v>
      </c>
      <c r="D15" s="105" t="e">
        <f>IFERROR(VLOOKUP($A15,#REF!,4,FALSE),"")+VLOOKUP($A15,#REF!,4,FALSE)+VLOOKUP($A15,#REF!,4,FALSE)+VLOOKUP($A15,#REF!,4,FALSE)</f>
        <v>#VALUE!</v>
      </c>
      <c r="E15" s="105" t="e">
        <f>IFERROR(VLOOKUP($A15,#REF!,6,FALSE),"")+VLOOKUP($A15,#REF!,6,FALSE)+VLOOKUP($A15,#REF!,6,FALSE)+VLOOKUP($A15,#REF!,6,FALSE)+VLOOKUP($A15,#REF!,7,FALSE)+VLOOKUP($A15,#REF!,7,FALSE)+VLOOKUP($A15,#REF!,7,FALSE)+VLOOKUP($A15,#REF!,7,FALSE)</f>
        <v>#VALUE!</v>
      </c>
      <c r="F15" s="105" t="e">
        <f>IFERROR(VLOOKUP($A15,#REF!,10,FALSE),"")+VLOOKUP($A15,#REF!,10,FALSE)+VLOOKUP($A15,#REF!,10,FALSE)+VLOOKUP($A15,#REF!,10,FALSE)+VLOOKUP($A15,#REF!,11,FALSE)+VLOOKUP($A15,#REF!,11,FALSE)+VLOOKUP($A15,#REF!,11,FALSE)+VLOOKUP($A15,#REF!,11,FALSE)</f>
        <v>#VALUE!</v>
      </c>
      <c r="G15" s="105" t="e">
        <f>IFERROR(VLOOKUP($A15,#REF!,9,FALSE),"")+VLOOKUP($A15,#REF!,9,FALSE)+VLOOKUP($A15,#REF!,9,FALSE)+VLOOKUP($A15,#REF!,9,FALSE)</f>
        <v>#VALUE!</v>
      </c>
      <c r="H15" s="101"/>
      <c r="I15" s="101"/>
      <c r="J15" s="105" t="e">
        <f>IFERROR(VLOOKUP($A15,#REF!,15,FALSE),"")+VLOOKUP($A15,#REF!,15,FALSE)+VLOOKUP($A15,#REF!,15,FALSE)+VLOOKUP($A15,#REF!,15,FALSE)</f>
        <v>#VALUE!</v>
      </c>
      <c r="L15" s="58"/>
    </row>
    <row r="16" spans="1:12" s="54" customFormat="1" ht="24.95" customHeight="1">
      <c r="A16" s="103">
        <v>44452</v>
      </c>
      <c r="B16" s="105" t="e">
        <f>IFERROR(VLOOKUP($A16,#REF!,2,FALSE),"")+VLOOKUP($A16,#REF!,2,FALSE)+VLOOKUP($A16,#REF!,2,FALSE)+VLOOKUP($A16,#REF!,2,FALSE)</f>
        <v>#VALUE!</v>
      </c>
      <c r="C16" s="105" t="e">
        <f>IFERROR(VLOOKUP($A16,#REF!,3,FALSE),"")+VLOOKUP($A16,#REF!,3,FALSE)+VLOOKUP($A16,#REF!,3,FALSE)+VLOOKUP($A16,#REF!,3,FALSE)</f>
        <v>#VALUE!</v>
      </c>
      <c r="D16" s="105" t="e">
        <f>IFERROR(VLOOKUP($A16,#REF!,4,FALSE),"")+VLOOKUP($A16,#REF!,4,FALSE)+VLOOKUP($A16,#REF!,4,FALSE)+VLOOKUP($A16,#REF!,4,FALSE)</f>
        <v>#VALUE!</v>
      </c>
      <c r="E16" s="105" t="e">
        <f>IFERROR(VLOOKUP($A16,#REF!,6,FALSE),"")+VLOOKUP($A16,#REF!,6,FALSE)+VLOOKUP($A16,#REF!,6,FALSE)+VLOOKUP($A16,#REF!,6,FALSE)+VLOOKUP($A16,#REF!,7,FALSE)+VLOOKUP($A16,#REF!,7,FALSE)+VLOOKUP($A16,#REF!,7,FALSE)+VLOOKUP($A16,#REF!,7,FALSE)</f>
        <v>#VALUE!</v>
      </c>
      <c r="F16" s="105" t="e">
        <f>IFERROR(VLOOKUP($A16,#REF!,10,FALSE),"")+VLOOKUP($A16,#REF!,10,FALSE)+VLOOKUP($A16,#REF!,10,FALSE)+VLOOKUP($A16,#REF!,10,FALSE)+VLOOKUP($A16,#REF!,11,FALSE)+VLOOKUP($A16,#REF!,11,FALSE)+VLOOKUP($A16,#REF!,11,FALSE)+VLOOKUP($A16,#REF!,11,FALSE)</f>
        <v>#VALUE!</v>
      </c>
      <c r="G16" s="105" t="e">
        <f>IFERROR(VLOOKUP($A16,#REF!,9,FALSE),"")+VLOOKUP($A16,#REF!,9,FALSE)+VLOOKUP($A16,#REF!,9,FALSE)+VLOOKUP($A16,#REF!,9,FALSE)</f>
        <v>#VALUE!</v>
      </c>
      <c r="H16" s="101"/>
      <c r="I16" s="101"/>
      <c r="J16" s="105" t="e">
        <f>IFERROR(VLOOKUP($A16,#REF!,15,FALSE),"")+VLOOKUP($A16,#REF!,15,FALSE)+VLOOKUP($A16,#REF!,15,FALSE)+VLOOKUP($A16,#REF!,15,FALSE)</f>
        <v>#VALUE!</v>
      </c>
      <c r="L16" s="58"/>
    </row>
    <row r="17" spans="1:12" s="54" customFormat="1" ht="24.95" customHeight="1">
      <c r="A17" s="103">
        <v>44453</v>
      </c>
      <c r="B17" s="105" t="e">
        <f>IFERROR(VLOOKUP($A17,#REF!,2,FALSE),"")+VLOOKUP($A17,#REF!,2,FALSE)+VLOOKUP($A17,#REF!,2,FALSE)+VLOOKUP($A17,#REF!,2,FALSE)</f>
        <v>#VALUE!</v>
      </c>
      <c r="C17" s="105" t="e">
        <f>IFERROR(VLOOKUP($A17,#REF!,3,FALSE),"")+VLOOKUP($A17,#REF!,3,FALSE)+VLOOKUP($A17,#REF!,3,FALSE)+VLOOKUP($A17,#REF!,3,FALSE)</f>
        <v>#VALUE!</v>
      </c>
      <c r="D17" s="105" t="e">
        <f>IFERROR(VLOOKUP($A17,#REF!,4,FALSE),"")+VLOOKUP($A17,#REF!,4,FALSE)+VLOOKUP($A17,#REF!,4,FALSE)+VLOOKUP($A17,#REF!,4,FALSE)</f>
        <v>#VALUE!</v>
      </c>
      <c r="E17" s="105" t="e">
        <f>IFERROR(VLOOKUP($A17,#REF!,6,FALSE),"")+VLOOKUP($A17,#REF!,6,FALSE)+VLOOKUP($A17,#REF!,6,FALSE)+VLOOKUP($A17,#REF!,6,FALSE)+VLOOKUP($A17,#REF!,7,FALSE)+VLOOKUP($A17,#REF!,7,FALSE)+VLOOKUP($A17,#REF!,7,FALSE)+VLOOKUP($A17,#REF!,7,FALSE)</f>
        <v>#VALUE!</v>
      </c>
      <c r="F17" s="105" t="e">
        <f>IFERROR(VLOOKUP($A17,#REF!,10,FALSE),"")+VLOOKUP($A17,#REF!,10,FALSE)+VLOOKUP($A17,#REF!,10,FALSE)+VLOOKUP($A17,#REF!,10,FALSE)+VLOOKUP($A17,#REF!,11,FALSE)+VLOOKUP($A17,#REF!,11,FALSE)+VLOOKUP($A17,#REF!,11,FALSE)+VLOOKUP($A17,#REF!,11,FALSE)</f>
        <v>#VALUE!</v>
      </c>
      <c r="G17" s="105" t="e">
        <f>IFERROR(VLOOKUP($A17,#REF!,9,FALSE),"")+VLOOKUP($A17,#REF!,9,FALSE)+VLOOKUP($A17,#REF!,9,FALSE)+VLOOKUP($A17,#REF!,9,FALSE)</f>
        <v>#VALUE!</v>
      </c>
      <c r="H17" s="101"/>
      <c r="I17" s="101"/>
      <c r="J17" s="105" t="e">
        <f>IFERROR(VLOOKUP($A17,#REF!,15,FALSE),"")+VLOOKUP($A17,#REF!,15,FALSE)+VLOOKUP($A17,#REF!,15,FALSE)+VLOOKUP($A17,#REF!,15,FALSE)</f>
        <v>#VALUE!</v>
      </c>
      <c r="L17" s="58"/>
    </row>
    <row r="18" spans="1:12" s="54" customFormat="1" ht="24.95" customHeight="1">
      <c r="A18" s="103">
        <v>44454</v>
      </c>
      <c r="B18" s="105" t="e">
        <f>IFERROR(VLOOKUP($A18,#REF!,2,FALSE),"")+VLOOKUP($A18,#REF!,2,FALSE)+VLOOKUP($A18,#REF!,2,FALSE)+VLOOKUP($A18,#REF!,2,FALSE)</f>
        <v>#VALUE!</v>
      </c>
      <c r="C18" s="105" t="e">
        <f>IFERROR(VLOOKUP($A18,#REF!,3,FALSE),"")+VLOOKUP($A18,#REF!,3,FALSE)+VLOOKUP($A18,#REF!,3,FALSE)+VLOOKUP($A18,#REF!,3,FALSE)</f>
        <v>#VALUE!</v>
      </c>
      <c r="D18" s="105" t="e">
        <f>IFERROR(VLOOKUP($A18,#REF!,4,FALSE),"")+VLOOKUP($A18,#REF!,4,FALSE)+VLOOKUP($A18,#REF!,4,FALSE)+VLOOKUP($A18,#REF!,4,FALSE)</f>
        <v>#VALUE!</v>
      </c>
      <c r="E18" s="105" t="e">
        <f>IFERROR(VLOOKUP($A18,#REF!,6,FALSE),"")+VLOOKUP($A18,#REF!,6,FALSE)+VLOOKUP($A18,#REF!,6,FALSE)+VLOOKUP($A18,#REF!,6,FALSE)+VLOOKUP($A18,#REF!,7,FALSE)+VLOOKUP($A18,#REF!,7,FALSE)+VLOOKUP($A18,#REF!,7,FALSE)+VLOOKUP($A18,#REF!,7,FALSE)</f>
        <v>#VALUE!</v>
      </c>
      <c r="F18" s="105" t="e">
        <f>IFERROR(VLOOKUP($A18,#REF!,10,FALSE),"")+VLOOKUP($A18,#REF!,10,FALSE)+VLOOKUP($A18,#REF!,10,FALSE)+VLOOKUP($A18,#REF!,10,FALSE)+VLOOKUP($A18,#REF!,11,FALSE)+VLOOKUP($A18,#REF!,11,FALSE)+VLOOKUP($A18,#REF!,11,FALSE)+VLOOKUP($A18,#REF!,11,FALSE)</f>
        <v>#VALUE!</v>
      </c>
      <c r="G18" s="105" t="e">
        <f>IFERROR(VLOOKUP($A18,#REF!,9,FALSE),"")+VLOOKUP($A18,#REF!,9,FALSE)+VLOOKUP($A18,#REF!,9,FALSE)+VLOOKUP($A18,#REF!,9,FALSE)</f>
        <v>#VALUE!</v>
      </c>
      <c r="H18" s="101"/>
      <c r="I18" s="101"/>
      <c r="J18" s="105" t="e">
        <f>IFERROR(VLOOKUP($A18,#REF!,15,FALSE),"")+VLOOKUP($A18,#REF!,15,FALSE)+VLOOKUP($A18,#REF!,15,FALSE)+VLOOKUP($A18,#REF!,15,FALSE)</f>
        <v>#VALUE!</v>
      </c>
      <c r="L18" s="58"/>
    </row>
    <row r="19" spans="1:12" s="54" customFormat="1" ht="24.95" customHeight="1">
      <c r="A19" s="103">
        <v>44455</v>
      </c>
      <c r="B19" s="105" t="e">
        <f>IFERROR(VLOOKUP($A19,#REF!,2,FALSE),"")+VLOOKUP($A19,#REF!,2,FALSE)+VLOOKUP($A19,#REF!,2,FALSE)+VLOOKUP($A19,#REF!,2,FALSE)</f>
        <v>#VALUE!</v>
      </c>
      <c r="C19" s="105" t="e">
        <f>IFERROR(VLOOKUP($A19,#REF!,3,FALSE),"")+VLOOKUP($A19,#REF!,3,FALSE)+VLOOKUP($A19,#REF!,3,FALSE)+VLOOKUP($A19,#REF!,3,FALSE)</f>
        <v>#VALUE!</v>
      </c>
      <c r="D19" s="105" t="e">
        <f>IFERROR(VLOOKUP($A19,#REF!,4,FALSE),"")+VLOOKUP($A19,#REF!,4,FALSE)+VLOOKUP($A19,#REF!,4,FALSE)+VLOOKUP($A19,#REF!,4,FALSE)</f>
        <v>#VALUE!</v>
      </c>
      <c r="E19" s="105" t="e">
        <f>IFERROR(VLOOKUP($A19,#REF!,6,FALSE),"")+VLOOKUP($A19,#REF!,6,FALSE)+VLOOKUP($A19,#REF!,6,FALSE)+VLOOKUP($A19,#REF!,6,FALSE)+VLOOKUP($A19,#REF!,7,FALSE)+VLOOKUP($A19,#REF!,7,FALSE)+VLOOKUP($A19,#REF!,7,FALSE)+VLOOKUP($A19,#REF!,7,FALSE)</f>
        <v>#VALUE!</v>
      </c>
      <c r="F19" s="105" t="e">
        <f>IFERROR(VLOOKUP($A19,#REF!,10,FALSE),"")+VLOOKUP($A19,#REF!,10,FALSE)+VLOOKUP($A19,#REF!,10,FALSE)+VLOOKUP($A19,#REF!,10,FALSE)+VLOOKUP($A19,#REF!,11,FALSE)+VLOOKUP($A19,#REF!,11,FALSE)+VLOOKUP($A19,#REF!,11,FALSE)+VLOOKUP($A19,#REF!,11,FALSE)</f>
        <v>#VALUE!</v>
      </c>
      <c r="G19" s="105" t="e">
        <f>IFERROR(VLOOKUP($A19,#REF!,9,FALSE),"")+VLOOKUP($A19,#REF!,9,FALSE)+VLOOKUP($A19,#REF!,9,FALSE)+VLOOKUP($A19,#REF!,9,FALSE)</f>
        <v>#VALUE!</v>
      </c>
      <c r="H19" s="101"/>
      <c r="I19" s="101"/>
      <c r="J19" s="105" t="e">
        <f>IFERROR(VLOOKUP($A19,#REF!,15,FALSE),"")+VLOOKUP($A19,#REF!,15,FALSE)+VLOOKUP($A19,#REF!,15,FALSE)+VLOOKUP($A19,#REF!,15,FALSE)</f>
        <v>#VALUE!</v>
      </c>
      <c r="L19" s="58"/>
    </row>
    <row r="20" spans="1:12" s="54" customFormat="1" ht="24.95" customHeight="1">
      <c r="A20" s="103">
        <v>44456</v>
      </c>
      <c r="B20" s="105" t="e">
        <f>IFERROR(VLOOKUP($A20,#REF!,2,FALSE),"")+VLOOKUP($A20,#REF!,2,FALSE)+VLOOKUP($A20,#REF!,2,FALSE)+VLOOKUP($A20,#REF!,2,FALSE)</f>
        <v>#VALUE!</v>
      </c>
      <c r="C20" s="105" t="e">
        <f>IFERROR(VLOOKUP($A20,#REF!,3,FALSE),"")+VLOOKUP($A20,#REF!,3,FALSE)+VLOOKUP($A20,#REF!,3,FALSE)+VLOOKUP($A20,#REF!,3,FALSE)</f>
        <v>#VALUE!</v>
      </c>
      <c r="D20" s="105" t="e">
        <f>IFERROR(VLOOKUP($A20,#REF!,4,FALSE),"")+VLOOKUP($A20,#REF!,4,FALSE)+VLOOKUP($A20,#REF!,4,FALSE)+VLOOKUP($A20,#REF!,4,FALSE)</f>
        <v>#VALUE!</v>
      </c>
      <c r="E20" s="105" t="e">
        <f>IFERROR(VLOOKUP($A20,#REF!,6,FALSE),"")+VLOOKUP($A20,#REF!,6,FALSE)+VLOOKUP($A20,#REF!,6,FALSE)+VLOOKUP($A20,#REF!,6,FALSE)+VLOOKUP($A20,#REF!,7,FALSE)+VLOOKUP($A20,#REF!,7,FALSE)+VLOOKUP($A20,#REF!,7,FALSE)+VLOOKUP($A20,#REF!,7,FALSE)</f>
        <v>#VALUE!</v>
      </c>
      <c r="F20" s="105" t="e">
        <f>IFERROR(VLOOKUP($A20,#REF!,10,FALSE),"")+VLOOKUP($A20,#REF!,10,FALSE)+VLOOKUP($A20,#REF!,10,FALSE)+VLOOKUP($A20,#REF!,10,FALSE)+VLOOKUP($A20,#REF!,11,FALSE)+VLOOKUP($A20,#REF!,11,FALSE)+VLOOKUP($A20,#REF!,11,FALSE)+VLOOKUP($A20,#REF!,11,FALSE)</f>
        <v>#VALUE!</v>
      </c>
      <c r="G20" s="105" t="e">
        <f>IFERROR(VLOOKUP($A20,#REF!,9,FALSE),"")+VLOOKUP($A20,#REF!,9,FALSE)+VLOOKUP($A20,#REF!,9,FALSE)+VLOOKUP($A20,#REF!,9,FALSE)</f>
        <v>#VALUE!</v>
      </c>
      <c r="H20" s="101"/>
      <c r="I20" s="101"/>
      <c r="J20" s="105" t="e">
        <f>IFERROR(VLOOKUP($A20,#REF!,15,FALSE),"")+VLOOKUP($A20,#REF!,15,FALSE)+VLOOKUP($A20,#REF!,15,FALSE)+VLOOKUP($A20,#REF!,15,FALSE)</f>
        <v>#VALUE!</v>
      </c>
      <c r="L20" s="58"/>
    </row>
    <row r="21" spans="1:12" s="54" customFormat="1" ht="24.95" customHeight="1">
      <c r="A21" s="103">
        <v>44457</v>
      </c>
      <c r="B21" s="105" t="e">
        <f>IFERROR(VLOOKUP($A21,#REF!,2,FALSE),"")+VLOOKUP($A21,#REF!,2,FALSE)+VLOOKUP($A21,#REF!,2,FALSE)+VLOOKUP($A21,#REF!,2,FALSE)</f>
        <v>#VALUE!</v>
      </c>
      <c r="C21" s="105" t="e">
        <f>IFERROR(VLOOKUP($A21,#REF!,3,FALSE),"")+VLOOKUP($A21,#REF!,3,FALSE)+VLOOKUP($A21,#REF!,3,FALSE)+VLOOKUP($A21,#REF!,3,FALSE)</f>
        <v>#VALUE!</v>
      </c>
      <c r="D21" s="105" t="e">
        <f>IFERROR(VLOOKUP($A21,#REF!,4,FALSE),"")+VLOOKUP($A21,#REF!,4,FALSE)+VLOOKUP($A21,#REF!,4,FALSE)+VLOOKUP($A21,#REF!,4,FALSE)</f>
        <v>#VALUE!</v>
      </c>
      <c r="E21" s="105" t="e">
        <f>IFERROR(VLOOKUP($A21,#REF!,6,FALSE),"")+VLOOKUP($A21,#REF!,6,FALSE)+VLOOKUP($A21,#REF!,6,FALSE)+VLOOKUP($A21,#REF!,6,FALSE)+VLOOKUP($A21,#REF!,7,FALSE)+VLOOKUP($A21,#REF!,7,FALSE)+VLOOKUP($A21,#REF!,7,FALSE)+VLOOKUP($A21,#REF!,7,FALSE)</f>
        <v>#VALUE!</v>
      </c>
      <c r="F21" s="105" t="e">
        <f>IFERROR(VLOOKUP($A21,#REF!,10,FALSE),"")+VLOOKUP($A21,#REF!,10,FALSE)+VLOOKUP($A21,#REF!,10,FALSE)+VLOOKUP($A21,#REF!,10,FALSE)+VLOOKUP($A21,#REF!,11,FALSE)+VLOOKUP($A21,#REF!,11,FALSE)+VLOOKUP($A21,#REF!,11,FALSE)+VLOOKUP($A21,#REF!,11,FALSE)</f>
        <v>#VALUE!</v>
      </c>
      <c r="G21" s="105" t="e">
        <f>IFERROR(VLOOKUP($A21,#REF!,9,FALSE),"")+VLOOKUP($A21,#REF!,9,FALSE)+VLOOKUP($A21,#REF!,9,FALSE)+VLOOKUP($A21,#REF!,9,FALSE)</f>
        <v>#VALUE!</v>
      </c>
      <c r="H21" s="101"/>
      <c r="I21" s="101"/>
      <c r="J21" s="105" t="e">
        <f>IFERROR(VLOOKUP($A21,#REF!,15,FALSE),"")+VLOOKUP($A21,#REF!,15,FALSE)+VLOOKUP($A21,#REF!,15,FALSE)+VLOOKUP($A21,#REF!,15,FALSE)</f>
        <v>#VALUE!</v>
      </c>
      <c r="L21" s="58"/>
    </row>
    <row r="22" spans="1:12" s="54" customFormat="1" ht="24.95" customHeight="1">
      <c r="A22" s="103">
        <v>44458</v>
      </c>
      <c r="B22" s="105" t="e">
        <f>IFERROR(VLOOKUP($A22,#REF!,2,FALSE),"")+VLOOKUP($A22,#REF!,2,FALSE)+VLOOKUP($A22,#REF!,2,FALSE)+VLOOKUP($A22,#REF!,2,FALSE)</f>
        <v>#VALUE!</v>
      </c>
      <c r="C22" s="105" t="e">
        <f>IFERROR(VLOOKUP($A22,#REF!,3,FALSE),"")+VLOOKUP($A22,#REF!,3,FALSE)+VLOOKUP($A22,#REF!,3,FALSE)+VLOOKUP($A22,#REF!,3,FALSE)</f>
        <v>#VALUE!</v>
      </c>
      <c r="D22" s="105" t="e">
        <f>IFERROR(VLOOKUP($A22,#REF!,4,FALSE),"")+VLOOKUP($A22,#REF!,4,FALSE)+VLOOKUP($A22,#REF!,4,FALSE)+VLOOKUP($A22,#REF!,4,FALSE)</f>
        <v>#VALUE!</v>
      </c>
      <c r="E22" s="105" t="e">
        <f>IFERROR(VLOOKUP($A22,#REF!,6,FALSE),"")+VLOOKUP($A22,#REF!,6,FALSE)+VLOOKUP($A22,#REF!,6,FALSE)+VLOOKUP($A22,#REF!,6,FALSE)+VLOOKUP($A22,#REF!,7,FALSE)+VLOOKUP($A22,#REF!,7,FALSE)+VLOOKUP($A22,#REF!,7,FALSE)+VLOOKUP($A22,#REF!,7,FALSE)</f>
        <v>#VALUE!</v>
      </c>
      <c r="F22" s="105" t="e">
        <f>IFERROR(VLOOKUP($A22,#REF!,10,FALSE),"")+VLOOKUP($A22,#REF!,10,FALSE)+VLOOKUP($A22,#REF!,10,FALSE)+VLOOKUP($A22,#REF!,10,FALSE)+VLOOKUP($A22,#REF!,11,FALSE)+VLOOKUP($A22,#REF!,11,FALSE)+VLOOKUP($A22,#REF!,11,FALSE)+VLOOKUP($A22,#REF!,11,FALSE)</f>
        <v>#VALUE!</v>
      </c>
      <c r="G22" s="105" t="e">
        <f>IFERROR(VLOOKUP($A22,#REF!,9,FALSE),"")+VLOOKUP($A22,#REF!,9,FALSE)+VLOOKUP($A22,#REF!,9,FALSE)+VLOOKUP($A22,#REF!,9,FALSE)</f>
        <v>#VALUE!</v>
      </c>
      <c r="H22" s="101"/>
      <c r="I22" s="101"/>
      <c r="J22" s="105" t="e">
        <f>IFERROR(VLOOKUP($A22,#REF!,15,FALSE),"")+VLOOKUP($A22,#REF!,15,FALSE)+VLOOKUP($A22,#REF!,15,FALSE)+VLOOKUP($A22,#REF!,15,FALSE)</f>
        <v>#VALUE!</v>
      </c>
      <c r="L22" s="58"/>
    </row>
    <row r="23" spans="1:12" s="54" customFormat="1" ht="24.95" customHeight="1">
      <c r="A23" s="103">
        <v>44459</v>
      </c>
      <c r="B23" s="105" t="e">
        <f>IFERROR(VLOOKUP($A23,#REF!,2,FALSE),"")+VLOOKUP($A23,#REF!,2,FALSE)+VLOOKUP($A23,#REF!,2,FALSE)+VLOOKUP($A23,#REF!,2,FALSE)</f>
        <v>#VALUE!</v>
      </c>
      <c r="C23" s="105" t="e">
        <f>IFERROR(VLOOKUP($A23,#REF!,3,FALSE),"")+VLOOKUP($A23,#REF!,3,FALSE)+VLOOKUP($A23,#REF!,3,FALSE)+VLOOKUP($A23,#REF!,3,FALSE)</f>
        <v>#VALUE!</v>
      </c>
      <c r="D23" s="105" t="e">
        <f>IFERROR(VLOOKUP($A23,#REF!,4,FALSE),"")+VLOOKUP($A23,#REF!,4,FALSE)+VLOOKUP($A23,#REF!,4,FALSE)+VLOOKUP($A23,#REF!,4,FALSE)</f>
        <v>#VALUE!</v>
      </c>
      <c r="E23" s="105" t="e">
        <f>IFERROR(VLOOKUP($A23,#REF!,6,FALSE),"")+VLOOKUP($A23,#REF!,6,FALSE)+VLOOKUP($A23,#REF!,6,FALSE)+VLOOKUP($A23,#REF!,6,FALSE)+VLOOKUP($A23,#REF!,7,FALSE)+VLOOKUP($A23,#REF!,7,FALSE)+VLOOKUP($A23,#REF!,7,FALSE)+VLOOKUP($A23,#REF!,7,FALSE)</f>
        <v>#VALUE!</v>
      </c>
      <c r="F23" s="105" t="e">
        <f>IFERROR(VLOOKUP($A23,#REF!,10,FALSE),"")+VLOOKUP($A23,#REF!,10,FALSE)+VLOOKUP($A23,#REF!,10,FALSE)+VLOOKUP($A23,#REF!,10,FALSE)+VLOOKUP($A23,#REF!,11,FALSE)+VLOOKUP($A23,#REF!,11,FALSE)+VLOOKUP($A23,#REF!,11,FALSE)+VLOOKUP($A23,#REF!,11,FALSE)</f>
        <v>#VALUE!</v>
      </c>
      <c r="G23" s="105" t="e">
        <f>IFERROR(VLOOKUP($A23,#REF!,9,FALSE),"")+VLOOKUP($A23,#REF!,9,FALSE)+VLOOKUP($A23,#REF!,9,FALSE)+VLOOKUP($A23,#REF!,9,FALSE)</f>
        <v>#VALUE!</v>
      </c>
      <c r="H23" s="101"/>
      <c r="I23" s="101"/>
      <c r="J23" s="105" t="e">
        <f>IFERROR(VLOOKUP($A23,#REF!,15,FALSE),"")+VLOOKUP($A23,#REF!,15,FALSE)+VLOOKUP($A23,#REF!,15,FALSE)+VLOOKUP($A23,#REF!,15,FALSE)</f>
        <v>#VALUE!</v>
      </c>
      <c r="L23" s="58"/>
    </row>
    <row r="24" spans="1:12" s="54" customFormat="1" ht="24.95" customHeight="1">
      <c r="A24" s="103">
        <v>44460</v>
      </c>
      <c r="B24" s="105" t="e">
        <f>IFERROR(VLOOKUP($A24,#REF!,2,FALSE),"")+VLOOKUP($A24,#REF!,2,FALSE)+VLOOKUP($A24,#REF!,2,FALSE)+VLOOKUP($A24,#REF!,2,FALSE)</f>
        <v>#VALUE!</v>
      </c>
      <c r="C24" s="105" t="e">
        <f>IFERROR(VLOOKUP($A24,#REF!,3,FALSE),"")+VLOOKUP($A24,#REF!,3,FALSE)+VLOOKUP($A24,#REF!,3,FALSE)+VLOOKUP($A24,#REF!,3,FALSE)</f>
        <v>#VALUE!</v>
      </c>
      <c r="D24" s="105" t="e">
        <f>IFERROR(VLOOKUP($A24,#REF!,4,FALSE),"")+VLOOKUP($A24,#REF!,4,FALSE)+VLOOKUP($A24,#REF!,4,FALSE)+VLOOKUP($A24,#REF!,4,FALSE)</f>
        <v>#VALUE!</v>
      </c>
      <c r="E24" s="105" t="e">
        <f>IFERROR(VLOOKUP($A24,#REF!,6,FALSE),"")+VLOOKUP($A24,#REF!,6,FALSE)+VLOOKUP($A24,#REF!,6,FALSE)+VLOOKUP($A24,#REF!,6,FALSE)+VLOOKUP($A24,#REF!,7,FALSE)+VLOOKUP($A24,#REF!,7,FALSE)+VLOOKUP($A24,#REF!,7,FALSE)+VLOOKUP($A24,#REF!,7,FALSE)</f>
        <v>#VALUE!</v>
      </c>
      <c r="F24" s="105" t="e">
        <f>IFERROR(VLOOKUP($A24,#REF!,10,FALSE),"")+VLOOKUP($A24,#REF!,10,FALSE)+VLOOKUP($A24,#REF!,10,FALSE)+VLOOKUP($A24,#REF!,10,FALSE)+VLOOKUP($A24,#REF!,11,FALSE)+VLOOKUP($A24,#REF!,11,FALSE)+VLOOKUP($A24,#REF!,11,FALSE)+VLOOKUP($A24,#REF!,11,FALSE)</f>
        <v>#VALUE!</v>
      </c>
      <c r="G24" s="105" t="e">
        <f>IFERROR(VLOOKUP($A24,#REF!,9,FALSE),"")+VLOOKUP($A24,#REF!,9,FALSE)+VLOOKUP($A24,#REF!,9,FALSE)+VLOOKUP($A24,#REF!,9,FALSE)</f>
        <v>#VALUE!</v>
      </c>
      <c r="H24" s="101"/>
      <c r="I24" s="101"/>
      <c r="J24" s="105" t="e">
        <f>IFERROR(VLOOKUP($A24,#REF!,15,FALSE),"")+VLOOKUP($A24,#REF!,15,FALSE)+VLOOKUP($A24,#REF!,15,FALSE)+VLOOKUP($A24,#REF!,15,FALSE)</f>
        <v>#VALUE!</v>
      </c>
      <c r="L24" s="58"/>
    </row>
    <row r="25" spans="1:12" s="54" customFormat="1" ht="24.95" customHeight="1">
      <c r="A25" s="103">
        <v>44461</v>
      </c>
      <c r="B25" s="105" t="e">
        <f>IFERROR(VLOOKUP($A25,#REF!,2,FALSE),"")+VLOOKUP($A25,#REF!,2,FALSE)+VLOOKUP($A25,#REF!,2,FALSE)+VLOOKUP($A25,#REF!,2,FALSE)</f>
        <v>#VALUE!</v>
      </c>
      <c r="C25" s="105" t="e">
        <f>IFERROR(VLOOKUP($A25,#REF!,3,FALSE),"")+VLOOKUP($A25,#REF!,3,FALSE)+VLOOKUP($A25,#REF!,3,FALSE)+VLOOKUP($A25,#REF!,3,FALSE)</f>
        <v>#VALUE!</v>
      </c>
      <c r="D25" s="105" t="e">
        <f>IFERROR(VLOOKUP($A25,#REF!,4,FALSE),"")+VLOOKUP($A25,#REF!,4,FALSE)+VLOOKUP($A25,#REF!,4,FALSE)+VLOOKUP($A25,#REF!,4,FALSE)</f>
        <v>#VALUE!</v>
      </c>
      <c r="E25" s="105" t="e">
        <f>IFERROR(VLOOKUP($A25,#REF!,6,FALSE),"")+VLOOKUP($A25,#REF!,6,FALSE)+VLOOKUP($A25,#REF!,6,FALSE)+VLOOKUP($A25,#REF!,6,FALSE)+VLOOKUP($A25,#REF!,7,FALSE)+VLOOKUP($A25,#REF!,7,FALSE)+VLOOKUP($A25,#REF!,7,FALSE)+VLOOKUP($A25,#REF!,7,FALSE)</f>
        <v>#VALUE!</v>
      </c>
      <c r="F25" s="105" t="e">
        <f>IFERROR(VLOOKUP($A25,#REF!,10,FALSE),"")+VLOOKUP($A25,#REF!,10,FALSE)+VLOOKUP($A25,#REF!,10,FALSE)+VLOOKUP($A25,#REF!,10,FALSE)+VLOOKUP($A25,#REF!,11,FALSE)+VLOOKUP($A25,#REF!,11,FALSE)+VLOOKUP($A25,#REF!,11,FALSE)+VLOOKUP($A25,#REF!,11,FALSE)</f>
        <v>#VALUE!</v>
      </c>
      <c r="G25" s="105" t="e">
        <f>IFERROR(VLOOKUP($A25,#REF!,9,FALSE),"")+VLOOKUP($A25,#REF!,9,FALSE)+VLOOKUP($A25,#REF!,9,FALSE)+VLOOKUP($A25,#REF!,9,FALSE)</f>
        <v>#VALUE!</v>
      </c>
      <c r="H25" s="101"/>
      <c r="I25" s="101"/>
      <c r="J25" s="105" t="e">
        <f>IFERROR(VLOOKUP($A25,#REF!,15,FALSE),"")+VLOOKUP($A25,#REF!,15,FALSE)+VLOOKUP($A25,#REF!,15,FALSE)+VLOOKUP($A25,#REF!,15,FALSE)</f>
        <v>#VALUE!</v>
      </c>
      <c r="L25" s="58"/>
    </row>
    <row r="26" spans="1:12" s="54" customFormat="1" ht="24.95" customHeight="1">
      <c r="A26" s="103">
        <v>44462</v>
      </c>
      <c r="B26" s="105" t="e">
        <f>IFERROR(VLOOKUP($A26,#REF!,2,FALSE),"")+VLOOKUP($A26,#REF!,2,FALSE)+VLOOKUP($A26,#REF!,2,FALSE)+VLOOKUP($A26,#REF!,2,FALSE)</f>
        <v>#VALUE!</v>
      </c>
      <c r="C26" s="105" t="e">
        <f>IFERROR(VLOOKUP($A26,#REF!,3,FALSE),"")+VLOOKUP($A26,#REF!,3,FALSE)+VLOOKUP($A26,#REF!,3,FALSE)+VLOOKUP($A26,#REF!,3,FALSE)</f>
        <v>#VALUE!</v>
      </c>
      <c r="D26" s="105" t="e">
        <f>IFERROR(VLOOKUP($A26,#REF!,4,FALSE),"")+VLOOKUP($A26,#REF!,4,FALSE)+VLOOKUP($A26,#REF!,4,FALSE)+VLOOKUP($A26,#REF!,4,FALSE)</f>
        <v>#VALUE!</v>
      </c>
      <c r="E26" s="105" t="e">
        <f>IFERROR(VLOOKUP($A26,#REF!,6,FALSE),"")+VLOOKUP($A26,#REF!,6,FALSE)+VLOOKUP($A26,#REF!,6,FALSE)+VLOOKUP($A26,#REF!,6,FALSE)+VLOOKUP($A26,#REF!,7,FALSE)+VLOOKUP($A26,#REF!,7,FALSE)+VLOOKUP($A26,#REF!,7,FALSE)+VLOOKUP($A26,#REF!,7,FALSE)</f>
        <v>#VALUE!</v>
      </c>
      <c r="F26" s="105" t="e">
        <f>IFERROR(VLOOKUP($A26,#REF!,10,FALSE),"")+VLOOKUP($A26,#REF!,10,FALSE)+VLOOKUP($A26,#REF!,10,FALSE)+VLOOKUP($A26,#REF!,10,FALSE)+VLOOKUP($A26,#REF!,11,FALSE)+VLOOKUP($A26,#REF!,11,FALSE)+VLOOKUP($A26,#REF!,11,FALSE)+VLOOKUP($A26,#REF!,11,FALSE)</f>
        <v>#VALUE!</v>
      </c>
      <c r="G26" s="105" t="e">
        <f>IFERROR(VLOOKUP($A26,#REF!,9,FALSE),"")+VLOOKUP($A26,#REF!,9,FALSE)+VLOOKUP($A26,#REF!,9,FALSE)+VLOOKUP($A26,#REF!,9,FALSE)</f>
        <v>#VALUE!</v>
      </c>
      <c r="H26" s="101"/>
      <c r="I26" s="101"/>
      <c r="J26" s="105" t="e">
        <f>IFERROR(VLOOKUP($A26,#REF!,15,FALSE),"")+VLOOKUP($A26,#REF!,15,FALSE)+VLOOKUP($A26,#REF!,15,FALSE)+VLOOKUP($A26,#REF!,15,FALSE)</f>
        <v>#VALUE!</v>
      </c>
      <c r="L26" s="58"/>
    </row>
    <row r="27" spans="1:12" s="54" customFormat="1" ht="24.95" customHeight="1">
      <c r="A27" s="103">
        <v>44463</v>
      </c>
      <c r="B27" s="105" t="e">
        <f>IFERROR(VLOOKUP($A27,#REF!,2,FALSE),"")+VLOOKUP($A27,#REF!,2,FALSE)+VLOOKUP($A27,#REF!,2,FALSE)+VLOOKUP($A27,#REF!,2,FALSE)</f>
        <v>#VALUE!</v>
      </c>
      <c r="C27" s="105" t="e">
        <f>IFERROR(VLOOKUP($A27,#REF!,3,FALSE),"")+VLOOKUP($A27,#REF!,3,FALSE)+VLOOKUP($A27,#REF!,3,FALSE)+VLOOKUP($A27,#REF!,3,FALSE)</f>
        <v>#VALUE!</v>
      </c>
      <c r="D27" s="105" t="e">
        <f>IFERROR(VLOOKUP($A27,#REF!,4,FALSE),"")+VLOOKUP($A27,#REF!,4,FALSE)+VLOOKUP($A27,#REF!,4,FALSE)+VLOOKUP($A27,#REF!,4,FALSE)</f>
        <v>#VALUE!</v>
      </c>
      <c r="E27" s="105" t="e">
        <f>IFERROR(VLOOKUP($A27,#REF!,6,FALSE),"")+VLOOKUP($A27,#REF!,6,FALSE)+VLOOKUP($A27,#REF!,6,FALSE)+VLOOKUP($A27,#REF!,6,FALSE)+VLOOKUP($A27,#REF!,7,FALSE)+VLOOKUP($A27,#REF!,7,FALSE)+VLOOKUP($A27,#REF!,7,FALSE)+VLOOKUP($A27,#REF!,7,FALSE)</f>
        <v>#VALUE!</v>
      </c>
      <c r="F27" s="105" t="e">
        <f>IFERROR(VLOOKUP($A27,#REF!,10,FALSE),"")+VLOOKUP($A27,#REF!,10,FALSE)+VLOOKUP($A27,#REF!,10,FALSE)+VLOOKUP($A27,#REF!,10,FALSE)+VLOOKUP($A27,#REF!,11,FALSE)+VLOOKUP($A27,#REF!,11,FALSE)+VLOOKUP($A27,#REF!,11,FALSE)+VLOOKUP($A27,#REF!,11,FALSE)</f>
        <v>#VALUE!</v>
      </c>
      <c r="G27" s="105" t="e">
        <f>IFERROR(VLOOKUP($A27,#REF!,9,FALSE),"")+VLOOKUP($A27,#REF!,9,FALSE)+VLOOKUP($A27,#REF!,9,FALSE)+VLOOKUP($A27,#REF!,9,FALSE)</f>
        <v>#VALUE!</v>
      </c>
      <c r="H27" s="101"/>
      <c r="I27" s="101"/>
      <c r="J27" s="105" t="e">
        <f>IFERROR(VLOOKUP($A27,#REF!,15,FALSE),"")+VLOOKUP($A27,#REF!,15,FALSE)+VLOOKUP($A27,#REF!,15,FALSE)+VLOOKUP($A27,#REF!,15,FALSE)</f>
        <v>#VALUE!</v>
      </c>
      <c r="L27" s="58"/>
    </row>
    <row r="28" spans="1:12" s="54" customFormat="1" ht="24.95" customHeight="1">
      <c r="A28" s="103">
        <v>44464</v>
      </c>
      <c r="B28" s="105" t="e">
        <f>IFERROR(VLOOKUP($A28,#REF!,2,FALSE),"")+VLOOKUP($A28,#REF!,2,FALSE)+VLOOKUP($A28,#REF!,2,FALSE)+VLOOKUP($A28,#REF!,2,FALSE)</f>
        <v>#VALUE!</v>
      </c>
      <c r="C28" s="105" t="e">
        <f>IFERROR(VLOOKUP($A28,#REF!,3,FALSE),"")+VLOOKUP($A28,#REF!,3,FALSE)+VLOOKUP($A28,#REF!,3,FALSE)+VLOOKUP($A28,#REF!,3,FALSE)</f>
        <v>#VALUE!</v>
      </c>
      <c r="D28" s="105" t="e">
        <f>IFERROR(VLOOKUP($A28,#REF!,4,FALSE),"")+VLOOKUP($A28,#REF!,4,FALSE)+VLOOKUP($A28,#REF!,4,FALSE)+VLOOKUP($A28,#REF!,4,FALSE)</f>
        <v>#VALUE!</v>
      </c>
      <c r="E28" s="105" t="e">
        <f>IFERROR(VLOOKUP($A28,#REF!,6,FALSE),"")+VLOOKUP($A28,#REF!,6,FALSE)+VLOOKUP($A28,#REF!,6,FALSE)+VLOOKUP($A28,#REF!,6,FALSE)+VLOOKUP($A28,#REF!,7,FALSE)+VLOOKUP($A28,#REF!,7,FALSE)+VLOOKUP($A28,#REF!,7,FALSE)+VLOOKUP($A28,#REF!,7,FALSE)</f>
        <v>#VALUE!</v>
      </c>
      <c r="F28" s="105" t="e">
        <f>IFERROR(VLOOKUP($A28,#REF!,10,FALSE),"")+VLOOKUP($A28,#REF!,10,FALSE)+VLOOKUP($A28,#REF!,10,FALSE)+VLOOKUP($A28,#REF!,10,FALSE)+VLOOKUP($A28,#REF!,11,FALSE)+VLOOKUP($A28,#REF!,11,FALSE)+VLOOKUP($A28,#REF!,11,FALSE)+VLOOKUP($A28,#REF!,11,FALSE)</f>
        <v>#VALUE!</v>
      </c>
      <c r="G28" s="105" t="e">
        <f>IFERROR(VLOOKUP($A28,#REF!,9,FALSE),"")+VLOOKUP($A28,#REF!,9,FALSE)+VLOOKUP($A28,#REF!,9,FALSE)+VLOOKUP($A28,#REF!,9,FALSE)</f>
        <v>#VALUE!</v>
      </c>
      <c r="H28" s="101"/>
      <c r="I28" s="101"/>
      <c r="J28" s="105" t="e">
        <f>IFERROR(VLOOKUP($A28,#REF!,15,FALSE),"")+VLOOKUP($A28,#REF!,15,FALSE)+VLOOKUP($A28,#REF!,15,FALSE)+VLOOKUP($A28,#REF!,15,FALSE)</f>
        <v>#VALUE!</v>
      </c>
      <c r="L28" s="58"/>
    </row>
    <row r="29" spans="1:12" s="54" customFormat="1" ht="24.95" customHeight="1">
      <c r="A29" s="103">
        <v>44465</v>
      </c>
      <c r="B29" s="105" t="e">
        <f>IFERROR(VLOOKUP($A29,#REF!,2,FALSE),"")+VLOOKUP($A29,#REF!,2,FALSE)+VLOOKUP($A29,#REF!,2,FALSE)+VLOOKUP($A29,#REF!,2,FALSE)</f>
        <v>#VALUE!</v>
      </c>
      <c r="C29" s="105" t="e">
        <f>IFERROR(VLOOKUP($A29,#REF!,3,FALSE),"")+VLOOKUP($A29,#REF!,3,FALSE)+VLOOKUP($A29,#REF!,3,FALSE)+VLOOKUP($A29,#REF!,3,FALSE)</f>
        <v>#VALUE!</v>
      </c>
      <c r="D29" s="105" t="e">
        <f>IFERROR(VLOOKUP($A29,#REF!,4,FALSE),"")+VLOOKUP($A29,#REF!,4,FALSE)+VLOOKUP($A29,#REF!,4,FALSE)+VLOOKUP($A29,#REF!,4,FALSE)</f>
        <v>#VALUE!</v>
      </c>
      <c r="E29" s="105" t="e">
        <f>IFERROR(VLOOKUP($A29,#REF!,6,FALSE),"")+VLOOKUP($A29,#REF!,6,FALSE)+VLOOKUP($A29,#REF!,6,FALSE)+VLOOKUP($A29,#REF!,6,FALSE)+VLOOKUP($A29,#REF!,7,FALSE)+VLOOKUP($A29,#REF!,7,FALSE)+VLOOKUP($A29,#REF!,7,FALSE)+VLOOKUP($A29,#REF!,7,FALSE)</f>
        <v>#VALUE!</v>
      </c>
      <c r="F29" s="105" t="e">
        <f>IFERROR(VLOOKUP($A29,#REF!,10,FALSE),"")+VLOOKUP($A29,#REF!,10,FALSE)+VLOOKUP($A29,#REF!,10,FALSE)+VLOOKUP($A29,#REF!,10,FALSE)+VLOOKUP($A29,#REF!,11,FALSE)+VLOOKUP($A29,#REF!,11,FALSE)+VLOOKUP($A29,#REF!,11,FALSE)+VLOOKUP($A29,#REF!,11,FALSE)</f>
        <v>#VALUE!</v>
      </c>
      <c r="G29" s="105" t="e">
        <f>IFERROR(VLOOKUP($A29,#REF!,9,FALSE),"")+VLOOKUP($A29,#REF!,9,FALSE)+VLOOKUP($A29,#REF!,9,FALSE)+VLOOKUP($A29,#REF!,9,FALSE)</f>
        <v>#VALUE!</v>
      </c>
      <c r="H29" s="101"/>
      <c r="I29" s="101"/>
      <c r="J29" s="105" t="e">
        <f>IFERROR(VLOOKUP($A29,#REF!,15,FALSE),"")+VLOOKUP($A29,#REF!,15,FALSE)+VLOOKUP($A29,#REF!,15,FALSE)+VLOOKUP($A29,#REF!,15,FALSE)</f>
        <v>#VALUE!</v>
      </c>
      <c r="L29" s="58"/>
    </row>
    <row r="30" spans="1:12" s="54" customFormat="1" ht="24.95" customHeight="1">
      <c r="A30" s="103">
        <v>44466</v>
      </c>
      <c r="B30" s="105" t="e">
        <f>IFERROR(VLOOKUP($A30,#REF!,2,FALSE),"")+VLOOKUP($A30,#REF!,2,FALSE)+VLOOKUP($A30,#REF!,2,FALSE)+VLOOKUP($A30,#REF!,2,FALSE)</f>
        <v>#VALUE!</v>
      </c>
      <c r="C30" s="105" t="e">
        <f>IFERROR(VLOOKUP($A30,#REF!,3,FALSE),"")+VLOOKUP($A30,#REF!,3,FALSE)+VLOOKUP($A30,#REF!,3,FALSE)+VLOOKUP($A30,#REF!,3,FALSE)</f>
        <v>#VALUE!</v>
      </c>
      <c r="D30" s="105" t="e">
        <f>IFERROR(VLOOKUP($A30,#REF!,4,FALSE),"")+VLOOKUP($A30,#REF!,4,FALSE)+VLOOKUP($A30,#REF!,4,FALSE)+VLOOKUP($A30,#REF!,4,FALSE)</f>
        <v>#VALUE!</v>
      </c>
      <c r="E30" s="105" t="e">
        <f>IFERROR(VLOOKUP($A30,#REF!,6,FALSE),"")+VLOOKUP($A30,#REF!,6,FALSE)+VLOOKUP($A30,#REF!,6,FALSE)+VLOOKUP($A30,#REF!,6,FALSE)+VLOOKUP($A30,#REF!,7,FALSE)+VLOOKUP($A30,#REF!,7,FALSE)+VLOOKUP($A30,#REF!,7,FALSE)+VLOOKUP($A30,#REF!,7,FALSE)</f>
        <v>#VALUE!</v>
      </c>
      <c r="F30" s="105" t="e">
        <f>IFERROR(VLOOKUP($A30,#REF!,10,FALSE),"")+VLOOKUP($A30,#REF!,10,FALSE)+VLOOKUP($A30,#REF!,10,FALSE)+VLOOKUP($A30,#REF!,10,FALSE)+VLOOKUP($A30,#REF!,11,FALSE)+VLOOKUP($A30,#REF!,11,FALSE)+VLOOKUP($A30,#REF!,11,FALSE)+VLOOKUP($A30,#REF!,11,FALSE)</f>
        <v>#VALUE!</v>
      </c>
      <c r="G30" s="105" t="e">
        <f>IFERROR(VLOOKUP($A30,#REF!,9,FALSE),"")+VLOOKUP($A30,#REF!,9,FALSE)+VLOOKUP($A30,#REF!,9,FALSE)+VLOOKUP($A30,#REF!,9,FALSE)</f>
        <v>#VALUE!</v>
      </c>
      <c r="H30" s="101"/>
      <c r="I30" s="101"/>
      <c r="J30" s="105" t="e">
        <f>IFERROR(VLOOKUP($A30,#REF!,15,FALSE),"")+VLOOKUP($A30,#REF!,15,FALSE)+VLOOKUP($A30,#REF!,15,FALSE)+VLOOKUP($A30,#REF!,15,FALSE)</f>
        <v>#VALUE!</v>
      </c>
      <c r="L30" s="58"/>
    </row>
    <row r="31" spans="1:12" s="54" customFormat="1" ht="24.95" customHeight="1">
      <c r="A31" s="103">
        <v>44467</v>
      </c>
      <c r="B31" s="105" t="e">
        <f>IFERROR(VLOOKUP($A31,#REF!,2,FALSE),"")+VLOOKUP($A31,#REF!,2,FALSE)+VLOOKUP($A31,#REF!,2,FALSE)+VLOOKUP($A31,#REF!,2,FALSE)</f>
        <v>#VALUE!</v>
      </c>
      <c r="C31" s="105" t="e">
        <f>IFERROR(VLOOKUP($A31,#REF!,3,FALSE),"")+VLOOKUP($A31,#REF!,3,FALSE)+VLOOKUP($A31,#REF!,3,FALSE)+VLOOKUP($A31,#REF!,3,FALSE)</f>
        <v>#VALUE!</v>
      </c>
      <c r="D31" s="105" t="e">
        <f>IFERROR(VLOOKUP($A31,#REF!,4,FALSE),"")+VLOOKUP($A31,#REF!,4,FALSE)+VLOOKUP($A31,#REF!,4,FALSE)+VLOOKUP($A31,#REF!,4,FALSE)</f>
        <v>#VALUE!</v>
      </c>
      <c r="E31" s="105" t="e">
        <f>IFERROR(VLOOKUP($A31,#REF!,6,FALSE),"")+VLOOKUP($A31,#REF!,6,FALSE)+VLOOKUP($A31,#REF!,6,FALSE)+VLOOKUP($A31,#REF!,6,FALSE)+VLOOKUP($A31,#REF!,7,FALSE)+VLOOKUP($A31,#REF!,7,FALSE)+VLOOKUP($A31,#REF!,7,FALSE)+VLOOKUP($A31,#REF!,7,FALSE)</f>
        <v>#VALUE!</v>
      </c>
      <c r="F31" s="105" t="e">
        <f>IFERROR(VLOOKUP($A31,#REF!,10,FALSE),"")+VLOOKUP($A31,#REF!,10,FALSE)+VLOOKUP($A31,#REF!,10,FALSE)+VLOOKUP($A31,#REF!,10,FALSE)+VLOOKUP($A31,#REF!,11,FALSE)+VLOOKUP($A31,#REF!,11,FALSE)+VLOOKUP($A31,#REF!,11,FALSE)+VLOOKUP($A31,#REF!,11,FALSE)</f>
        <v>#VALUE!</v>
      </c>
      <c r="G31" s="105" t="e">
        <f>IFERROR(VLOOKUP($A31,#REF!,9,FALSE),"")+VLOOKUP($A31,#REF!,9,FALSE)+VLOOKUP($A31,#REF!,9,FALSE)+VLOOKUP($A31,#REF!,9,FALSE)</f>
        <v>#VALUE!</v>
      </c>
      <c r="H31" s="101"/>
      <c r="I31" s="101"/>
      <c r="J31" s="105" t="e">
        <f>IFERROR(VLOOKUP($A31,#REF!,15,FALSE),"")+VLOOKUP($A31,#REF!,15,FALSE)+VLOOKUP($A31,#REF!,15,FALSE)+VLOOKUP($A31,#REF!,15,FALSE)</f>
        <v>#VALUE!</v>
      </c>
      <c r="L31" s="58"/>
    </row>
    <row r="32" spans="1:12" ht="24.95" customHeight="1">
      <c r="A32" s="103">
        <v>44468</v>
      </c>
      <c r="B32" s="105" t="e">
        <f>IFERROR(VLOOKUP($A32,#REF!,2,FALSE),"")+VLOOKUP($A32,#REF!,2,FALSE)+VLOOKUP($A32,#REF!,2,FALSE)+VLOOKUP($A32,#REF!,2,FALSE)</f>
        <v>#VALUE!</v>
      </c>
      <c r="C32" s="105" t="e">
        <f>IFERROR(VLOOKUP($A32,#REF!,3,FALSE),"")+VLOOKUP($A32,#REF!,3,FALSE)+VLOOKUP($A32,#REF!,3,FALSE)+VLOOKUP($A32,#REF!,3,FALSE)</f>
        <v>#VALUE!</v>
      </c>
      <c r="D32" s="105" t="e">
        <f>IFERROR(VLOOKUP($A32,#REF!,4,FALSE),"")+VLOOKUP($A32,#REF!,4,FALSE)+VLOOKUP($A32,#REF!,4,FALSE)+VLOOKUP($A32,#REF!,4,FALSE)</f>
        <v>#VALUE!</v>
      </c>
      <c r="E32" s="105" t="e">
        <f>IFERROR(VLOOKUP($A32,#REF!,6,FALSE),"")+VLOOKUP($A32,#REF!,6,FALSE)+VLOOKUP($A32,#REF!,6,FALSE)+VLOOKUP($A32,#REF!,6,FALSE)+VLOOKUP($A32,#REF!,7,FALSE)+VLOOKUP($A32,#REF!,7,FALSE)+VLOOKUP($A32,#REF!,7,FALSE)+VLOOKUP($A32,#REF!,7,FALSE)</f>
        <v>#VALUE!</v>
      </c>
      <c r="F32" s="105" t="e">
        <f>IFERROR(VLOOKUP($A32,#REF!,10,FALSE),"")+VLOOKUP($A32,#REF!,10,FALSE)+VLOOKUP($A32,#REF!,10,FALSE)+VLOOKUP($A32,#REF!,10,FALSE)+VLOOKUP($A32,#REF!,11,FALSE)+VLOOKUP($A32,#REF!,11,FALSE)+VLOOKUP($A32,#REF!,11,FALSE)+VLOOKUP($A32,#REF!,11,FALSE)</f>
        <v>#VALUE!</v>
      </c>
      <c r="G32" s="105" t="e">
        <f>IFERROR(VLOOKUP($A32,#REF!,9,FALSE),"")+VLOOKUP($A32,#REF!,9,FALSE)+VLOOKUP($A32,#REF!,9,FALSE)+VLOOKUP($A32,#REF!,9,FALSE)</f>
        <v>#VALUE!</v>
      </c>
      <c r="H32" s="101"/>
      <c r="I32" s="101"/>
      <c r="J32" s="105" t="e">
        <f>IFERROR(VLOOKUP($A32,#REF!,15,FALSE),"")+VLOOKUP($A32,#REF!,15,FALSE)+VLOOKUP($A32,#REF!,15,FALSE)+VLOOKUP($A32,#REF!,15,FALSE)</f>
        <v>#VALUE!</v>
      </c>
    </row>
    <row r="33" spans="1:12" ht="24.95" customHeight="1">
      <c r="A33" s="103">
        <v>44469</v>
      </c>
      <c r="B33" s="105" t="e">
        <f>IFERROR(VLOOKUP($A33,#REF!,2,FALSE),"")+VLOOKUP($A33,#REF!,2,FALSE)+VLOOKUP($A33,#REF!,2,FALSE)+VLOOKUP($A33,#REF!,2,FALSE)</f>
        <v>#VALUE!</v>
      </c>
      <c r="C33" s="105" t="e">
        <f>IFERROR(VLOOKUP($A33,#REF!,3,FALSE),"")+VLOOKUP($A33,#REF!,3,FALSE)+VLOOKUP($A33,#REF!,3,FALSE)+VLOOKUP($A33,#REF!,3,FALSE)</f>
        <v>#VALUE!</v>
      </c>
      <c r="D33" s="105" t="e">
        <f>IFERROR(VLOOKUP($A33,#REF!,4,FALSE),"")+VLOOKUP($A33,#REF!,4,FALSE)+VLOOKUP($A33,#REF!,4,FALSE)+VLOOKUP($A33,#REF!,4,FALSE)</f>
        <v>#VALUE!</v>
      </c>
      <c r="E33" s="105" t="e">
        <f>IFERROR(VLOOKUP($A33,#REF!,6,FALSE),"")+VLOOKUP($A33,#REF!,6,FALSE)+VLOOKUP($A33,#REF!,6,FALSE)+VLOOKUP($A33,#REF!,6,FALSE)+VLOOKUP($A33,#REF!,7,FALSE)+VLOOKUP($A33,#REF!,7,FALSE)+VLOOKUP($A33,#REF!,7,FALSE)+VLOOKUP($A33,#REF!,7,FALSE)</f>
        <v>#VALUE!</v>
      </c>
      <c r="F33" s="105" t="e">
        <f>IFERROR(VLOOKUP($A33,#REF!,10,FALSE),"")+VLOOKUP($A33,#REF!,10,FALSE)+VLOOKUP($A33,#REF!,10,FALSE)+VLOOKUP($A33,#REF!,10,FALSE)+VLOOKUP($A33,#REF!,11,FALSE)+VLOOKUP($A33,#REF!,11,FALSE)+VLOOKUP($A33,#REF!,11,FALSE)+VLOOKUP($A33,#REF!,11,FALSE)</f>
        <v>#VALUE!</v>
      </c>
      <c r="G33" s="105" t="e">
        <f>IFERROR(VLOOKUP($A33,#REF!,9,FALSE),"")+VLOOKUP($A33,#REF!,9,FALSE)+VLOOKUP($A33,#REF!,9,FALSE)+VLOOKUP($A33,#REF!,9,FALSE)</f>
        <v>#VALUE!</v>
      </c>
      <c r="H33" s="101"/>
      <c r="I33" s="101"/>
      <c r="J33" s="105" t="e">
        <f>IFERROR(VLOOKUP($A33,#REF!,15,FALSE),"")+VLOOKUP($A33,#REF!,15,FALSE)+VLOOKUP($A33,#REF!,15,FALSE)+VLOOKUP($A33,#REF!,15,FALSE)</f>
        <v>#VALUE!</v>
      </c>
    </row>
    <row r="34" spans="1:12" ht="24.95" hidden="1" customHeight="1">
      <c r="A34" s="111"/>
      <c r="B34" s="112"/>
      <c r="C34" s="112"/>
      <c r="D34" s="113"/>
      <c r="E34" s="113"/>
      <c r="F34" s="113"/>
      <c r="G34" s="113"/>
      <c r="H34" s="113"/>
      <c r="I34" s="113"/>
      <c r="J34" s="114"/>
    </row>
    <row r="35" spans="1:12" s="60" customFormat="1" ht="24.95" customHeight="1">
      <c r="A35" s="115" t="s">
        <v>61</v>
      </c>
      <c r="B35" s="116" t="e">
        <f>SUM(B4:B34)</f>
        <v>#VALUE!</v>
      </c>
      <c r="C35" s="116" t="e">
        <f>SUM(C4:C34)</f>
        <v>#VALUE!</v>
      </c>
      <c r="D35" s="116" t="e">
        <f t="shared" ref="D35:J35" si="0">SUM(D4:D34)</f>
        <v>#VALUE!</v>
      </c>
      <c r="E35" s="116" t="e">
        <f t="shared" si="0"/>
        <v>#VALUE!</v>
      </c>
      <c r="F35" s="116" t="e">
        <f t="shared" si="0"/>
        <v>#VALUE!</v>
      </c>
      <c r="G35" s="116" t="e">
        <f t="shared" si="0"/>
        <v>#VALUE!</v>
      </c>
      <c r="H35" s="116">
        <f t="shared" si="0"/>
        <v>0</v>
      </c>
      <c r="I35" s="116">
        <f t="shared" si="0"/>
        <v>0</v>
      </c>
      <c r="J35" s="117" t="e">
        <f t="shared" si="0"/>
        <v>#VALUE!</v>
      </c>
    </row>
    <row r="36" spans="1:12" ht="24.95" customHeight="1"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</row>
    <row r="37" spans="1:12" ht="24.95" customHeight="1">
      <c r="B37" s="389"/>
      <c r="C37" s="389"/>
      <c r="D37" s="389"/>
      <c r="G37" s="62"/>
      <c r="H37" s="62"/>
      <c r="I37" s="62"/>
    </row>
    <row r="38" spans="1:12" s="54" customFormat="1" ht="30" customHeight="1">
      <c r="B38" s="54" t="s">
        <v>60</v>
      </c>
      <c r="C38" s="118" t="s">
        <v>102</v>
      </c>
      <c r="D38" s="56" t="s">
        <v>80</v>
      </c>
      <c r="E38" s="57" t="s">
        <v>78</v>
      </c>
      <c r="F38" s="56" t="s">
        <v>79</v>
      </c>
      <c r="G38" s="110" t="s">
        <v>81</v>
      </c>
      <c r="H38" s="109" t="s">
        <v>89</v>
      </c>
      <c r="I38" s="109" t="s">
        <v>83</v>
      </c>
      <c r="J38" s="56" t="s">
        <v>77</v>
      </c>
    </row>
    <row r="39" spans="1:12" ht="24.95" hidden="1" customHeight="1">
      <c r="A39" s="22" t="s">
        <v>88</v>
      </c>
      <c r="B39" s="68" t="s">
        <v>59</v>
      </c>
      <c r="C39" s="68"/>
      <c r="D39" s="64"/>
      <c r="E39" s="63" t="e">
        <f>VLOOKUP($A39,#REF!,6,FALSE)+VLOOKUP($A39,#REF!,7,FALSE)</f>
        <v>#REF!</v>
      </c>
      <c r="F39" s="63" t="e">
        <f>VLOOKUP($A39,#REF!,10,FALSE)</f>
        <v>#REF!</v>
      </c>
      <c r="G39" s="64"/>
      <c r="H39" s="63">
        <f>IF(ISERROR(VLOOKUP($A39,#REF!,12,FALSE)),0,VLOOKUP($A39,#REF!,12,FALSE))</f>
        <v>0</v>
      </c>
      <c r="I39" s="64"/>
      <c r="J39" s="64">
        <f>H39</f>
        <v>0</v>
      </c>
    </row>
    <row r="40" spans="1:12" ht="24.95" hidden="1" customHeight="1">
      <c r="A40" s="22" t="s">
        <v>85</v>
      </c>
      <c r="B40" s="71" t="s">
        <v>86</v>
      </c>
      <c r="C40" s="68"/>
      <c r="D40" s="64"/>
      <c r="E40" s="63" t="e">
        <f>VLOOKUP($A40,MK!$B$4:$L$32,6,FALSE)+VLOOKUP($A40,MK!$B$4:$L$32,7,FALSE)</f>
        <v>#REF!</v>
      </c>
      <c r="F40" s="63" t="e">
        <f>VLOOKUP($A40,MK!$B$4:$L$32,10,FALSE)</f>
        <v>#REF!</v>
      </c>
      <c r="G40" s="64"/>
      <c r="H40" s="63">
        <f>IF(ISERROR(VLOOKUP($A40,MK!$B$4:$M$32,12,FALSE)),0,VLOOKUP($A40,MK!$B$4:$M$32,12,FALSE))</f>
        <v>0</v>
      </c>
      <c r="I40" s="64"/>
      <c r="J40" s="64">
        <f>H40</f>
        <v>0</v>
      </c>
    </row>
    <row r="41" spans="1:12" ht="24.95" hidden="1" customHeight="1">
      <c r="A41" s="22" t="s">
        <v>90</v>
      </c>
      <c r="B41" s="71" t="s">
        <v>92</v>
      </c>
      <c r="C41" s="68"/>
      <c r="D41" s="64"/>
      <c r="E41" s="63" t="e">
        <f>VLOOKUP($A41,LH!$B$4:$L$39,6,FALSE)+VLOOKUP($A41,LH!$B$4:$L$39,7,FALSE)</f>
        <v>#REF!</v>
      </c>
      <c r="F41" s="63" t="e">
        <f>VLOOKUP($A41,LH!$B$4:$L$39,10,FALSE)</f>
        <v>#REF!</v>
      </c>
      <c r="G41" s="64"/>
      <c r="H41" s="63">
        <f>IF(ISERROR(VLOOKUP($A41,LH!$B$4:$M$39,12,FALSE)),0,VLOOKUP($A41,LH!$B$4:$M$39,12,FALSE))</f>
        <v>0</v>
      </c>
      <c r="I41" s="64"/>
      <c r="J41" s="64">
        <f>H41</f>
        <v>0</v>
      </c>
    </row>
    <row r="42" spans="1:12" ht="24.95" customHeight="1" thickBot="1">
      <c r="A42" s="22"/>
      <c r="B42" s="65"/>
      <c r="C42" s="106" t="e">
        <f>C35</f>
        <v>#VALUE!</v>
      </c>
      <c r="D42" s="106" t="e">
        <f t="shared" ref="D42:J42" si="1">D35</f>
        <v>#VALUE!</v>
      </c>
      <c r="E42" s="106" t="e">
        <f t="shared" si="1"/>
        <v>#VALUE!</v>
      </c>
      <c r="F42" s="106" t="e">
        <f t="shared" si="1"/>
        <v>#VALUE!</v>
      </c>
      <c r="G42" s="106" t="e">
        <f t="shared" si="1"/>
        <v>#VALUE!</v>
      </c>
      <c r="H42" s="106">
        <f t="shared" si="1"/>
        <v>0</v>
      </c>
      <c r="I42" s="106">
        <f t="shared" si="1"/>
        <v>0</v>
      </c>
      <c r="J42" s="106" t="e">
        <f t="shared" si="1"/>
        <v>#VALUE!</v>
      </c>
    </row>
    <row r="43" spans="1:12" ht="24.95" customHeight="1" thickBot="1">
      <c r="G43" s="391" t="s">
        <v>100</v>
      </c>
      <c r="H43" s="391"/>
      <c r="I43" s="391"/>
      <c r="J43" s="107" t="e">
        <f>F42</f>
        <v>#VALUE!</v>
      </c>
    </row>
    <row r="44" spans="1:12" s="60" customFormat="1" ht="24.95" customHeight="1" thickTop="1">
      <c r="A44" s="61"/>
      <c r="C44" s="66"/>
      <c r="D44" s="66"/>
      <c r="E44" s="66"/>
      <c r="F44" s="66"/>
      <c r="G44" s="392" t="s">
        <v>101</v>
      </c>
      <c r="H44" s="392"/>
      <c r="I44" s="392"/>
      <c r="J44" s="108" t="e">
        <f>SUM(J39:J43)</f>
        <v>#VALUE!</v>
      </c>
    </row>
    <row r="45" spans="1:12" ht="24.95" customHeight="1"/>
    <row r="46" spans="1:12" s="60" customFormat="1" ht="24.95" customHeight="1">
      <c r="A46" s="61"/>
      <c r="C46" s="66"/>
      <c r="D46" s="69"/>
      <c r="E46" s="69"/>
      <c r="F46" s="69"/>
      <c r="G46" s="69"/>
      <c r="H46" s="69"/>
      <c r="I46" s="66"/>
      <c r="J46" s="69"/>
    </row>
    <row r="52" spans="2:8">
      <c r="B52" s="59" t="s">
        <v>63</v>
      </c>
      <c r="H52" s="59" t="s">
        <v>64</v>
      </c>
    </row>
    <row r="59" spans="2:8">
      <c r="B59" s="59" t="s">
        <v>65</v>
      </c>
      <c r="H59" s="59" t="s">
        <v>66</v>
      </c>
    </row>
  </sheetData>
  <mergeCells count="4">
    <mergeCell ref="B37:D37"/>
    <mergeCell ref="A1:J2"/>
    <mergeCell ref="G43:I43"/>
    <mergeCell ref="G44:I44"/>
  </mergeCells>
  <phoneticPr fontId="14" type="noConversion"/>
  <pageMargins left="0.70866141732283472" right="0.70866141732283472" top="0.74803149606299213" bottom="0.74803149606299213" header="0.31496062992125984" footer="0.31496062992125984"/>
  <pageSetup scale="42" orientation="landscape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2">
    <tabColor theme="0" tint="-0.34998626667073579"/>
    <pageSetUpPr fitToPage="1"/>
  </sheetPr>
  <dimension ref="B1:AI76"/>
  <sheetViews>
    <sheetView showGridLines="0" view="pageBreakPreview" zoomScale="80" zoomScaleNormal="90" zoomScaleSheetLayoutView="80" workbookViewId="0">
      <pane ySplit="3" topLeftCell="A22" activePane="bottomLeft" state="frozen"/>
      <selection activeCell="Q50" sqref="Q50"/>
      <selection pane="bottomLeft" activeCell="M15" sqref="M15"/>
    </sheetView>
  </sheetViews>
  <sheetFormatPr defaultRowHeight="15"/>
  <cols>
    <col min="1" max="1" width="1" style="124" customWidth="1"/>
    <col min="2" max="2" width="12.28515625" style="123" bestFit="1" customWidth="1"/>
    <col min="3" max="5" width="12.28515625" style="123" customWidth="1"/>
    <col min="6" max="6" width="14.140625" style="123" customWidth="1"/>
    <col min="7" max="7" width="14.42578125" style="123" bestFit="1" customWidth="1"/>
    <col min="8" max="8" width="14.85546875" style="123" customWidth="1"/>
    <col min="9" max="11" width="15.42578125" style="124" customWidth="1"/>
    <col min="12" max="14" width="17.42578125" style="124" customWidth="1"/>
    <col min="15" max="15" width="13.5703125" style="124" bestFit="1" customWidth="1"/>
    <col min="16" max="16" width="14.140625" style="124" bestFit="1" customWidth="1"/>
    <col min="17" max="19" width="19" style="124" customWidth="1"/>
    <col min="20" max="20" width="18.42578125" style="124" customWidth="1"/>
    <col min="21" max="21" width="13.85546875" style="124" customWidth="1"/>
    <col min="22" max="23" width="13.7109375" style="124" customWidth="1"/>
    <col min="24" max="24" width="24.140625" style="124" bestFit="1" customWidth="1"/>
    <col min="25" max="25" width="1.5703125" style="124" customWidth="1"/>
    <col min="26" max="26" width="9.140625" style="124" hidden="1" customWidth="1"/>
    <col min="27" max="27" width="8.85546875" style="124" hidden="1" customWidth="1"/>
    <col min="28" max="28" width="10.140625" style="124" hidden="1" customWidth="1"/>
    <col min="29" max="29" width="12.140625" style="124" hidden="1" customWidth="1"/>
    <col min="30" max="30" width="9.140625" style="124" hidden="1" customWidth="1"/>
    <col min="31" max="31" width="9.28515625" style="124" hidden="1" customWidth="1"/>
    <col min="32" max="32" width="11" style="124" hidden="1" customWidth="1"/>
    <col min="33" max="33" width="7.140625" style="124" hidden="1" customWidth="1"/>
    <col min="34" max="34" width="10.42578125" style="124" hidden="1" customWidth="1"/>
    <col min="35" max="35" width="10.5703125" style="124" hidden="1" customWidth="1"/>
    <col min="36" max="16384" width="9.140625" style="124"/>
  </cols>
  <sheetData>
    <row r="1" spans="2:34" ht="24.75" customHeight="1" thickBot="1"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</row>
    <row r="2" spans="2:34" ht="28.5" customHeight="1" thickBot="1">
      <c r="B2" s="414" t="s">
        <v>241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415"/>
      <c r="X2" s="416"/>
    </row>
    <row r="3" spans="2:34" ht="60.75" thickBot="1">
      <c r="B3" s="125" t="s">
        <v>94</v>
      </c>
      <c r="C3" s="126" t="s">
        <v>121</v>
      </c>
      <c r="D3" s="126" t="s">
        <v>216</v>
      </c>
      <c r="E3" s="126" t="s">
        <v>215</v>
      </c>
      <c r="F3" s="126" t="s">
        <v>188</v>
      </c>
      <c r="G3" s="126" t="s">
        <v>186</v>
      </c>
      <c r="H3" s="126" t="s">
        <v>163</v>
      </c>
      <c r="I3" s="127" t="s">
        <v>111</v>
      </c>
      <c r="J3" s="127" t="s">
        <v>217</v>
      </c>
      <c r="K3" s="127" t="s">
        <v>183</v>
      </c>
      <c r="L3" s="127" t="s">
        <v>180</v>
      </c>
      <c r="M3" s="127" t="s">
        <v>181</v>
      </c>
      <c r="N3" s="127" t="s">
        <v>182</v>
      </c>
      <c r="O3" s="128">
        <v>-0.5</v>
      </c>
      <c r="P3" s="157">
        <f>-100%-O3</f>
        <v>-0.5</v>
      </c>
      <c r="Q3" s="127" t="s">
        <v>141</v>
      </c>
      <c r="R3" s="127" t="s">
        <v>142</v>
      </c>
      <c r="S3" s="127" t="s">
        <v>208</v>
      </c>
      <c r="T3" s="127" t="s">
        <v>125</v>
      </c>
      <c r="U3" s="206" t="s">
        <v>143</v>
      </c>
      <c r="V3" s="127" t="s">
        <v>97</v>
      </c>
      <c r="W3" s="127" t="s">
        <v>144</v>
      </c>
      <c r="X3" s="129" t="s">
        <v>96</v>
      </c>
      <c r="AA3" s="130" t="s">
        <v>106</v>
      </c>
      <c r="AB3" s="130" t="s">
        <v>95</v>
      </c>
      <c r="AC3" s="130" t="s">
        <v>107</v>
      </c>
      <c r="AD3" s="131" t="s">
        <v>108</v>
      </c>
      <c r="AE3" s="131" t="s">
        <v>109</v>
      </c>
      <c r="AF3" s="130" t="s">
        <v>147</v>
      </c>
      <c r="AG3" s="130" t="s">
        <v>110</v>
      </c>
      <c r="AH3" s="130" t="s">
        <v>120</v>
      </c>
    </row>
    <row r="4" spans="2:34" ht="26.25" customHeight="1">
      <c r="B4" s="132">
        <v>44593</v>
      </c>
      <c r="C4" s="240">
        <v>0</v>
      </c>
      <c r="D4" s="240">
        <v>0</v>
      </c>
      <c r="E4" s="240">
        <v>0</v>
      </c>
      <c r="F4" s="240">
        <v>0</v>
      </c>
      <c r="G4" s="240">
        <v>0</v>
      </c>
      <c r="H4" s="292">
        <f t="shared" ref="H4:H9" si="0">SUM(F4:G4)</f>
        <v>0</v>
      </c>
      <c r="I4" s="133">
        <v>0</v>
      </c>
      <c r="J4" s="137">
        <f t="shared" ref="J4:J9" si="1">SUM(D4:E4)</f>
        <v>0</v>
      </c>
      <c r="K4" s="133">
        <v>0</v>
      </c>
      <c r="L4" s="256">
        <f t="shared" ref="L4:L9" si="2">-F4-G4-I4-K4+E4</f>
        <v>0</v>
      </c>
      <c r="M4" s="133">
        <v>0</v>
      </c>
      <c r="N4" s="256">
        <f>L4+M4</f>
        <v>0</v>
      </c>
      <c r="O4" s="321">
        <f>N4*$O$3-J4</f>
        <v>0</v>
      </c>
      <c r="P4" s="321">
        <f>N4*$P$3-J4</f>
        <v>0</v>
      </c>
      <c r="Q4" s="210">
        <v>0</v>
      </c>
      <c r="R4" s="210">
        <f>Q4-S4</f>
        <v>0</v>
      </c>
      <c r="S4" s="134">
        <v>0</v>
      </c>
      <c r="T4" s="159">
        <f>S4*1.7%</f>
        <v>0</v>
      </c>
      <c r="U4" s="158">
        <f>R4*1.7%</f>
        <v>0</v>
      </c>
      <c r="V4" s="158">
        <f>SUM(T4:U4)</f>
        <v>0</v>
      </c>
      <c r="W4" s="293">
        <f>V4*50%</f>
        <v>0</v>
      </c>
      <c r="X4" s="286">
        <f>O4+W4-T4</f>
        <v>0</v>
      </c>
      <c r="AA4" s="164">
        <f>H4</f>
        <v>0</v>
      </c>
      <c r="AB4" s="165">
        <f>I4+K4</f>
        <v>0</v>
      </c>
      <c r="AC4" s="165">
        <f>R4</f>
        <v>0</v>
      </c>
      <c r="AD4" s="165">
        <f>W4</f>
        <v>0</v>
      </c>
      <c r="AE4" s="165">
        <f>N4</f>
        <v>0</v>
      </c>
      <c r="AF4" s="165">
        <f>S4</f>
        <v>0</v>
      </c>
      <c r="AG4" s="165"/>
      <c r="AH4" s="213">
        <f>C4</f>
        <v>0</v>
      </c>
    </row>
    <row r="5" spans="2:34" ht="26.25" customHeight="1">
      <c r="B5" s="166">
        <f>B4+1</f>
        <v>44594</v>
      </c>
      <c r="C5" s="221">
        <v>0</v>
      </c>
      <c r="D5" s="221">
        <v>0</v>
      </c>
      <c r="E5" s="291">
        <v>0</v>
      </c>
      <c r="F5" s="291">
        <v>0</v>
      </c>
      <c r="G5" s="291">
        <v>0</v>
      </c>
      <c r="H5" s="292">
        <f t="shared" si="0"/>
        <v>0</v>
      </c>
      <c r="I5" s="136">
        <v>0</v>
      </c>
      <c r="J5" s="137">
        <f t="shared" si="1"/>
        <v>0</v>
      </c>
      <c r="K5" s="136">
        <v>0</v>
      </c>
      <c r="L5" s="256">
        <f t="shared" si="2"/>
        <v>0</v>
      </c>
      <c r="M5" s="136">
        <v>0</v>
      </c>
      <c r="N5" s="256">
        <f>L5+M5</f>
        <v>0</v>
      </c>
      <c r="O5" s="323">
        <f t="shared" ref="O5:O34" si="3">N5*$O$3-J5</f>
        <v>0</v>
      </c>
      <c r="P5" s="323">
        <f t="shared" ref="P5:P34" si="4">N5*$P$3-J5</f>
        <v>0</v>
      </c>
      <c r="Q5" s="135">
        <v>0</v>
      </c>
      <c r="R5" s="211">
        <f>Q5-S5</f>
        <v>0</v>
      </c>
      <c r="S5" s="135">
        <v>0</v>
      </c>
      <c r="T5" s="159">
        <f>S5*1.7%</f>
        <v>0</v>
      </c>
      <c r="U5" s="159">
        <f>R5*1.7%</f>
        <v>0</v>
      </c>
      <c r="V5" s="159">
        <f>SUM(T5:U5)</f>
        <v>0</v>
      </c>
      <c r="W5" s="294">
        <f>V5*50%</f>
        <v>0</v>
      </c>
      <c r="X5" s="162">
        <f>O5+W5-T5</f>
        <v>0</v>
      </c>
      <c r="AA5" s="164">
        <f t="shared" ref="AA5:AA34" si="5">AA4+H5</f>
        <v>0</v>
      </c>
      <c r="AB5" s="165">
        <f t="shared" ref="AB5:AB34" si="6">AB4+I5+K5</f>
        <v>0</v>
      </c>
      <c r="AC5" s="165">
        <f t="shared" ref="AC5:AC34" si="7">R5+AC4</f>
        <v>0</v>
      </c>
      <c r="AD5" s="165">
        <f>W5+AD4</f>
        <v>0</v>
      </c>
      <c r="AE5" s="165">
        <f t="shared" ref="AE5:AE34" si="8">AE4+N5</f>
        <v>0</v>
      </c>
      <c r="AF5" s="165">
        <f t="shared" ref="AF5:AF34" si="9">S5+AF4</f>
        <v>0</v>
      </c>
      <c r="AG5" s="165"/>
      <c r="AH5" s="230">
        <f t="shared" ref="AH5:AH34" si="10">C5+AH4</f>
        <v>0</v>
      </c>
    </row>
    <row r="6" spans="2:34" ht="26.25" customHeight="1">
      <c r="B6" s="166">
        <f t="shared" ref="B6:B34" si="11">B5+1</f>
        <v>44595</v>
      </c>
      <c r="C6" s="221">
        <v>0</v>
      </c>
      <c r="D6" s="221">
        <v>0</v>
      </c>
      <c r="E6" s="291">
        <v>0</v>
      </c>
      <c r="F6" s="291">
        <v>0</v>
      </c>
      <c r="G6" s="291">
        <v>0</v>
      </c>
      <c r="H6" s="292">
        <f t="shared" si="0"/>
        <v>0</v>
      </c>
      <c r="I6" s="136">
        <v>0</v>
      </c>
      <c r="J6" s="137">
        <f t="shared" si="1"/>
        <v>0</v>
      </c>
      <c r="K6" s="136">
        <v>0</v>
      </c>
      <c r="L6" s="256">
        <f t="shared" si="2"/>
        <v>0</v>
      </c>
      <c r="M6" s="136">
        <v>0</v>
      </c>
      <c r="N6" s="256">
        <f t="shared" ref="N6:N34" si="12">L6+M6</f>
        <v>0</v>
      </c>
      <c r="O6" s="323">
        <f t="shared" si="3"/>
        <v>0</v>
      </c>
      <c r="P6" s="323">
        <f t="shared" si="4"/>
        <v>0</v>
      </c>
      <c r="Q6" s="135">
        <v>0</v>
      </c>
      <c r="R6" s="211">
        <f>Q6-S6</f>
        <v>0</v>
      </c>
      <c r="S6" s="135">
        <v>0</v>
      </c>
      <c r="T6" s="159">
        <f t="shared" ref="T6:T34" si="13">S6*1.7%</f>
        <v>0</v>
      </c>
      <c r="U6" s="159">
        <f t="shared" ref="U6:U34" si="14">R6*1.7%</f>
        <v>0</v>
      </c>
      <c r="V6" s="159">
        <f t="shared" ref="V6:V34" si="15">SUM(T6:U6)</f>
        <v>0</v>
      </c>
      <c r="W6" s="294">
        <f t="shared" ref="W6:W34" si="16">V6*50%</f>
        <v>0</v>
      </c>
      <c r="X6" s="162">
        <f t="shared" ref="X6:X34" si="17">O6+W6-T6</f>
        <v>0</v>
      </c>
      <c r="AA6" s="164">
        <f t="shared" si="5"/>
        <v>0</v>
      </c>
      <c r="AB6" s="165">
        <f t="shared" si="6"/>
        <v>0</v>
      </c>
      <c r="AC6" s="165">
        <f t="shared" si="7"/>
        <v>0</v>
      </c>
      <c r="AD6" s="165">
        <f t="shared" ref="AD6:AD34" si="18">W6+AD5</f>
        <v>0</v>
      </c>
      <c r="AE6" s="165">
        <f t="shared" si="8"/>
        <v>0</v>
      </c>
      <c r="AF6" s="165">
        <f t="shared" si="9"/>
        <v>0</v>
      </c>
      <c r="AG6" s="165"/>
      <c r="AH6" s="230">
        <f t="shared" si="10"/>
        <v>0</v>
      </c>
    </row>
    <row r="7" spans="2:34" ht="26.25" customHeight="1">
      <c r="B7" s="166">
        <f t="shared" si="11"/>
        <v>44596</v>
      </c>
      <c r="C7" s="221">
        <v>0</v>
      </c>
      <c r="D7" s="221">
        <v>0</v>
      </c>
      <c r="E7" s="291">
        <v>0</v>
      </c>
      <c r="F7" s="291">
        <v>0</v>
      </c>
      <c r="G7" s="291">
        <v>0</v>
      </c>
      <c r="H7" s="292">
        <f t="shared" si="0"/>
        <v>0</v>
      </c>
      <c r="I7" s="136">
        <v>0</v>
      </c>
      <c r="J7" s="137">
        <f t="shared" si="1"/>
        <v>0</v>
      </c>
      <c r="K7" s="136">
        <v>0</v>
      </c>
      <c r="L7" s="256">
        <v>0</v>
      </c>
      <c r="M7" s="136">
        <v>0</v>
      </c>
      <c r="N7" s="256">
        <f t="shared" si="12"/>
        <v>0</v>
      </c>
      <c r="O7" s="323">
        <f t="shared" si="3"/>
        <v>0</v>
      </c>
      <c r="P7" s="323">
        <f t="shared" si="4"/>
        <v>0</v>
      </c>
      <c r="Q7" s="135">
        <v>0</v>
      </c>
      <c r="R7" s="211">
        <f t="shared" ref="R7:R33" si="19">Q7-S7</f>
        <v>0</v>
      </c>
      <c r="S7" s="135">
        <v>0</v>
      </c>
      <c r="T7" s="159">
        <f t="shared" si="13"/>
        <v>0</v>
      </c>
      <c r="U7" s="159">
        <f t="shared" si="14"/>
        <v>0</v>
      </c>
      <c r="V7" s="159">
        <f t="shared" si="15"/>
        <v>0</v>
      </c>
      <c r="W7" s="294">
        <f t="shared" si="16"/>
        <v>0</v>
      </c>
      <c r="X7" s="162">
        <f t="shared" si="17"/>
        <v>0</v>
      </c>
      <c r="AA7" s="164">
        <f t="shared" si="5"/>
        <v>0</v>
      </c>
      <c r="AB7" s="165">
        <f t="shared" si="6"/>
        <v>0</v>
      </c>
      <c r="AC7" s="165">
        <f t="shared" si="7"/>
        <v>0</v>
      </c>
      <c r="AD7" s="165">
        <f t="shared" si="18"/>
        <v>0</v>
      </c>
      <c r="AE7" s="165">
        <f t="shared" si="8"/>
        <v>0</v>
      </c>
      <c r="AF7" s="165">
        <f t="shared" si="9"/>
        <v>0</v>
      </c>
      <c r="AG7" s="165"/>
      <c r="AH7" s="230">
        <f t="shared" si="10"/>
        <v>0</v>
      </c>
    </row>
    <row r="8" spans="2:34" ht="26.25" customHeight="1">
      <c r="B8" s="166">
        <f t="shared" si="11"/>
        <v>44597</v>
      </c>
      <c r="C8" s="221">
        <v>0</v>
      </c>
      <c r="D8" s="221">
        <v>0</v>
      </c>
      <c r="E8" s="291">
        <v>0</v>
      </c>
      <c r="F8" s="221">
        <v>0</v>
      </c>
      <c r="G8" s="221">
        <v>0</v>
      </c>
      <c r="H8" s="292">
        <f t="shared" si="0"/>
        <v>0</v>
      </c>
      <c r="I8" s="137">
        <v>0</v>
      </c>
      <c r="J8" s="137">
        <f t="shared" si="1"/>
        <v>0</v>
      </c>
      <c r="K8" s="137">
        <v>0</v>
      </c>
      <c r="L8" s="256">
        <f t="shared" si="2"/>
        <v>0</v>
      </c>
      <c r="M8" s="136">
        <v>0</v>
      </c>
      <c r="N8" s="256">
        <f t="shared" si="12"/>
        <v>0</v>
      </c>
      <c r="O8" s="323">
        <f t="shared" si="3"/>
        <v>0</v>
      </c>
      <c r="P8" s="323">
        <f t="shared" si="4"/>
        <v>0</v>
      </c>
      <c r="Q8" s="135">
        <v>0</v>
      </c>
      <c r="R8" s="211">
        <f t="shared" si="19"/>
        <v>0</v>
      </c>
      <c r="S8" s="135">
        <v>0</v>
      </c>
      <c r="T8" s="159">
        <f t="shared" si="13"/>
        <v>0</v>
      </c>
      <c r="U8" s="159">
        <f t="shared" si="14"/>
        <v>0</v>
      </c>
      <c r="V8" s="159">
        <f t="shared" si="15"/>
        <v>0</v>
      </c>
      <c r="W8" s="294">
        <f t="shared" si="16"/>
        <v>0</v>
      </c>
      <c r="X8" s="162">
        <f t="shared" si="17"/>
        <v>0</v>
      </c>
      <c r="AA8" s="164">
        <f t="shared" si="5"/>
        <v>0</v>
      </c>
      <c r="AB8" s="165">
        <f t="shared" si="6"/>
        <v>0</v>
      </c>
      <c r="AC8" s="165">
        <f t="shared" si="7"/>
        <v>0</v>
      </c>
      <c r="AD8" s="165">
        <f t="shared" si="18"/>
        <v>0</v>
      </c>
      <c r="AE8" s="165">
        <f t="shared" si="8"/>
        <v>0</v>
      </c>
      <c r="AF8" s="165">
        <f t="shared" si="9"/>
        <v>0</v>
      </c>
      <c r="AG8" s="165"/>
      <c r="AH8" s="230">
        <f t="shared" si="10"/>
        <v>0</v>
      </c>
    </row>
    <row r="9" spans="2:34" ht="26.25" customHeight="1">
      <c r="B9" s="166">
        <f t="shared" si="11"/>
        <v>44598</v>
      </c>
      <c r="C9" s="221">
        <v>0</v>
      </c>
      <c r="D9" s="221">
        <v>0</v>
      </c>
      <c r="E9" s="291">
        <v>0</v>
      </c>
      <c r="F9" s="221">
        <v>0</v>
      </c>
      <c r="G9" s="221">
        <v>0</v>
      </c>
      <c r="H9" s="292">
        <f t="shared" si="0"/>
        <v>0</v>
      </c>
      <c r="I9" s="137">
        <v>0</v>
      </c>
      <c r="J9" s="137">
        <f t="shared" si="1"/>
        <v>0</v>
      </c>
      <c r="K9" s="137">
        <v>0</v>
      </c>
      <c r="L9" s="256">
        <f t="shared" si="2"/>
        <v>0</v>
      </c>
      <c r="M9" s="136">
        <v>0</v>
      </c>
      <c r="N9" s="256">
        <f t="shared" si="12"/>
        <v>0</v>
      </c>
      <c r="O9" s="323">
        <f t="shared" si="3"/>
        <v>0</v>
      </c>
      <c r="P9" s="323">
        <f t="shared" si="4"/>
        <v>0</v>
      </c>
      <c r="Q9" s="135">
        <v>0</v>
      </c>
      <c r="R9" s="211">
        <f t="shared" si="19"/>
        <v>0</v>
      </c>
      <c r="S9" s="135">
        <v>0</v>
      </c>
      <c r="T9" s="159">
        <f t="shared" si="13"/>
        <v>0</v>
      </c>
      <c r="U9" s="159">
        <f t="shared" si="14"/>
        <v>0</v>
      </c>
      <c r="V9" s="159">
        <f t="shared" si="15"/>
        <v>0</v>
      </c>
      <c r="W9" s="294">
        <f t="shared" si="16"/>
        <v>0</v>
      </c>
      <c r="X9" s="162">
        <f t="shared" si="17"/>
        <v>0</v>
      </c>
      <c r="AA9" s="164">
        <f t="shared" si="5"/>
        <v>0</v>
      </c>
      <c r="AB9" s="165">
        <f t="shared" si="6"/>
        <v>0</v>
      </c>
      <c r="AC9" s="165">
        <f t="shared" si="7"/>
        <v>0</v>
      </c>
      <c r="AD9" s="165">
        <f t="shared" si="18"/>
        <v>0</v>
      </c>
      <c r="AE9" s="165">
        <f t="shared" si="8"/>
        <v>0</v>
      </c>
      <c r="AF9" s="165">
        <f t="shared" si="9"/>
        <v>0</v>
      </c>
      <c r="AG9" s="165"/>
      <c r="AH9" s="230">
        <f t="shared" si="10"/>
        <v>0</v>
      </c>
    </row>
    <row r="10" spans="2:34" ht="26.25" customHeight="1">
      <c r="B10" s="166">
        <f t="shared" si="11"/>
        <v>44599</v>
      </c>
      <c r="C10" s="221">
        <v>0</v>
      </c>
      <c r="D10" s="221">
        <v>0</v>
      </c>
      <c r="E10" s="291">
        <v>0</v>
      </c>
      <c r="F10" s="221">
        <v>0</v>
      </c>
      <c r="G10" s="221">
        <v>0</v>
      </c>
      <c r="H10" s="292">
        <f t="shared" ref="H10:H35" si="20">SUM(F10:G10)</f>
        <v>0</v>
      </c>
      <c r="I10" s="137">
        <v>0</v>
      </c>
      <c r="J10" s="137">
        <f t="shared" ref="J10:J35" si="21">SUM(D10:E10)</f>
        <v>0</v>
      </c>
      <c r="K10" s="137">
        <v>0</v>
      </c>
      <c r="L10" s="256">
        <f>-F10-G10-I10-K10+E10</f>
        <v>0</v>
      </c>
      <c r="M10" s="136">
        <v>0</v>
      </c>
      <c r="N10" s="256">
        <f t="shared" si="12"/>
        <v>0</v>
      </c>
      <c r="O10" s="323">
        <f t="shared" si="3"/>
        <v>0</v>
      </c>
      <c r="P10" s="323">
        <f t="shared" si="4"/>
        <v>0</v>
      </c>
      <c r="Q10" s="135">
        <v>0</v>
      </c>
      <c r="R10" s="211">
        <f t="shared" si="19"/>
        <v>0</v>
      </c>
      <c r="S10" s="135">
        <v>0</v>
      </c>
      <c r="T10" s="159">
        <f t="shared" si="13"/>
        <v>0</v>
      </c>
      <c r="U10" s="159">
        <f t="shared" si="14"/>
        <v>0</v>
      </c>
      <c r="V10" s="159">
        <f t="shared" si="15"/>
        <v>0</v>
      </c>
      <c r="W10" s="294">
        <f t="shared" si="16"/>
        <v>0</v>
      </c>
      <c r="X10" s="162">
        <f t="shared" si="17"/>
        <v>0</v>
      </c>
      <c r="AA10" s="164">
        <f t="shared" si="5"/>
        <v>0</v>
      </c>
      <c r="AB10" s="165">
        <f t="shared" si="6"/>
        <v>0</v>
      </c>
      <c r="AC10" s="165">
        <f t="shared" si="7"/>
        <v>0</v>
      </c>
      <c r="AD10" s="165">
        <f t="shared" si="18"/>
        <v>0</v>
      </c>
      <c r="AE10" s="165">
        <f t="shared" si="8"/>
        <v>0</v>
      </c>
      <c r="AF10" s="165">
        <f t="shared" si="9"/>
        <v>0</v>
      </c>
      <c r="AG10" s="165"/>
      <c r="AH10" s="230">
        <f>C10+AH9</f>
        <v>0</v>
      </c>
    </row>
    <row r="11" spans="2:34" ht="26.25" customHeight="1">
      <c r="B11" s="166">
        <f t="shared" si="11"/>
        <v>44600</v>
      </c>
      <c r="C11" s="221">
        <v>0</v>
      </c>
      <c r="D11" s="221">
        <v>0</v>
      </c>
      <c r="E11" s="291">
        <v>0</v>
      </c>
      <c r="F11" s="221">
        <v>0</v>
      </c>
      <c r="G11" s="221">
        <v>0</v>
      </c>
      <c r="H11" s="292">
        <f t="shared" si="20"/>
        <v>0</v>
      </c>
      <c r="I11" s="137">
        <v>0</v>
      </c>
      <c r="J11" s="137">
        <f t="shared" si="21"/>
        <v>0</v>
      </c>
      <c r="K11" s="137">
        <v>0</v>
      </c>
      <c r="L11" s="256">
        <f t="shared" ref="L11:L34" si="22">-F11-G11-I11-K11+E11</f>
        <v>0</v>
      </c>
      <c r="M11" s="136">
        <v>0</v>
      </c>
      <c r="N11" s="256">
        <f t="shared" si="12"/>
        <v>0</v>
      </c>
      <c r="O11" s="323">
        <f t="shared" si="3"/>
        <v>0</v>
      </c>
      <c r="P11" s="323">
        <f t="shared" si="4"/>
        <v>0</v>
      </c>
      <c r="Q11" s="135">
        <v>0</v>
      </c>
      <c r="R11" s="211">
        <f t="shared" si="19"/>
        <v>0</v>
      </c>
      <c r="S11" s="135">
        <v>0</v>
      </c>
      <c r="T11" s="159">
        <f t="shared" si="13"/>
        <v>0</v>
      </c>
      <c r="U11" s="159">
        <f t="shared" si="14"/>
        <v>0</v>
      </c>
      <c r="V11" s="159">
        <f t="shared" si="15"/>
        <v>0</v>
      </c>
      <c r="W11" s="294">
        <f t="shared" si="16"/>
        <v>0</v>
      </c>
      <c r="X11" s="162">
        <f t="shared" si="17"/>
        <v>0</v>
      </c>
      <c r="AA11" s="164">
        <f t="shared" si="5"/>
        <v>0</v>
      </c>
      <c r="AB11" s="165">
        <f t="shared" si="6"/>
        <v>0</v>
      </c>
      <c r="AC11" s="165">
        <f t="shared" si="7"/>
        <v>0</v>
      </c>
      <c r="AD11" s="165">
        <f t="shared" si="18"/>
        <v>0</v>
      </c>
      <c r="AE11" s="165">
        <f t="shared" si="8"/>
        <v>0</v>
      </c>
      <c r="AF11" s="165">
        <f t="shared" si="9"/>
        <v>0</v>
      </c>
      <c r="AG11" s="165"/>
      <c r="AH11" s="230">
        <f t="shared" si="10"/>
        <v>0</v>
      </c>
    </row>
    <row r="12" spans="2:34" ht="26.25" customHeight="1">
      <c r="B12" s="166">
        <f t="shared" si="11"/>
        <v>44601</v>
      </c>
      <c r="C12" s="221">
        <v>0</v>
      </c>
      <c r="D12" s="221">
        <v>0</v>
      </c>
      <c r="E12" s="291">
        <v>0</v>
      </c>
      <c r="F12" s="221">
        <v>0</v>
      </c>
      <c r="G12" s="221">
        <v>0</v>
      </c>
      <c r="H12" s="292">
        <f t="shared" si="20"/>
        <v>0</v>
      </c>
      <c r="I12" s="137">
        <v>0</v>
      </c>
      <c r="J12" s="137">
        <f t="shared" si="21"/>
        <v>0</v>
      </c>
      <c r="K12" s="137">
        <v>0</v>
      </c>
      <c r="L12" s="256">
        <f t="shared" si="22"/>
        <v>0</v>
      </c>
      <c r="M12" s="136">
        <v>0</v>
      </c>
      <c r="N12" s="256">
        <f t="shared" si="12"/>
        <v>0</v>
      </c>
      <c r="O12" s="323">
        <f t="shared" si="3"/>
        <v>0</v>
      </c>
      <c r="P12" s="323">
        <f t="shared" si="4"/>
        <v>0</v>
      </c>
      <c r="Q12" s="135">
        <v>0</v>
      </c>
      <c r="R12" s="211">
        <f t="shared" si="19"/>
        <v>0</v>
      </c>
      <c r="S12" s="135">
        <v>0</v>
      </c>
      <c r="T12" s="159">
        <f t="shared" si="13"/>
        <v>0</v>
      </c>
      <c r="U12" s="159">
        <f t="shared" si="14"/>
        <v>0</v>
      </c>
      <c r="V12" s="159">
        <f t="shared" si="15"/>
        <v>0</v>
      </c>
      <c r="W12" s="294">
        <f t="shared" si="16"/>
        <v>0</v>
      </c>
      <c r="X12" s="162">
        <f t="shared" si="17"/>
        <v>0</v>
      </c>
      <c r="AA12" s="164">
        <f t="shared" si="5"/>
        <v>0</v>
      </c>
      <c r="AB12" s="165">
        <f t="shared" si="6"/>
        <v>0</v>
      </c>
      <c r="AC12" s="165">
        <f t="shared" si="7"/>
        <v>0</v>
      </c>
      <c r="AD12" s="165">
        <f t="shared" si="18"/>
        <v>0</v>
      </c>
      <c r="AE12" s="165">
        <f t="shared" si="8"/>
        <v>0</v>
      </c>
      <c r="AF12" s="165">
        <f t="shared" si="9"/>
        <v>0</v>
      </c>
      <c r="AG12" s="165"/>
      <c r="AH12" s="230">
        <f t="shared" si="10"/>
        <v>0</v>
      </c>
    </row>
    <row r="13" spans="2:34" ht="26.25" customHeight="1">
      <c r="B13" s="166">
        <f t="shared" si="11"/>
        <v>44602</v>
      </c>
      <c r="C13" s="221">
        <v>0</v>
      </c>
      <c r="D13" s="221">
        <v>0</v>
      </c>
      <c r="E13" s="291">
        <v>0</v>
      </c>
      <c r="F13" s="221">
        <v>0</v>
      </c>
      <c r="G13" s="221">
        <v>0</v>
      </c>
      <c r="H13" s="292">
        <f t="shared" si="20"/>
        <v>0</v>
      </c>
      <c r="I13" s="137">
        <v>0</v>
      </c>
      <c r="J13" s="137">
        <f t="shared" si="21"/>
        <v>0</v>
      </c>
      <c r="K13" s="137">
        <v>0</v>
      </c>
      <c r="L13" s="256">
        <f t="shared" si="22"/>
        <v>0</v>
      </c>
      <c r="M13" s="136">
        <v>0</v>
      </c>
      <c r="N13" s="256">
        <f t="shared" si="12"/>
        <v>0</v>
      </c>
      <c r="O13" s="323">
        <f t="shared" si="3"/>
        <v>0</v>
      </c>
      <c r="P13" s="323">
        <f t="shared" si="4"/>
        <v>0</v>
      </c>
      <c r="Q13" s="135">
        <v>0</v>
      </c>
      <c r="R13" s="211">
        <f t="shared" si="19"/>
        <v>0</v>
      </c>
      <c r="S13" s="135">
        <v>0</v>
      </c>
      <c r="T13" s="159">
        <f t="shared" si="13"/>
        <v>0</v>
      </c>
      <c r="U13" s="159">
        <f t="shared" si="14"/>
        <v>0</v>
      </c>
      <c r="V13" s="159">
        <f t="shared" si="15"/>
        <v>0</v>
      </c>
      <c r="W13" s="294">
        <f t="shared" si="16"/>
        <v>0</v>
      </c>
      <c r="X13" s="162">
        <f t="shared" si="17"/>
        <v>0</v>
      </c>
      <c r="AA13" s="164">
        <f t="shared" si="5"/>
        <v>0</v>
      </c>
      <c r="AB13" s="165">
        <f t="shared" si="6"/>
        <v>0</v>
      </c>
      <c r="AC13" s="165">
        <f>R13+AC12</f>
        <v>0</v>
      </c>
      <c r="AD13" s="165">
        <f t="shared" si="18"/>
        <v>0</v>
      </c>
      <c r="AE13" s="165">
        <f t="shared" si="8"/>
        <v>0</v>
      </c>
      <c r="AF13" s="165">
        <f t="shared" si="9"/>
        <v>0</v>
      </c>
      <c r="AG13" s="165"/>
      <c r="AH13" s="230">
        <f t="shared" si="10"/>
        <v>0</v>
      </c>
    </row>
    <row r="14" spans="2:34" ht="26.25" customHeight="1">
      <c r="B14" s="166">
        <f t="shared" si="11"/>
        <v>44603</v>
      </c>
      <c r="C14" s="221">
        <v>0</v>
      </c>
      <c r="D14" s="221">
        <v>0</v>
      </c>
      <c r="E14" s="291">
        <v>0</v>
      </c>
      <c r="F14" s="221">
        <v>0</v>
      </c>
      <c r="G14" s="221">
        <v>0</v>
      </c>
      <c r="H14" s="292">
        <f t="shared" si="20"/>
        <v>0</v>
      </c>
      <c r="I14" s="137">
        <v>0</v>
      </c>
      <c r="J14" s="137">
        <f t="shared" si="21"/>
        <v>0</v>
      </c>
      <c r="K14" s="137">
        <v>0</v>
      </c>
      <c r="L14" s="256">
        <f t="shared" si="22"/>
        <v>0</v>
      </c>
      <c r="M14" s="136">
        <v>0</v>
      </c>
      <c r="N14" s="256">
        <f t="shared" si="12"/>
        <v>0</v>
      </c>
      <c r="O14" s="323">
        <f t="shared" si="3"/>
        <v>0</v>
      </c>
      <c r="P14" s="323">
        <f t="shared" si="4"/>
        <v>0</v>
      </c>
      <c r="Q14" s="135">
        <v>0</v>
      </c>
      <c r="R14" s="211">
        <f t="shared" si="19"/>
        <v>0</v>
      </c>
      <c r="S14" s="135">
        <v>0</v>
      </c>
      <c r="T14" s="159">
        <f t="shared" si="13"/>
        <v>0</v>
      </c>
      <c r="U14" s="159">
        <f t="shared" si="14"/>
        <v>0</v>
      </c>
      <c r="V14" s="159">
        <f t="shared" si="15"/>
        <v>0</v>
      </c>
      <c r="W14" s="294">
        <f t="shared" si="16"/>
        <v>0</v>
      </c>
      <c r="X14" s="162">
        <f t="shared" si="17"/>
        <v>0</v>
      </c>
      <c r="AA14" s="164">
        <f t="shared" si="5"/>
        <v>0</v>
      </c>
      <c r="AB14" s="165">
        <f t="shared" si="6"/>
        <v>0</v>
      </c>
      <c r="AC14" s="165">
        <f t="shared" si="7"/>
        <v>0</v>
      </c>
      <c r="AD14" s="165">
        <f t="shared" si="18"/>
        <v>0</v>
      </c>
      <c r="AE14" s="165">
        <f t="shared" si="8"/>
        <v>0</v>
      </c>
      <c r="AF14" s="165">
        <f t="shared" si="9"/>
        <v>0</v>
      </c>
      <c r="AG14" s="165"/>
      <c r="AH14" s="230">
        <f t="shared" si="10"/>
        <v>0</v>
      </c>
    </row>
    <row r="15" spans="2:34" ht="26.25" customHeight="1">
      <c r="B15" s="166">
        <f t="shared" si="11"/>
        <v>44604</v>
      </c>
      <c r="C15" s="221">
        <v>0</v>
      </c>
      <c r="D15" s="221">
        <v>0</v>
      </c>
      <c r="E15" s="291">
        <v>0</v>
      </c>
      <c r="F15" s="221">
        <v>0</v>
      </c>
      <c r="G15" s="221">
        <v>0</v>
      </c>
      <c r="H15" s="292">
        <f t="shared" si="20"/>
        <v>0</v>
      </c>
      <c r="I15" s="137">
        <v>0</v>
      </c>
      <c r="J15" s="137">
        <f t="shared" si="21"/>
        <v>0</v>
      </c>
      <c r="K15" s="298">
        <v>0</v>
      </c>
      <c r="L15" s="256">
        <f t="shared" si="22"/>
        <v>0</v>
      </c>
      <c r="M15" s="275">
        <v>0</v>
      </c>
      <c r="N15" s="299">
        <f>L15+M15</f>
        <v>0</v>
      </c>
      <c r="O15" s="323">
        <f t="shared" si="3"/>
        <v>0</v>
      </c>
      <c r="P15" s="323">
        <f t="shared" si="4"/>
        <v>0</v>
      </c>
      <c r="Q15" s="197">
        <v>0</v>
      </c>
      <c r="R15" s="279">
        <f t="shared" si="19"/>
        <v>0</v>
      </c>
      <c r="S15" s="197">
        <v>0</v>
      </c>
      <c r="T15" s="159">
        <f t="shared" si="13"/>
        <v>0</v>
      </c>
      <c r="U15" s="159">
        <f t="shared" si="14"/>
        <v>0</v>
      </c>
      <c r="V15" s="159">
        <f t="shared" si="15"/>
        <v>0</v>
      </c>
      <c r="W15" s="294">
        <f t="shared" si="16"/>
        <v>0</v>
      </c>
      <c r="X15" s="162">
        <f t="shared" si="17"/>
        <v>0</v>
      </c>
      <c r="AA15" s="164">
        <f t="shared" si="5"/>
        <v>0</v>
      </c>
      <c r="AB15" s="165">
        <f t="shared" si="6"/>
        <v>0</v>
      </c>
      <c r="AC15" s="165">
        <f t="shared" si="7"/>
        <v>0</v>
      </c>
      <c r="AD15" s="165">
        <f t="shared" si="18"/>
        <v>0</v>
      </c>
      <c r="AE15" s="165">
        <f t="shared" si="8"/>
        <v>0</v>
      </c>
      <c r="AF15" s="165">
        <f t="shared" si="9"/>
        <v>0</v>
      </c>
      <c r="AG15" s="165"/>
      <c r="AH15" s="230">
        <f t="shared" si="10"/>
        <v>0</v>
      </c>
    </row>
    <row r="16" spans="2:34" ht="26.25" customHeight="1">
      <c r="B16" s="166">
        <f t="shared" si="11"/>
        <v>44605</v>
      </c>
      <c r="C16" s="221">
        <v>0</v>
      </c>
      <c r="D16" s="221">
        <v>0</v>
      </c>
      <c r="E16" s="291">
        <v>0</v>
      </c>
      <c r="F16" s="221">
        <v>0</v>
      </c>
      <c r="G16" s="221">
        <v>0</v>
      </c>
      <c r="H16" s="292">
        <f t="shared" si="20"/>
        <v>0</v>
      </c>
      <c r="I16" s="137">
        <v>0</v>
      </c>
      <c r="J16" s="137">
        <f t="shared" si="21"/>
        <v>0</v>
      </c>
      <c r="K16" s="137">
        <v>0</v>
      </c>
      <c r="L16" s="256">
        <f t="shared" si="22"/>
        <v>0</v>
      </c>
      <c r="M16" s="275">
        <v>0</v>
      </c>
      <c r="N16" s="256">
        <f t="shared" si="12"/>
        <v>0</v>
      </c>
      <c r="O16" s="323">
        <f t="shared" si="3"/>
        <v>0</v>
      </c>
      <c r="P16" s="323">
        <f t="shared" si="4"/>
        <v>0</v>
      </c>
      <c r="Q16" s="197">
        <v>0</v>
      </c>
      <c r="R16" s="211">
        <f t="shared" si="19"/>
        <v>0</v>
      </c>
      <c r="S16" s="135">
        <v>0</v>
      </c>
      <c r="T16" s="159">
        <f t="shared" si="13"/>
        <v>0</v>
      </c>
      <c r="U16" s="159">
        <f t="shared" si="14"/>
        <v>0</v>
      </c>
      <c r="V16" s="159">
        <f t="shared" si="15"/>
        <v>0</v>
      </c>
      <c r="W16" s="294">
        <f t="shared" si="16"/>
        <v>0</v>
      </c>
      <c r="X16" s="162">
        <f t="shared" si="17"/>
        <v>0</v>
      </c>
      <c r="AA16" s="164">
        <f t="shared" si="5"/>
        <v>0</v>
      </c>
      <c r="AB16" s="165">
        <f t="shared" si="6"/>
        <v>0</v>
      </c>
      <c r="AC16" s="165">
        <f t="shared" si="7"/>
        <v>0</v>
      </c>
      <c r="AD16" s="165">
        <f t="shared" si="18"/>
        <v>0</v>
      </c>
      <c r="AE16" s="165">
        <f t="shared" si="8"/>
        <v>0</v>
      </c>
      <c r="AF16" s="165">
        <f t="shared" si="9"/>
        <v>0</v>
      </c>
      <c r="AG16" s="165"/>
      <c r="AH16" s="230">
        <f t="shared" si="10"/>
        <v>0</v>
      </c>
    </row>
    <row r="17" spans="2:34" s="296" customFormat="1" ht="26.25" customHeight="1">
      <c r="B17" s="297">
        <f t="shared" si="11"/>
        <v>44606</v>
      </c>
      <c r="C17" s="221">
        <v>0</v>
      </c>
      <c r="D17" s="221">
        <v>0</v>
      </c>
      <c r="E17" s="291">
        <v>0</v>
      </c>
      <c r="F17" s="221">
        <v>0</v>
      </c>
      <c r="G17" s="221">
        <v>0</v>
      </c>
      <c r="H17" s="292">
        <f t="shared" si="20"/>
        <v>0</v>
      </c>
      <c r="I17" s="137">
        <v>0</v>
      </c>
      <c r="J17" s="137">
        <f t="shared" si="21"/>
        <v>0</v>
      </c>
      <c r="K17" s="137">
        <v>0</v>
      </c>
      <c r="L17" s="256">
        <f t="shared" si="22"/>
        <v>0</v>
      </c>
      <c r="M17" s="275">
        <v>0</v>
      </c>
      <c r="N17" s="299">
        <f t="shared" si="12"/>
        <v>0</v>
      </c>
      <c r="O17" s="323">
        <f t="shared" si="3"/>
        <v>0</v>
      </c>
      <c r="P17" s="323">
        <f t="shared" si="4"/>
        <v>0</v>
      </c>
      <c r="Q17" s="197">
        <v>0</v>
      </c>
      <c r="R17" s="279">
        <f t="shared" si="19"/>
        <v>0</v>
      </c>
      <c r="S17" s="197">
        <v>0</v>
      </c>
      <c r="T17" s="300">
        <f t="shared" si="13"/>
        <v>0</v>
      </c>
      <c r="U17" s="300">
        <f t="shared" si="14"/>
        <v>0</v>
      </c>
      <c r="V17" s="300">
        <f t="shared" si="15"/>
        <v>0</v>
      </c>
      <c r="W17" s="301">
        <f t="shared" si="16"/>
        <v>0</v>
      </c>
      <c r="X17" s="302">
        <f t="shared" si="17"/>
        <v>0</v>
      </c>
      <c r="AA17" s="303">
        <f t="shared" si="5"/>
        <v>0</v>
      </c>
      <c r="AB17" s="304">
        <f t="shared" si="6"/>
        <v>0</v>
      </c>
      <c r="AC17" s="304">
        <f t="shared" si="7"/>
        <v>0</v>
      </c>
      <c r="AD17" s="165">
        <f t="shared" si="18"/>
        <v>0</v>
      </c>
      <c r="AE17" s="304">
        <f t="shared" si="8"/>
        <v>0</v>
      </c>
      <c r="AF17" s="304">
        <f t="shared" si="9"/>
        <v>0</v>
      </c>
      <c r="AG17" s="304"/>
      <c r="AH17" s="305">
        <f t="shared" si="10"/>
        <v>0</v>
      </c>
    </row>
    <row r="18" spans="2:34" s="296" customFormat="1" ht="26.25" customHeight="1">
      <c r="B18" s="297">
        <f t="shared" si="11"/>
        <v>44607</v>
      </c>
      <c r="C18" s="291">
        <v>0</v>
      </c>
      <c r="D18" s="291">
        <v>0</v>
      </c>
      <c r="E18" s="291">
        <v>0</v>
      </c>
      <c r="F18" s="221">
        <v>0</v>
      </c>
      <c r="G18" s="291">
        <v>0</v>
      </c>
      <c r="H18" s="292">
        <f t="shared" si="20"/>
        <v>0</v>
      </c>
      <c r="I18" s="298">
        <v>0</v>
      </c>
      <c r="J18" s="137">
        <f t="shared" si="21"/>
        <v>0</v>
      </c>
      <c r="K18" s="137">
        <v>0</v>
      </c>
      <c r="L18" s="256">
        <f t="shared" si="22"/>
        <v>0</v>
      </c>
      <c r="M18" s="275">
        <v>0</v>
      </c>
      <c r="N18" s="299">
        <f t="shared" si="12"/>
        <v>0</v>
      </c>
      <c r="O18" s="323">
        <f t="shared" si="3"/>
        <v>0</v>
      </c>
      <c r="P18" s="323">
        <f t="shared" si="4"/>
        <v>0</v>
      </c>
      <c r="Q18" s="197">
        <v>0</v>
      </c>
      <c r="R18" s="279">
        <f t="shared" si="19"/>
        <v>0</v>
      </c>
      <c r="S18" s="197">
        <v>0</v>
      </c>
      <c r="T18" s="300">
        <f t="shared" si="13"/>
        <v>0</v>
      </c>
      <c r="U18" s="300">
        <f t="shared" si="14"/>
        <v>0</v>
      </c>
      <c r="V18" s="300">
        <f t="shared" si="15"/>
        <v>0</v>
      </c>
      <c r="W18" s="301">
        <f t="shared" si="16"/>
        <v>0</v>
      </c>
      <c r="X18" s="302">
        <f t="shared" si="17"/>
        <v>0</v>
      </c>
      <c r="AA18" s="303">
        <f t="shared" si="5"/>
        <v>0</v>
      </c>
      <c r="AB18" s="304">
        <f t="shared" si="6"/>
        <v>0</v>
      </c>
      <c r="AC18" s="304">
        <f t="shared" si="7"/>
        <v>0</v>
      </c>
      <c r="AD18" s="304">
        <f t="shared" si="18"/>
        <v>0</v>
      </c>
      <c r="AE18" s="304">
        <f t="shared" si="8"/>
        <v>0</v>
      </c>
      <c r="AF18" s="304">
        <f t="shared" si="9"/>
        <v>0</v>
      </c>
      <c r="AG18" s="304"/>
      <c r="AH18" s="305">
        <f t="shared" si="10"/>
        <v>0</v>
      </c>
    </row>
    <row r="19" spans="2:34" ht="26.25" customHeight="1">
      <c r="B19" s="166">
        <f t="shared" si="11"/>
        <v>44608</v>
      </c>
      <c r="C19" s="291">
        <v>0</v>
      </c>
      <c r="D19" s="291">
        <v>0</v>
      </c>
      <c r="E19" s="291">
        <v>0</v>
      </c>
      <c r="F19" s="221">
        <v>0</v>
      </c>
      <c r="G19" s="221">
        <v>0</v>
      </c>
      <c r="H19" s="292">
        <f t="shared" si="20"/>
        <v>0</v>
      </c>
      <c r="I19" s="137">
        <v>0</v>
      </c>
      <c r="J19" s="137">
        <f t="shared" si="21"/>
        <v>0</v>
      </c>
      <c r="K19" s="137">
        <v>0</v>
      </c>
      <c r="L19" s="256">
        <f t="shared" si="22"/>
        <v>0</v>
      </c>
      <c r="M19" s="275">
        <v>0</v>
      </c>
      <c r="N19" s="256">
        <f t="shared" si="12"/>
        <v>0</v>
      </c>
      <c r="O19" s="323">
        <f t="shared" si="3"/>
        <v>0</v>
      </c>
      <c r="P19" s="323">
        <f t="shared" si="4"/>
        <v>0</v>
      </c>
      <c r="Q19" s="197">
        <v>0</v>
      </c>
      <c r="R19" s="211">
        <f t="shared" si="19"/>
        <v>0</v>
      </c>
      <c r="S19" s="197">
        <v>0</v>
      </c>
      <c r="T19" s="159">
        <f t="shared" si="13"/>
        <v>0</v>
      </c>
      <c r="U19" s="159">
        <f t="shared" si="14"/>
        <v>0</v>
      </c>
      <c r="V19" s="159">
        <f t="shared" si="15"/>
        <v>0</v>
      </c>
      <c r="W19" s="294">
        <f t="shared" si="16"/>
        <v>0</v>
      </c>
      <c r="X19" s="162">
        <f t="shared" si="17"/>
        <v>0</v>
      </c>
      <c r="AA19" s="164">
        <f t="shared" si="5"/>
        <v>0</v>
      </c>
      <c r="AB19" s="165">
        <f t="shared" si="6"/>
        <v>0</v>
      </c>
      <c r="AC19" s="165">
        <f t="shared" si="7"/>
        <v>0</v>
      </c>
      <c r="AD19" s="165">
        <f t="shared" si="18"/>
        <v>0</v>
      </c>
      <c r="AE19" s="165">
        <f t="shared" si="8"/>
        <v>0</v>
      </c>
      <c r="AF19" s="165">
        <f t="shared" si="9"/>
        <v>0</v>
      </c>
      <c r="AG19" s="165"/>
      <c r="AH19" s="230">
        <f t="shared" si="10"/>
        <v>0</v>
      </c>
    </row>
    <row r="20" spans="2:34" ht="26.25" customHeight="1">
      <c r="B20" s="166">
        <f t="shared" si="11"/>
        <v>44609</v>
      </c>
      <c r="C20" s="291">
        <v>0</v>
      </c>
      <c r="D20" s="291">
        <v>0</v>
      </c>
      <c r="E20" s="291">
        <v>0</v>
      </c>
      <c r="F20" s="221">
        <v>0</v>
      </c>
      <c r="G20" s="221">
        <v>0</v>
      </c>
      <c r="H20" s="292">
        <f t="shared" si="20"/>
        <v>0</v>
      </c>
      <c r="I20" s="137">
        <v>0</v>
      </c>
      <c r="J20" s="137">
        <f t="shared" si="21"/>
        <v>0</v>
      </c>
      <c r="K20" s="137">
        <v>0</v>
      </c>
      <c r="L20" s="256">
        <f t="shared" si="22"/>
        <v>0</v>
      </c>
      <c r="M20" s="275">
        <v>0</v>
      </c>
      <c r="N20" s="256">
        <f t="shared" si="12"/>
        <v>0</v>
      </c>
      <c r="O20" s="323">
        <f t="shared" si="3"/>
        <v>0</v>
      </c>
      <c r="P20" s="323">
        <f t="shared" si="4"/>
        <v>0</v>
      </c>
      <c r="Q20" s="197">
        <v>0</v>
      </c>
      <c r="R20" s="211">
        <f t="shared" si="19"/>
        <v>0</v>
      </c>
      <c r="S20" s="135">
        <v>0</v>
      </c>
      <c r="T20" s="159">
        <f t="shared" si="13"/>
        <v>0</v>
      </c>
      <c r="U20" s="159">
        <f t="shared" si="14"/>
        <v>0</v>
      </c>
      <c r="V20" s="159">
        <f t="shared" si="15"/>
        <v>0</v>
      </c>
      <c r="W20" s="294">
        <f t="shared" si="16"/>
        <v>0</v>
      </c>
      <c r="X20" s="162">
        <f t="shared" si="17"/>
        <v>0</v>
      </c>
      <c r="AA20" s="164">
        <f t="shared" si="5"/>
        <v>0</v>
      </c>
      <c r="AB20" s="165">
        <f t="shared" si="6"/>
        <v>0</v>
      </c>
      <c r="AC20" s="165">
        <f t="shared" si="7"/>
        <v>0</v>
      </c>
      <c r="AD20" s="165">
        <f t="shared" si="18"/>
        <v>0</v>
      </c>
      <c r="AE20" s="165">
        <f t="shared" si="8"/>
        <v>0</v>
      </c>
      <c r="AF20" s="165">
        <f t="shared" si="9"/>
        <v>0</v>
      </c>
      <c r="AG20" s="165"/>
      <c r="AH20" s="230">
        <f t="shared" si="10"/>
        <v>0</v>
      </c>
    </row>
    <row r="21" spans="2:34" ht="26.25" customHeight="1">
      <c r="B21" s="166">
        <f t="shared" si="11"/>
        <v>44610</v>
      </c>
      <c r="C21" s="291">
        <v>0</v>
      </c>
      <c r="D21" s="291">
        <v>0</v>
      </c>
      <c r="E21" s="291">
        <v>0</v>
      </c>
      <c r="F21" s="221">
        <v>0</v>
      </c>
      <c r="G21" s="221">
        <v>0</v>
      </c>
      <c r="H21" s="292">
        <f t="shared" si="20"/>
        <v>0</v>
      </c>
      <c r="I21" s="137">
        <v>0</v>
      </c>
      <c r="J21" s="137">
        <f t="shared" si="21"/>
        <v>0</v>
      </c>
      <c r="K21" s="137">
        <v>0</v>
      </c>
      <c r="L21" s="256">
        <f t="shared" si="22"/>
        <v>0</v>
      </c>
      <c r="M21" s="275">
        <v>0</v>
      </c>
      <c r="N21" s="256">
        <f t="shared" si="12"/>
        <v>0</v>
      </c>
      <c r="O21" s="323">
        <f t="shared" si="3"/>
        <v>0</v>
      </c>
      <c r="P21" s="323">
        <f t="shared" si="4"/>
        <v>0</v>
      </c>
      <c r="Q21" s="197">
        <v>0</v>
      </c>
      <c r="R21" s="211">
        <f t="shared" si="19"/>
        <v>0</v>
      </c>
      <c r="S21" s="135">
        <v>0</v>
      </c>
      <c r="T21" s="159">
        <f t="shared" si="13"/>
        <v>0</v>
      </c>
      <c r="U21" s="159">
        <f t="shared" si="14"/>
        <v>0</v>
      </c>
      <c r="V21" s="159">
        <f t="shared" si="15"/>
        <v>0</v>
      </c>
      <c r="W21" s="294">
        <f t="shared" si="16"/>
        <v>0</v>
      </c>
      <c r="X21" s="162">
        <f t="shared" si="17"/>
        <v>0</v>
      </c>
      <c r="AA21" s="164">
        <f t="shared" si="5"/>
        <v>0</v>
      </c>
      <c r="AB21" s="165">
        <f t="shared" si="6"/>
        <v>0</v>
      </c>
      <c r="AC21" s="165">
        <f t="shared" si="7"/>
        <v>0</v>
      </c>
      <c r="AD21" s="165">
        <f t="shared" si="18"/>
        <v>0</v>
      </c>
      <c r="AE21" s="165">
        <f t="shared" si="8"/>
        <v>0</v>
      </c>
      <c r="AF21" s="165">
        <f t="shared" si="9"/>
        <v>0</v>
      </c>
      <c r="AG21" s="165"/>
      <c r="AH21" s="230">
        <f t="shared" si="10"/>
        <v>0</v>
      </c>
    </row>
    <row r="22" spans="2:34" ht="26.25" customHeight="1">
      <c r="B22" s="166">
        <f t="shared" si="11"/>
        <v>44611</v>
      </c>
      <c r="C22" s="291">
        <v>0</v>
      </c>
      <c r="D22" s="291">
        <v>0</v>
      </c>
      <c r="E22" s="291">
        <v>0</v>
      </c>
      <c r="F22" s="221">
        <v>0</v>
      </c>
      <c r="G22" s="221">
        <v>0</v>
      </c>
      <c r="H22" s="292">
        <f t="shared" si="20"/>
        <v>0</v>
      </c>
      <c r="I22" s="137">
        <v>0</v>
      </c>
      <c r="J22" s="137">
        <f t="shared" si="21"/>
        <v>0</v>
      </c>
      <c r="K22" s="137">
        <v>0</v>
      </c>
      <c r="L22" s="256">
        <f t="shared" si="22"/>
        <v>0</v>
      </c>
      <c r="M22" s="275">
        <v>0</v>
      </c>
      <c r="N22" s="256">
        <f t="shared" si="12"/>
        <v>0</v>
      </c>
      <c r="O22" s="323">
        <f t="shared" si="3"/>
        <v>0</v>
      </c>
      <c r="P22" s="323">
        <f t="shared" si="4"/>
        <v>0</v>
      </c>
      <c r="Q22" s="135">
        <v>0</v>
      </c>
      <c r="R22" s="211">
        <f t="shared" si="19"/>
        <v>0</v>
      </c>
      <c r="S22" s="135">
        <v>0</v>
      </c>
      <c r="T22" s="159">
        <f t="shared" si="13"/>
        <v>0</v>
      </c>
      <c r="U22" s="159">
        <f t="shared" si="14"/>
        <v>0</v>
      </c>
      <c r="V22" s="159">
        <f t="shared" si="15"/>
        <v>0</v>
      </c>
      <c r="W22" s="294">
        <f t="shared" si="16"/>
        <v>0</v>
      </c>
      <c r="X22" s="162">
        <f t="shared" si="17"/>
        <v>0</v>
      </c>
      <c r="AA22" s="164">
        <f t="shared" si="5"/>
        <v>0</v>
      </c>
      <c r="AB22" s="165">
        <f t="shared" si="6"/>
        <v>0</v>
      </c>
      <c r="AC22" s="165">
        <f t="shared" si="7"/>
        <v>0</v>
      </c>
      <c r="AD22" s="165">
        <f t="shared" si="18"/>
        <v>0</v>
      </c>
      <c r="AE22" s="165">
        <f t="shared" si="8"/>
        <v>0</v>
      </c>
      <c r="AF22" s="165">
        <f t="shared" si="9"/>
        <v>0</v>
      </c>
      <c r="AG22" s="165"/>
      <c r="AH22" s="230">
        <f t="shared" si="10"/>
        <v>0</v>
      </c>
    </row>
    <row r="23" spans="2:34" ht="26.25" customHeight="1">
      <c r="B23" s="166">
        <f t="shared" si="11"/>
        <v>44612</v>
      </c>
      <c r="C23" s="221">
        <v>0</v>
      </c>
      <c r="D23" s="221">
        <v>0</v>
      </c>
      <c r="E23" s="221">
        <v>0</v>
      </c>
      <c r="F23" s="221">
        <v>0</v>
      </c>
      <c r="G23" s="221">
        <v>0</v>
      </c>
      <c r="H23" s="292">
        <f t="shared" si="20"/>
        <v>0</v>
      </c>
      <c r="I23" s="137">
        <v>0</v>
      </c>
      <c r="J23" s="137">
        <f t="shared" si="21"/>
        <v>0</v>
      </c>
      <c r="K23" s="137">
        <v>0</v>
      </c>
      <c r="L23" s="256">
        <f t="shared" si="22"/>
        <v>0</v>
      </c>
      <c r="M23" s="275">
        <v>0</v>
      </c>
      <c r="N23" s="256">
        <f t="shared" si="12"/>
        <v>0</v>
      </c>
      <c r="O23" s="323">
        <f t="shared" si="3"/>
        <v>0</v>
      </c>
      <c r="P23" s="323">
        <f t="shared" si="4"/>
        <v>0</v>
      </c>
      <c r="Q23" s="135">
        <v>0</v>
      </c>
      <c r="R23" s="211">
        <f t="shared" si="19"/>
        <v>0</v>
      </c>
      <c r="S23" s="135">
        <v>0</v>
      </c>
      <c r="T23" s="159">
        <f t="shared" si="13"/>
        <v>0</v>
      </c>
      <c r="U23" s="159">
        <f t="shared" si="14"/>
        <v>0</v>
      </c>
      <c r="V23" s="159">
        <f t="shared" si="15"/>
        <v>0</v>
      </c>
      <c r="W23" s="294">
        <f t="shared" si="16"/>
        <v>0</v>
      </c>
      <c r="X23" s="162">
        <f t="shared" si="17"/>
        <v>0</v>
      </c>
      <c r="AA23" s="164">
        <f t="shared" si="5"/>
        <v>0</v>
      </c>
      <c r="AB23" s="165">
        <f t="shared" si="6"/>
        <v>0</v>
      </c>
      <c r="AC23" s="165">
        <f t="shared" si="7"/>
        <v>0</v>
      </c>
      <c r="AD23" s="165">
        <f t="shared" si="18"/>
        <v>0</v>
      </c>
      <c r="AE23" s="165">
        <f t="shared" si="8"/>
        <v>0</v>
      </c>
      <c r="AF23" s="165">
        <f t="shared" si="9"/>
        <v>0</v>
      </c>
      <c r="AG23" s="165"/>
      <c r="AH23" s="230">
        <f t="shared" si="10"/>
        <v>0</v>
      </c>
    </row>
    <row r="24" spans="2:34" ht="26.25" customHeight="1">
      <c r="B24" s="198">
        <f t="shared" si="11"/>
        <v>44613</v>
      </c>
      <c r="C24" s="221">
        <v>0</v>
      </c>
      <c r="D24" s="221">
        <v>0</v>
      </c>
      <c r="E24" s="221">
        <v>0</v>
      </c>
      <c r="F24" s="221">
        <v>0</v>
      </c>
      <c r="G24" s="221">
        <v>0</v>
      </c>
      <c r="H24" s="292">
        <f t="shared" si="20"/>
        <v>0</v>
      </c>
      <c r="I24" s="137">
        <v>0</v>
      </c>
      <c r="J24" s="137">
        <f t="shared" si="21"/>
        <v>0</v>
      </c>
      <c r="K24" s="137">
        <v>0</v>
      </c>
      <c r="L24" s="256">
        <f t="shared" si="22"/>
        <v>0</v>
      </c>
      <c r="M24" s="275">
        <v>0</v>
      </c>
      <c r="N24" s="256">
        <f t="shared" si="12"/>
        <v>0</v>
      </c>
      <c r="O24" s="323">
        <f t="shared" si="3"/>
        <v>0</v>
      </c>
      <c r="P24" s="323">
        <f t="shared" si="4"/>
        <v>0</v>
      </c>
      <c r="Q24" s="135">
        <v>0</v>
      </c>
      <c r="R24" s="211">
        <f t="shared" si="19"/>
        <v>0</v>
      </c>
      <c r="S24" s="135">
        <v>0</v>
      </c>
      <c r="T24" s="159">
        <f t="shared" si="13"/>
        <v>0</v>
      </c>
      <c r="U24" s="159">
        <f t="shared" si="14"/>
        <v>0</v>
      </c>
      <c r="V24" s="159">
        <f t="shared" si="15"/>
        <v>0</v>
      </c>
      <c r="W24" s="294">
        <f t="shared" si="16"/>
        <v>0</v>
      </c>
      <c r="X24" s="162">
        <f t="shared" si="17"/>
        <v>0</v>
      </c>
      <c r="AA24" s="164">
        <f t="shared" si="5"/>
        <v>0</v>
      </c>
      <c r="AB24" s="165">
        <f t="shared" si="6"/>
        <v>0</v>
      </c>
      <c r="AC24" s="165">
        <f t="shared" si="7"/>
        <v>0</v>
      </c>
      <c r="AD24" s="165">
        <f t="shared" si="18"/>
        <v>0</v>
      </c>
      <c r="AE24" s="165">
        <f t="shared" si="8"/>
        <v>0</v>
      </c>
      <c r="AF24" s="165">
        <f t="shared" si="9"/>
        <v>0</v>
      </c>
      <c r="AG24" s="165"/>
      <c r="AH24" s="230">
        <f t="shared" si="10"/>
        <v>0</v>
      </c>
    </row>
    <row r="25" spans="2:34" ht="26.25" customHeight="1">
      <c r="B25" s="198">
        <f t="shared" si="11"/>
        <v>44614</v>
      </c>
      <c r="C25" s="221">
        <v>0</v>
      </c>
      <c r="D25" s="221">
        <v>0</v>
      </c>
      <c r="E25" s="221">
        <v>0</v>
      </c>
      <c r="F25" s="221">
        <v>0</v>
      </c>
      <c r="G25" s="221">
        <v>0</v>
      </c>
      <c r="H25" s="292">
        <f t="shared" si="20"/>
        <v>0</v>
      </c>
      <c r="I25" s="137">
        <v>0</v>
      </c>
      <c r="J25" s="137">
        <f t="shared" si="21"/>
        <v>0</v>
      </c>
      <c r="K25" s="137">
        <v>0</v>
      </c>
      <c r="L25" s="256">
        <f t="shared" si="22"/>
        <v>0</v>
      </c>
      <c r="M25" s="275">
        <v>0</v>
      </c>
      <c r="N25" s="256">
        <f t="shared" si="12"/>
        <v>0</v>
      </c>
      <c r="O25" s="323">
        <f t="shared" si="3"/>
        <v>0</v>
      </c>
      <c r="P25" s="323">
        <f t="shared" si="4"/>
        <v>0</v>
      </c>
      <c r="Q25" s="135">
        <v>0</v>
      </c>
      <c r="R25" s="211">
        <f t="shared" si="19"/>
        <v>0</v>
      </c>
      <c r="S25" s="135">
        <v>0</v>
      </c>
      <c r="T25" s="159">
        <f t="shared" si="13"/>
        <v>0</v>
      </c>
      <c r="U25" s="159">
        <f t="shared" si="14"/>
        <v>0</v>
      </c>
      <c r="V25" s="159">
        <f t="shared" si="15"/>
        <v>0</v>
      </c>
      <c r="W25" s="294">
        <f t="shared" si="16"/>
        <v>0</v>
      </c>
      <c r="X25" s="162">
        <f t="shared" si="17"/>
        <v>0</v>
      </c>
      <c r="AA25" s="164">
        <f t="shared" si="5"/>
        <v>0</v>
      </c>
      <c r="AB25" s="165">
        <f t="shared" si="6"/>
        <v>0</v>
      </c>
      <c r="AC25" s="165">
        <f t="shared" si="7"/>
        <v>0</v>
      </c>
      <c r="AD25" s="165">
        <f t="shared" si="18"/>
        <v>0</v>
      </c>
      <c r="AE25" s="165">
        <f t="shared" si="8"/>
        <v>0</v>
      </c>
      <c r="AF25" s="165">
        <f t="shared" si="9"/>
        <v>0</v>
      </c>
      <c r="AG25" s="165"/>
      <c r="AH25" s="230">
        <f t="shared" si="10"/>
        <v>0</v>
      </c>
    </row>
    <row r="26" spans="2:34" ht="26.25" customHeight="1">
      <c r="B26" s="166">
        <f t="shared" si="11"/>
        <v>44615</v>
      </c>
      <c r="C26" s="221">
        <v>0</v>
      </c>
      <c r="D26" s="221">
        <v>0</v>
      </c>
      <c r="E26" s="221">
        <v>0</v>
      </c>
      <c r="F26" s="221">
        <v>0</v>
      </c>
      <c r="G26" s="221">
        <v>0</v>
      </c>
      <c r="H26" s="292">
        <f t="shared" si="20"/>
        <v>0</v>
      </c>
      <c r="I26" s="137">
        <v>0</v>
      </c>
      <c r="J26" s="137">
        <f t="shared" si="21"/>
        <v>0</v>
      </c>
      <c r="K26" s="137">
        <v>0</v>
      </c>
      <c r="L26" s="256">
        <f t="shared" si="22"/>
        <v>0</v>
      </c>
      <c r="M26" s="275">
        <v>0</v>
      </c>
      <c r="N26" s="256">
        <f t="shared" si="12"/>
        <v>0</v>
      </c>
      <c r="O26" s="323">
        <f t="shared" si="3"/>
        <v>0</v>
      </c>
      <c r="P26" s="323">
        <f t="shared" si="4"/>
        <v>0</v>
      </c>
      <c r="Q26" s="135">
        <v>0</v>
      </c>
      <c r="R26" s="211">
        <f t="shared" si="19"/>
        <v>0</v>
      </c>
      <c r="S26" s="135">
        <v>0</v>
      </c>
      <c r="T26" s="159">
        <f t="shared" si="13"/>
        <v>0</v>
      </c>
      <c r="U26" s="159">
        <f t="shared" si="14"/>
        <v>0</v>
      </c>
      <c r="V26" s="159">
        <f t="shared" si="15"/>
        <v>0</v>
      </c>
      <c r="W26" s="294">
        <f t="shared" si="16"/>
        <v>0</v>
      </c>
      <c r="X26" s="162">
        <f t="shared" si="17"/>
        <v>0</v>
      </c>
      <c r="AA26" s="164">
        <f t="shared" si="5"/>
        <v>0</v>
      </c>
      <c r="AB26" s="165">
        <f t="shared" si="6"/>
        <v>0</v>
      </c>
      <c r="AC26" s="165">
        <f t="shared" si="7"/>
        <v>0</v>
      </c>
      <c r="AD26" s="165">
        <f t="shared" si="18"/>
        <v>0</v>
      </c>
      <c r="AE26" s="165">
        <f t="shared" si="8"/>
        <v>0</v>
      </c>
      <c r="AF26" s="165">
        <f t="shared" si="9"/>
        <v>0</v>
      </c>
      <c r="AG26" s="165"/>
      <c r="AH26" s="230">
        <f t="shared" si="10"/>
        <v>0</v>
      </c>
    </row>
    <row r="27" spans="2:34" ht="26.25" customHeight="1">
      <c r="B27" s="166">
        <f t="shared" si="11"/>
        <v>44616</v>
      </c>
      <c r="C27" s="221">
        <v>0</v>
      </c>
      <c r="D27" s="221">
        <v>0</v>
      </c>
      <c r="E27" s="221">
        <v>0</v>
      </c>
      <c r="F27" s="221">
        <v>0</v>
      </c>
      <c r="G27" s="221">
        <v>0</v>
      </c>
      <c r="H27" s="292">
        <f t="shared" si="20"/>
        <v>0</v>
      </c>
      <c r="I27" s="137">
        <v>0</v>
      </c>
      <c r="J27" s="137">
        <f t="shared" si="21"/>
        <v>0</v>
      </c>
      <c r="K27" s="137">
        <v>0</v>
      </c>
      <c r="L27" s="256">
        <f t="shared" si="22"/>
        <v>0</v>
      </c>
      <c r="M27" s="275">
        <v>0</v>
      </c>
      <c r="N27" s="256">
        <f t="shared" si="12"/>
        <v>0</v>
      </c>
      <c r="O27" s="323">
        <f t="shared" si="3"/>
        <v>0</v>
      </c>
      <c r="P27" s="323">
        <f t="shared" si="4"/>
        <v>0</v>
      </c>
      <c r="Q27" s="135">
        <v>0</v>
      </c>
      <c r="R27" s="211">
        <f t="shared" si="19"/>
        <v>0</v>
      </c>
      <c r="S27" s="135">
        <v>0</v>
      </c>
      <c r="T27" s="159">
        <f t="shared" si="13"/>
        <v>0</v>
      </c>
      <c r="U27" s="159">
        <f t="shared" si="14"/>
        <v>0</v>
      </c>
      <c r="V27" s="159">
        <f t="shared" si="15"/>
        <v>0</v>
      </c>
      <c r="W27" s="294">
        <f t="shared" si="16"/>
        <v>0</v>
      </c>
      <c r="X27" s="162">
        <f t="shared" si="17"/>
        <v>0</v>
      </c>
      <c r="AA27" s="164">
        <f t="shared" si="5"/>
        <v>0</v>
      </c>
      <c r="AB27" s="165">
        <f t="shared" si="6"/>
        <v>0</v>
      </c>
      <c r="AC27" s="165">
        <f t="shared" si="7"/>
        <v>0</v>
      </c>
      <c r="AD27" s="165">
        <f t="shared" si="18"/>
        <v>0</v>
      </c>
      <c r="AE27" s="165">
        <f t="shared" si="8"/>
        <v>0</v>
      </c>
      <c r="AF27" s="165">
        <f t="shared" si="9"/>
        <v>0</v>
      </c>
      <c r="AG27" s="165"/>
      <c r="AH27" s="230">
        <f t="shared" si="10"/>
        <v>0</v>
      </c>
    </row>
    <row r="28" spans="2:34" ht="26.25" customHeight="1">
      <c r="B28" s="166">
        <f t="shared" si="11"/>
        <v>44617</v>
      </c>
      <c r="C28" s="221">
        <v>0</v>
      </c>
      <c r="D28" s="221">
        <v>0</v>
      </c>
      <c r="E28" s="221">
        <v>0</v>
      </c>
      <c r="F28" s="221">
        <v>0</v>
      </c>
      <c r="G28" s="221">
        <v>0</v>
      </c>
      <c r="H28" s="292">
        <f t="shared" si="20"/>
        <v>0</v>
      </c>
      <c r="I28" s="137">
        <v>0</v>
      </c>
      <c r="J28" s="137">
        <f t="shared" si="21"/>
        <v>0</v>
      </c>
      <c r="K28" s="137">
        <v>0</v>
      </c>
      <c r="L28" s="256">
        <f t="shared" si="22"/>
        <v>0</v>
      </c>
      <c r="M28" s="307">
        <v>0</v>
      </c>
      <c r="N28" s="278">
        <f t="shared" si="12"/>
        <v>0</v>
      </c>
      <c r="O28" s="323">
        <f t="shared" si="3"/>
        <v>0</v>
      </c>
      <c r="P28" s="323">
        <f t="shared" si="4"/>
        <v>0</v>
      </c>
      <c r="Q28" s="135">
        <v>0</v>
      </c>
      <c r="R28" s="211">
        <f t="shared" si="19"/>
        <v>0</v>
      </c>
      <c r="S28" s="135">
        <v>0</v>
      </c>
      <c r="T28" s="159">
        <f t="shared" si="13"/>
        <v>0</v>
      </c>
      <c r="U28" s="159">
        <f t="shared" si="14"/>
        <v>0</v>
      </c>
      <c r="V28" s="159">
        <f t="shared" si="15"/>
        <v>0</v>
      </c>
      <c r="W28" s="294">
        <f t="shared" si="16"/>
        <v>0</v>
      </c>
      <c r="X28" s="162">
        <f t="shared" si="17"/>
        <v>0</v>
      </c>
      <c r="AA28" s="164">
        <f t="shared" si="5"/>
        <v>0</v>
      </c>
      <c r="AB28" s="165">
        <f t="shared" si="6"/>
        <v>0</v>
      </c>
      <c r="AC28" s="165">
        <f t="shared" si="7"/>
        <v>0</v>
      </c>
      <c r="AD28" s="165">
        <f t="shared" si="18"/>
        <v>0</v>
      </c>
      <c r="AE28" s="165">
        <f t="shared" si="8"/>
        <v>0</v>
      </c>
      <c r="AF28" s="165">
        <f t="shared" si="9"/>
        <v>0</v>
      </c>
      <c r="AG28" s="165"/>
      <c r="AH28" s="230">
        <f t="shared" si="10"/>
        <v>0</v>
      </c>
    </row>
    <row r="29" spans="2:34" ht="26.25" customHeight="1">
      <c r="B29" s="166">
        <f t="shared" si="11"/>
        <v>44618</v>
      </c>
      <c r="C29" s="221">
        <v>0</v>
      </c>
      <c r="D29" s="221">
        <v>0</v>
      </c>
      <c r="E29" s="221">
        <v>0</v>
      </c>
      <c r="F29" s="221">
        <v>0</v>
      </c>
      <c r="G29" s="221">
        <v>0</v>
      </c>
      <c r="H29" s="292">
        <f t="shared" si="20"/>
        <v>0</v>
      </c>
      <c r="I29" s="137">
        <v>0</v>
      </c>
      <c r="J29" s="137">
        <f t="shared" si="21"/>
        <v>0</v>
      </c>
      <c r="K29" s="137">
        <v>0</v>
      </c>
      <c r="L29" s="256">
        <f t="shared" si="22"/>
        <v>0</v>
      </c>
      <c r="M29" s="307">
        <v>0</v>
      </c>
      <c r="N29" s="256">
        <f t="shared" si="12"/>
        <v>0</v>
      </c>
      <c r="O29" s="323">
        <f t="shared" si="3"/>
        <v>0</v>
      </c>
      <c r="P29" s="323">
        <f t="shared" si="4"/>
        <v>0</v>
      </c>
      <c r="Q29" s="309">
        <v>0</v>
      </c>
      <c r="R29" s="211">
        <f t="shared" si="19"/>
        <v>0</v>
      </c>
      <c r="S29" s="135">
        <v>0</v>
      </c>
      <c r="T29" s="159">
        <f t="shared" si="13"/>
        <v>0</v>
      </c>
      <c r="U29" s="159">
        <f t="shared" si="14"/>
        <v>0</v>
      </c>
      <c r="V29" s="159">
        <f t="shared" si="15"/>
        <v>0</v>
      </c>
      <c r="W29" s="294">
        <f t="shared" si="16"/>
        <v>0</v>
      </c>
      <c r="X29" s="162">
        <f t="shared" si="17"/>
        <v>0</v>
      </c>
      <c r="AA29" s="164">
        <f t="shared" si="5"/>
        <v>0</v>
      </c>
      <c r="AB29" s="165">
        <f t="shared" si="6"/>
        <v>0</v>
      </c>
      <c r="AC29" s="165">
        <f t="shared" si="7"/>
        <v>0</v>
      </c>
      <c r="AD29" s="165">
        <f t="shared" si="18"/>
        <v>0</v>
      </c>
      <c r="AE29" s="165">
        <f t="shared" si="8"/>
        <v>0</v>
      </c>
      <c r="AF29" s="165">
        <f t="shared" si="9"/>
        <v>0</v>
      </c>
      <c r="AG29" s="165"/>
      <c r="AH29" s="230">
        <f t="shared" si="10"/>
        <v>0</v>
      </c>
    </row>
    <row r="30" spans="2:34" ht="26.25" customHeight="1">
      <c r="B30" s="166">
        <f t="shared" si="11"/>
        <v>44619</v>
      </c>
      <c r="C30" s="221">
        <v>0</v>
      </c>
      <c r="D30" s="221">
        <v>0</v>
      </c>
      <c r="E30" s="221">
        <v>0</v>
      </c>
      <c r="F30" s="221">
        <v>0</v>
      </c>
      <c r="G30" s="221">
        <v>0</v>
      </c>
      <c r="H30" s="292">
        <f t="shared" si="20"/>
        <v>0</v>
      </c>
      <c r="I30" s="137">
        <v>0</v>
      </c>
      <c r="J30" s="137">
        <f t="shared" si="21"/>
        <v>0</v>
      </c>
      <c r="K30" s="137">
        <v>0</v>
      </c>
      <c r="L30" s="256">
        <f t="shared" si="22"/>
        <v>0</v>
      </c>
      <c r="M30" s="307">
        <v>0</v>
      </c>
      <c r="N30" s="256">
        <f>L30+M30</f>
        <v>0</v>
      </c>
      <c r="O30" s="323">
        <f t="shared" si="3"/>
        <v>0</v>
      </c>
      <c r="P30" s="323">
        <f t="shared" si="4"/>
        <v>0</v>
      </c>
      <c r="Q30" s="370">
        <v>0</v>
      </c>
      <c r="R30" s="211">
        <f t="shared" si="19"/>
        <v>0</v>
      </c>
      <c r="S30" s="135">
        <v>0</v>
      </c>
      <c r="T30" s="159">
        <f t="shared" si="13"/>
        <v>0</v>
      </c>
      <c r="U30" s="159">
        <f t="shared" si="14"/>
        <v>0</v>
      </c>
      <c r="V30" s="159">
        <f t="shared" si="15"/>
        <v>0</v>
      </c>
      <c r="W30" s="294">
        <f t="shared" si="16"/>
        <v>0</v>
      </c>
      <c r="X30" s="162">
        <f t="shared" si="17"/>
        <v>0</v>
      </c>
      <c r="AA30" s="164">
        <f t="shared" si="5"/>
        <v>0</v>
      </c>
      <c r="AB30" s="165">
        <f t="shared" si="6"/>
        <v>0</v>
      </c>
      <c r="AC30" s="165">
        <f t="shared" si="7"/>
        <v>0</v>
      </c>
      <c r="AD30" s="165">
        <f t="shared" si="18"/>
        <v>0</v>
      </c>
      <c r="AE30" s="165">
        <f t="shared" si="8"/>
        <v>0</v>
      </c>
      <c r="AF30" s="165">
        <f t="shared" si="9"/>
        <v>0</v>
      </c>
      <c r="AG30" s="165"/>
      <c r="AH30" s="230">
        <f t="shared" si="10"/>
        <v>0</v>
      </c>
    </row>
    <row r="31" spans="2:34" ht="26.25" customHeight="1">
      <c r="B31" s="166">
        <f t="shared" si="11"/>
        <v>44620</v>
      </c>
      <c r="C31" s="221">
        <v>0</v>
      </c>
      <c r="D31" s="221">
        <v>0</v>
      </c>
      <c r="E31" s="221">
        <v>0</v>
      </c>
      <c r="F31" s="221">
        <v>0</v>
      </c>
      <c r="G31" s="221">
        <v>0</v>
      </c>
      <c r="H31" s="292">
        <f t="shared" si="20"/>
        <v>0</v>
      </c>
      <c r="I31" s="137">
        <v>0</v>
      </c>
      <c r="J31" s="137">
        <f t="shared" si="21"/>
        <v>0</v>
      </c>
      <c r="K31" s="137">
        <v>0</v>
      </c>
      <c r="L31" s="256">
        <f t="shared" si="22"/>
        <v>0</v>
      </c>
      <c r="M31" s="136">
        <v>0</v>
      </c>
      <c r="N31" s="256">
        <f>L31+M31</f>
        <v>0</v>
      </c>
      <c r="O31" s="323">
        <f t="shared" si="3"/>
        <v>0</v>
      </c>
      <c r="P31" s="323">
        <f t="shared" si="4"/>
        <v>0</v>
      </c>
      <c r="Q31" s="135">
        <v>0</v>
      </c>
      <c r="R31" s="211">
        <f t="shared" si="19"/>
        <v>0</v>
      </c>
      <c r="S31" s="135">
        <v>0</v>
      </c>
      <c r="T31" s="159">
        <f t="shared" si="13"/>
        <v>0</v>
      </c>
      <c r="U31" s="159">
        <f t="shared" si="14"/>
        <v>0</v>
      </c>
      <c r="V31" s="159">
        <f t="shared" si="15"/>
        <v>0</v>
      </c>
      <c r="W31" s="294">
        <f t="shared" si="16"/>
        <v>0</v>
      </c>
      <c r="X31" s="162">
        <f t="shared" si="17"/>
        <v>0</v>
      </c>
      <c r="AA31" s="164">
        <f t="shared" si="5"/>
        <v>0</v>
      </c>
      <c r="AB31" s="165">
        <f t="shared" si="6"/>
        <v>0</v>
      </c>
      <c r="AC31" s="165">
        <f t="shared" si="7"/>
        <v>0</v>
      </c>
      <c r="AD31" s="165">
        <f t="shared" si="18"/>
        <v>0</v>
      </c>
      <c r="AE31" s="165">
        <f t="shared" si="8"/>
        <v>0</v>
      </c>
      <c r="AF31" s="165">
        <f t="shared" si="9"/>
        <v>0</v>
      </c>
      <c r="AG31" s="165"/>
      <c r="AH31" s="230">
        <f t="shared" si="10"/>
        <v>0</v>
      </c>
    </row>
    <row r="32" spans="2:34" ht="26.25" customHeight="1">
      <c r="B32" s="166">
        <f t="shared" si="11"/>
        <v>44621</v>
      </c>
      <c r="C32" s="221"/>
      <c r="D32" s="221"/>
      <c r="E32" s="221"/>
      <c r="F32" s="221"/>
      <c r="G32" s="221"/>
      <c r="H32" s="292">
        <f t="shared" si="20"/>
        <v>0</v>
      </c>
      <c r="I32" s="137"/>
      <c r="J32" s="137">
        <f t="shared" si="21"/>
        <v>0</v>
      </c>
      <c r="K32" s="137"/>
      <c r="L32" s="256">
        <f t="shared" si="22"/>
        <v>0</v>
      </c>
      <c r="M32" s="136"/>
      <c r="N32" s="256">
        <f t="shared" si="12"/>
        <v>0</v>
      </c>
      <c r="O32" s="323">
        <f t="shared" si="3"/>
        <v>0</v>
      </c>
      <c r="P32" s="323">
        <f t="shared" si="4"/>
        <v>0</v>
      </c>
      <c r="Q32" s="135"/>
      <c r="R32" s="211">
        <f t="shared" si="19"/>
        <v>0</v>
      </c>
      <c r="S32" s="135">
        <v>0</v>
      </c>
      <c r="T32" s="159">
        <f t="shared" si="13"/>
        <v>0</v>
      </c>
      <c r="U32" s="159">
        <f t="shared" si="14"/>
        <v>0</v>
      </c>
      <c r="V32" s="159">
        <f t="shared" si="15"/>
        <v>0</v>
      </c>
      <c r="W32" s="294">
        <f t="shared" si="16"/>
        <v>0</v>
      </c>
      <c r="X32" s="162">
        <f t="shared" si="17"/>
        <v>0</v>
      </c>
      <c r="AA32" s="164">
        <f t="shared" si="5"/>
        <v>0</v>
      </c>
      <c r="AB32" s="165">
        <f t="shared" si="6"/>
        <v>0</v>
      </c>
      <c r="AC32" s="165">
        <f t="shared" si="7"/>
        <v>0</v>
      </c>
      <c r="AD32" s="165">
        <f t="shared" si="18"/>
        <v>0</v>
      </c>
      <c r="AE32" s="165">
        <f t="shared" si="8"/>
        <v>0</v>
      </c>
      <c r="AF32" s="165">
        <f t="shared" si="9"/>
        <v>0</v>
      </c>
      <c r="AG32" s="165"/>
      <c r="AH32" s="230">
        <f t="shared" si="10"/>
        <v>0</v>
      </c>
    </row>
    <row r="33" spans="2:34" ht="26.25" customHeight="1">
      <c r="B33" s="166">
        <f t="shared" si="11"/>
        <v>44622</v>
      </c>
      <c r="C33" s="221"/>
      <c r="D33" s="221"/>
      <c r="E33" s="221"/>
      <c r="F33" s="221"/>
      <c r="G33" s="221"/>
      <c r="H33" s="292">
        <f t="shared" si="20"/>
        <v>0</v>
      </c>
      <c r="I33" s="137"/>
      <c r="J33" s="137">
        <f t="shared" si="21"/>
        <v>0</v>
      </c>
      <c r="K33" s="137"/>
      <c r="L33" s="256">
        <f t="shared" si="22"/>
        <v>0</v>
      </c>
      <c r="M33" s="136"/>
      <c r="N33" s="256">
        <f>L33+M33</f>
        <v>0</v>
      </c>
      <c r="O33" s="323">
        <f t="shared" si="3"/>
        <v>0</v>
      </c>
      <c r="P33" s="323">
        <f t="shared" si="4"/>
        <v>0</v>
      </c>
      <c r="Q33" s="135"/>
      <c r="R33" s="211">
        <f t="shared" si="19"/>
        <v>0</v>
      </c>
      <c r="S33" s="135">
        <v>0</v>
      </c>
      <c r="T33" s="159">
        <f t="shared" si="13"/>
        <v>0</v>
      </c>
      <c r="U33" s="159">
        <f t="shared" si="14"/>
        <v>0</v>
      </c>
      <c r="V33" s="159">
        <f t="shared" si="15"/>
        <v>0</v>
      </c>
      <c r="W33" s="294">
        <f t="shared" si="16"/>
        <v>0</v>
      </c>
      <c r="X33" s="162">
        <f t="shared" si="17"/>
        <v>0</v>
      </c>
      <c r="AA33" s="164">
        <f t="shared" si="5"/>
        <v>0</v>
      </c>
      <c r="AB33" s="165">
        <f t="shared" si="6"/>
        <v>0</v>
      </c>
      <c r="AC33" s="165">
        <f t="shared" si="7"/>
        <v>0</v>
      </c>
      <c r="AD33" s="165">
        <f t="shared" si="18"/>
        <v>0</v>
      </c>
      <c r="AE33" s="165">
        <f t="shared" si="8"/>
        <v>0</v>
      </c>
      <c r="AF33" s="165">
        <f t="shared" si="9"/>
        <v>0</v>
      </c>
      <c r="AG33" s="165"/>
      <c r="AH33" s="230">
        <f t="shared" si="10"/>
        <v>0</v>
      </c>
    </row>
    <row r="34" spans="2:34" ht="26.25" customHeight="1">
      <c r="B34" s="166">
        <f t="shared" si="11"/>
        <v>44623</v>
      </c>
      <c r="C34" s="221"/>
      <c r="D34" s="221"/>
      <c r="E34" s="221"/>
      <c r="F34" s="221"/>
      <c r="G34" s="221"/>
      <c r="H34" s="292">
        <f t="shared" si="20"/>
        <v>0</v>
      </c>
      <c r="I34" s="137"/>
      <c r="J34" s="137">
        <f t="shared" si="21"/>
        <v>0</v>
      </c>
      <c r="K34" s="137"/>
      <c r="L34" s="256">
        <f t="shared" si="22"/>
        <v>0</v>
      </c>
      <c r="M34" s="136"/>
      <c r="N34" s="256">
        <f t="shared" si="12"/>
        <v>0</v>
      </c>
      <c r="O34" s="323">
        <f t="shared" si="3"/>
        <v>0</v>
      </c>
      <c r="P34" s="323">
        <f t="shared" si="4"/>
        <v>0</v>
      </c>
      <c r="Q34" s="135"/>
      <c r="R34" s="211">
        <f>Q34-S34</f>
        <v>0</v>
      </c>
      <c r="S34" s="135">
        <v>0</v>
      </c>
      <c r="T34" s="159">
        <f t="shared" si="13"/>
        <v>0</v>
      </c>
      <c r="U34" s="159">
        <f t="shared" si="14"/>
        <v>0</v>
      </c>
      <c r="V34" s="159">
        <f t="shared" si="15"/>
        <v>0</v>
      </c>
      <c r="W34" s="294">
        <f t="shared" si="16"/>
        <v>0</v>
      </c>
      <c r="X34" s="162">
        <f t="shared" si="17"/>
        <v>0</v>
      </c>
      <c r="AA34" s="164">
        <f t="shared" si="5"/>
        <v>0</v>
      </c>
      <c r="AB34" s="165">
        <f t="shared" si="6"/>
        <v>0</v>
      </c>
      <c r="AC34" s="165">
        <f t="shared" si="7"/>
        <v>0</v>
      </c>
      <c r="AD34" s="165">
        <f t="shared" si="18"/>
        <v>0</v>
      </c>
      <c r="AE34" s="165">
        <f t="shared" si="8"/>
        <v>0</v>
      </c>
      <c r="AF34" s="165">
        <f t="shared" si="9"/>
        <v>0</v>
      </c>
      <c r="AG34" s="165"/>
      <c r="AH34" s="230">
        <f t="shared" si="10"/>
        <v>0</v>
      </c>
    </row>
    <row r="35" spans="2:34" ht="26.25" customHeight="1" thickBot="1">
      <c r="B35" s="138"/>
      <c r="C35" s="139"/>
      <c r="D35" s="139"/>
      <c r="E35" s="139"/>
      <c r="F35" s="140"/>
      <c r="G35" s="325"/>
      <c r="H35" s="326">
        <f t="shared" si="20"/>
        <v>0</v>
      </c>
      <c r="I35" s="142"/>
      <c r="J35" s="142">
        <f t="shared" si="21"/>
        <v>0</v>
      </c>
      <c r="K35" s="142"/>
      <c r="L35" s="143"/>
      <c r="M35" s="143"/>
      <c r="N35" s="143"/>
      <c r="O35" s="322"/>
      <c r="P35" s="322"/>
      <c r="Q35" s="144"/>
      <c r="R35" s="212"/>
      <c r="S35" s="144"/>
      <c r="T35" s="160"/>
      <c r="U35" s="160"/>
      <c r="V35" s="160"/>
      <c r="W35" s="295"/>
      <c r="X35" s="163"/>
      <c r="AA35" s="164"/>
      <c r="AB35" s="165"/>
      <c r="AC35" s="165"/>
      <c r="AD35" s="165"/>
      <c r="AE35" s="165"/>
      <c r="AF35" s="165"/>
      <c r="AG35" s="165"/>
      <c r="AH35" s="230"/>
    </row>
    <row r="36" spans="2:34" ht="14.25" customHeight="1" thickBot="1">
      <c r="H36" s="324"/>
      <c r="AB36" s="165"/>
    </row>
    <row r="37" spans="2:34" ht="23.25" customHeight="1" thickBot="1">
      <c r="B37" s="145" t="s">
        <v>99</v>
      </c>
      <c r="C37" s="175">
        <f>SUM(C4:C35)</f>
        <v>0</v>
      </c>
      <c r="D37" s="175">
        <f t="shared" ref="D37:X37" si="23">SUM(D4:D35)</f>
        <v>0</v>
      </c>
      <c r="E37" s="175">
        <f t="shared" si="23"/>
        <v>0</v>
      </c>
      <c r="F37" s="175">
        <f t="shared" si="23"/>
        <v>0</v>
      </c>
      <c r="G37" s="175">
        <f t="shared" si="23"/>
        <v>0</v>
      </c>
      <c r="H37" s="175">
        <f t="shared" si="23"/>
        <v>0</v>
      </c>
      <c r="I37" s="175">
        <f>SUM(I4:I35)</f>
        <v>0</v>
      </c>
      <c r="J37" s="175">
        <f>SUM(J4:J35)</f>
        <v>0</v>
      </c>
      <c r="K37" s="175">
        <f t="shared" si="23"/>
        <v>0</v>
      </c>
      <c r="L37" s="175">
        <f>SUM(L4:L35)</f>
        <v>0</v>
      </c>
      <c r="M37" s="277">
        <f t="shared" si="23"/>
        <v>0</v>
      </c>
      <c r="N37" s="277">
        <f t="shared" si="23"/>
        <v>0</v>
      </c>
      <c r="O37" s="175">
        <f t="shared" si="23"/>
        <v>0</v>
      </c>
      <c r="P37" s="175">
        <f t="shared" si="23"/>
        <v>0</v>
      </c>
      <c r="Q37" s="175">
        <f t="shared" si="23"/>
        <v>0</v>
      </c>
      <c r="R37" s="175">
        <f t="shared" si="23"/>
        <v>0</v>
      </c>
      <c r="S37" s="175">
        <f t="shared" si="23"/>
        <v>0</v>
      </c>
      <c r="T37" s="175">
        <f t="shared" si="23"/>
        <v>0</v>
      </c>
      <c r="U37" s="175">
        <f t="shared" si="23"/>
        <v>0</v>
      </c>
      <c r="V37" s="175">
        <f t="shared" si="23"/>
        <v>0</v>
      </c>
      <c r="W37" s="175">
        <f t="shared" si="23"/>
        <v>0</v>
      </c>
      <c r="X37" s="274">
        <f t="shared" si="23"/>
        <v>0</v>
      </c>
    </row>
    <row r="38" spans="2:34" ht="19.5" customHeight="1">
      <c r="I38" s="146"/>
      <c r="J38" s="146"/>
      <c r="K38" s="146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</row>
    <row r="39" spans="2:34" ht="19.5" customHeight="1">
      <c r="I39" s="146"/>
      <c r="J39" s="146"/>
      <c r="K39" s="146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</row>
    <row r="40" spans="2:34" ht="24" customHeight="1">
      <c r="C40" s="242" t="s">
        <v>163</v>
      </c>
      <c r="D40" s="242"/>
      <c r="E40" s="242"/>
      <c r="F40" s="173"/>
      <c r="G40" s="173"/>
      <c r="H40" s="411">
        <f>-H37</f>
        <v>0</v>
      </c>
      <c r="I40" s="411"/>
      <c r="J40" s="357"/>
      <c r="K40" s="264"/>
      <c r="L40" s="264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</row>
    <row r="41" spans="2:34" ht="24" customHeight="1">
      <c r="C41" s="242" t="s">
        <v>178</v>
      </c>
      <c r="D41" s="242"/>
      <c r="E41" s="242"/>
      <c r="F41" s="150"/>
      <c r="G41" s="150"/>
      <c r="H41" s="418">
        <f>N37</f>
        <v>0</v>
      </c>
      <c r="I41" s="418"/>
      <c r="J41" s="358"/>
      <c r="K41" s="264"/>
      <c r="L41" s="264"/>
      <c r="M41" s="173"/>
      <c r="N41" s="257" t="s">
        <v>167</v>
      </c>
      <c r="O41" s="173"/>
      <c r="P41" s="173"/>
      <c r="Q41" s="173"/>
      <c r="R41" s="173"/>
      <c r="S41" s="173"/>
      <c r="T41" s="257" t="s">
        <v>171</v>
      </c>
      <c r="U41" s="173"/>
      <c r="V41" s="173"/>
      <c r="W41" s="173"/>
      <c r="Y41" s="173"/>
      <c r="Z41" s="173"/>
      <c r="AA41" s="173"/>
    </row>
    <row r="42" spans="2:34" ht="24" customHeight="1" thickBot="1">
      <c r="C42" s="242" t="s">
        <v>176</v>
      </c>
      <c r="D42" s="242"/>
      <c r="E42" s="242"/>
      <c r="F42" s="150"/>
      <c r="G42" s="150"/>
      <c r="H42" s="419">
        <f>-ROUNDDOWN(H41*50%,0)</f>
        <v>0</v>
      </c>
      <c r="I42" s="419"/>
      <c r="J42" s="358"/>
      <c r="K42" s="264"/>
      <c r="L42" s="264"/>
      <c r="M42" s="173"/>
      <c r="N42" s="148" t="s">
        <v>168</v>
      </c>
      <c r="O42" s="246"/>
      <c r="P42" s="246"/>
      <c r="Q42" s="246"/>
      <c r="R42" s="173"/>
      <c r="S42" s="173"/>
      <c r="T42" s="148" t="s">
        <v>189</v>
      </c>
      <c r="U42" s="173"/>
      <c r="V42" s="173"/>
      <c r="W42" s="173"/>
      <c r="Y42" s="173"/>
      <c r="Z42" s="173"/>
      <c r="AA42" s="173"/>
    </row>
    <row r="43" spans="2:34" ht="8.25" customHeight="1" thickTop="1">
      <c r="C43" s="242"/>
      <c r="D43" s="242"/>
      <c r="E43" s="242"/>
      <c r="F43" s="150"/>
      <c r="G43" s="150"/>
      <c r="H43" s="173"/>
      <c r="I43" s="265"/>
      <c r="J43" s="265"/>
      <c r="K43" s="264"/>
      <c r="L43" s="264"/>
      <c r="M43" s="173"/>
      <c r="N43" s="148"/>
      <c r="O43" s="173"/>
      <c r="P43" s="173"/>
      <c r="Q43" s="173"/>
      <c r="R43" s="173"/>
      <c r="S43" s="173"/>
      <c r="T43" s="148"/>
      <c r="U43" s="173"/>
      <c r="V43" s="173"/>
      <c r="W43" s="173"/>
      <c r="Y43" s="173"/>
      <c r="Z43" s="173"/>
      <c r="AA43" s="173"/>
    </row>
    <row r="44" spans="2:34" ht="24" customHeight="1">
      <c r="C44" s="242" t="s">
        <v>164</v>
      </c>
      <c r="D44" s="242"/>
      <c r="E44" s="242"/>
      <c r="F44" s="150"/>
      <c r="G44" s="150"/>
      <c r="H44" s="413">
        <f>R37</f>
        <v>0</v>
      </c>
      <c r="I44" s="413"/>
      <c r="J44" s="358"/>
      <c r="K44" s="264"/>
      <c r="L44" s="264"/>
      <c r="M44" s="173"/>
      <c r="N44" s="257" t="s">
        <v>169</v>
      </c>
      <c r="O44" s="173"/>
      <c r="P44" s="173"/>
      <c r="Q44" s="173"/>
      <c r="R44" s="173"/>
      <c r="S44" s="173"/>
      <c r="T44" s="257" t="s">
        <v>169</v>
      </c>
      <c r="U44" s="173"/>
      <c r="V44" s="173"/>
      <c r="W44" s="173"/>
      <c r="Z44" s="173"/>
      <c r="AA44" s="173"/>
    </row>
    <row r="45" spans="2:34" ht="24" customHeight="1">
      <c r="C45" s="242" t="s">
        <v>200</v>
      </c>
      <c r="D45" s="242"/>
      <c r="E45" s="242"/>
      <c r="F45" s="150"/>
      <c r="G45" s="150"/>
      <c r="H45" s="413">
        <f>H44*1.7%</f>
        <v>0</v>
      </c>
      <c r="I45" s="413"/>
      <c r="J45" s="358"/>
      <c r="K45" s="264"/>
      <c r="L45" s="264"/>
      <c r="M45" s="173"/>
      <c r="N45" s="148" t="s">
        <v>170</v>
      </c>
      <c r="O45" s="246"/>
      <c r="P45" s="246"/>
      <c r="Q45" s="246"/>
      <c r="R45" s="173"/>
      <c r="S45" s="173"/>
      <c r="T45" s="148" t="s">
        <v>204</v>
      </c>
      <c r="U45" s="173"/>
      <c r="V45" s="173"/>
      <c r="W45" s="173"/>
      <c r="Z45" s="173"/>
      <c r="AA45" s="173"/>
    </row>
    <row r="46" spans="2:34" ht="24" customHeight="1">
      <c r="C46" s="242" t="s">
        <v>198</v>
      </c>
      <c r="D46" s="242"/>
      <c r="E46" s="242"/>
      <c r="F46" s="150"/>
      <c r="G46" s="150"/>
      <c r="H46" s="413">
        <f>-H45*50%</f>
        <v>0</v>
      </c>
      <c r="I46" s="413"/>
      <c r="J46" s="358"/>
      <c r="K46" s="264"/>
      <c r="L46" s="264"/>
      <c r="M46" s="173"/>
      <c r="N46" s="148"/>
      <c r="O46" s="173"/>
      <c r="P46" s="173"/>
      <c r="Q46" s="173"/>
      <c r="R46" s="173"/>
      <c r="S46" s="173"/>
      <c r="V46" s="148"/>
      <c r="W46" s="148"/>
      <c r="Z46" s="173"/>
      <c r="AA46" s="173"/>
    </row>
    <row r="47" spans="2:34" ht="24" customHeight="1">
      <c r="C47" s="242" t="s">
        <v>201</v>
      </c>
      <c r="D47" s="242"/>
      <c r="E47" s="242"/>
      <c r="F47" s="150"/>
      <c r="G47" s="150"/>
      <c r="H47" s="413">
        <f>S37</f>
        <v>0</v>
      </c>
      <c r="I47" s="413"/>
      <c r="J47" s="358"/>
      <c r="K47" s="264"/>
      <c r="L47" s="264"/>
      <c r="M47" s="173"/>
      <c r="N47" s="148"/>
      <c r="O47" s="173"/>
      <c r="P47" s="173"/>
      <c r="Q47" s="173"/>
      <c r="R47" s="173"/>
      <c r="S47" s="173"/>
      <c r="V47" s="148"/>
      <c r="W47" s="148"/>
      <c r="Z47" s="173"/>
      <c r="AA47" s="173"/>
    </row>
    <row r="48" spans="2:34" ht="24" customHeight="1">
      <c r="C48" s="242" t="s">
        <v>202</v>
      </c>
      <c r="D48" s="242"/>
      <c r="E48" s="242"/>
      <c r="F48" s="150"/>
      <c r="G48" s="150"/>
      <c r="H48" s="413">
        <f>T37</f>
        <v>0</v>
      </c>
      <c r="I48" s="413"/>
      <c r="J48" s="358"/>
      <c r="K48" s="264"/>
      <c r="L48" s="264"/>
      <c r="M48" s="173"/>
      <c r="N48" s="148"/>
      <c r="O48" s="173"/>
      <c r="P48" s="173"/>
      <c r="Q48" s="173"/>
      <c r="R48" s="173"/>
      <c r="S48" s="173"/>
      <c r="V48" s="148"/>
      <c r="W48" s="148"/>
      <c r="Z48" s="173"/>
      <c r="AA48" s="173"/>
    </row>
    <row r="49" spans="2:27" ht="24" customHeight="1">
      <c r="C49" s="242" t="s">
        <v>199</v>
      </c>
      <c r="D49" s="242"/>
      <c r="E49" s="242"/>
      <c r="F49" s="150"/>
      <c r="G49" s="150"/>
      <c r="H49" s="413">
        <f>-H48*50%</f>
        <v>0</v>
      </c>
      <c r="I49" s="413"/>
      <c r="J49" s="358"/>
      <c r="K49" s="264"/>
      <c r="L49" s="264"/>
      <c r="M49" s="173"/>
      <c r="N49" s="148"/>
      <c r="O49" s="173"/>
      <c r="P49" s="173"/>
      <c r="Q49" s="173"/>
      <c r="R49" s="173"/>
      <c r="S49" s="173"/>
      <c r="V49" s="148"/>
      <c r="W49" s="148"/>
      <c r="Z49" s="173"/>
      <c r="AA49" s="173"/>
    </row>
    <row r="50" spans="2:27" ht="24" customHeight="1">
      <c r="B50" s="149"/>
      <c r="C50" s="242" t="s">
        <v>177</v>
      </c>
      <c r="D50" s="124"/>
      <c r="E50" s="124"/>
      <c r="F50" s="124"/>
      <c r="G50" s="124"/>
      <c r="H50" s="413">
        <v>0</v>
      </c>
      <c r="I50" s="413"/>
      <c r="J50" s="358"/>
      <c r="K50" s="264"/>
      <c r="L50" s="264"/>
      <c r="M50" s="173"/>
      <c r="N50" s="360"/>
      <c r="O50" s="148"/>
      <c r="P50" s="173"/>
      <c r="Q50" s="173"/>
      <c r="R50" s="173"/>
      <c r="S50" s="173"/>
      <c r="V50" s="148"/>
      <c r="W50" s="148"/>
      <c r="Z50" s="173"/>
      <c r="AA50" s="173"/>
    </row>
    <row r="51" spans="2:27" ht="24" customHeight="1" thickBot="1">
      <c r="B51" s="149"/>
      <c r="C51" s="242"/>
      <c r="D51" s="242"/>
      <c r="E51" s="242"/>
      <c r="F51" s="173"/>
      <c r="G51" s="173"/>
      <c r="H51" s="420">
        <f>ROUNDDOWN(H45+H46+H49+H50,0)</f>
        <v>0</v>
      </c>
      <c r="I51" s="420"/>
      <c r="J51" s="358"/>
      <c r="K51" s="264"/>
      <c r="L51" s="264"/>
      <c r="M51" s="173"/>
      <c r="N51" s="257" t="s">
        <v>173</v>
      </c>
      <c r="O51" s="173"/>
      <c r="P51" s="173"/>
      <c r="Q51" s="173"/>
      <c r="R51" s="173"/>
      <c r="S51" s="173"/>
      <c r="T51" s="257" t="s">
        <v>45</v>
      </c>
      <c r="U51" s="173"/>
      <c r="V51" s="173"/>
      <c r="W51" s="173"/>
      <c r="Z51" s="173"/>
      <c r="AA51" s="173"/>
    </row>
    <row r="52" spans="2:27" ht="21.75" customHeight="1" thickTop="1">
      <c r="B52" s="149"/>
      <c r="C52" s="242"/>
      <c r="D52" s="242"/>
      <c r="E52" s="242"/>
      <c r="F52" s="173"/>
      <c r="G52" s="173"/>
      <c r="H52" s="173"/>
      <c r="I52" s="357"/>
      <c r="J52" s="358"/>
      <c r="K52" s="264"/>
      <c r="L52" s="264"/>
      <c r="M52" s="173"/>
      <c r="N52" s="148" t="s">
        <v>172</v>
      </c>
      <c r="O52" s="246"/>
      <c r="P52" s="246"/>
      <c r="Q52" s="246"/>
      <c r="R52" s="173"/>
      <c r="S52" s="173"/>
      <c r="T52" s="148" t="s">
        <v>191</v>
      </c>
      <c r="U52" s="173"/>
      <c r="V52" s="173"/>
      <c r="W52" s="173"/>
      <c r="Z52" s="173"/>
      <c r="AA52" s="173"/>
    </row>
    <row r="53" spans="2:27" ht="30" customHeight="1">
      <c r="B53" s="149"/>
      <c r="C53" s="242" t="s">
        <v>203</v>
      </c>
      <c r="D53" s="242"/>
      <c r="E53" s="242"/>
      <c r="F53" s="173"/>
      <c r="G53" s="173"/>
      <c r="H53" s="421">
        <f>H42+H51</f>
        <v>0</v>
      </c>
      <c r="I53" s="421"/>
      <c r="J53" s="358"/>
      <c r="K53" s="284"/>
      <c r="L53" s="284"/>
      <c r="M53" s="173"/>
      <c r="N53" s="148"/>
      <c r="O53" s="173"/>
      <c r="P53" s="173"/>
      <c r="Q53" s="173"/>
      <c r="R53" s="173"/>
      <c r="S53" s="173"/>
      <c r="T53" s="148"/>
      <c r="U53" s="173"/>
      <c r="V53" s="173"/>
      <c r="W53" s="173"/>
      <c r="Z53" s="173"/>
      <c r="AA53" s="173"/>
    </row>
    <row r="54" spans="2:27" ht="26.25" customHeight="1">
      <c r="B54" s="255"/>
      <c r="C54" s="242"/>
      <c r="D54" s="124"/>
      <c r="E54" s="124"/>
      <c r="F54" s="124"/>
      <c r="G54" s="124"/>
      <c r="H54" s="422"/>
      <c r="I54" s="422"/>
      <c r="J54" s="358"/>
      <c r="K54" s="283"/>
      <c r="L54" s="283"/>
      <c r="M54" s="173"/>
      <c r="N54" s="257" t="s">
        <v>169</v>
      </c>
      <c r="R54" s="173"/>
      <c r="S54" s="173"/>
      <c r="T54" s="257" t="s">
        <v>169</v>
      </c>
      <c r="U54" s="150"/>
      <c r="V54" s="150"/>
      <c r="W54" s="150"/>
      <c r="Z54" s="173"/>
      <c r="AA54" s="173"/>
    </row>
    <row r="55" spans="2:27" ht="26.25" customHeight="1">
      <c r="B55" s="254"/>
      <c r="C55" s="242" t="s">
        <v>175</v>
      </c>
      <c r="D55" s="242"/>
      <c r="E55" s="242"/>
      <c r="H55" s="412">
        <f>H40+H53</f>
        <v>0</v>
      </c>
      <c r="I55" s="412"/>
      <c r="J55" s="358"/>
      <c r="K55" s="283"/>
      <c r="L55" s="283"/>
      <c r="M55" s="173"/>
      <c r="N55" s="148" t="s">
        <v>170</v>
      </c>
      <c r="O55" s="248"/>
      <c r="P55" s="248"/>
      <c r="Q55" s="248"/>
      <c r="R55" s="173"/>
      <c r="S55" s="173"/>
      <c r="T55" s="148" t="s">
        <v>205</v>
      </c>
      <c r="U55" s="150"/>
      <c r="V55" s="150"/>
      <c r="W55" s="150"/>
      <c r="Z55" s="173"/>
      <c r="AA55" s="173"/>
    </row>
    <row r="56" spans="2:27" ht="25.5" customHeight="1">
      <c r="D56" s="242"/>
      <c r="E56" s="242"/>
      <c r="G56" s="254"/>
      <c r="K56" s="283"/>
      <c r="L56" s="283"/>
      <c r="M56" s="173"/>
      <c r="S56" s="173"/>
      <c r="Z56" s="150"/>
      <c r="AA56" s="150"/>
    </row>
    <row r="57" spans="2:27" ht="28.5">
      <c r="B57" s="124"/>
      <c r="C57" s="124"/>
      <c r="D57" s="124"/>
      <c r="E57" s="124"/>
      <c r="F57" s="124"/>
      <c r="I57" s="151"/>
      <c r="J57" s="151"/>
      <c r="K57" s="283"/>
      <c r="L57" s="283"/>
      <c r="M57" s="173"/>
      <c r="N57" s="148"/>
      <c r="O57" s="148"/>
      <c r="T57" s="148"/>
      <c r="U57" s="150"/>
      <c r="V57" s="150"/>
      <c r="W57" s="150"/>
      <c r="Y57" s="150"/>
      <c r="Z57" s="150"/>
      <c r="AA57" s="150"/>
    </row>
    <row r="58" spans="2:27" ht="28.5">
      <c r="B58" s="124"/>
      <c r="C58" s="124"/>
      <c r="D58" s="124"/>
      <c r="E58" s="124"/>
      <c r="F58" s="124"/>
      <c r="G58" s="124"/>
      <c r="H58" s="124"/>
      <c r="K58" s="283"/>
      <c r="L58" s="173"/>
      <c r="M58" s="359"/>
      <c r="N58" s="148"/>
      <c r="U58" s="148"/>
      <c r="V58" s="150"/>
      <c r="W58" s="150"/>
      <c r="X58" s="150"/>
      <c r="Y58" s="150"/>
      <c r="Z58" s="150"/>
    </row>
    <row r="59" spans="2:27" ht="28.5">
      <c r="B59" s="124"/>
      <c r="C59" s="124"/>
      <c r="D59" s="124"/>
      <c r="E59" s="124"/>
      <c r="F59" s="124"/>
      <c r="G59" s="124"/>
      <c r="H59" s="124"/>
      <c r="L59" s="153"/>
      <c r="N59" s="148"/>
      <c r="T59" s="148"/>
      <c r="U59" s="173"/>
      <c r="V59" s="173"/>
      <c r="W59" s="173"/>
      <c r="Y59" s="150"/>
    </row>
    <row r="60" spans="2:27" ht="23.25">
      <c r="G60" s="124"/>
      <c r="H60" s="124"/>
      <c r="L60" s="154"/>
      <c r="N60" s="257"/>
      <c r="T60" s="257"/>
      <c r="U60" s="150"/>
      <c r="V60" s="150"/>
      <c r="W60" s="150"/>
      <c r="Y60" s="150"/>
    </row>
    <row r="61" spans="2:27" ht="18.75">
      <c r="L61" s="155"/>
      <c r="M61" s="153"/>
      <c r="N61" s="148"/>
      <c r="T61" s="148"/>
      <c r="U61" s="150"/>
      <c r="V61" s="150"/>
      <c r="W61" s="150"/>
    </row>
    <row r="62" spans="2:27" ht="18.75">
      <c r="L62" s="156"/>
      <c r="M62" s="154"/>
      <c r="N62" s="247"/>
      <c r="T62" s="150"/>
      <c r="U62" s="150"/>
    </row>
    <row r="63" spans="2:27">
      <c r="L63" s="156"/>
      <c r="M63" s="155"/>
    </row>
    <row r="64" spans="2:27" ht="15.75">
      <c r="L64" s="156"/>
      <c r="M64" s="156"/>
      <c r="N64" s="153"/>
      <c r="Q64" s="152"/>
    </row>
    <row r="65" spans="9:24">
      <c r="L65" s="156"/>
      <c r="M65" s="156"/>
      <c r="N65" s="154"/>
    </row>
    <row r="66" spans="9:24">
      <c r="L66" s="156"/>
      <c r="M66" s="156"/>
      <c r="N66" s="155"/>
    </row>
    <row r="67" spans="9:24">
      <c r="L67" s="156"/>
      <c r="M67" s="156"/>
      <c r="N67" s="156"/>
    </row>
    <row r="68" spans="9:24">
      <c r="L68" s="156"/>
      <c r="M68" s="156"/>
      <c r="N68" s="156"/>
    </row>
    <row r="69" spans="9:24" s="123" customFormat="1">
      <c r="I69" s="124"/>
      <c r="J69" s="124"/>
      <c r="K69" s="124"/>
      <c r="L69" s="156"/>
      <c r="M69" s="156"/>
      <c r="N69" s="156"/>
      <c r="O69" s="124"/>
      <c r="P69" s="124"/>
      <c r="Q69" s="124"/>
      <c r="R69" s="124"/>
      <c r="S69" s="124"/>
      <c r="T69" s="124"/>
      <c r="U69" s="124"/>
      <c r="V69" s="124"/>
      <c r="W69" s="124"/>
      <c r="X69" s="124"/>
    </row>
    <row r="70" spans="9:24">
      <c r="L70" s="156"/>
      <c r="M70" s="156"/>
      <c r="N70" s="156"/>
    </row>
    <row r="71" spans="9:24">
      <c r="L71" s="156"/>
      <c r="M71" s="156"/>
      <c r="N71" s="156"/>
    </row>
    <row r="72" spans="9:24">
      <c r="M72" s="156"/>
      <c r="N72" s="156"/>
    </row>
    <row r="73" spans="9:24">
      <c r="M73" s="156"/>
      <c r="N73" s="156"/>
    </row>
    <row r="74" spans="9:24">
      <c r="N74" s="156"/>
    </row>
    <row r="75" spans="9:24">
      <c r="N75" s="156"/>
    </row>
    <row r="76" spans="9:24">
      <c r="N76" s="156"/>
    </row>
  </sheetData>
  <sheetProtection algorithmName="SHA-512" hashValue="Mcc/9pMqpHpNGb/+w2Nm9KecsIXvnqZGlJtj/QcTo2IcV+ivb8WwOBK6nrNNyIQZYMn5A45ziP5hu2D4VgTmkg==" saltValue="F1nW63nVF0aGIyQkO0SmwA==" spinCount="100000" sheet="1" objects="1" scenarios="1"/>
  <mergeCells count="15">
    <mergeCell ref="H45:I45"/>
    <mergeCell ref="B2:X2"/>
    <mergeCell ref="H40:I40"/>
    <mergeCell ref="H41:I41"/>
    <mergeCell ref="H42:I42"/>
    <mergeCell ref="H44:I44"/>
    <mergeCell ref="H53:I53"/>
    <mergeCell ref="H54:I54"/>
    <mergeCell ref="H55:I55"/>
    <mergeCell ref="H46:I46"/>
    <mergeCell ref="H47:I47"/>
    <mergeCell ref="H48:I48"/>
    <mergeCell ref="H49:I49"/>
    <mergeCell ref="H50:I50"/>
    <mergeCell ref="H51:I51"/>
  </mergeCells>
  <printOptions horizontalCentered="1"/>
  <pageMargins left="0" right="0" top="0" bottom="0" header="0" footer="0"/>
  <pageSetup scale="38" orientation="landscape" horizontalDpi="360" verticalDpi="36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2">
    <tabColor theme="7"/>
    <pageSetUpPr fitToPage="1"/>
  </sheetPr>
  <dimension ref="A1:M17"/>
  <sheetViews>
    <sheetView workbookViewId="0">
      <selection activeCell="B5" sqref="B5"/>
    </sheetView>
  </sheetViews>
  <sheetFormatPr defaultRowHeight="15"/>
  <cols>
    <col min="1" max="1" width="12.42578125" style="37" customWidth="1"/>
    <col min="2" max="2" width="16.5703125" style="37" bestFit="1" customWidth="1"/>
    <col min="3" max="3" width="25" style="37" bestFit="1" customWidth="1"/>
    <col min="4" max="4" width="16.42578125" style="37" bestFit="1" customWidth="1"/>
    <col min="5" max="5" width="12" style="37" bestFit="1" customWidth="1"/>
    <col min="6" max="6" width="13.140625" style="37" bestFit="1" customWidth="1"/>
    <col min="7" max="7" width="16.140625" style="37" bestFit="1" customWidth="1"/>
    <col min="8" max="8" width="16.42578125" style="37" bestFit="1" customWidth="1"/>
    <col min="9" max="10" width="10.28515625" style="37" bestFit="1" customWidth="1"/>
    <col min="11" max="11" width="13.42578125" style="37" bestFit="1" customWidth="1"/>
    <col min="12" max="12" width="20.42578125" style="37" bestFit="1" customWidth="1"/>
    <col min="13" max="13" width="13.5703125" style="37" bestFit="1" customWidth="1"/>
    <col min="14" max="16384" width="9.140625" style="37"/>
  </cols>
  <sheetData>
    <row r="1" spans="1:13" ht="15.75" thickBot="1">
      <c r="E1" s="39"/>
      <c r="F1" s="39"/>
    </row>
    <row r="2" spans="1:13" ht="19.5" thickBot="1">
      <c r="A2" s="396" t="s">
        <v>91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</row>
    <row r="3" spans="1:13" ht="30.75" customHeight="1" thickBot="1">
      <c r="A3" s="86" t="s">
        <v>75</v>
      </c>
      <c r="B3" s="87" t="s">
        <v>74</v>
      </c>
      <c r="C3" s="87" t="s">
        <v>76</v>
      </c>
      <c r="D3" s="87" t="s">
        <v>73</v>
      </c>
      <c r="E3" s="88">
        <v>0</v>
      </c>
      <c r="F3" s="89">
        <f>-100%-E3</f>
        <v>-1</v>
      </c>
      <c r="G3" s="87" t="s">
        <v>71</v>
      </c>
      <c r="H3" s="87" t="s">
        <v>72</v>
      </c>
      <c r="I3" s="90">
        <v>1.7999999999999999E-2</v>
      </c>
      <c r="J3" s="91">
        <v>1.4999999999999999E-2</v>
      </c>
      <c r="K3" s="92" t="s">
        <v>57</v>
      </c>
      <c r="L3" s="93">
        <f>E3</f>
        <v>0</v>
      </c>
      <c r="M3" s="94">
        <v>3.0000000000000001E-3</v>
      </c>
    </row>
    <row r="4" spans="1:13">
      <c r="A4" s="95">
        <v>11082</v>
      </c>
      <c r="B4" s="96" t="e">
        <f>VLOOKUP($A4,#REF!,2,FALSE)</f>
        <v>#REF!</v>
      </c>
      <c r="C4" s="96" t="e">
        <f>VLOOKUP($A4,#REF!,3,FALSE)</f>
        <v>#REF!</v>
      </c>
      <c r="D4" s="96" t="e">
        <f>VLOOKUP($A4,#REF!,11,FALSE)</f>
        <v>#REF!</v>
      </c>
      <c r="E4" s="96" t="e">
        <f>D4*$E$3</f>
        <v>#REF!</v>
      </c>
      <c r="F4" s="96" t="e">
        <f>D4*$F$3</f>
        <v>#REF!</v>
      </c>
      <c r="G4" s="96" t="e">
        <f>VLOOKUP($A4,#REF!,8,FALSE)</f>
        <v>#REF!</v>
      </c>
      <c r="H4" s="96" t="e">
        <f>VLOOKUP($A4,#REF!,9,FALSE)</f>
        <v>#REF!</v>
      </c>
      <c r="I4" s="96" t="e">
        <f>IF(H4=0,G4*$I$3,0)</f>
        <v>#REF!</v>
      </c>
      <c r="J4" s="96" t="e">
        <f>IF(H4&gt;0,SUM(G4:H4)*$J$3,0)</f>
        <v>#REF!</v>
      </c>
      <c r="K4" s="96" t="e">
        <f>SUM(I4:J4)</f>
        <v>#REF!</v>
      </c>
      <c r="L4" s="96" t="e">
        <f>K4*$L$3</f>
        <v>#REF!</v>
      </c>
      <c r="M4" s="97" t="e">
        <f>SUM(G4:H4)*$M$3</f>
        <v>#REF!</v>
      </c>
    </row>
    <row r="5" spans="1:13">
      <c r="A5" s="78">
        <v>11516</v>
      </c>
      <c r="B5" s="37" t="e">
        <f>VLOOKUP($A5,#REF!,2,FALSE)</f>
        <v>#REF!</v>
      </c>
      <c r="C5" s="37" t="e">
        <f>VLOOKUP($A5,#REF!,3,FALSE)</f>
        <v>#REF!</v>
      </c>
      <c r="D5" s="37" t="e">
        <f>VLOOKUP($A5,#REF!,11,FALSE)</f>
        <v>#REF!</v>
      </c>
      <c r="E5" s="37" t="e">
        <f>D5*$E$3</f>
        <v>#REF!</v>
      </c>
      <c r="F5" s="37" t="e">
        <f>D5*$F$3</f>
        <v>#REF!</v>
      </c>
      <c r="G5" s="37" t="e">
        <f>VLOOKUP($A5,#REF!,8,FALSE)</f>
        <v>#REF!</v>
      </c>
      <c r="H5" s="37" t="e">
        <f>VLOOKUP($A5,#REF!,9,FALSE)</f>
        <v>#REF!</v>
      </c>
      <c r="I5" s="37" t="e">
        <f>IF(H5=0,G5*$I$3,0)</f>
        <v>#REF!</v>
      </c>
      <c r="J5" s="37" t="e">
        <f>IF(H5&gt;0,SUM(G5:H5)*$J$3,0)</f>
        <v>#REF!</v>
      </c>
      <c r="K5" s="37" t="e">
        <f>SUM(I5:J5)</f>
        <v>#REF!</v>
      </c>
      <c r="L5" s="37" t="e">
        <f>K5*$L$3</f>
        <v>#REF!</v>
      </c>
      <c r="M5" s="80" t="e">
        <f>SUM(G5:H5)*$M$3</f>
        <v>#REF!</v>
      </c>
    </row>
    <row r="6" spans="1:13">
      <c r="A6" s="78">
        <v>11600</v>
      </c>
      <c r="B6" s="37" t="e">
        <f>VLOOKUP($A6,#REF!,2,FALSE)</f>
        <v>#REF!</v>
      </c>
      <c r="C6" s="37" t="e">
        <f>VLOOKUP($A6,#REF!,3,FALSE)</f>
        <v>#REF!</v>
      </c>
      <c r="D6" s="37" t="e">
        <f>VLOOKUP($A6,#REF!,11,FALSE)</f>
        <v>#REF!</v>
      </c>
      <c r="E6" s="37" t="e">
        <f>D6*$E$3</f>
        <v>#REF!</v>
      </c>
      <c r="F6" s="37" t="e">
        <f>D6*$F$3</f>
        <v>#REF!</v>
      </c>
      <c r="G6" s="37" t="e">
        <f>VLOOKUP($A6,#REF!,8,FALSE)</f>
        <v>#REF!</v>
      </c>
      <c r="H6" s="37" t="e">
        <f>VLOOKUP($A6,#REF!,9,FALSE)</f>
        <v>#REF!</v>
      </c>
      <c r="I6" s="37" t="e">
        <f>IF(H6=0,G6*$I$3,0)</f>
        <v>#REF!</v>
      </c>
      <c r="J6" s="37" t="e">
        <f>IF(H6&gt;0,SUM(G6:H6)*$J$3,0)</f>
        <v>#REF!</v>
      </c>
      <c r="K6" s="37" t="e">
        <f>SUM(I6:J6)</f>
        <v>#REF!</v>
      </c>
      <c r="L6" s="37" t="e">
        <f>K6*$L$3</f>
        <v>#REF!</v>
      </c>
      <c r="M6" s="80" t="e">
        <f>SUM(G6:H6)*$M$3</f>
        <v>#REF!</v>
      </c>
    </row>
    <row r="7" spans="1:13">
      <c r="A7" s="78">
        <v>11603</v>
      </c>
      <c r="B7" s="37" t="e">
        <f>VLOOKUP($A7,#REF!,2,FALSE)</f>
        <v>#REF!</v>
      </c>
      <c r="C7" s="37" t="e">
        <f>VLOOKUP($A7,#REF!,3,FALSE)</f>
        <v>#REF!</v>
      </c>
      <c r="D7" s="37" t="e">
        <f>VLOOKUP($A7,#REF!,11,FALSE)</f>
        <v>#REF!</v>
      </c>
      <c r="E7" s="37" t="e">
        <f>D7*$E$3</f>
        <v>#REF!</v>
      </c>
      <c r="F7" s="37" t="e">
        <f>D7*$F$3</f>
        <v>#REF!</v>
      </c>
      <c r="G7" s="37" t="e">
        <f>VLOOKUP($A7,#REF!,8,FALSE)</f>
        <v>#REF!</v>
      </c>
      <c r="H7" s="37" t="e">
        <f>VLOOKUP($A7,#REF!,9,FALSE)</f>
        <v>#REF!</v>
      </c>
      <c r="I7" s="37" t="e">
        <f>IF(H7=0,G7*$I$3,0)</f>
        <v>#REF!</v>
      </c>
      <c r="J7" s="37" t="e">
        <f>IF(H7&gt;0,SUM(G7:H7)*$J$3,0)</f>
        <v>#REF!</v>
      </c>
      <c r="K7" s="37" t="e">
        <f>SUM(I7:J7)</f>
        <v>#REF!</v>
      </c>
      <c r="L7" s="37" t="e">
        <f>K7*$L$3</f>
        <v>#REF!</v>
      </c>
      <c r="M7" s="80" t="e">
        <f>SUM(G7:H7)*$M$3</f>
        <v>#REF!</v>
      </c>
    </row>
    <row r="8" spans="1:13" ht="15.75" thickBot="1">
      <c r="A8" s="79">
        <v>11617</v>
      </c>
      <c r="B8" s="43" t="e">
        <f>VLOOKUP($A8,#REF!,2,FALSE)</f>
        <v>#REF!</v>
      </c>
      <c r="C8" s="43" t="e">
        <f>VLOOKUP($A8,#REF!,3,FALSE)</f>
        <v>#REF!</v>
      </c>
      <c r="D8" s="43" t="e">
        <f>VLOOKUP($A8,#REF!,11,FALSE)</f>
        <v>#REF!</v>
      </c>
      <c r="E8" s="43" t="e">
        <f>D8*$E$3</f>
        <v>#REF!</v>
      </c>
      <c r="F8" s="43" t="e">
        <f>D8*$F$3</f>
        <v>#REF!</v>
      </c>
      <c r="G8" s="43" t="e">
        <f>VLOOKUP($A8,#REF!,8,FALSE)</f>
        <v>#REF!</v>
      </c>
      <c r="H8" s="43" t="e">
        <f>VLOOKUP($A8,#REF!,9,FALSE)</f>
        <v>#REF!</v>
      </c>
      <c r="I8" s="43" t="e">
        <f>IF(H8=0,G8*$I$3,0)</f>
        <v>#REF!</v>
      </c>
      <c r="J8" s="43" t="e">
        <f>IF(H8&gt;0,SUM(G8:H8)*$J$3,0)</f>
        <v>#REF!</v>
      </c>
      <c r="K8" s="43" t="e">
        <f>SUM(I8:J8)</f>
        <v>#REF!</v>
      </c>
      <c r="L8" s="43" t="e">
        <f>K8*$L$3</f>
        <v>#REF!</v>
      </c>
      <c r="M8" s="85" t="e">
        <f>SUM(G8:H8)*$M$3</f>
        <v>#REF!</v>
      </c>
    </row>
    <row r="10" spans="1:13">
      <c r="B10" s="39" t="s">
        <v>90</v>
      </c>
      <c r="C10" s="46" t="s">
        <v>58</v>
      </c>
      <c r="D10" s="29" t="e">
        <f t="shared" ref="D10:M10" si="0">SUM(D4:D8)</f>
        <v>#REF!</v>
      </c>
      <c r="E10" s="29" t="e">
        <f t="shared" si="0"/>
        <v>#REF!</v>
      </c>
      <c r="F10" s="29" t="e">
        <f t="shared" si="0"/>
        <v>#REF!</v>
      </c>
      <c r="G10" s="29" t="e">
        <f t="shared" si="0"/>
        <v>#REF!</v>
      </c>
      <c r="H10" s="29" t="e">
        <f t="shared" si="0"/>
        <v>#REF!</v>
      </c>
      <c r="I10" s="29" t="e">
        <f t="shared" si="0"/>
        <v>#REF!</v>
      </c>
      <c r="J10" s="29" t="e">
        <f t="shared" si="0"/>
        <v>#REF!</v>
      </c>
      <c r="K10" s="29" t="e">
        <f t="shared" si="0"/>
        <v>#REF!</v>
      </c>
      <c r="L10" s="29" t="e">
        <f t="shared" si="0"/>
        <v>#REF!</v>
      </c>
      <c r="M10" s="29" t="e">
        <f t="shared" si="0"/>
        <v>#REF!</v>
      </c>
    </row>
    <row r="11" spans="1:13">
      <c r="G11" s="29"/>
      <c r="H11" s="29"/>
      <c r="I11" s="29"/>
      <c r="J11" s="29"/>
      <c r="K11" s="29"/>
      <c r="L11" s="29"/>
      <c r="M11" s="29"/>
    </row>
    <row r="12" spans="1:13">
      <c r="B12" s="435">
        <f>M3</f>
        <v>3.0000000000000001E-3</v>
      </c>
      <c r="C12" s="436"/>
      <c r="D12" s="29" t="e">
        <f>M10</f>
        <v>#REF!</v>
      </c>
      <c r="G12" s="29"/>
      <c r="H12" s="29"/>
      <c r="I12" s="29"/>
      <c r="J12" s="29"/>
      <c r="K12" s="29"/>
      <c r="L12" s="29"/>
      <c r="M12" s="29"/>
    </row>
    <row r="13" spans="1:13" ht="15.75" thickBot="1">
      <c r="B13" s="399"/>
      <c r="C13" s="399"/>
      <c r="D13" s="42"/>
    </row>
    <row r="14" spans="1:13">
      <c r="B14" s="437" t="s">
        <v>84</v>
      </c>
      <c r="C14" s="437"/>
      <c r="D14" s="29" t="e">
        <f>SUM(D12:D13)</f>
        <v>#REF!</v>
      </c>
    </row>
    <row r="15" spans="1:13">
      <c r="G15" s="1" t="s">
        <v>45</v>
      </c>
      <c r="H15" s="40"/>
      <c r="I15" s="40"/>
      <c r="J15" s="7"/>
      <c r="K15" s="1" t="s">
        <v>46</v>
      </c>
      <c r="L15" s="45"/>
      <c r="M15" s="40"/>
    </row>
    <row r="16" spans="1:13">
      <c r="G16" s="7"/>
      <c r="H16" s="7"/>
      <c r="I16" s="7"/>
      <c r="J16" s="7"/>
      <c r="K16" s="1"/>
      <c r="L16" s="1"/>
      <c r="M16" s="7"/>
    </row>
    <row r="17" spans="3:13">
      <c r="C17" s="70"/>
      <c r="G17" s="1" t="s">
        <v>47</v>
      </c>
      <c r="H17" s="40"/>
      <c r="I17" s="40"/>
      <c r="J17" s="7"/>
      <c r="K17" s="1" t="s">
        <v>47</v>
      </c>
      <c r="L17" s="45"/>
      <c r="M17" s="40"/>
    </row>
  </sheetData>
  <mergeCells count="4">
    <mergeCell ref="A2:M2"/>
    <mergeCell ref="B12:C12"/>
    <mergeCell ref="B13:C13"/>
    <mergeCell ref="B14:C14"/>
  </mergeCells>
  <phoneticPr fontId="14" type="noConversion"/>
  <conditionalFormatting sqref="A4:A8">
    <cfRule type="duplicateValues" dxfId="0" priority="10"/>
  </conditionalFormatting>
  <pageMargins left="0.7" right="0.7" top="0.75" bottom="0.75" header="0.3" footer="0.3"/>
  <pageSetup scale="62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3">
    <tabColor rgb="FFFFC000"/>
    <pageSetUpPr fitToPage="1"/>
  </sheetPr>
  <dimension ref="A1:M15"/>
  <sheetViews>
    <sheetView zoomScaleNormal="100" workbookViewId="0">
      <selection activeCell="B5" sqref="B5"/>
    </sheetView>
  </sheetViews>
  <sheetFormatPr defaultRowHeight="15"/>
  <cols>
    <col min="1" max="1" width="12.42578125" style="37" customWidth="1"/>
    <col min="2" max="2" width="16.5703125" style="37" bestFit="1" customWidth="1"/>
    <col min="3" max="3" width="25" style="37" bestFit="1" customWidth="1"/>
    <col min="4" max="4" width="16.42578125" style="37" bestFit="1" customWidth="1"/>
    <col min="5" max="5" width="12" style="37" bestFit="1" customWidth="1"/>
    <col min="6" max="6" width="13.140625" style="37" bestFit="1" customWidth="1"/>
    <col min="7" max="7" width="16.140625" style="37" bestFit="1" customWidth="1"/>
    <col min="8" max="8" width="16.42578125" style="37" bestFit="1" customWidth="1"/>
    <col min="9" max="10" width="10.28515625" style="37" bestFit="1" customWidth="1"/>
    <col min="11" max="11" width="13.42578125" style="37" bestFit="1" customWidth="1"/>
    <col min="12" max="12" width="20.42578125" style="37" bestFit="1" customWidth="1"/>
    <col min="13" max="13" width="12.42578125" style="37" bestFit="1" customWidth="1"/>
    <col min="14" max="16384" width="9.140625" style="37"/>
  </cols>
  <sheetData>
    <row r="1" spans="1:13" ht="15.75" thickBot="1">
      <c r="E1" s="39"/>
      <c r="F1" s="39"/>
    </row>
    <row r="2" spans="1:13" ht="19.5" thickBot="1">
      <c r="A2" s="396" t="s">
        <v>87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</row>
    <row r="3" spans="1:13" ht="30.75" customHeight="1">
      <c r="A3" s="72" t="s">
        <v>75</v>
      </c>
      <c r="B3" s="73" t="s">
        <v>74</v>
      </c>
      <c r="C3" s="73" t="s">
        <v>76</v>
      </c>
      <c r="D3" s="73" t="s">
        <v>73</v>
      </c>
      <c r="E3" s="74">
        <v>0</v>
      </c>
      <c r="F3" s="81">
        <f>-100%-E3</f>
        <v>-1</v>
      </c>
      <c r="G3" s="73" t="s">
        <v>71</v>
      </c>
      <c r="H3" s="73" t="s">
        <v>72</v>
      </c>
      <c r="I3" s="75">
        <v>1.7999999999999999E-2</v>
      </c>
      <c r="J3" s="76">
        <v>1.4999999999999999E-2</v>
      </c>
      <c r="K3" s="77" t="s">
        <v>57</v>
      </c>
      <c r="L3" s="82">
        <f>E3</f>
        <v>0</v>
      </c>
      <c r="M3" s="83">
        <v>1E-3</v>
      </c>
    </row>
    <row r="4" spans="1:13">
      <c r="A4" s="78">
        <v>11794</v>
      </c>
      <c r="B4" s="37" t="e">
        <f>VLOOKUP($A4,#REF!,2,FALSE)</f>
        <v>#REF!</v>
      </c>
      <c r="C4" s="37" t="e">
        <f>VLOOKUP($A4,#REF!,3,FALSE)</f>
        <v>#REF!</v>
      </c>
      <c r="D4" s="37" t="e">
        <f>VLOOKUP($A4,#REF!,11,FALSE)</f>
        <v>#REF!</v>
      </c>
      <c r="E4" s="37" t="e">
        <f>D4*$E$3</f>
        <v>#REF!</v>
      </c>
      <c r="F4" s="37" t="e">
        <f>D4*$F$3</f>
        <v>#REF!</v>
      </c>
      <c r="G4" s="37" t="e">
        <f>VLOOKUP($A4,#REF!,8,FALSE)</f>
        <v>#REF!</v>
      </c>
      <c r="H4" s="37" t="e">
        <f>VLOOKUP($A4,#REF!,9,FALSE)</f>
        <v>#REF!</v>
      </c>
      <c r="I4" s="37" t="e">
        <f>IF(H4=0,G4*$I$3,0)</f>
        <v>#REF!</v>
      </c>
      <c r="J4" s="37" t="e">
        <f>IF(H4&gt;0,SUM(G4:H4)*$J$3,0)</f>
        <v>#REF!</v>
      </c>
      <c r="K4" s="37" t="e">
        <f>SUM(I4:J4)</f>
        <v>#REF!</v>
      </c>
      <c r="L4" s="37" t="e">
        <f>K4*$L$3</f>
        <v>#REF!</v>
      </c>
      <c r="M4" s="80" t="e">
        <f>SUM(G4:H4)*$M$3</f>
        <v>#REF!</v>
      </c>
    </row>
    <row r="5" spans="1:13">
      <c r="A5" s="84">
        <v>11867</v>
      </c>
      <c r="B5" s="37" t="e">
        <f>VLOOKUP($A5,#REF!,2,FALSE)</f>
        <v>#REF!</v>
      </c>
      <c r="C5" s="37" t="e">
        <f>VLOOKUP($A5,#REF!,3,FALSE)</f>
        <v>#REF!</v>
      </c>
      <c r="D5" s="37" t="e">
        <f>VLOOKUP($A5,#REF!,11,FALSE)</f>
        <v>#REF!</v>
      </c>
      <c r="E5" s="37" t="e">
        <f>D5*$E$3</f>
        <v>#REF!</v>
      </c>
      <c r="F5" s="37" t="e">
        <f>D5*$F$3</f>
        <v>#REF!</v>
      </c>
      <c r="G5" s="37" t="e">
        <f>VLOOKUP($A5,#REF!,8,FALSE)</f>
        <v>#REF!</v>
      </c>
      <c r="H5" s="37" t="e">
        <f>VLOOKUP($A5,#REF!,9,FALSE)</f>
        <v>#REF!</v>
      </c>
      <c r="I5" s="37" t="e">
        <f>IF(H5=0,G5*$I$3,0)</f>
        <v>#REF!</v>
      </c>
      <c r="J5" s="37" t="e">
        <f>IF(H5&gt;0,SUM(G5:H5)*$J$3,0)</f>
        <v>#REF!</v>
      </c>
      <c r="K5" s="37" t="e">
        <f>SUM(I5:J5)</f>
        <v>#REF!</v>
      </c>
      <c r="L5" s="37" t="e">
        <f>K5*$L$3</f>
        <v>#REF!</v>
      </c>
      <c r="M5" s="80" t="e">
        <f>SUM(G5:H5)*$M$3</f>
        <v>#REF!</v>
      </c>
    </row>
    <row r="6" spans="1:13" ht="15.75" thickBot="1">
      <c r="A6" s="79">
        <v>12039</v>
      </c>
      <c r="B6" s="43" t="e">
        <f>VLOOKUP($A6,#REF!,2,FALSE)</f>
        <v>#REF!</v>
      </c>
      <c r="C6" s="43" t="e">
        <f>VLOOKUP($A6,#REF!,3,FALSE)</f>
        <v>#REF!</v>
      </c>
      <c r="D6" s="43" t="e">
        <f>VLOOKUP($A6,#REF!,11,FALSE)</f>
        <v>#REF!</v>
      </c>
      <c r="E6" s="43" t="e">
        <f>D6*$E$3</f>
        <v>#REF!</v>
      </c>
      <c r="F6" s="43" t="e">
        <f>D6*$F$3</f>
        <v>#REF!</v>
      </c>
      <c r="G6" s="43" t="e">
        <f>VLOOKUP($A6,#REF!,8,FALSE)</f>
        <v>#REF!</v>
      </c>
      <c r="H6" s="43" t="e">
        <f>VLOOKUP($A6,#REF!,9,FALSE)</f>
        <v>#REF!</v>
      </c>
      <c r="I6" s="43" t="e">
        <f>IF(H6=0,G6*$I$3,0)</f>
        <v>#REF!</v>
      </c>
      <c r="J6" s="43" t="e">
        <f>IF(H6&gt;0,SUM(G6:H6)*$J$3,0)</f>
        <v>#REF!</v>
      </c>
      <c r="K6" s="43" t="e">
        <f>SUM(I6:J6)</f>
        <v>#REF!</v>
      </c>
      <c r="L6" s="43" t="e">
        <f>K6*$L$3</f>
        <v>#REF!</v>
      </c>
      <c r="M6" s="85" t="e">
        <f>SUM(G6:H6)*$M$3</f>
        <v>#REF!</v>
      </c>
    </row>
    <row r="8" spans="1:13">
      <c r="B8" s="39" t="s">
        <v>85</v>
      </c>
      <c r="C8" s="46" t="s">
        <v>58</v>
      </c>
      <c r="D8" s="29" t="e">
        <f t="shared" ref="D8:M8" si="0">SUM(D4:D6)</f>
        <v>#REF!</v>
      </c>
      <c r="E8" s="29" t="e">
        <f t="shared" si="0"/>
        <v>#REF!</v>
      </c>
      <c r="F8" s="29" t="e">
        <f t="shared" si="0"/>
        <v>#REF!</v>
      </c>
      <c r="G8" s="29" t="e">
        <f t="shared" si="0"/>
        <v>#REF!</v>
      </c>
      <c r="H8" s="29" t="e">
        <f t="shared" si="0"/>
        <v>#REF!</v>
      </c>
      <c r="I8" s="29" t="e">
        <f t="shared" si="0"/>
        <v>#REF!</v>
      </c>
      <c r="J8" s="29" t="e">
        <f t="shared" si="0"/>
        <v>#REF!</v>
      </c>
      <c r="K8" s="29" t="e">
        <f t="shared" si="0"/>
        <v>#REF!</v>
      </c>
      <c r="L8" s="29" t="e">
        <f t="shared" si="0"/>
        <v>#REF!</v>
      </c>
      <c r="M8" s="29" t="e">
        <f t="shared" si="0"/>
        <v>#REF!</v>
      </c>
    </row>
    <row r="9" spans="1:13">
      <c r="G9" s="29"/>
      <c r="H9" s="29"/>
      <c r="I9" s="29"/>
      <c r="J9" s="29"/>
      <c r="K9" s="29"/>
      <c r="L9" s="29"/>
      <c r="M9" s="29"/>
    </row>
    <row r="10" spans="1:13">
      <c r="B10" s="435">
        <f>M3</f>
        <v>1E-3</v>
      </c>
      <c r="C10" s="436"/>
      <c r="D10" s="29" t="e">
        <f>M8</f>
        <v>#REF!</v>
      </c>
      <c r="G10" s="29"/>
      <c r="H10" s="29"/>
      <c r="I10" s="29"/>
      <c r="J10" s="29"/>
      <c r="K10" s="29"/>
      <c r="L10" s="29"/>
      <c r="M10" s="29"/>
    </row>
    <row r="11" spans="1:13" ht="15.75" thickBot="1">
      <c r="B11" s="399"/>
      <c r="C11" s="399"/>
      <c r="D11" s="42"/>
    </row>
    <row r="12" spans="1:13">
      <c r="B12" s="437" t="s">
        <v>84</v>
      </c>
      <c r="C12" s="437"/>
      <c r="D12" s="29" t="e">
        <f>SUM(D10:D11)</f>
        <v>#REF!</v>
      </c>
    </row>
    <row r="13" spans="1:13">
      <c r="G13" s="1" t="s">
        <v>45</v>
      </c>
      <c r="H13" s="40"/>
      <c r="I13" s="40"/>
      <c r="J13" s="7"/>
      <c r="K13" s="1" t="s">
        <v>46</v>
      </c>
      <c r="L13" s="45"/>
      <c r="M13" s="40"/>
    </row>
    <row r="14" spans="1:13">
      <c r="G14" s="7"/>
      <c r="H14" s="7"/>
      <c r="I14" s="7"/>
      <c r="J14" s="7"/>
      <c r="K14" s="1"/>
      <c r="L14" s="1"/>
      <c r="M14" s="7"/>
    </row>
    <row r="15" spans="1:13">
      <c r="C15" s="70"/>
      <c r="G15" s="1" t="s">
        <v>47</v>
      </c>
      <c r="H15" s="40"/>
      <c r="I15" s="40"/>
      <c r="J15" s="7"/>
      <c r="K15" s="1" t="s">
        <v>47</v>
      </c>
      <c r="L15" s="45"/>
      <c r="M15" s="40"/>
    </row>
  </sheetData>
  <mergeCells count="4">
    <mergeCell ref="A2:M2"/>
    <mergeCell ref="B10:C10"/>
    <mergeCell ref="B11:C11"/>
    <mergeCell ref="B12:C12"/>
  </mergeCells>
  <phoneticPr fontId="14" type="noConversion"/>
  <printOptions horizontalCentered="1" verticalCentered="1"/>
  <pageMargins left="0" right="0" top="0" bottom="2.3228346456692917" header="0" footer="0"/>
  <pageSetup scale="7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N49"/>
  <sheetViews>
    <sheetView topLeftCell="A19" workbookViewId="0">
      <selection activeCell="D45" sqref="D45"/>
    </sheetView>
  </sheetViews>
  <sheetFormatPr defaultRowHeight="15"/>
  <cols>
    <col min="1" max="2" width="12.42578125" style="37" customWidth="1"/>
    <col min="3" max="3" width="22.5703125" style="37" bestFit="1" customWidth="1"/>
    <col min="4" max="11" width="12.42578125" style="37" customWidth="1"/>
    <col min="12" max="12" width="17" style="37" bestFit="1" customWidth="1"/>
    <col min="13" max="13" width="14.7109375" style="37" bestFit="1" customWidth="1"/>
    <col min="14" max="14" width="16" style="37" bestFit="1" customWidth="1"/>
    <col min="15" max="16384" width="9.140625" style="37"/>
  </cols>
  <sheetData>
    <row r="2" spans="1:14" ht="30.75" customHeight="1">
      <c r="A2" s="30" t="s">
        <v>33</v>
      </c>
      <c r="B2" s="36" t="s">
        <v>1</v>
      </c>
      <c r="C2" s="36" t="s">
        <v>32</v>
      </c>
      <c r="D2" s="36" t="s">
        <v>31</v>
      </c>
      <c r="E2" s="31">
        <v>0.3</v>
      </c>
      <c r="F2" s="31">
        <v>0.7</v>
      </c>
      <c r="G2" s="36" t="s">
        <v>30</v>
      </c>
      <c r="H2" s="36" t="s">
        <v>29</v>
      </c>
      <c r="I2" s="32">
        <v>0.02</v>
      </c>
      <c r="J2" s="32">
        <v>1.7000000000000001E-2</v>
      </c>
      <c r="K2" s="30" t="s">
        <v>48</v>
      </c>
      <c r="L2" s="33">
        <f>70%-30%</f>
        <v>0.39999999999999997</v>
      </c>
      <c r="M2" s="34">
        <v>3.0000000000000001E-3</v>
      </c>
      <c r="N2" s="35">
        <f>(70%-30%)</f>
        <v>0.39999999999999997</v>
      </c>
    </row>
    <row r="44" spans="2:14">
      <c r="D44" s="29">
        <f>SUM(D3:D42)</f>
        <v>0</v>
      </c>
      <c r="E44" s="29">
        <f t="shared" ref="E44:M44" si="0">SUM(E3:E42)</f>
        <v>0</v>
      </c>
      <c r="F44" s="29">
        <f t="shared" si="0"/>
        <v>0</v>
      </c>
      <c r="G44" s="29">
        <f t="shared" si="0"/>
        <v>0</v>
      </c>
      <c r="H44" s="29">
        <f t="shared" si="0"/>
        <v>0</v>
      </c>
      <c r="I44" s="29">
        <f t="shared" si="0"/>
        <v>0</v>
      </c>
      <c r="J44" s="29">
        <f t="shared" si="0"/>
        <v>0</v>
      </c>
      <c r="K44" s="29">
        <f t="shared" si="0"/>
        <v>0</v>
      </c>
      <c r="L44" s="29">
        <f t="shared" si="0"/>
        <v>0</v>
      </c>
      <c r="M44" s="29">
        <f t="shared" si="0"/>
        <v>0</v>
      </c>
      <c r="N44" s="29">
        <f>SUM(N3:N42)</f>
        <v>0</v>
      </c>
    </row>
    <row r="46" spans="2:14">
      <c r="B46" s="393" t="s">
        <v>49</v>
      </c>
      <c r="C46" s="393"/>
      <c r="D46" s="29">
        <f>-E44</f>
        <v>0</v>
      </c>
    </row>
    <row r="47" spans="2:14" ht="15.75" thickBot="1">
      <c r="B47" s="394">
        <v>0.39999999999999997</v>
      </c>
      <c r="C47" s="394"/>
      <c r="D47" s="29">
        <f>-L44</f>
        <v>0</v>
      </c>
      <c r="G47" s="1" t="s">
        <v>45</v>
      </c>
      <c r="H47" s="13"/>
      <c r="I47" s="7"/>
      <c r="J47" s="7"/>
      <c r="K47" s="1"/>
      <c r="L47" s="1" t="s">
        <v>46</v>
      </c>
      <c r="M47" s="13"/>
    </row>
    <row r="48" spans="2:14">
      <c r="B48" s="395" t="s">
        <v>50</v>
      </c>
      <c r="C48" s="395"/>
      <c r="D48" s="29">
        <f>N44</f>
        <v>0</v>
      </c>
      <c r="G48" s="7"/>
      <c r="H48" s="7"/>
      <c r="I48" s="7"/>
      <c r="J48" s="7"/>
      <c r="K48" s="7"/>
      <c r="L48" s="1"/>
      <c r="M48" s="7"/>
    </row>
    <row r="49" spans="2:13" ht="15.75" thickBot="1">
      <c r="B49" s="395" t="s">
        <v>51</v>
      </c>
      <c r="C49" s="395"/>
      <c r="D49" s="29">
        <f>SUM(D46:D48)</f>
        <v>0</v>
      </c>
      <c r="G49" s="1" t="s">
        <v>47</v>
      </c>
      <c r="H49" s="13"/>
      <c r="I49" s="7"/>
      <c r="J49" s="7"/>
      <c r="K49" s="7"/>
      <c r="L49" s="1" t="s">
        <v>47</v>
      </c>
      <c r="M49" s="13"/>
    </row>
  </sheetData>
  <mergeCells count="4">
    <mergeCell ref="B46:C46"/>
    <mergeCell ref="B47:C47"/>
    <mergeCell ref="B48:C48"/>
    <mergeCell ref="B49:C49"/>
  </mergeCells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C000"/>
    <pageSetUpPr fitToPage="1"/>
  </sheetPr>
  <dimension ref="A1:N19"/>
  <sheetViews>
    <sheetView workbookViewId="0">
      <selection activeCell="J8" sqref="J8"/>
    </sheetView>
  </sheetViews>
  <sheetFormatPr defaultRowHeight="15"/>
  <cols>
    <col min="1" max="1" width="12.42578125" style="37" customWidth="1"/>
    <col min="2" max="2" width="16.5703125" style="37" bestFit="1" customWidth="1"/>
    <col min="3" max="3" width="25" style="37" bestFit="1" customWidth="1"/>
    <col min="4" max="4" width="15.42578125" style="37" customWidth="1"/>
    <col min="5" max="6" width="12.42578125" style="37" customWidth="1"/>
    <col min="7" max="7" width="16.140625" style="37" bestFit="1" customWidth="1"/>
    <col min="8" max="8" width="12.85546875" style="37" bestFit="1" customWidth="1"/>
    <col min="9" max="10" width="12.42578125" style="37" customWidth="1"/>
    <col min="11" max="11" width="13.42578125" style="37" bestFit="1" customWidth="1"/>
    <col min="12" max="12" width="17" style="37" hidden="1" customWidth="1"/>
    <col min="13" max="13" width="10.28515625" style="37" bestFit="1" customWidth="1"/>
    <col min="14" max="14" width="16.28515625" style="37" bestFit="1" customWidth="1"/>
    <col min="15" max="16384" width="9.140625" style="37"/>
  </cols>
  <sheetData>
    <row r="1" spans="1:14" ht="15.75" thickBot="1">
      <c r="E1" s="39"/>
      <c r="F1" s="39"/>
    </row>
    <row r="2" spans="1:14" ht="19.5" thickBot="1">
      <c r="A2" s="396" t="s">
        <v>70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8"/>
    </row>
    <row r="3" spans="1:14" ht="30.75" customHeight="1">
      <c r="A3" s="47" t="s">
        <v>53</v>
      </c>
      <c r="B3" s="48" t="s">
        <v>62</v>
      </c>
      <c r="C3" s="48" t="s">
        <v>52</v>
      </c>
      <c r="D3" s="49" t="s">
        <v>54</v>
      </c>
      <c r="E3" s="50">
        <v>0.3</v>
      </c>
      <c r="F3" s="50">
        <v>0.7</v>
      </c>
      <c r="G3" s="49" t="s">
        <v>55</v>
      </c>
      <c r="H3" s="49" t="s">
        <v>56</v>
      </c>
      <c r="I3" s="51">
        <v>1.7999999999999999E-2</v>
      </c>
      <c r="J3" s="51">
        <v>1.4999999999999999E-2</v>
      </c>
      <c r="K3" s="47" t="s">
        <v>57</v>
      </c>
      <c r="L3" s="52">
        <f>70%-70%</f>
        <v>0</v>
      </c>
      <c r="M3" s="55">
        <v>1E-3</v>
      </c>
      <c r="N3" s="53">
        <f>100%</f>
        <v>1</v>
      </c>
    </row>
    <row r="4" spans="1:14">
      <c r="A4" s="38">
        <v>11791</v>
      </c>
      <c r="B4" s="37" t="e">
        <f>VLOOKUP($A4,#REF!,2,FALSE)</f>
        <v>#REF!</v>
      </c>
      <c r="C4" s="37" t="e">
        <f>VLOOKUP($A4,#REF!,3,FALSE)</f>
        <v>#REF!</v>
      </c>
      <c r="D4" s="37" t="e">
        <f>VLOOKUP($A4,#REF!,6,FALSE)</f>
        <v>#REF!</v>
      </c>
      <c r="E4" s="37" t="e">
        <f t="shared" ref="E4:E9" si="0">D4*$E$3</f>
        <v>#REF!</v>
      </c>
      <c r="F4" s="37" t="e">
        <f t="shared" ref="F4:F9" si="1">D4*$F$3</f>
        <v>#REF!</v>
      </c>
      <c r="G4" s="37" t="e">
        <f>VLOOKUP($A4,#REF!,9,FALSE)</f>
        <v>#REF!</v>
      </c>
      <c r="H4" s="37" t="e">
        <f>VLOOKUP($A4,#REF!,10,FALSE)</f>
        <v>#REF!</v>
      </c>
      <c r="I4" s="37" t="e">
        <f t="shared" ref="I4:I9" si="2">IF(H4=0,G4*$I$3,0)</f>
        <v>#REF!</v>
      </c>
      <c r="J4" s="37" t="e">
        <f t="shared" ref="J4:J9" si="3">IF(H4&gt;0,SUM(G4:H4)*$J$3,0)</f>
        <v>#REF!</v>
      </c>
      <c r="K4" s="37" t="e">
        <f t="shared" ref="K4:K9" si="4">SUM(I4:J4)</f>
        <v>#REF!</v>
      </c>
      <c r="L4" s="37" t="e">
        <f t="shared" ref="L4:L9" si="5">K4*$L$3</f>
        <v>#REF!</v>
      </c>
      <c r="M4" s="37" t="e">
        <f t="shared" ref="M4:M9" si="6">SUM(G4:H4)*$M$3</f>
        <v>#REF!</v>
      </c>
      <c r="N4" s="37" t="e">
        <f t="shared" ref="N4:N9" si="7">M4*$N$3</f>
        <v>#REF!</v>
      </c>
    </row>
    <row r="5" spans="1:14">
      <c r="A5" s="38">
        <v>11832</v>
      </c>
      <c r="B5" s="37" t="e">
        <f>VLOOKUP($A5,#REF!,2,FALSE)</f>
        <v>#REF!</v>
      </c>
      <c r="C5" s="37" t="e">
        <f>VLOOKUP($A5,#REF!,3,FALSE)</f>
        <v>#REF!</v>
      </c>
      <c r="D5" s="37" t="e">
        <f>VLOOKUP($A5,#REF!,6,FALSE)</f>
        <v>#REF!</v>
      </c>
      <c r="E5" s="37" t="e">
        <f t="shared" si="0"/>
        <v>#REF!</v>
      </c>
      <c r="F5" s="37" t="e">
        <f t="shared" si="1"/>
        <v>#REF!</v>
      </c>
      <c r="G5" s="37" t="e">
        <f>VLOOKUP($A5,#REF!,9,FALSE)</f>
        <v>#REF!</v>
      </c>
      <c r="H5" s="37" t="e">
        <f>VLOOKUP($A5,#REF!,10,FALSE)</f>
        <v>#REF!</v>
      </c>
      <c r="I5" s="37" t="e">
        <f t="shared" si="2"/>
        <v>#REF!</v>
      </c>
      <c r="J5" s="37" t="e">
        <f t="shared" si="3"/>
        <v>#REF!</v>
      </c>
      <c r="K5" s="37" t="e">
        <f t="shared" si="4"/>
        <v>#REF!</v>
      </c>
      <c r="L5" s="37" t="e">
        <f t="shared" si="5"/>
        <v>#REF!</v>
      </c>
      <c r="M5" s="37" t="e">
        <f t="shared" si="6"/>
        <v>#REF!</v>
      </c>
      <c r="N5" s="37" t="e">
        <f t="shared" si="7"/>
        <v>#REF!</v>
      </c>
    </row>
    <row r="6" spans="1:14">
      <c r="A6" s="38">
        <v>11855</v>
      </c>
      <c r="B6" s="37" t="e">
        <f>VLOOKUP($A6,#REF!,2,FALSE)</f>
        <v>#REF!</v>
      </c>
      <c r="C6" s="37" t="e">
        <f>VLOOKUP($A6,#REF!,3,FALSE)</f>
        <v>#REF!</v>
      </c>
      <c r="D6" s="37" t="e">
        <f>VLOOKUP($A6,#REF!,6,FALSE)</f>
        <v>#REF!</v>
      </c>
      <c r="E6" s="37" t="e">
        <f t="shared" si="0"/>
        <v>#REF!</v>
      </c>
      <c r="F6" s="37" t="e">
        <f t="shared" si="1"/>
        <v>#REF!</v>
      </c>
      <c r="G6" s="37" t="e">
        <f>VLOOKUP($A6,#REF!,9,FALSE)</f>
        <v>#REF!</v>
      </c>
      <c r="H6" s="37" t="e">
        <f>VLOOKUP($A6,#REF!,10,FALSE)</f>
        <v>#REF!</v>
      </c>
      <c r="I6" s="37" t="e">
        <f t="shared" si="2"/>
        <v>#REF!</v>
      </c>
      <c r="J6" s="37" t="e">
        <f t="shared" si="3"/>
        <v>#REF!</v>
      </c>
      <c r="K6" s="37" t="e">
        <f t="shared" si="4"/>
        <v>#REF!</v>
      </c>
      <c r="L6" s="37" t="e">
        <f t="shared" si="5"/>
        <v>#REF!</v>
      </c>
      <c r="M6" s="37" t="e">
        <f t="shared" si="6"/>
        <v>#REF!</v>
      </c>
      <c r="N6" s="37" t="e">
        <f t="shared" si="7"/>
        <v>#REF!</v>
      </c>
    </row>
    <row r="7" spans="1:14">
      <c r="A7" s="38">
        <v>11861</v>
      </c>
      <c r="B7" s="37" t="e">
        <f>VLOOKUP($A7,#REF!,2,FALSE)</f>
        <v>#REF!</v>
      </c>
      <c r="C7" s="37" t="e">
        <f>VLOOKUP($A7,#REF!,3,FALSE)</f>
        <v>#REF!</v>
      </c>
      <c r="D7" s="37" t="e">
        <f>VLOOKUP($A7,#REF!,6,FALSE)</f>
        <v>#REF!</v>
      </c>
      <c r="E7" s="37" t="e">
        <f t="shared" si="0"/>
        <v>#REF!</v>
      </c>
      <c r="F7" s="37" t="e">
        <f t="shared" si="1"/>
        <v>#REF!</v>
      </c>
      <c r="G7" s="37" t="e">
        <f>VLOOKUP($A7,#REF!,9,FALSE)</f>
        <v>#REF!</v>
      </c>
      <c r="H7" s="37" t="e">
        <f>VLOOKUP($A7,#REF!,10,FALSE)</f>
        <v>#REF!</v>
      </c>
      <c r="I7" s="37" t="e">
        <f t="shared" si="2"/>
        <v>#REF!</v>
      </c>
      <c r="J7" s="37" t="e">
        <f t="shared" si="3"/>
        <v>#REF!</v>
      </c>
      <c r="K7" s="37" t="e">
        <f t="shared" si="4"/>
        <v>#REF!</v>
      </c>
      <c r="L7" s="37" t="e">
        <f t="shared" si="5"/>
        <v>#REF!</v>
      </c>
      <c r="M7" s="37" t="e">
        <f t="shared" si="6"/>
        <v>#REF!</v>
      </c>
      <c r="N7" s="37" t="e">
        <f t="shared" si="7"/>
        <v>#REF!</v>
      </c>
    </row>
    <row r="8" spans="1:14">
      <c r="A8" s="38">
        <v>11867</v>
      </c>
      <c r="B8" s="37" t="e">
        <f>VLOOKUP($A8,#REF!,2,FALSE)</f>
        <v>#REF!</v>
      </c>
      <c r="C8" s="37" t="e">
        <f>VLOOKUP($A8,#REF!,3,FALSE)</f>
        <v>#REF!</v>
      </c>
      <c r="D8" s="37" t="e">
        <f>VLOOKUP($A8,#REF!,6,FALSE)</f>
        <v>#REF!</v>
      </c>
      <c r="E8" s="37" t="e">
        <f t="shared" si="0"/>
        <v>#REF!</v>
      </c>
      <c r="F8" s="37" t="e">
        <f t="shared" si="1"/>
        <v>#REF!</v>
      </c>
      <c r="G8" s="37" t="e">
        <f>VLOOKUP($A8,#REF!,9,FALSE)</f>
        <v>#REF!</v>
      </c>
      <c r="H8" s="37" t="e">
        <f>VLOOKUP($A8,#REF!,10,FALSE)</f>
        <v>#REF!</v>
      </c>
      <c r="I8" s="37" t="e">
        <f t="shared" si="2"/>
        <v>#REF!</v>
      </c>
      <c r="J8" s="37" t="e">
        <f t="shared" si="3"/>
        <v>#REF!</v>
      </c>
      <c r="K8" s="37" t="e">
        <f t="shared" si="4"/>
        <v>#REF!</v>
      </c>
      <c r="L8" s="37" t="e">
        <f t="shared" si="5"/>
        <v>#REF!</v>
      </c>
      <c r="M8" s="37" t="e">
        <f t="shared" si="6"/>
        <v>#REF!</v>
      </c>
      <c r="N8" s="37" t="e">
        <f t="shared" si="7"/>
        <v>#REF!</v>
      </c>
    </row>
    <row r="9" spans="1:14" ht="15.75" thickBot="1">
      <c r="A9" s="44">
        <v>11879</v>
      </c>
      <c r="B9" s="43" t="e">
        <f>VLOOKUP($A9,#REF!,2,FALSE)</f>
        <v>#REF!</v>
      </c>
      <c r="C9" s="43" t="e">
        <f>VLOOKUP($A9,#REF!,3,FALSE)</f>
        <v>#REF!</v>
      </c>
      <c r="D9" s="43" t="e">
        <f>VLOOKUP($A9,#REF!,6,FALSE)</f>
        <v>#REF!</v>
      </c>
      <c r="E9" s="43" t="e">
        <f t="shared" si="0"/>
        <v>#REF!</v>
      </c>
      <c r="F9" s="43" t="e">
        <f t="shared" si="1"/>
        <v>#REF!</v>
      </c>
      <c r="G9" s="43" t="e">
        <f>VLOOKUP($A9,#REF!,9,FALSE)</f>
        <v>#REF!</v>
      </c>
      <c r="H9" s="43" t="e">
        <f>VLOOKUP($A9,#REF!,10,FALSE)</f>
        <v>#REF!</v>
      </c>
      <c r="I9" s="43" t="e">
        <f t="shared" si="2"/>
        <v>#REF!</v>
      </c>
      <c r="J9" s="43" t="e">
        <f t="shared" si="3"/>
        <v>#REF!</v>
      </c>
      <c r="K9" s="43" t="e">
        <f t="shared" si="4"/>
        <v>#REF!</v>
      </c>
      <c r="L9" s="43" t="e">
        <f t="shared" si="5"/>
        <v>#REF!</v>
      </c>
      <c r="M9" s="43" t="e">
        <f t="shared" si="6"/>
        <v>#REF!</v>
      </c>
      <c r="N9" s="43" t="e">
        <f t="shared" si="7"/>
        <v>#REF!</v>
      </c>
    </row>
    <row r="11" spans="1:14">
      <c r="C11" s="46" t="s">
        <v>58</v>
      </c>
      <c r="D11" s="29" t="e">
        <f t="shared" ref="D11:L11" si="8">SUM(D4:D9)</f>
        <v>#REF!</v>
      </c>
      <c r="E11" s="29" t="e">
        <f t="shared" si="8"/>
        <v>#REF!</v>
      </c>
      <c r="F11" s="29" t="e">
        <f t="shared" si="8"/>
        <v>#REF!</v>
      </c>
      <c r="G11" s="29" t="e">
        <f t="shared" si="8"/>
        <v>#REF!</v>
      </c>
      <c r="H11" s="29" t="e">
        <f t="shared" si="8"/>
        <v>#REF!</v>
      </c>
      <c r="I11" s="29" t="e">
        <f t="shared" si="8"/>
        <v>#REF!</v>
      </c>
      <c r="J11" s="29" t="e">
        <f t="shared" si="8"/>
        <v>#REF!</v>
      </c>
      <c r="K11" s="29" t="e">
        <f>-SUM(K4:K9)</f>
        <v>#REF!</v>
      </c>
      <c r="L11" s="29" t="e">
        <f t="shared" si="8"/>
        <v>#REF!</v>
      </c>
      <c r="M11" s="29" t="e">
        <f>-SUM(M4:M9)</f>
        <v>#REF!</v>
      </c>
      <c r="N11" s="29" t="e">
        <f>-SUM(N4:N9)</f>
        <v>#REF!</v>
      </c>
    </row>
    <row r="12" spans="1:14">
      <c r="G12" s="29"/>
      <c r="H12" s="29"/>
      <c r="I12" s="29"/>
      <c r="J12" s="29"/>
      <c r="K12" s="29"/>
      <c r="L12" s="29"/>
      <c r="M12" s="29"/>
      <c r="N12" s="29"/>
    </row>
    <row r="13" spans="1:14">
      <c r="B13" s="393" t="s">
        <v>67</v>
      </c>
      <c r="C13" s="393"/>
      <c r="D13" s="29" t="e">
        <f>-F11</f>
        <v>#REF!</v>
      </c>
      <c r="G13" s="29"/>
      <c r="H13" s="29"/>
      <c r="I13" s="29"/>
      <c r="J13" s="29"/>
      <c r="K13" s="29"/>
      <c r="L13" s="29"/>
      <c r="M13" s="29"/>
      <c r="N13" s="29"/>
    </row>
    <row r="14" spans="1:14">
      <c r="B14" s="394">
        <v>0.3</v>
      </c>
      <c r="C14" s="394"/>
      <c r="D14" s="29" t="e">
        <f>-K11</f>
        <v>#REF!</v>
      </c>
      <c r="G14" s="29"/>
      <c r="H14" s="29"/>
      <c r="I14" s="29"/>
      <c r="J14" s="29"/>
      <c r="K14" s="29"/>
      <c r="L14" s="29"/>
      <c r="M14" s="29"/>
      <c r="N14" s="29"/>
    </row>
    <row r="15" spans="1:14" ht="15.75" thickBot="1">
      <c r="B15" s="399" t="s">
        <v>68</v>
      </c>
      <c r="C15" s="399"/>
      <c r="D15" s="42" t="e">
        <f>N11</f>
        <v>#REF!</v>
      </c>
    </row>
    <row r="16" spans="1:14">
      <c r="B16" s="395" t="s">
        <v>69</v>
      </c>
      <c r="C16" s="395"/>
      <c r="D16" s="29" t="e">
        <f>SUM(D13:D15)</f>
        <v>#REF!</v>
      </c>
    </row>
    <row r="17" spans="7:14">
      <c r="G17" s="1" t="s">
        <v>45</v>
      </c>
      <c r="H17" s="40"/>
      <c r="I17" s="40"/>
      <c r="J17" s="7"/>
      <c r="K17" s="1" t="s">
        <v>46</v>
      </c>
      <c r="L17" s="45"/>
      <c r="M17" s="40"/>
      <c r="N17" s="41"/>
    </row>
    <row r="18" spans="7:14">
      <c r="G18" s="7"/>
      <c r="H18" s="7"/>
      <c r="I18" s="7"/>
      <c r="J18" s="7"/>
      <c r="K18" s="1"/>
      <c r="L18" s="1"/>
      <c r="M18" s="7"/>
    </row>
    <row r="19" spans="7:14">
      <c r="G19" s="1" t="s">
        <v>47</v>
      </c>
      <c r="H19" s="40"/>
      <c r="I19" s="40"/>
      <c r="J19" s="7"/>
      <c r="K19" s="1" t="s">
        <v>47</v>
      </c>
      <c r="L19" s="45"/>
      <c r="M19" s="40"/>
      <c r="N19" s="41"/>
    </row>
  </sheetData>
  <mergeCells count="5">
    <mergeCell ref="A2:N2"/>
    <mergeCell ref="B13:C13"/>
    <mergeCell ref="B14:C14"/>
    <mergeCell ref="B15:C15"/>
    <mergeCell ref="B16:C16"/>
  </mergeCells>
  <phoneticPr fontId="14" type="noConversion"/>
  <pageMargins left="0.70866141732283472" right="0.70866141732283472" top="0.74803149606299213" bottom="0.74803149606299213" header="0.31496062992125984" footer="0.31496062992125984"/>
  <pageSetup scale="65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J70"/>
  <sheetViews>
    <sheetView showGridLines="0" topLeftCell="A8" zoomScale="70" zoomScaleNormal="70" workbookViewId="0">
      <selection activeCell="I21" sqref="I21"/>
    </sheetView>
  </sheetViews>
  <sheetFormatPr defaultRowHeight="15"/>
  <cols>
    <col min="1" max="1" width="0.42578125" style="177" customWidth="1"/>
    <col min="2" max="2" width="19.5703125" style="177" customWidth="1"/>
    <col min="3" max="3" width="16.28515625" style="177" customWidth="1"/>
    <col min="4" max="4" width="18.7109375" style="177" customWidth="1"/>
    <col min="5" max="5" width="17" style="177" bestFit="1" customWidth="1"/>
    <col min="6" max="6" width="22.7109375" style="177" customWidth="1"/>
    <col min="7" max="7" width="14.85546875" style="177" customWidth="1"/>
    <col min="8" max="8" width="15.85546875" style="177" customWidth="1"/>
    <col min="9" max="9" width="18" style="177" customWidth="1"/>
    <col min="10" max="10" width="19.7109375" style="177" customWidth="1"/>
    <col min="11" max="11" width="17.5703125" style="177" customWidth="1"/>
    <col min="12" max="13" width="17.140625" style="177" customWidth="1"/>
    <col min="14" max="16" width="17.5703125" style="177" customWidth="1"/>
    <col min="17" max="17" width="19.5703125" style="177" customWidth="1"/>
    <col min="18" max="18" width="15.5703125" style="177" bestFit="1" customWidth="1"/>
    <col min="19" max="19" width="16" style="177" customWidth="1"/>
    <col min="20" max="20" width="17" style="177" bestFit="1" customWidth="1"/>
    <col min="21" max="24" width="14.5703125" style="177" customWidth="1"/>
    <col min="25" max="28" width="15.28515625" style="177" customWidth="1"/>
    <col min="29" max="29" width="19.28515625" style="177" customWidth="1"/>
    <col min="30" max="30" width="18.85546875" style="177" customWidth="1"/>
    <col min="31" max="31" width="13.7109375" style="177" customWidth="1"/>
    <col min="32" max="32" width="15" style="177" customWidth="1"/>
    <col min="33" max="16384" width="9.140625" style="177"/>
  </cols>
  <sheetData>
    <row r="1" spans="1:36" ht="36.75" customHeight="1">
      <c r="A1" s="176"/>
      <c r="B1" s="405" t="s">
        <v>229</v>
      </c>
      <c r="C1" s="405"/>
      <c r="D1" s="405"/>
      <c r="E1" s="405"/>
      <c r="F1" s="405"/>
      <c r="G1" s="405"/>
      <c r="H1" s="405"/>
      <c r="I1" s="405"/>
      <c r="J1" s="405"/>
      <c r="K1" s="405"/>
      <c r="L1" s="405"/>
      <c r="M1" s="405"/>
      <c r="N1" s="405"/>
      <c r="O1" s="405"/>
      <c r="P1" s="405"/>
      <c r="Q1" s="405"/>
      <c r="R1" s="405"/>
      <c r="S1" s="405"/>
      <c r="T1" s="405"/>
      <c r="U1" s="405"/>
      <c r="V1" s="405"/>
      <c r="W1" s="405"/>
      <c r="X1" s="405"/>
      <c r="Y1" s="405"/>
      <c r="Z1" s="207"/>
      <c r="AA1" s="217"/>
      <c r="AB1" s="207"/>
      <c r="AC1" s="176"/>
      <c r="AD1" s="176"/>
      <c r="AE1" s="176"/>
    </row>
    <row r="2" spans="1:36" ht="24" customHeight="1" thickBot="1">
      <c r="A2" s="402"/>
      <c r="B2" s="410" t="s">
        <v>245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  <c r="X2" s="410"/>
      <c r="Y2" s="410"/>
      <c r="Z2" s="410"/>
      <c r="AA2" s="410"/>
      <c r="AB2" s="178" t="s">
        <v>94</v>
      </c>
      <c r="AC2" s="400">
        <v>44610</v>
      </c>
      <c r="AD2" s="401"/>
    </row>
    <row r="3" spans="1:36" ht="82.5" customHeight="1" thickBot="1">
      <c r="A3" s="402"/>
      <c r="B3" s="179" t="s">
        <v>113</v>
      </c>
      <c r="C3" s="260" t="s">
        <v>193</v>
      </c>
      <c r="D3" s="260" t="s">
        <v>194</v>
      </c>
      <c r="E3" s="180" t="s">
        <v>114</v>
      </c>
      <c r="F3" s="199" t="s">
        <v>121</v>
      </c>
      <c r="G3" s="181" t="s">
        <v>116</v>
      </c>
      <c r="H3" s="181" t="s">
        <v>117</v>
      </c>
      <c r="I3" s="181" t="s">
        <v>163</v>
      </c>
      <c r="J3" s="182" t="s">
        <v>197</v>
      </c>
      <c r="K3" s="182" t="s">
        <v>112</v>
      </c>
      <c r="L3" s="183" t="s">
        <v>123</v>
      </c>
      <c r="M3" s="183" t="s">
        <v>115</v>
      </c>
      <c r="N3" s="259" t="s">
        <v>122</v>
      </c>
      <c r="O3" s="259" t="s">
        <v>118</v>
      </c>
      <c r="P3" s="183" t="s">
        <v>148</v>
      </c>
      <c r="Q3" s="183" t="s">
        <v>149</v>
      </c>
      <c r="R3" s="183" t="s">
        <v>119</v>
      </c>
      <c r="S3" s="183" t="s">
        <v>142</v>
      </c>
      <c r="T3" s="183" t="s">
        <v>150</v>
      </c>
      <c r="U3" s="228" t="s">
        <v>159</v>
      </c>
      <c r="V3" s="228" t="s">
        <v>158</v>
      </c>
      <c r="W3" s="228" t="s">
        <v>160</v>
      </c>
      <c r="X3" s="228" t="s">
        <v>156</v>
      </c>
      <c r="Y3" s="229" t="s">
        <v>104</v>
      </c>
      <c r="Z3" s="227" t="s">
        <v>151</v>
      </c>
      <c r="AA3" s="227" t="s">
        <v>157</v>
      </c>
      <c r="AB3" s="222" t="s">
        <v>196</v>
      </c>
      <c r="AC3" s="227" t="s">
        <v>195</v>
      </c>
      <c r="AD3" s="227" t="s">
        <v>105</v>
      </c>
      <c r="AE3" s="223" t="s">
        <v>124</v>
      </c>
    </row>
    <row r="4" spans="1:36" ht="44.25" customHeight="1">
      <c r="A4" s="402"/>
      <c r="B4" s="184" t="s">
        <v>179</v>
      </c>
      <c r="C4" s="215">
        <f>N4+X4</f>
        <v>0</v>
      </c>
      <c r="D4" s="215">
        <f>O4+AC4</f>
        <v>1302460</v>
      </c>
      <c r="E4" s="186">
        <v>520000</v>
      </c>
      <c r="F4" s="121">
        <f>VLOOKUP($AC$2,'TG50%'!$B$4:$AH$35,32,FALSE)</f>
        <v>0</v>
      </c>
      <c r="G4" s="121">
        <f>VLOOKUP($AC$2,'TG50%'!$B$4:$AH$35,3,FALSE)+VLOOKUP($AC$2,'TG50%'!$B$4:$AH$35,5,FALSE)</f>
        <v>40000</v>
      </c>
      <c r="H4" s="121">
        <f>VLOOKUP($AC$2,'TG50%'!$B$4:$AH$35,4,FALSE)+VLOOKUP($AC$2,'TG50%'!$B$4:$AI$35,6,FALSE)</f>
        <v>-40000</v>
      </c>
      <c r="I4" s="121">
        <f>VLOOKUP($AC$2,'TG50%'!$B$4:$AH$35,26,FALSE)</f>
        <v>219887</v>
      </c>
      <c r="J4" s="121">
        <f>VLOOKUP($AC$2,'TG50%'!$B$4:$AH$35,8,FALSE)</f>
        <v>0</v>
      </c>
      <c r="K4" s="121">
        <f>VLOOKUP($AC$2,'TG50%'!$B$4:$AH$35,27,FALSE)</f>
        <v>0</v>
      </c>
      <c r="L4" s="241">
        <f>VLOOKUP($AC$2,'TG50%'!$B$4:$AH$35,12,FALSE)</f>
        <v>0</v>
      </c>
      <c r="M4" s="241">
        <f>VLOOKUP($AC$2,'TG50%'!$B$4:$AH$35,30,FALSE)</f>
        <v>-89040</v>
      </c>
      <c r="N4" s="224">
        <f t="shared" ref="N4:O7" si="0">-L4*50%</f>
        <v>0</v>
      </c>
      <c r="O4" s="120">
        <f t="shared" si="0"/>
        <v>44520</v>
      </c>
      <c r="P4" s="121">
        <f>VLOOKUP($AC$2,'TG50%'!$B$4:$AH$35,17,FALSE)</f>
        <v>82200</v>
      </c>
      <c r="Q4" s="121">
        <f>VLOOKUP($AC$2,'TG50%'!$B$4:$AH$35,31,FALSE)</f>
        <v>536905</v>
      </c>
      <c r="R4" s="121">
        <f>VLOOKUP($AC$2,'TG50%'!$B$4:$AH$35,15,FALSE)</f>
        <v>0</v>
      </c>
      <c r="S4" s="121">
        <f>VLOOKUP($AC$2,'TG50%'!$B$4:$AH$35,16,FALSE)</f>
        <v>82200</v>
      </c>
      <c r="T4" s="121">
        <f>VLOOKUP($AC$2,'TG50%'!$B$4:$AH$35,27,FALSE)</f>
        <v>0</v>
      </c>
      <c r="U4" s="120">
        <f t="shared" ref="U4:U13" si="1">-P4*1.7%</f>
        <v>-1397.4</v>
      </c>
      <c r="V4" s="120">
        <f t="shared" ref="V4:V13" si="2">R4/2*1.7%</f>
        <v>0</v>
      </c>
      <c r="W4" s="120">
        <f t="shared" ref="W4:W13" si="3">R4*1.7%</f>
        <v>0</v>
      </c>
      <c r="X4" s="120">
        <f t="shared" ref="X4:X13" si="4">W4*50%</f>
        <v>0</v>
      </c>
      <c r="Y4" s="224">
        <f t="shared" ref="Y4:Y13" si="5">SUM(U4:V4)</f>
        <v>-1397.4</v>
      </c>
      <c r="Z4" s="119">
        <f t="shared" ref="Z4:Z8" si="6">T4*1.7%</f>
        <v>0</v>
      </c>
      <c r="AA4" s="268">
        <f t="shared" ref="AA4:AA8" si="7">Z4*50%</f>
        <v>0</v>
      </c>
      <c r="AB4" s="214">
        <f t="shared" ref="AB4:AB13" si="8">Q4/2*1.7%</f>
        <v>4563.6925000000001</v>
      </c>
      <c r="AC4" s="258">
        <f>VLOOKUP($AC$2,'TG50%'!$B$4:$AH$35,28,FALSE)</f>
        <v>1257940</v>
      </c>
      <c r="AD4" s="258">
        <f t="shared" ref="AD4:AD8" si="9">Z4-AC4</f>
        <v>-1257940</v>
      </c>
      <c r="AE4" s="203"/>
    </row>
    <row r="5" spans="1:36" ht="44.25" customHeight="1">
      <c r="A5" s="402"/>
      <c r="B5" s="185" t="s">
        <v>103</v>
      </c>
      <c r="C5" s="215">
        <f>N5+Y5</f>
        <v>252.125</v>
      </c>
      <c r="D5" s="215">
        <f>O5+AC5</f>
        <v>3514571.5</v>
      </c>
      <c r="E5" s="186">
        <v>2000000</v>
      </c>
      <c r="F5" s="121">
        <f>VLOOKUP($AC$2,'PZ50%'!$B$4:$AH$35,32,FALSE)</f>
        <v>0</v>
      </c>
      <c r="G5" s="121">
        <f>VLOOKUP($AC$2,'PZ50%'!$B$4:$AH$35,3,FALSE)+VLOOKUP($AC$2,'PZ50%'!$B$4:$AH$35,5,FALSE)</f>
        <v>0</v>
      </c>
      <c r="H5" s="121">
        <f>VLOOKUP($AC$2,'PZ50%'!$B$4:$AH$35,4,FALSE)+VLOOKUP($AC$2,'PZ50%'!$B$4:$AI$35,6,FALSE)</f>
        <v>0</v>
      </c>
      <c r="I5" s="121">
        <f>VLOOKUP($AC$2,'PZ50%'!$B$4:$AH$35,26,FALSE)</f>
        <v>1999940</v>
      </c>
      <c r="J5" s="121">
        <f>VLOOKUP($AC$2,'PZ50%'!$B$4:$AH$35,8,FALSE)</f>
        <v>0</v>
      </c>
      <c r="K5" s="121">
        <f>VLOOKUP($AC$2,'PZ50%'!$B$4:$AH$35,26,FALSE)</f>
        <v>1999940</v>
      </c>
      <c r="L5" s="241">
        <f>VLOOKUP($AC$2,'PZ50%'!$B$4:$AH$35,12,FALSE)</f>
        <v>-500</v>
      </c>
      <c r="M5" s="241">
        <f>VLOOKUP($AC$2,'PZ50%'!$B$4:$AH$35,30,FALSE)</f>
        <v>-237299</v>
      </c>
      <c r="N5" s="224">
        <f t="shared" si="0"/>
        <v>250</v>
      </c>
      <c r="O5" s="120">
        <f t="shared" si="0"/>
        <v>118649.5</v>
      </c>
      <c r="P5" s="121">
        <f>VLOOKUP($AC$2,'PZ50%'!$B$4:$AH$35,17,FALSE)</f>
        <v>0</v>
      </c>
      <c r="Q5" s="121">
        <f>VLOOKUP($AC$2,'PZ50%'!$B$4:$AH$35,31,FALSE)</f>
        <v>0</v>
      </c>
      <c r="R5" s="121">
        <f>VLOOKUP($AC$2,'PZ50%'!$B$4:$AH$35,15,FALSE)</f>
        <v>250</v>
      </c>
      <c r="S5" s="121">
        <f>VLOOKUP($AC$2,'PZ50%'!$B$4:$AH$35,16,FALSE)</f>
        <v>0</v>
      </c>
      <c r="T5" s="121">
        <f>VLOOKUP($AC$2,'PZ50%'!$B$4:$AH$35,27,FALSE)</f>
        <v>0</v>
      </c>
      <c r="U5" s="120">
        <f t="shared" si="1"/>
        <v>0</v>
      </c>
      <c r="V5" s="120">
        <f t="shared" si="2"/>
        <v>2.125</v>
      </c>
      <c r="W5" s="120">
        <f t="shared" si="3"/>
        <v>4.25</v>
      </c>
      <c r="X5" s="120">
        <f t="shared" si="4"/>
        <v>2.125</v>
      </c>
      <c r="Y5" s="224">
        <f t="shared" si="5"/>
        <v>2.125</v>
      </c>
      <c r="Z5" s="119">
        <f t="shared" si="6"/>
        <v>0</v>
      </c>
      <c r="AA5" s="119">
        <f t="shared" si="7"/>
        <v>0</v>
      </c>
      <c r="AB5" s="214">
        <f t="shared" si="8"/>
        <v>0</v>
      </c>
      <c r="AC5" s="258">
        <f>VLOOKUP($AC$2,'PZ50%'!$B$4:$AH$35,28,FALSE)</f>
        <v>3395922</v>
      </c>
      <c r="AD5" s="258">
        <f t="shared" si="9"/>
        <v>-3395922</v>
      </c>
      <c r="AE5" s="203"/>
    </row>
    <row r="6" spans="1:36" ht="44.25" customHeight="1">
      <c r="A6" s="402"/>
      <c r="B6" s="185" t="s">
        <v>146</v>
      </c>
      <c r="C6" s="215">
        <f>N6+Y6</f>
        <v>-1052.9375</v>
      </c>
      <c r="D6" s="215">
        <f>O6+AC6</f>
        <v>9557409.125</v>
      </c>
      <c r="E6" s="186">
        <v>600000</v>
      </c>
      <c r="F6" s="121">
        <f>VLOOKUP($AC$2,'KK50%'!$B$4:$AI$35,33,FALSE)</f>
        <v>0</v>
      </c>
      <c r="G6" s="121">
        <f>VLOOKUP($AC$2,'KK50%'!$B$4:$AI$35,3,FALSE)+VLOOKUP($AC$2,'KK50%'!$B$4:$AI$35,5,FALSE)</f>
        <v>146650</v>
      </c>
      <c r="H6" s="121">
        <f>VLOOKUP($AC$2,'KK50%'!$B$4:$AI$35,4,FALSE)+VLOOKUP($AC$2,'KK50%'!$B$4:$AJ$35,6,FALSE)</f>
        <v>-100000</v>
      </c>
      <c r="I6" s="121">
        <f>VLOOKUP($AC$2,'KK50%'!$B$4:$AI$35,26,FALSE)</f>
        <v>0</v>
      </c>
      <c r="J6" s="121">
        <f>VLOOKUP($AC$2,'KK50%'!$B$4:$AI$35,8,FALSE)</f>
        <v>0</v>
      </c>
      <c r="K6" s="121">
        <f>VLOOKUP($AC$2,'KK50%'!$B$4:$AI$35,27,FALSE)</f>
        <v>466450</v>
      </c>
      <c r="L6" s="241">
        <f>VLOOKUP($AC$2,'KK50%'!$B$4:$AI$35,12,FALSE)</f>
        <v>0</v>
      </c>
      <c r="M6" s="241">
        <f>VLOOKUP($AC$2,'KK50%'!$B$4:$AI$35,31,FALSE)</f>
        <v>-389088.25</v>
      </c>
      <c r="N6" s="224">
        <f t="shared" si="0"/>
        <v>0</v>
      </c>
      <c r="O6" s="120">
        <f t="shared" si="0"/>
        <v>194544.125</v>
      </c>
      <c r="P6" s="121">
        <f>VLOOKUP($AC$2,'KK50%'!$B$4:$AI$35,17,FALSE)</f>
        <v>73600</v>
      </c>
      <c r="Q6" s="121">
        <f>VLOOKUP($AC$2,'KK50%'!$B$4:$AI$35,31,FALSE)</f>
        <v>-389088.25</v>
      </c>
      <c r="R6" s="121">
        <f>VLOOKUP($AC$2,'KK50%'!$B$4:$AI$35,15,FALSE)</f>
        <v>23325</v>
      </c>
      <c r="S6" s="121">
        <f>VLOOKUP($AC$2,'KK50%'!$B$4:$AI$35,16,FALSE)</f>
        <v>73600</v>
      </c>
      <c r="T6" s="121">
        <f>VLOOKUP($AC$2,'KK50%'!$B$4:$AI$35,28,FALSE)</f>
        <v>0</v>
      </c>
      <c r="U6" s="120">
        <f t="shared" si="1"/>
        <v>-1251.2</v>
      </c>
      <c r="V6" s="120">
        <f t="shared" si="2"/>
        <v>198.26250000000002</v>
      </c>
      <c r="W6" s="120">
        <f t="shared" si="3"/>
        <v>396.52500000000003</v>
      </c>
      <c r="X6" s="120">
        <f t="shared" si="4"/>
        <v>198.26250000000002</v>
      </c>
      <c r="Y6" s="224">
        <f t="shared" si="5"/>
        <v>-1052.9375</v>
      </c>
      <c r="Z6" s="119">
        <f t="shared" si="6"/>
        <v>0</v>
      </c>
      <c r="AA6" s="119">
        <f t="shared" si="7"/>
        <v>0</v>
      </c>
      <c r="AB6" s="214">
        <f t="shared" si="8"/>
        <v>-3307.250125</v>
      </c>
      <c r="AC6" s="258">
        <f>VLOOKUP($AC$2,'KK50%'!$B$4:$AG$35,29,FALSE)</f>
        <v>9362865</v>
      </c>
      <c r="AD6" s="258">
        <f t="shared" si="9"/>
        <v>-9362865</v>
      </c>
      <c r="AE6" s="203"/>
    </row>
    <row r="7" spans="1:36" ht="44.25" customHeight="1">
      <c r="A7" s="402"/>
      <c r="B7" s="185" t="s">
        <v>210</v>
      </c>
      <c r="C7" s="215">
        <f>N7+Y7</f>
        <v>2.6350000000000002</v>
      </c>
      <c r="D7" s="215">
        <f>O7+AD7</f>
        <v>-2655.5</v>
      </c>
      <c r="E7" s="186">
        <v>40000</v>
      </c>
      <c r="F7" s="121">
        <f>VLOOKUP($AC$2,'DS50%'!$B$4:$AH$35,33,FALSE)</f>
        <v>0</v>
      </c>
      <c r="G7" s="121">
        <f>VLOOKUP($AC$2,'DS50%'!$B$4:$AH$35,3,FALSE)+VLOOKUP($AC$2,'DS50%'!$B$4:$AH$35,5,FALSE)</f>
        <v>10000</v>
      </c>
      <c r="H7" s="121">
        <f>VLOOKUP($AC$2,'DS50%'!$B$4:$AH$35,4,FALSE)+VLOOKUP($AC$2,'DS50%'!$B$4:$AI$35,6,FALSE)</f>
        <v>-10620</v>
      </c>
      <c r="I7" s="121">
        <f>VLOOKUP($AC$2,'DS50%'!$B$4:$AH$35,26,FALSE)</f>
        <v>0</v>
      </c>
      <c r="J7" s="121">
        <f>VLOOKUP($AC$2,'DS50%'!$B$4:$AH$35,8,FALSE)</f>
        <v>0</v>
      </c>
      <c r="K7" s="121">
        <f>VLOOKUP($AC$2,'DS50%'!$B$4:$AH$35,27,FALSE)</f>
        <v>0</v>
      </c>
      <c r="L7" s="241">
        <f>VLOOKUP($AC$2,'DS50%'!$B$4:$AH$35,12,FALSE)</f>
        <v>0</v>
      </c>
      <c r="M7" s="241">
        <f>VLOOKUP($AC$2,'DS50%'!$B$4:$AH$35,30,FALSE)</f>
        <v>5311</v>
      </c>
      <c r="N7" s="224">
        <f t="shared" si="0"/>
        <v>0</v>
      </c>
      <c r="O7" s="120">
        <f t="shared" si="0"/>
        <v>-2655.5</v>
      </c>
      <c r="P7" s="121">
        <f>VLOOKUP($AC$2,'DS50%'!$B$4:$AH$35,17,FALSE)</f>
        <v>0</v>
      </c>
      <c r="Q7" s="121">
        <f>VLOOKUP($AC$2,'DS50%'!$B$4:$AH$35,31,FALSE)</f>
        <v>0</v>
      </c>
      <c r="R7" s="121">
        <f>VLOOKUP($AC$2,'DS50%'!$B$4:$AH$35,15,FALSE)</f>
        <v>310</v>
      </c>
      <c r="S7" s="121">
        <f>VLOOKUP($AC$2,'DS50%'!$B$4:$AH$35,16,FALSE)</f>
        <v>0</v>
      </c>
      <c r="T7" s="121">
        <f>VLOOKUP($AC$2,'DS50%'!$B$4:$AH$35,28,FALSE)</f>
        <v>0</v>
      </c>
      <c r="U7" s="120">
        <f t="shared" si="1"/>
        <v>0</v>
      </c>
      <c r="V7" s="120">
        <f t="shared" si="2"/>
        <v>2.6350000000000002</v>
      </c>
      <c r="W7" s="120">
        <f t="shared" si="3"/>
        <v>5.2700000000000005</v>
      </c>
      <c r="X7" s="120">
        <f t="shared" si="4"/>
        <v>2.6350000000000002</v>
      </c>
      <c r="Y7" s="224">
        <f t="shared" si="5"/>
        <v>2.6350000000000002</v>
      </c>
      <c r="Z7" s="119">
        <f t="shared" si="6"/>
        <v>0</v>
      </c>
      <c r="AA7" s="119">
        <f t="shared" si="7"/>
        <v>0</v>
      </c>
      <c r="AB7" s="214">
        <f t="shared" si="8"/>
        <v>0</v>
      </c>
      <c r="AC7" s="258">
        <f>VLOOKUP($AC$2,'DS50%'!$B$4:$AH$35,29,FALSE)</f>
        <v>0</v>
      </c>
      <c r="AD7" s="258">
        <f t="shared" si="9"/>
        <v>0</v>
      </c>
      <c r="AE7" s="203"/>
    </row>
    <row r="8" spans="1:36" ht="44.25" customHeight="1">
      <c r="A8" s="402"/>
      <c r="B8" s="200" t="s">
        <v>214</v>
      </c>
      <c r="C8" s="215">
        <f>N8+Y8</f>
        <v>534202.80000000005</v>
      </c>
      <c r="D8" s="215">
        <f>O8+AD8</f>
        <v>1253296.4500000002</v>
      </c>
      <c r="E8" s="186">
        <v>1000000</v>
      </c>
      <c r="F8" s="121">
        <f>VLOOKUP($AC$2,'XU80%'!$B$4:$AH$35,33,FALSE)</f>
        <v>0</v>
      </c>
      <c r="G8" s="121">
        <f>VLOOKUP($AC$2,'XU80%'!$B$4:$AG$35,3,FALSE)+VLOOKUP($AC$2,'XU80%'!$B$4:$AG$35,5,FALSE)</f>
        <v>600000</v>
      </c>
      <c r="H8" s="121">
        <f>VLOOKUP($AC$2,'XU80%'!$B$4:$AG$35,4,FALSE)+VLOOKUP($AC$2,'XU80%'!$B$4:$AH$35,6,FALSE)</f>
        <v>0</v>
      </c>
      <c r="I8" s="121">
        <f>VLOOKUP($AC$2,'XU80%'!$B$4:$AG$35,26,FALSE)</f>
        <v>1684000</v>
      </c>
      <c r="J8" s="121">
        <f>VLOOKUP($AC$2,'XU80%'!$B$4:$AG$35,8,FALSE)</f>
        <v>0</v>
      </c>
      <c r="K8" s="121">
        <f>VLOOKUP($AC$2,'XU80%'!$B$4:$AG$35,27,FALSE)</f>
        <v>1300</v>
      </c>
      <c r="L8" s="241">
        <f>VLOOKUP($AC$2,'XU80%'!$B$4:$AG$35,12,FALSE)</f>
        <v>-600000</v>
      </c>
      <c r="M8" s="241">
        <f>VLOOKUP($AC$2,'XU80%'!$B$4:$AG$35,30,FALSE)</f>
        <v>-1682700</v>
      </c>
      <c r="N8" s="224">
        <f>-L8*80%</f>
        <v>480000</v>
      </c>
      <c r="O8" s="120">
        <f>-M8*20%</f>
        <v>336540</v>
      </c>
      <c r="P8" s="121">
        <f>VLOOKUP($AC$2,'XU80%'!$B$4:$AG$35,17,FALSE)</f>
        <v>0</v>
      </c>
      <c r="Q8" s="121">
        <f>VLOOKUP($AC$2,'XU80%'!$B$4:$AG$35,31,FALSE)</f>
        <v>0</v>
      </c>
      <c r="R8" s="121">
        <f>VLOOKUP($AC$2,'XU80%'!$B$4:$AG$35,15,FALSE)</f>
        <v>6376800</v>
      </c>
      <c r="S8" s="121">
        <f>VLOOKUP($AC$2,'XU80%'!$B$4:$AG$35,16,FALSE)</f>
        <v>6376800</v>
      </c>
      <c r="T8" s="121">
        <f>VLOOKUP($AC$2,'XU80%'!$B$4:$AG$35,28,FALSE)</f>
        <v>53926850</v>
      </c>
      <c r="U8" s="120">
        <f t="shared" si="1"/>
        <v>0</v>
      </c>
      <c r="V8" s="120">
        <f t="shared" si="2"/>
        <v>54202.8</v>
      </c>
      <c r="W8" s="120">
        <f t="shared" si="3"/>
        <v>108405.6</v>
      </c>
      <c r="X8" s="120">
        <f t="shared" si="4"/>
        <v>54202.8</v>
      </c>
      <c r="Y8" s="224">
        <f t="shared" si="5"/>
        <v>54202.8</v>
      </c>
      <c r="Z8" s="119">
        <f t="shared" si="6"/>
        <v>916756.45000000007</v>
      </c>
      <c r="AA8" s="119">
        <f t="shared" si="7"/>
        <v>458378.22500000003</v>
      </c>
      <c r="AB8" s="214">
        <f t="shared" si="8"/>
        <v>0</v>
      </c>
      <c r="AC8" s="258">
        <f>VLOOKUP($AC$2,'XU80%'!$B$4:$AG$35,29,FALSE)</f>
        <v>0</v>
      </c>
      <c r="AD8" s="258">
        <f t="shared" si="9"/>
        <v>916756.45000000007</v>
      </c>
      <c r="AE8" s="203"/>
    </row>
    <row r="9" spans="1:36" ht="44.25" customHeight="1">
      <c r="A9" s="402"/>
      <c r="B9" s="200" t="s">
        <v>219</v>
      </c>
      <c r="C9" s="215">
        <f>N9+Y9</f>
        <v>1656.65</v>
      </c>
      <c r="D9" s="215">
        <f>O9+AD9</f>
        <v>74638.360499999995</v>
      </c>
      <c r="E9" s="186">
        <v>200000</v>
      </c>
      <c r="F9" s="121">
        <f>VLOOKUP($AC$2,'QI50%'!$B$4:$AH$35,33,FALSE)</f>
        <v>0</v>
      </c>
      <c r="G9" s="346">
        <f>VLOOKUP($AC$2,'QI50%'!$B$4:$AG$35,3,FALSE)+VLOOKUP($AC$2,'QI50%'!$B$4:$AG$35,5,FALSE)</f>
        <v>0</v>
      </c>
      <c r="H9" s="346">
        <f>VLOOKUP($AC$2,'QI50%'!$B$4:$AG$35,4,FALSE)+VLOOKUP($AC$2,'QI50%'!$B$4:$AH$35,6,FALSE)</f>
        <v>0</v>
      </c>
      <c r="I9" s="344">
        <f>VLOOKUP($AC$2,'QI50%'!$B$4:$AG$35,26,FALSE)</f>
        <v>50000</v>
      </c>
      <c r="J9" s="344">
        <f>VLOOKUP($AC$2,'QI50%'!$B$4:$AG$35,8,FALSE)</f>
        <v>0</v>
      </c>
      <c r="K9" s="344">
        <f>VLOOKUP($AC$2,'QI50%'!$B$4:$AG$35,27,FALSE)</f>
        <v>-165</v>
      </c>
      <c r="L9" s="347">
        <f>VLOOKUP($AC$2,'QI50%'!$B$4:$AG$35,12,FALSE)</f>
        <v>-3400</v>
      </c>
      <c r="M9" s="344">
        <f>VLOOKUP($AC$2,'QI50%'!$B$4:$AG$35,30,FALSE)</f>
        <v>-149514.5</v>
      </c>
      <c r="N9" s="343">
        <f t="shared" ref="N9:O12" si="10">-L9*50%</f>
        <v>1700</v>
      </c>
      <c r="O9" s="344">
        <f t="shared" si="10"/>
        <v>74757.25</v>
      </c>
      <c r="P9" s="344">
        <f>VLOOKUP($AC$2,'QI50%'!$B$4:$AG$35,17,FALSE)</f>
        <v>3400</v>
      </c>
      <c r="Q9" s="344">
        <f>VLOOKUP($AC$2,'QI50%'!$B$4:$AG$35,31,FALSE)</f>
        <v>438302</v>
      </c>
      <c r="R9" s="344">
        <f>VLOOKUP($AC$2,'QI50%'!$B$4:$AG$35,15,FALSE)</f>
        <v>1700</v>
      </c>
      <c r="S9" s="344">
        <f>VLOOKUP($AC$2,'QI50%'!$B$4:$AG$35,16,FALSE)</f>
        <v>3400</v>
      </c>
      <c r="T9" s="344">
        <f>VLOOKUP($AC$2,'QI50%'!$B$4:$AG$35,28,FALSE)</f>
        <v>424315</v>
      </c>
      <c r="U9" s="344">
        <f t="shared" ref="U9" si="11">-P9*1.7%</f>
        <v>-57.800000000000004</v>
      </c>
      <c r="V9" s="344">
        <f t="shared" ref="V9" si="12">R9/2*1.7%</f>
        <v>14.450000000000001</v>
      </c>
      <c r="W9" s="344">
        <f t="shared" ref="W9" si="13">R9*1.7%</f>
        <v>28.900000000000002</v>
      </c>
      <c r="X9" s="344">
        <f t="shared" ref="X9" si="14">W9*50%</f>
        <v>14.450000000000001</v>
      </c>
      <c r="Y9" s="343">
        <f t="shared" ref="Y9" si="15">SUM(U9:V9)</f>
        <v>-43.35</v>
      </c>
      <c r="Z9" s="344">
        <f t="shared" ref="Z9" si="16">T9*1.7%</f>
        <v>7213.3550000000005</v>
      </c>
      <c r="AA9" s="344">
        <f t="shared" ref="AA9" si="17">Z9*50%</f>
        <v>3606.6775000000002</v>
      </c>
      <c r="AB9" s="343">
        <f t="shared" ref="AB9" si="18">Q9/2*1.7%</f>
        <v>3725.5670000000005</v>
      </c>
      <c r="AC9" s="343">
        <f>VLOOKUP($AC$2,'QI50%'!$B$4:$AG$35,29,FALSE)</f>
        <v>7332.2445000000007</v>
      </c>
      <c r="AD9" s="345">
        <f t="shared" ref="AD9" si="19">Z9-AC9</f>
        <v>-118.88950000000023</v>
      </c>
      <c r="AE9" s="342"/>
    </row>
    <row r="10" spans="1:36" ht="44.25" customHeight="1">
      <c r="A10" s="402"/>
      <c r="B10" s="185" t="s">
        <v>222</v>
      </c>
      <c r="C10" s="215">
        <f t="shared" ref="C10:C11" si="20">N10+Y10</f>
        <v>0</v>
      </c>
      <c r="D10" s="215">
        <f t="shared" ref="D10" si="21">O10+AD10</f>
        <v>0</v>
      </c>
      <c r="E10" s="186">
        <v>40000</v>
      </c>
      <c r="F10" s="121">
        <f>VLOOKUP($AC$2,'EO50%'!$B$4:$AH$35,33,FALSE)</f>
        <v>0</v>
      </c>
      <c r="G10" s="346">
        <f>VLOOKUP($AC$2,'EO50%'!$B$4:$AG$35,3,FALSE)+VLOOKUP($AC$2,'EO50%'!$B$4:$AG$35,5,FALSE)</f>
        <v>0</v>
      </c>
      <c r="H10" s="346">
        <f>VLOOKUP($AC$2,'EO50%'!$B$4:$AG$35,4,FALSE)+VLOOKUP($AC$2,'EO50%'!$B$4:$AH$35,6,FALSE)</f>
        <v>0</v>
      </c>
      <c r="I10" s="344">
        <f>VLOOKUP($AC$2,'EO50%'!$B$4:$AG$35,26,FALSE)</f>
        <v>0</v>
      </c>
      <c r="J10" s="344">
        <f>VLOOKUP($AC$2,'EO50%'!$B$4:$AG$35,8,FALSE)</f>
        <v>0</v>
      </c>
      <c r="K10" s="344">
        <f>VLOOKUP($AC$2,'EO50%'!$B$4:$AG$35,27,FALSE)</f>
        <v>0</v>
      </c>
      <c r="L10" s="347">
        <f>VLOOKUP($AC$2,'EO50%'!$B$4:$AG$35,12,FALSE)</f>
        <v>0</v>
      </c>
      <c r="M10" s="344">
        <f>VLOOKUP($AC$2,'EO50%'!$B$4:$AG$35,30,FALSE)</f>
        <v>0</v>
      </c>
      <c r="N10" s="343">
        <f t="shared" si="10"/>
        <v>0</v>
      </c>
      <c r="O10" s="344">
        <f t="shared" si="10"/>
        <v>0</v>
      </c>
      <c r="P10" s="344">
        <f>VLOOKUP($AC$2,'EO50%'!$B$4:$AG$35,17,FALSE)</f>
        <v>0</v>
      </c>
      <c r="Q10" s="344">
        <f>VLOOKUP($AC$2,'EO50%'!$B$4:$AG$35,31,FALSE)</f>
        <v>0</v>
      </c>
      <c r="R10" s="344">
        <f>VLOOKUP($AC$2,'EO50%'!$B$4:$AG$35,15,FALSE)</f>
        <v>0</v>
      </c>
      <c r="S10" s="344">
        <f>VLOOKUP($AC$2,'EO50%'!$B$4:$AG$35,16,FALSE)</f>
        <v>0</v>
      </c>
      <c r="T10" s="344">
        <f>VLOOKUP($AC$2,'EO50%'!$B$4:$AG$35,28,FALSE)</f>
        <v>0</v>
      </c>
      <c r="U10" s="344">
        <f t="shared" ref="U10:U11" si="22">-P10*1.7%</f>
        <v>0</v>
      </c>
      <c r="V10" s="344">
        <f t="shared" ref="V10:V11" si="23">R10/2*1.7%</f>
        <v>0</v>
      </c>
      <c r="W10" s="344">
        <f t="shared" ref="W10:W11" si="24">R10*1.7%</f>
        <v>0</v>
      </c>
      <c r="X10" s="344">
        <f t="shared" ref="X10:X11" si="25">W10*50%</f>
        <v>0</v>
      </c>
      <c r="Y10" s="343">
        <f t="shared" ref="Y10:Y11" si="26">SUM(U10:V10)</f>
        <v>0</v>
      </c>
      <c r="Z10" s="344">
        <f t="shared" ref="Z10:Z11" si="27">T10*1.7%</f>
        <v>0</v>
      </c>
      <c r="AA10" s="344">
        <f t="shared" ref="AA10:AA11" si="28">Z10*50%</f>
        <v>0</v>
      </c>
      <c r="AB10" s="343">
        <f t="shared" ref="AB10:AB11" si="29">Q10/2*1.7%</f>
        <v>0</v>
      </c>
      <c r="AC10" s="343">
        <f>VLOOKUP($AC$2,'EO50%'!$B$4:$AG$35,29,FALSE)</f>
        <v>0</v>
      </c>
      <c r="AD10" s="345">
        <f t="shared" ref="AD10:AD11" si="30">Z10-AC10</f>
        <v>0</v>
      </c>
      <c r="AE10" s="342"/>
    </row>
    <row r="11" spans="1:36" ht="44.25" customHeight="1">
      <c r="A11" s="402"/>
      <c r="B11" s="200" t="s">
        <v>223</v>
      </c>
      <c r="C11" s="215">
        <f t="shared" si="20"/>
        <v>0</v>
      </c>
      <c r="D11" s="215">
        <f>O11+AD11</f>
        <v>0</v>
      </c>
      <c r="E11" s="186">
        <v>100000</v>
      </c>
      <c r="F11" s="121">
        <f>VLOOKUP($AC$2,'ZG50%'!$B$4:$AH$35,33,FALSE)</f>
        <v>0</v>
      </c>
      <c r="G11" s="346">
        <f>VLOOKUP($AC$2,'ZG50%'!$B$4:$AG$35,3,FALSE)+VLOOKUP($AC$2,'ZG50%'!$B$4:$AG$35,5,FALSE)</f>
        <v>0</v>
      </c>
      <c r="H11" s="346">
        <f>VLOOKUP($AC$2,'ZG50%'!$B$4:$AG$35,4,FALSE)+VLOOKUP($AC$2,'ZG50%'!$B$4:$AH$35,6,FALSE)</f>
        <v>0</v>
      </c>
      <c r="I11" s="348">
        <f>VLOOKUP($AC$2,'ZG50%'!$B$4:$AG$35,26,FALSE)</f>
        <v>0</v>
      </c>
      <c r="J11" s="348">
        <f>VLOOKUP($AC$2,'ZG50%'!$B$4:$AG$35,8,FALSE)</f>
        <v>0</v>
      </c>
      <c r="K11" s="348">
        <f>VLOOKUP($AC$2,'ZG50%'!$B$4:$AG$35,27,FALSE)</f>
        <v>0</v>
      </c>
      <c r="L11" s="349">
        <f>VLOOKUP($AC$2,'ZG50%'!$B$4:$AG$35,12,FALSE)</f>
        <v>0</v>
      </c>
      <c r="M11" s="348">
        <f>VLOOKUP($AC$2,'ZG50%'!$B$4:$AG$35,30,FALSE)</f>
        <v>0</v>
      </c>
      <c r="N11" s="350">
        <f t="shared" si="10"/>
        <v>0</v>
      </c>
      <c r="O11" s="348">
        <f t="shared" si="10"/>
        <v>0</v>
      </c>
      <c r="P11" s="348">
        <f>VLOOKUP($AC$2,'ZG50%'!$B$4:$AG$35,17,FALSE)</f>
        <v>0</v>
      </c>
      <c r="Q11" s="348">
        <f>VLOOKUP($AC$2,'ZG50%'!$B$4:$AG$35,31,FALSE)</f>
        <v>0</v>
      </c>
      <c r="R11" s="348">
        <f>VLOOKUP($AC$2,'ZG50%'!$B$4:$AG$35,15,FALSE)</f>
        <v>0</v>
      </c>
      <c r="S11" s="348">
        <f>VLOOKUP($AC$2,'ZG50%'!$B$4:$AG$35,16,FALSE)</f>
        <v>0</v>
      </c>
      <c r="T11" s="348">
        <f>VLOOKUP($AC$2,'ZG50%'!$B$4:$AG$35,28,FALSE)</f>
        <v>0</v>
      </c>
      <c r="U11" s="348">
        <f t="shared" si="22"/>
        <v>0</v>
      </c>
      <c r="V11" s="348">
        <f t="shared" si="23"/>
        <v>0</v>
      </c>
      <c r="W11" s="348">
        <f t="shared" si="24"/>
        <v>0</v>
      </c>
      <c r="X11" s="348">
        <f t="shared" si="25"/>
        <v>0</v>
      </c>
      <c r="Y11" s="350">
        <f t="shared" si="26"/>
        <v>0</v>
      </c>
      <c r="Z11" s="348">
        <f t="shared" si="27"/>
        <v>0</v>
      </c>
      <c r="AA11" s="348">
        <f t="shared" si="28"/>
        <v>0</v>
      </c>
      <c r="AB11" s="350">
        <f t="shared" si="29"/>
        <v>0</v>
      </c>
      <c r="AC11" s="350">
        <f>VLOOKUP($AC$2,'ZG50%'!$B$4:$AG$35,29,FALSE)</f>
        <v>0</v>
      </c>
      <c r="AD11" s="351">
        <f t="shared" si="30"/>
        <v>0</v>
      </c>
      <c r="AE11" s="342"/>
    </row>
    <row r="12" spans="1:36" ht="44.25" customHeight="1">
      <c r="A12" s="402"/>
      <c r="B12" s="200" t="s">
        <v>227</v>
      </c>
      <c r="C12" s="215">
        <f>N12+Y12</f>
        <v>0</v>
      </c>
      <c r="D12" s="215">
        <f>O12+AD12</f>
        <v>2150.3225000000002</v>
      </c>
      <c r="E12" s="186"/>
      <c r="F12" s="121">
        <f>VLOOKUP($AC$2,'DG50%'!$B$4:$AH$35,33,FALSE)</f>
        <v>0</v>
      </c>
      <c r="G12" s="346">
        <f>VLOOKUP($AC$2,'DG50%'!$B$4:$AG$35,3,FALSE)+VLOOKUP($AC$2,'DG50%'!$B$4:$AG$35,5,FALSE)</f>
        <v>0</v>
      </c>
      <c r="H12" s="346">
        <f>VLOOKUP($AC$2,'DG50%'!$B$4:$AG$35,4,FALSE)+VLOOKUP($AC$2,'DG50%'!$B$4:$AH$35,6,FALSE)</f>
        <v>0</v>
      </c>
      <c r="I12" s="348">
        <f>VLOOKUP($AC$2,'DG50%'!$B$4:$AG$35,26,FALSE)</f>
        <v>88500</v>
      </c>
      <c r="J12" s="348">
        <f>VLOOKUP($AC$2,'DG50%'!$B$4:$AG$35,8,FALSE)</f>
        <v>0</v>
      </c>
      <c r="K12" s="348">
        <f>VLOOKUP($AC$2,'DG50%'!$B$4:$AG$35,27,FALSE)</f>
        <v>-7100</v>
      </c>
      <c r="L12" s="349">
        <f>VLOOKUP($AC$2,'DG50%'!$B$4:$AG$35,12,FALSE)</f>
        <v>0</v>
      </c>
      <c r="M12" s="348">
        <f>VLOOKUP($AC$2,'DG50%'!$B$4:$AG$35,30,FALSE)</f>
        <v>-4119</v>
      </c>
      <c r="N12" s="350">
        <f t="shared" si="10"/>
        <v>0</v>
      </c>
      <c r="O12" s="348">
        <f t="shared" si="10"/>
        <v>2059.5</v>
      </c>
      <c r="P12" s="348">
        <f>VLOOKUP($AC$2,'DG50%'!$B$4:$AG$35,17,FALSE)</f>
        <v>0</v>
      </c>
      <c r="Q12" s="348">
        <f>VLOOKUP($AC$2,'DG50%'!$B$4:$AG$35,31,FALSE)</f>
        <v>0</v>
      </c>
      <c r="R12" s="348">
        <f>VLOOKUP($AC$2,'DG50%'!$B$4:$AG$35,15,FALSE)</f>
        <v>0</v>
      </c>
      <c r="S12" s="348">
        <f>VLOOKUP($AC$2,'DG50%'!$B$4:$AG$35,16,FALSE)</f>
        <v>0</v>
      </c>
      <c r="T12" s="348">
        <f>VLOOKUP($AC$2,'DG50%'!$B$4:$AG$35,28,FALSE)</f>
        <v>10685</v>
      </c>
      <c r="U12" s="348">
        <f>-P12*1.7%</f>
        <v>0</v>
      </c>
      <c r="V12" s="348">
        <f>R12/2*1.7%</f>
        <v>0</v>
      </c>
      <c r="W12" s="348">
        <f>R12*1.7%</f>
        <v>0</v>
      </c>
      <c r="X12" s="348">
        <f>W12*50%</f>
        <v>0</v>
      </c>
      <c r="Y12" s="350">
        <f t="shared" ref="Y12" si="31">SUM(U12:V12)</f>
        <v>0</v>
      </c>
      <c r="Z12" s="348">
        <f t="shared" ref="Z12" si="32">T12*1.7%</f>
        <v>181.64500000000001</v>
      </c>
      <c r="AA12" s="348">
        <f t="shared" ref="AA12" si="33">Z12*50%</f>
        <v>90.822500000000005</v>
      </c>
      <c r="AB12" s="350">
        <f>Q12/2*1.7%</f>
        <v>0</v>
      </c>
      <c r="AC12" s="350">
        <f>VLOOKUP($AC$2,'DG50%'!$B$4:$AG$35,29,FALSE)</f>
        <v>90.822500000000019</v>
      </c>
      <c r="AD12" s="351">
        <f>Z12-AC12</f>
        <v>90.822499999999991</v>
      </c>
      <c r="AE12" s="342"/>
    </row>
    <row r="13" spans="1:36" ht="41.25" customHeight="1" thickBot="1">
      <c r="A13" s="402"/>
      <c r="B13" s="187" t="s">
        <v>224</v>
      </c>
      <c r="C13" s="215">
        <v>0</v>
      </c>
      <c r="D13" s="215">
        <v>0</v>
      </c>
      <c r="E13" s="186">
        <v>200000</v>
      </c>
      <c r="F13" s="121">
        <v>0</v>
      </c>
      <c r="G13" s="346">
        <v>0</v>
      </c>
      <c r="H13" s="346">
        <v>0</v>
      </c>
      <c r="I13" s="348">
        <v>0</v>
      </c>
      <c r="J13" s="348">
        <v>0</v>
      </c>
      <c r="K13" s="348">
        <v>0</v>
      </c>
      <c r="L13" s="349">
        <v>0</v>
      </c>
      <c r="M13" s="348">
        <v>0</v>
      </c>
      <c r="N13" s="225">
        <v>0</v>
      </c>
      <c r="O13" s="188">
        <v>0</v>
      </c>
      <c r="P13" s="348">
        <v>0</v>
      </c>
      <c r="Q13" s="348">
        <v>0</v>
      </c>
      <c r="R13" s="348">
        <v>0</v>
      </c>
      <c r="S13" s="348">
        <v>0</v>
      </c>
      <c r="T13" s="348">
        <v>0</v>
      </c>
      <c r="U13" s="188">
        <f t="shared" si="1"/>
        <v>0</v>
      </c>
      <c r="V13" s="188">
        <f t="shared" si="2"/>
        <v>0</v>
      </c>
      <c r="W13" s="188">
        <f t="shared" si="3"/>
        <v>0</v>
      </c>
      <c r="X13" s="188">
        <f t="shared" si="4"/>
        <v>0</v>
      </c>
      <c r="Y13" s="225">
        <f t="shared" si="5"/>
        <v>0</v>
      </c>
      <c r="Z13" s="188">
        <v>0</v>
      </c>
      <c r="AA13" s="188">
        <v>0</v>
      </c>
      <c r="AB13" s="225">
        <f t="shared" si="8"/>
        <v>0</v>
      </c>
      <c r="AC13" s="350">
        <v>0</v>
      </c>
      <c r="AD13" s="261">
        <v>0</v>
      </c>
      <c r="AE13" s="262"/>
    </row>
    <row r="14" spans="1:36" ht="44.25" customHeight="1" thickBot="1">
      <c r="A14" s="402"/>
      <c r="B14" s="189" t="s">
        <v>99</v>
      </c>
      <c r="C14" s="216">
        <f t="shared" ref="C14:W14" si="34">SUM(C4:C13)</f>
        <v>535061.27250000008</v>
      </c>
      <c r="D14" s="263">
        <f t="shared" si="34"/>
        <v>15701870.257999999</v>
      </c>
      <c r="E14" s="122">
        <f t="shared" si="34"/>
        <v>4700000</v>
      </c>
      <c r="F14" s="122">
        <f t="shared" si="34"/>
        <v>0</v>
      </c>
      <c r="G14" s="122">
        <f>SUM(G4:G13)</f>
        <v>796650</v>
      </c>
      <c r="H14" s="122">
        <f t="shared" si="34"/>
        <v>-150620</v>
      </c>
      <c r="I14" s="122">
        <f t="shared" si="34"/>
        <v>4042327</v>
      </c>
      <c r="J14" s="122">
        <f t="shared" si="34"/>
        <v>0</v>
      </c>
      <c r="K14" s="122">
        <f>SUM(K4:K13)</f>
        <v>2460425</v>
      </c>
      <c r="L14" s="122">
        <f t="shared" si="34"/>
        <v>-603900</v>
      </c>
      <c r="M14" s="122">
        <f t="shared" si="34"/>
        <v>-2546449.75</v>
      </c>
      <c r="N14" s="226">
        <f t="shared" si="34"/>
        <v>481950</v>
      </c>
      <c r="O14" s="122">
        <f t="shared" si="34"/>
        <v>768414.875</v>
      </c>
      <c r="P14" s="122">
        <f t="shared" si="34"/>
        <v>159200</v>
      </c>
      <c r="Q14" s="122">
        <f t="shared" si="34"/>
        <v>586118.75</v>
      </c>
      <c r="R14" s="122">
        <f t="shared" si="34"/>
        <v>6402385</v>
      </c>
      <c r="S14" s="122">
        <f t="shared" si="34"/>
        <v>6536000</v>
      </c>
      <c r="T14" s="122">
        <f t="shared" si="34"/>
        <v>54361850</v>
      </c>
      <c r="U14" s="122">
        <f t="shared" si="34"/>
        <v>-2706.4000000000005</v>
      </c>
      <c r="V14" s="122">
        <f t="shared" si="34"/>
        <v>54420.272499999999</v>
      </c>
      <c r="W14" s="122">
        <f t="shared" si="34"/>
        <v>108840.545</v>
      </c>
      <c r="X14" s="122">
        <f t="shared" ref="X14:AE14" si="35">SUM(X4:X13)</f>
        <v>54420.272499999999</v>
      </c>
      <c r="Y14" s="122">
        <f t="shared" si="35"/>
        <v>51713.872500000005</v>
      </c>
      <c r="Z14" s="122">
        <f t="shared" si="35"/>
        <v>924151.45000000007</v>
      </c>
      <c r="AA14" s="122">
        <f t="shared" si="35"/>
        <v>462075.72500000003</v>
      </c>
      <c r="AB14" s="122">
        <f t="shared" si="35"/>
        <v>4982.0093750000005</v>
      </c>
      <c r="AC14" s="122">
        <f t="shared" si="35"/>
        <v>14024150.067</v>
      </c>
      <c r="AD14" s="202">
        <f t="shared" si="35"/>
        <v>-13099998.617000001</v>
      </c>
      <c r="AE14" s="201">
        <f t="shared" si="35"/>
        <v>0</v>
      </c>
    </row>
    <row r="15" spans="1:36" ht="11.25" customHeight="1">
      <c r="A15" s="402"/>
      <c r="B15" s="190"/>
      <c r="C15" s="190"/>
      <c r="D15" s="190"/>
      <c r="E15" s="190"/>
      <c r="F15" s="190"/>
      <c r="G15" s="191"/>
      <c r="H15" s="191"/>
      <c r="I15" s="191"/>
      <c r="J15" s="191"/>
      <c r="K15" s="191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</row>
    <row r="16" spans="1:36" ht="8.25" customHeight="1">
      <c r="A16" s="402"/>
      <c r="B16" s="190"/>
      <c r="C16" s="190"/>
      <c r="D16" s="190"/>
      <c r="E16" s="406"/>
      <c r="F16" s="406"/>
      <c r="G16" s="406"/>
      <c r="H16" s="406"/>
      <c r="I16" s="406"/>
      <c r="J16" s="406"/>
      <c r="K16" s="406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</row>
    <row r="17" spans="1:36" ht="39" customHeight="1">
      <c r="A17" s="402"/>
      <c r="B17" s="239" t="s">
        <v>162</v>
      </c>
      <c r="C17" s="192"/>
      <c r="D17" s="192"/>
      <c r="E17" s="192"/>
      <c r="F17" s="233" t="s">
        <v>161</v>
      </c>
      <c r="G17" s="407">
        <f>AC2</f>
        <v>44610</v>
      </c>
      <c r="H17" s="408"/>
      <c r="I17" s="232" t="s">
        <v>126</v>
      </c>
      <c r="J17" s="232" t="s">
        <v>127</v>
      </c>
      <c r="K17" s="409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</row>
    <row r="18" spans="1:36" ht="20.25" customHeight="1">
      <c r="A18" s="402"/>
      <c r="B18" s="204">
        <v>1453243.125</v>
      </c>
      <c r="F18" s="234" t="s">
        <v>153</v>
      </c>
      <c r="G18" s="403" t="s">
        <v>133</v>
      </c>
      <c r="H18" s="404"/>
      <c r="I18" s="231">
        <f>I20-I19</f>
        <v>113461</v>
      </c>
      <c r="J18" s="231">
        <f>B18+I18</f>
        <v>1566704.125</v>
      </c>
      <c r="K18" s="409"/>
    </row>
    <row r="19" spans="1:36" ht="20.25" customHeight="1">
      <c r="A19" s="402"/>
      <c r="B19" s="204">
        <v>646866.875</v>
      </c>
      <c r="F19" s="234" t="s">
        <v>152</v>
      </c>
      <c r="G19" s="403" t="s">
        <v>134</v>
      </c>
      <c r="H19" s="404"/>
      <c r="I19" s="231">
        <f>N14</f>
        <v>481950</v>
      </c>
      <c r="J19" s="285">
        <f>B19+I19</f>
        <v>1128816.875</v>
      </c>
      <c r="K19" s="409"/>
    </row>
    <row r="20" spans="1:36" ht="20.25" customHeight="1">
      <c r="A20" s="402"/>
      <c r="B20" s="204">
        <v>1948864.5</v>
      </c>
      <c r="C20" s="310"/>
      <c r="F20" s="234" t="s">
        <v>128</v>
      </c>
      <c r="G20" s="403" t="s">
        <v>135</v>
      </c>
      <c r="H20" s="404"/>
      <c r="I20" s="337">
        <v>595411</v>
      </c>
      <c r="J20" s="238">
        <f>B20+I20</f>
        <v>2544275.5</v>
      </c>
      <c r="K20" s="409"/>
    </row>
    <row r="21" spans="1:36" ht="20.25" customHeight="1">
      <c r="A21" s="402"/>
      <c r="B21" s="204"/>
      <c r="F21" s="234"/>
      <c r="G21" s="235"/>
      <c r="H21" s="236"/>
      <c r="I21" s="238"/>
      <c r="J21" s="231"/>
      <c r="K21" s="409"/>
    </row>
    <row r="22" spans="1:36" ht="20.25" customHeight="1">
      <c r="A22" s="402"/>
      <c r="B22" s="204">
        <v>650829.875</v>
      </c>
      <c r="F22" s="234" t="s">
        <v>129</v>
      </c>
      <c r="G22" s="403" t="s">
        <v>136</v>
      </c>
      <c r="H22" s="404"/>
      <c r="I22" s="231">
        <f>N14</f>
        <v>481950</v>
      </c>
      <c r="J22" s="285">
        <f>O14</f>
        <v>768414.875</v>
      </c>
      <c r="K22" s="409"/>
    </row>
    <row r="23" spans="1:36" ht="20.25" customHeight="1">
      <c r="B23" s="204">
        <v>-13052633.117000001</v>
      </c>
      <c r="F23" s="234" t="s">
        <v>154</v>
      </c>
      <c r="G23" s="403" t="s">
        <v>137</v>
      </c>
      <c r="H23" s="404"/>
      <c r="I23" s="231">
        <f>X14</f>
        <v>54420.272499999999</v>
      </c>
      <c r="J23" s="231">
        <f>AD14</f>
        <v>-13099998.617000001</v>
      </c>
      <c r="K23" s="409"/>
    </row>
    <row r="24" spans="1:36" ht="20.25" customHeight="1">
      <c r="B24" s="204">
        <v>14228142.946</v>
      </c>
      <c r="F24" s="234" t="s">
        <v>155</v>
      </c>
      <c r="G24" s="403" t="s">
        <v>138</v>
      </c>
      <c r="H24" s="404"/>
      <c r="I24" s="231">
        <f>I28-I23</f>
        <v>59325.418500000007</v>
      </c>
      <c r="J24" s="231">
        <f>J28-J23</f>
        <v>14389254.137</v>
      </c>
      <c r="K24" s="409"/>
    </row>
    <row r="25" spans="1:36" ht="20.25" customHeight="1">
      <c r="B25" s="204">
        <v>122524.79600000009</v>
      </c>
      <c r="F25" s="237" t="s">
        <v>130</v>
      </c>
      <c r="G25" s="403" t="s">
        <v>139</v>
      </c>
      <c r="H25" s="404"/>
      <c r="I25" s="231">
        <f>I20-I22-I23-I24</f>
        <v>-284.69100000000617</v>
      </c>
      <c r="J25" s="231">
        <f>J20-J22-J23-J24</f>
        <v>486605.10500000045</v>
      </c>
      <c r="K25" s="409"/>
    </row>
    <row r="26" spans="1:36" ht="20.25" customHeight="1">
      <c r="B26" s="204"/>
      <c r="F26" s="237"/>
      <c r="G26" s="235"/>
      <c r="H26" s="236"/>
      <c r="I26" s="231"/>
      <c r="J26" s="231"/>
      <c r="K26" s="409"/>
    </row>
    <row r="27" spans="1:36" ht="20.25" customHeight="1">
      <c r="B27" s="204">
        <v>69147637</v>
      </c>
      <c r="F27" s="234" t="s">
        <v>131</v>
      </c>
      <c r="G27" s="403" t="s">
        <v>140</v>
      </c>
      <c r="H27" s="404"/>
      <c r="I27" s="337">
        <v>6690923</v>
      </c>
      <c r="J27" s="285">
        <f>B27+I27</f>
        <v>75838560</v>
      </c>
      <c r="K27" s="409"/>
    </row>
    <row r="28" spans="1:36" ht="20.25" customHeight="1">
      <c r="B28" s="205">
        <v>1175509.8290000001</v>
      </c>
      <c r="F28" s="234" t="s">
        <v>132</v>
      </c>
      <c r="G28" s="403" t="s">
        <v>48</v>
      </c>
      <c r="H28" s="404"/>
      <c r="I28" s="231">
        <f>I27*1.7%</f>
        <v>113745.69100000001</v>
      </c>
      <c r="J28" s="231">
        <f>J27*1.7%</f>
        <v>1289255.52</v>
      </c>
      <c r="K28" s="409"/>
      <c r="M28" s="193"/>
    </row>
    <row r="29" spans="1:36" ht="15" customHeight="1">
      <c r="F29" s="176"/>
      <c r="G29" s="176"/>
      <c r="H29" s="176"/>
      <c r="I29" s="176"/>
      <c r="J29" s="176"/>
      <c r="K29" s="409"/>
      <c r="L29" s="176"/>
    </row>
    <row r="30" spans="1:36" ht="18.75" customHeight="1">
      <c r="F30" s="176"/>
      <c r="G30" s="176"/>
      <c r="H30" s="176"/>
      <c r="I30" s="176"/>
      <c r="J30" s="176"/>
      <c r="K30" s="176"/>
      <c r="L30" s="176"/>
    </row>
    <row r="31" spans="1:36">
      <c r="F31" s="176"/>
      <c r="G31" s="176"/>
      <c r="H31" s="176"/>
      <c r="I31" s="176"/>
      <c r="J31" s="176"/>
      <c r="K31" s="176"/>
      <c r="L31" s="176"/>
    </row>
    <row r="32" spans="1:36">
      <c r="F32" s="176"/>
      <c r="G32" s="176"/>
      <c r="H32" s="176"/>
      <c r="I32" s="176"/>
      <c r="J32" s="176"/>
      <c r="K32" s="176"/>
      <c r="L32" s="176"/>
    </row>
    <row r="33" spans="6:12">
      <c r="F33" s="176"/>
      <c r="G33" s="176"/>
      <c r="H33" s="176"/>
      <c r="I33" s="176"/>
      <c r="J33" s="176"/>
      <c r="K33" s="176"/>
      <c r="L33" s="176"/>
    </row>
    <row r="34" spans="6:12">
      <c r="F34" s="176"/>
      <c r="G34" s="176"/>
      <c r="H34" s="176"/>
      <c r="I34" s="176"/>
      <c r="J34" s="176"/>
      <c r="K34" s="176"/>
      <c r="L34" s="176"/>
    </row>
    <row r="35" spans="6:12">
      <c r="F35" s="176"/>
      <c r="G35" s="176"/>
      <c r="H35" s="176"/>
      <c r="I35" s="176"/>
      <c r="J35" s="176"/>
      <c r="K35" s="176"/>
      <c r="L35" s="176"/>
    </row>
    <row r="68" spans="2:2">
      <c r="B68" s="177">
        <v>384517</v>
      </c>
    </row>
    <row r="69" spans="2:2">
      <c r="B69" s="177">
        <v>465977</v>
      </c>
    </row>
    <row r="70" spans="2:2">
      <c r="B70" s="177">
        <v>850494</v>
      </c>
    </row>
  </sheetData>
  <mergeCells count="16">
    <mergeCell ref="B1:Y1"/>
    <mergeCell ref="E16:K16"/>
    <mergeCell ref="G18:H18"/>
    <mergeCell ref="G19:H19"/>
    <mergeCell ref="G20:H20"/>
    <mergeCell ref="G17:H17"/>
    <mergeCell ref="K17:K29"/>
    <mergeCell ref="B2:AA2"/>
    <mergeCell ref="G27:H27"/>
    <mergeCell ref="G28:H28"/>
    <mergeCell ref="G25:H25"/>
    <mergeCell ref="AC2:AD2"/>
    <mergeCell ref="A2:A22"/>
    <mergeCell ref="G22:H22"/>
    <mergeCell ref="G23:H23"/>
    <mergeCell ref="G24:H24"/>
  </mergeCells>
  <printOptions horizontalCentered="1"/>
  <pageMargins left="0.12" right="0.12" top="0.33" bottom="0.24" header="0.3" footer="0.12"/>
  <pageSetup scale="27" orientation="landscape" horizontalDpi="360" verticalDpi="360" r:id="rId1"/>
  <colBreaks count="1" manualBreakCount="1">
    <brk id="30" max="2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FF00"/>
    <pageSetUpPr fitToPage="1"/>
  </sheetPr>
  <dimension ref="B1:AH76"/>
  <sheetViews>
    <sheetView showGridLines="0" zoomScale="70" zoomScaleNormal="70" zoomScaleSheetLayoutView="85" workbookViewId="0">
      <pane ySplit="3" topLeftCell="A31" activePane="bottomLeft" state="frozen"/>
      <selection activeCell="Q50" sqref="Q50"/>
      <selection pane="bottomLeft" activeCell="F56" sqref="F56"/>
    </sheetView>
  </sheetViews>
  <sheetFormatPr defaultRowHeight="15"/>
  <cols>
    <col min="1" max="1" width="1" style="124" customWidth="1"/>
    <col min="2" max="2" width="12.28515625" style="123" bestFit="1" customWidth="1"/>
    <col min="3" max="3" width="13.85546875" style="123" customWidth="1"/>
    <col min="4" max="5" width="12.28515625" style="123" customWidth="1"/>
    <col min="6" max="6" width="14.140625" style="123" customWidth="1"/>
    <col min="7" max="7" width="14.42578125" style="123" bestFit="1" customWidth="1"/>
    <col min="8" max="8" width="14.85546875" style="123" customWidth="1"/>
    <col min="9" max="11" width="15.42578125" style="124" customWidth="1"/>
    <col min="12" max="14" width="17.42578125" style="124" customWidth="1"/>
    <col min="15" max="15" width="13.5703125" style="124" bestFit="1" customWidth="1"/>
    <col min="16" max="16" width="14.140625" style="124" bestFit="1" customWidth="1"/>
    <col min="17" max="19" width="19" style="124" customWidth="1"/>
    <col min="20" max="20" width="18.42578125" style="124" customWidth="1"/>
    <col min="21" max="21" width="13.85546875" style="124" customWidth="1"/>
    <col min="22" max="23" width="13.7109375" style="124" customWidth="1"/>
    <col min="24" max="24" width="24.140625" style="124" bestFit="1" customWidth="1"/>
    <col min="25" max="25" width="1.5703125" style="124" customWidth="1"/>
    <col min="26" max="26" width="9.140625" style="124" customWidth="1"/>
    <col min="27" max="27" width="8.85546875" style="124" customWidth="1"/>
    <col min="28" max="28" width="10.140625" style="124" customWidth="1"/>
    <col min="29" max="29" width="12.140625" style="124" customWidth="1"/>
    <col min="30" max="30" width="9.140625" style="124" customWidth="1"/>
    <col min="31" max="31" width="11.28515625" style="124" bestFit="1" customWidth="1"/>
    <col min="32" max="32" width="11" style="124" customWidth="1"/>
    <col min="33" max="33" width="7.140625" style="124" customWidth="1"/>
    <col min="34" max="34" width="10.42578125" style="124" customWidth="1"/>
    <col min="35" max="35" width="10.5703125" style="124" customWidth="1"/>
    <col min="36" max="16384" width="9.140625" style="124"/>
  </cols>
  <sheetData>
    <row r="1" spans="2:34" ht="24.75" customHeight="1" thickBot="1"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</row>
    <row r="2" spans="2:34" ht="28.5" customHeight="1" thickBot="1">
      <c r="B2" s="414" t="s">
        <v>231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415"/>
      <c r="X2" s="416"/>
    </row>
    <row r="3" spans="2:34" ht="60.75" thickBot="1">
      <c r="B3" s="125" t="s">
        <v>94</v>
      </c>
      <c r="C3" s="126" t="s">
        <v>121</v>
      </c>
      <c r="D3" s="126" t="s">
        <v>185</v>
      </c>
      <c r="E3" s="126" t="s">
        <v>187</v>
      </c>
      <c r="F3" s="126" t="s">
        <v>188</v>
      </c>
      <c r="G3" s="126" t="s">
        <v>186</v>
      </c>
      <c r="H3" s="126" t="s">
        <v>163</v>
      </c>
      <c r="I3" s="127" t="s">
        <v>111</v>
      </c>
      <c r="J3" s="127" t="s">
        <v>211</v>
      </c>
      <c r="K3" s="127" t="s">
        <v>183</v>
      </c>
      <c r="L3" s="127" t="s">
        <v>180</v>
      </c>
      <c r="M3" s="127" t="s">
        <v>181</v>
      </c>
      <c r="N3" s="127" t="s">
        <v>182</v>
      </c>
      <c r="O3" s="128">
        <v>-0.5</v>
      </c>
      <c r="P3" s="157">
        <f>-100%-O3</f>
        <v>-0.5</v>
      </c>
      <c r="Q3" s="127" t="s">
        <v>141</v>
      </c>
      <c r="R3" s="127" t="s">
        <v>142</v>
      </c>
      <c r="S3" s="127" t="s">
        <v>208</v>
      </c>
      <c r="T3" s="127" t="s">
        <v>125</v>
      </c>
      <c r="U3" s="206" t="s">
        <v>143</v>
      </c>
      <c r="V3" s="127" t="s">
        <v>97</v>
      </c>
      <c r="W3" s="127" t="s">
        <v>144</v>
      </c>
      <c r="X3" s="129" t="s">
        <v>96</v>
      </c>
      <c r="AA3" s="130" t="s">
        <v>106</v>
      </c>
      <c r="AB3" s="130" t="s">
        <v>95</v>
      </c>
      <c r="AC3" s="130" t="s">
        <v>107</v>
      </c>
      <c r="AD3" s="131" t="s">
        <v>108</v>
      </c>
      <c r="AE3" s="131" t="s">
        <v>109</v>
      </c>
      <c r="AF3" s="130" t="s">
        <v>147</v>
      </c>
      <c r="AG3" s="130" t="s">
        <v>110</v>
      </c>
      <c r="AH3" s="130" t="s">
        <v>120</v>
      </c>
    </row>
    <row r="4" spans="2:34" ht="26.25" customHeight="1">
      <c r="B4" s="132">
        <v>44593</v>
      </c>
      <c r="C4" s="240">
        <v>1624940</v>
      </c>
      <c r="D4" s="240">
        <v>0</v>
      </c>
      <c r="E4" s="240">
        <v>0</v>
      </c>
      <c r="F4" s="240">
        <v>56000</v>
      </c>
      <c r="G4" s="240">
        <v>-50000</v>
      </c>
      <c r="H4" s="167">
        <f>SUM(C4:G4)</f>
        <v>1630940</v>
      </c>
      <c r="I4" s="133">
        <v>0</v>
      </c>
      <c r="J4" s="133">
        <v>-1850</v>
      </c>
      <c r="K4" s="133">
        <v>0</v>
      </c>
      <c r="L4" s="256">
        <f>-F4-G4-I4-K4</f>
        <v>-6000</v>
      </c>
      <c r="M4" s="133">
        <v>-3200</v>
      </c>
      <c r="N4" s="256">
        <f>L4+M4-J4*2</f>
        <v>-5500</v>
      </c>
      <c r="O4" s="321">
        <f>N4*$O$3-J4</f>
        <v>4600</v>
      </c>
      <c r="P4" s="321">
        <f>N4*$P$3-J4</f>
        <v>4600</v>
      </c>
      <c r="Q4" s="134">
        <v>341060</v>
      </c>
      <c r="R4" s="210">
        <f>Q4-S4</f>
        <v>341060</v>
      </c>
      <c r="S4" s="134">
        <v>0</v>
      </c>
      <c r="T4" s="159">
        <f>S4*1.7%</f>
        <v>0</v>
      </c>
      <c r="U4" s="158">
        <f>R4*1.7%</f>
        <v>5798.02</v>
      </c>
      <c r="V4" s="158">
        <f>SUM(T4:U4)</f>
        <v>5798.02</v>
      </c>
      <c r="W4" s="293">
        <f>V4*50%</f>
        <v>2899.01</v>
      </c>
      <c r="X4" s="286">
        <f>O4+W4-T4</f>
        <v>7499.01</v>
      </c>
      <c r="AA4" s="164">
        <f>H4</f>
        <v>1630940</v>
      </c>
      <c r="AB4" s="165">
        <f>I4+K4</f>
        <v>0</v>
      </c>
      <c r="AC4" s="165">
        <f>R4</f>
        <v>341060</v>
      </c>
      <c r="AD4" s="165">
        <f>W4</f>
        <v>2899.01</v>
      </c>
      <c r="AE4" s="165">
        <f>N4</f>
        <v>-5500</v>
      </c>
      <c r="AF4" s="165">
        <f>S4</f>
        <v>0</v>
      </c>
      <c r="AG4" s="165"/>
      <c r="AH4" s="213">
        <f>C4</f>
        <v>1624940</v>
      </c>
    </row>
    <row r="5" spans="2:34" ht="26.25" customHeight="1">
      <c r="B5" s="166">
        <f>B4+1</f>
        <v>44594</v>
      </c>
      <c r="C5" s="221">
        <v>0</v>
      </c>
      <c r="D5" s="221">
        <v>0</v>
      </c>
      <c r="E5" s="221">
        <v>0</v>
      </c>
      <c r="F5" s="291">
        <v>150000</v>
      </c>
      <c r="G5" s="291">
        <v>-130000</v>
      </c>
      <c r="H5" s="292">
        <f>SUM(C5:G5)</f>
        <v>20000</v>
      </c>
      <c r="I5" s="136">
        <v>0</v>
      </c>
      <c r="J5" s="136">
        <v>-31000</v>
      </c>
      <c r="K5" s="136">
        <v>0</v>
      </c>
      <c r="L5" s="256">
        <f>-F5-G5-I5-K5</f>
        <v>-20000</v>
      </c>
      <c r="M5" s="136">
        <v>0</v>
      </c>
      <c r="N5" s="256">
        <f t="shared" ref="N5:N34" si="0">L5+M5-J5*2</f>
        <v>42000</v>
      </c>
      <c r="O5" s="159">
        <f t="shared" ref="O5:O34" si="1">N5*$O$3-J5</f>
        <v>10000</v>
      </c>
      <c r="P5" s="159">
        <f t="shared" ref="P5:P34" si="2">N5*$P$3-J5</f>
        <v>10000</v>
      </c>
      <c r="Q5" s="135">
        <v>481675</v>
      </c>
      <c r="R5" s="211">
        <f>Q5-S5</f>
        <v>481675</v>
      </c>
      <c r="S5" s="135">
        <v>0</v>
      </c>
      <c r="T5" s="159">
        <f>S5*1.7%</f>
        <v>0</v>
      </c>
      <c r="U5" s="159">
        <f>R5*1.7%</f>
        <v>8188.4750000000004</v>
      </c>
      <c r="V5" s="159">
        <f>SUM(T5:U5)</f>
        <v>8188.4750000000004</v>
      </c>
      <c r="W5" s="294">
        <f>V5*50%</f>
        <v>4094.2375000000002</v>
      </c>
      <c r="X5" s="162">
        <f>O5+W5-T5</f>
        <v>14094.237499999999</v>
      </c>
      <c r="AA5" s="164">
        <f t="shared" ref="AA5:AA34" si="3">AA4+H5</f>
        <v>1650940</v>
      </c>
      <c r="AB5" s="165">
        <f t="shared" ref="AB5:AB34" si="4">AB4+I5+K5</f>
        <v>0</v>
      </c>
      <c r="AC5" s="165">
        <f t="shared" ref="AC5:AC34" si="5">R5+AC4</f>
        <v>822735</v>
      </c>
      <c r="AD5" s="165">
        <f>W5+AD4</f>
        <v>6993.2475000000004</v>
      </c>
      <c r="AE5" s="165">
        <f t="shared" ref="AE5:AE34" si="6">AE4+N5</f>
        <v>36500</v>
      </c>
      <c r="AF5" s="165">
        <f t="shared" ref="AF5:AF34" si="7">S5+AF4</f>
        <v>0</v>
      </c>
      <c r="AG5" s="165"/>
      <c r="AH5" s="230">
        <f t="shared" ref="AH5:AH34" si="8">C5+AH4</f>
        <v>1624940</v>
      </c>
    </row>
    <row r="6" spans="2:34" ht="26.25" customHeight="1">
      <c r="B6" s="166">
        <f t="shared" ref="B6:B34" si="9">B5+1</f>
        <v>44595</v>
      </c>
      <c r="C6" s="221">
        <v>0</v>
      </c>
      <c r="D6" s="221">
        <v>0</v>
      </c>
      <c r="E6" s="221">
        <v>0</v>
      </c>
      <c r="F6" s="291">
        <v>120000</v>
      </c>
      <c r="G6" s="291">
        <v>-50000</v>
      </c>
      <c r="H6" s="292">
        <f t="shared" ref="H6:H33" si="10">SUM(C6:G6)</f>
        <v>70000</v>
      </c>
      <c r="I6" s="136">
        <v>0</v>
      </c>
      <c r="J6" s="136">
        <v>0</v>
      </c>
      <c r="K6" s="136">
        <v>0</v>
      </c>
      <c r="L6" s="256">
        <f t="shared" ref="L6:L33" si="11">-F6-G6-I6-K6</f>
        <v>-70000</v>
      </c>
      <c r="M6" s="136">
        <v>0</v>
      </c>
      <c r="N6" s="256">
        <f t="shared" si="0"/>
        <v>-70000</v>
      </c>
      <c r="O6" s="159">
        <f t="shared" si="1"/>
        <v>35000</v>
      </c>
      <c r="P6" s="159">
        <f t="shared" si="2"/>
        <v>35000</v>
      </c>
      <c r="Q6" s="135">
        <v>145735</v>
      </c>
      <c r="R6" s="211">
        <f>Q6-S6</f>
        <v>145735</v>
      </c>
      <c r="S6" s="135">
        <v>0</v>
      </c>
      <c r="T6" s="159">
        <f t="shared" ref="T6:T33" si="12">S6*1.7%</f>
        <v>0</v>
      </c>
      <c r="U6" s="159">
        <f t="shared" ref="U6:U33" si="13">R6*1.7%</f>
        <v>2477.4950000000003</v>
      </c>
      <c r="V6" s="159">
        <f t="shared" ref="V6:V33" si="14">SUM(T6:U6)</f>
        <v>2477.4950000000003</v>
      </c>
      <c r="W6" s="294">
        <f t="shared" ref="W6:W34" si="15">V6*50%</f>
        <v>1238.7475000000002</v>
      </c>
      <c r="X6" s="162">
        <f t="shared" ref="X6:X34" si="16">O6+W6-T6</f>
        <v>36238.747499999998</v>
      </c>
      <c r="AA6" s="164">
        <f t="shared" si="3"/>
        <v>1720940</v>
      </c>
      <c r="AB6" s="165">
        <f t="shared" si="4"/>
        <v>0</v>
      </c>
      <c r="AC6" s="165">
        <f t="shared" si="5"/>
        <v>968470</v>
      </c>
      <c r="AD6" s="165">
        <f t="shared" ref="AD6:AD34" si="17">W6+AD5</f>
        <v>8231.9950000000008</v>
      </c>
      <c r="AE6" s="165">
        <f t="shared" si="6"/>
        <v>-33500</v>
      </c>
      <c r="AF6" s="165">
        <f t="shared" si="7"/>
        <v>0</v>
      </c>
      <c r="AG6" s="165"/>
      <c r="AH6" s="230">
        <f t="shared" si="8"/>
        <v>1624940</v>
      </c>
    </row>
    <row r="7" spans="2:34" ht="26.25" customHeight="1">
      <c r="B7" s="166">
        <f t="shared" si="9"/>
        <v>44596</v>
      </c>
      <c r="C7" s="221">
        <v>0</v>
      </c>
      <c r="D7" s="221">
        <v>0</v>
      </c>
      <c r="E7" s="221">
        <v>0</v>
      </c>
      <c r="F7" s="291">
        <v>50000</v>
      </c>
      <c r="G7" s="291">
        <v>-10000</v>
      </c>
      <c r="H7" s="292">
        <f t="shared" si="10"/>
        <v>40000</v>
      </c>
      <c r="I7" s="136">
        <v>0</v>
      </c>
      <c r="J7" s="136">
        <v>0</v>
      </c>
      <c r="K7" s="136">
        <v>0</v>
      </c>
      <c r="L7" s="256">
        <f>-F7-G7-I7-K7</f>
        <v>-40000</v>
      </c>
      <c r="M7" s="136">
        <v>0</v>
      </c>
      <c r="N7" s="256">
        <f t="shared" si="0"/>
        <v>-40000</v>
      </c>
      <c r="O7" s="159">
        <f t="shared" si="1"/>
        <v>20000</v>
      </c>
      <c r="P7" s="159">
        <f t="shared" si="2"/>
        <v>20000</v>
      </c>
      <c r="Q7" s="135">
        <v>157960</v>
      </c>
      <c r="R7" s="211">
        <f t="shared" ref="R7:R33" si="18">Q7-S7</f>
        <v>157960</v>
      </c>
      <c r="S7" s="135">
        <v>0</v>
      </c>
      <c r="T7" s="159">
        <f t="shared" si="12"/>
        <v>0</v>
      </c>
      <c r="U7" s="159">
        <f t="shared" si="13"/>
        <v>2685.32</v>
      </c>
      <c r="V7" s="159">
        <f t="shared" si="14"/>
        <v>2685.32</v>
      </c>
      <c r="W7" s="294">
        <f t="shared" si="15"/>
        <v>1342.66</v>
      </c>
      <c r="X7" s="162">
        <f t="shared" si="16"/>
        <v>21342.66</v>
      </c>
      <c r="AA7" s="164">
        <f t="shared" si="3"/>
        <v>1760940</v>
      </c>
      <c r="AB7" s="165">
        <f t="shared" si="4"/>
        <v>0</v>
      </c>
      <c r="AC7" s="165">
        <f t="shared" si="5"/>
        <v>1126430</v>
      </c>
      <c r="AD7" s="165">
        <f t="shared" si="17"/>
        <v>9574.6550000000007</v>
      </c>
      <c r="AE7" s="165">
        <f t="shared" si="6"/>
        <v>-73500</v>
      </c>
      <c r="AF7" s="165">
        <f t="shared" si="7"/>
        <v>0</v>
      </c>
      <c r="AG7" s="165"/>
      <c r="AH7" s="230">
        <f t="shared" si="8"/>
        <v>1624940</v>
      </c>
    </row>
    <row r="8" spans="2:34" ht="26.25" customHeight="1">
      <c r="B8" s="166">
        <f t="shared" si="9"/>
        <v>44597</v>
      </c>
      <c r="C8" s="221">
        <v>0</v>
      </c>
      <c r="D8" s="221">
        <v>0</v>
      </c>
      <c r="E8" s="221">
        <v>0</v>
      </c>
      <c r="F8" s="221">
        <v>70000</v>
      </c>
      <c r="G8" s="221">
        <v>-50000</v>
      </c>
      <c r="H8" s="168">
        <f t="shared" si="10"/>
        <v>20000</v>
      </c>
      <c r="I8" s="137">
        <v>0</v>
      </c>
      <c r="J8" s="137">
        <v>0</v>
      </c>
      <c r="K8" s="137">
        <v>0</v>
      </c>
      <c r="L8" s="256">
        <f t="shared" si="11"/>
        <v>-20000</v>
      </c>
      <c r="M8" s="136">
        <v>1000</v>
      </c>
      <c r="N8" s="256">
        <f t="shared" si="0"/>
        <v>-19000</v>
      </c>
      <c r="O8" s="159">
        <f t="shared" si="1"/>
        <v>9500</v>
      </c>
      <c r="P8" s="159">
        <f t="shared" si="2"/>
        <v>9500</v>
      </c>
      <c r="Q8" s="135">
        <v>7000</v>
      </c>
      <c r="R8" s="211">
        <f t="shared" si="18"/>
        <v>7000</v>
      </c>
      <c r="S8" s="135">
        <v>0</v>
      </c>
      <c r="T8" s="159">
        <f t="shared" si="12"/>
        <v>0</v>
      </c>
      <c r="U8" s="159">
        <f t="shared" si="13"/>
        <v>119.00000000000001</v>
      </c>
      <c r="V8" s="159">
        <f t="shared" si="14"/>
        <v>119.00000000000001</v>
      </c>
      <c r="W8" s="294">
        <f t="shared" si="15"/>
        <v>59.500000000000007</v>
      </c>
      <c r="X8" s="162">
        <f t="shared" si="16"/>
        <v>9559.5</v>
      </c>
      <c r="AA8" s="164">
        <f t="shared" si="3"/>
        <v>1780940</v>
      </c>
      <c r="AB8" s="165">
        <f t="shared" si="4"/>
        <v>0</v>
      </c>
      <c r="AC8" s="165">
        <f t="shared" si="5"/>
        <v>1133430</v>
      </c>
      <c r="AD8" s="165">
        <f t="shared" si="17"/>
        <v>9634.1550000000007</v>
      </c>
      <c r="AE8" s="165">
        <f t="shared" si="6"/>
        <v>-92500</v>
      </c>
      <c r="AF8" s="165">
        <f t="shared" si="7"/>
        <v>0</v>
      </c>
      <c r="AG8" s="165"/>
      <c r="AH8" s="230">
        <f t="shared" si="8"/>
        <v>1624940</v>
      </c>
    </row>
    <row r="9" spans="2:34" ht="26.25" customHeight="1">
      <c r="B9" s="166">
        <f t="shared" si="9"/>
        <v>44598</v>
      </c>
      <c r="C9" s="221">
        <v>0</v>
      </c>
      <c r="D9" s="221">
        <v>0</v>
      </c>
      <c r="E9" s="221">
        <v>0</v>
      </c>
      <c r="F9" s="221">
        <v>60000</v>
      </c>
      <c r="G9" s="221">
        <v>-50000</v>
      </c>
      <c r="H9" s="168">
        <f>SUM(C9:G9)</f>
        <v>10000</v>
      </c>
      <c r="I9" s="137">
        <v>0</v>
      </c>
      <c r="J9" s="137">
        <v>-3500</v>
      </c>
      <c r="K9" s="137">
        <v>0</v>
      </c>
      <c r="L9" s="256">
        <f t="shared" si="11"/>
        <v>-10000</v>
      </c>
      <c r="M9" s="136">
        <v>-2000</v>
      </c>
      <c r="N9" s="256">
        <f t="shared" si="0"/>
        <v>-5000</v>
      </c>
      <c r="O9" s="159">
        <f t="shared" si="1"/>
        <v>6000</v>
      </c>
      <c r="P9" s="159">
        <f t="shared" si="2"/>
        <v>6000</v>
      </c>
      <c r="Q9" s="135">
        <v>372640</v>
      </c>
      <c r="R9" s="211">
        <f t="shared" si="18"/>
        <v>372640</v>
      </c>
      <c r="S9" s="135">
        <v>0</v>
      </c>
      <c r="T9" s="159">
        <f t="shared" si="12"/>
        <v>0</v>
      </c>
      <c r="U9" s="159">
        <f t="shared" si="13"/>
        <v>6334.88</v>
      </c>
      <c r="V9" s="159">
        <f t="shared" si="14"/>
        <v>6334.88</v>
      </c>
      <c r="W9" s="294">
        <f t="shared" si="15"/>
        <v>3167.44</v>
      </c>
      <c r="X9" s="162">
        <f t="shared" si="16"/>
        <v>9167.44</v>
      </c>
      <c r="AA9" s="164">
        <f t="shared" si="3"/>
        <v>1790940</v>
      </c>
      <c r="AB9" s="165">
        <f t="shared" si="4"/>
        <v>0</v>
      </c>
      <c r="AC9" s="165">
        <f t="shared" si="5"/>
        <v>1506070</v>
      </c>
      <c r="AD9" s="165">
        <f t="shared" si="17"/>
        <v>12801.595000000001</v>
      </c>
      <c r="AE9" s="165">
        <f t="shared" si="6"/>
        <v>-97500</v>
      </c>
      <c r="AF9" s="165">
        <f t="shared" si="7"/>
        <v>0</v>
      </c>
      <c r="AG9" s="165"/>
      <c r="AH9" s="230">
        <f t="shared" si="8"/>
        <v>1624940</v>
      </c>
    </row>
    <row r="10" spans="2:34" ht="26.25" customHeight="1">
      <c r="B10" s="166">
        <f t="shared" si="9"/>
        <v>44599</v>
      </c>
      <c r="C10" s="221">
        <v>0</v>
      </c>
      <c r="D10" s="221">
        <v>0</v>
      </c>
      <c r="E10" s="221">
        <v>0</v>
      </c>
      <c r="F10" s="221">
        <v>50000</v>
      </c>
      <c r="G10" s="221">
        <v>-30000</v>
      </c>
      <c r="H10" s="168">
        <f t="shared" si="10"/>
        <v>20000</v>
      </c>
      <c r="I10" s="137">
        <v>0</v>
      </c>
      <c r="J10" s="137">
        <v>0</v>
      </c>
      <c r="K10" s="137">
        <v>0</v>
      </c>
      <c r="L10" s="256">
        <f t="shared" si="11"/>
        <v>-20000</v>
      </c>
      <c r="M10" s="136">
        <v>0</v>
      </c>
      <c r="N10" s="256">
        <f t="shared" si="0"/>
        <v>-20000</v>
      </c>
      <c r="O10" s="159">
        <f t="shared" si="1"/>
        <v>10000</v>
      </c>
      <c r="P10" s="159">
        <f t="shared" si="2"/>
        <v>10000</v>
      </c>
      <c r="Q10" s="135">
        <v>522740</v>
      </c>
      <c r="R10" s="211">
        <f t="shared" si="18"/>
        <v>522740</v>
      </c>
      <c r="S10" s="197">
        <v>0</v>
      </c>
      <c r="T10" s="159">
        <f t="shared" si="12"/>
        <v>0</v>
      </c>
      <c r="U10" s="159">
        <f t="shared" si="13"/>
        <v>8886.58</v>
      </c>
      <c r="V10" s="159">
        <f t="shared" si="14"/>
        <v>8886.58</v>
      </c>
      <c r="W10" s="294">
        <f t="shared" si="15"/>
        <v>4443.29</v>
      </c>
      <c r="X10" s="162">
        <f t="shared" si="16"/>
        <v>14443.29</v>
      </c>
      <c r="AA10" s="164">
        <f t="shared" si="3"/>
        <v>1810940</v>
      </c>
      <c r="AB10" s="165">
        <f t="shared" si="4"/>
        <v>0</v>
      </c>
      <c r="AC10" s="165">
        <f t="shared" si="5"/>
        <v>2028810</v>
      </c>
      <c r="AD10" s="165">
        <f t="shared" si="17"/>
        <v>17244.885000000002</v>
      </c>
      <c r="AE10" s="165">
        <f t="shared" si="6"/>
        <v>-117500</v>
      </c>
      <c r="AF10" s="165">
        <f t="shared" si="7"/>
        <v>0</v>
      </c>
      <c r="AG10" s="165"/>
      <c r="AH10" s="230">
        <f>C10+AH9</f>
        <v>1624940</v>
      </c>
    </row>
    <row r="11" spans="2:34" ht="26.25" customHeight="1">
      <c r="B11" s="166">
        <f t="shared" si="9"/>
        <v>44600</v>
      </c>
      <c r="C11" s="221">
        <v>0</v>
      </c>
      <c r="D11" s="221">
        <v>0</v>
      </c>
      <c r="E11" s="221">
        <v>0</v>
      </c>
      <c r="F11" s="221">
        <v>90000</v>
      </c>
      <c r="G11" s="221">
        <v>-50000</v>
      </c>
      <c r="H11" s="168">
        <f t="shared" si="10"/>
        <v>40000</v>
      </c>
      <c r="I11" s="137">
        <v>0</v>
      </c>
      <c r="J11" s="137">
        <v>0</v>
      </c>
      <c r="K11" s="137">
        <v>0</v>
      </c>
      <c r="L11" s="256">
        <f>-F11-G11-I11-K11</f>
        <v>-40000</v>
      </c>
      <c r="M11" s="136">
        <v>0</v>
      </c>
      <c r="N11" s="256">
        <f t="shared" si="0"/>
        <v>-40000</v>
      </c>
      <c r="O11" s="159">
        <f t="shared" si="1"/>
        <v>20000</v>
      </c>
      <c r="P11" s="159">
        <f t="shared" si="2"/>
        <v>20000</v>
      </c>
      <c r="Q11" s="135">
        <v>35230</v>
      </c>
      <c r="R11" s="211">
        <f t="shared" si="18"/>
        <v>35230</v>
      </c>
      <c r="S11" s="135">
        <v>0</v>
      </c>
      <c r="T11" s="159">
        <f t="shared" si="12"/>
        <v>0</v>
      </c>
      <c r="U11" s="159">
        <f t="shared" si="13"/>
        <v>598.91000000000008</v>
      </c>
      <c r="V11" s="159">
        <f t="shared" si="14"/>
        <v>598.91000000000008</v>
      </c>
      <c r="W11" s="294">
        <f t="shared" si="15"/>
        <v>299.45500000000004</v>
      </c>
      <c r="X11" s="162">
        <f t="shared" si="16"/>
        <v>20299.455000000002</v>
      </c>
      <c r="AA11" s="164">
        <f t="shared" si="3"/>
        <v>1850940</v>
      </c>
      <c r="AB11" s="165">
        <f t="shared" si="4"/>
        <v>0</v>
      </c>
      <c r="AC11" s="165">
        <f t="shared" si="5"/>
        <v>2064040</v>
      </c>
      <c r="AD11" s="165">
        <f t="shared" si="17"/>
        <v>17544.340000000004</v>
      </c>
      <c r="AE11" s="165">
        <f t="shared" si="6"/>
        <v>-157500</v>
      </c>
      <c r="AF11" s="165">
        <f t="shared" si="7"/>
        <v>0</v>
      </c>
      <c r="AG11" s="165"/>
      <c r="AH11" s="230">
        <f t="shared" si="8"/>
        <v>1624940</v>
      </c>
    </row>
    <row r="12" spans="2:34" ht="26.25" customHeight="1">
      <c r="B12" s="166">
        <f t="shared" si="9"/>
        <v>44601</v>
      </c>
      <c r="C12" s="221">
        <v>0</v>
      </c>
      <c r="D12" s="221">
        <v>0</v>
      </c>
      <c r="E12" s="221">
        <v>0</v>
      </c>
      <c r="F12" s="221">
        <v>148000</v>
      </c>
      <c r="G12" s="221">
        <v>-50000</v>
      </c>
      <c r="H12" s="168">
        <f>SUM(C12:G12)</f>
        <v>98000</v>
      </c>
      <c r="I12" s="137">
        <v>0</v>
      </c>
      <c r="J12" s="137">
        <v>-4050</v>
      </c>
      <c r="K12" s="137">
        <v>0</v>
      </c>
      <c r="L12" s="256">
        <f>-F12-G12-I12-K12</f>
        <v>-98000</v>
      </c>
      <c r="M12" s="136">
        <v>0</v>
      </c>
      <c r="N12" s="256">
        <f t="shared" si="0"/>
        <v>-89900</v>
      </c>
      <c r="O12" s="159">
        <f t="shared" si="1"/>
        <v>49000</v>
      </c>
      <c r="P12" s="159">
        <f t="shared" si="2"/>
        <v>49000</v>
      </c>
      <c r="Q12" s="135">
        <v>599400</v>
      </c>
      <c r="R12" s="211">
        <f t="shared" si="18"/>
        <v>599400</v>
      </c>
      <c r="S12" s="135">
        <v>0</v>
      </c>
      <c r="T12" s="159">
        <f t="shared" si="12"/>
        <v>0</v>
      </c>
      <c r="U12" s="159">
        <f t="shared" si="13"/>
        <v>10189.800000000001</v>
      </c>
      <c r="V12" s="159">
        <f t="shared" si="14"/>
        <v>10189.800000000001</v>
      </c>
      <c r="W12" s="294">
        <f t="shared" si="15"/>
        <v>5094.9000000000005</v>
      </c>
      <c r="X12" s="162">
        <f t="shared" si="16"/>
        <v>54094.9</v>
      </c>
      <c r="AA12" s="164">
        <f t="shared" si="3"/>
        <v>1948940</v>
      </c>
      <c r="AB12" s="165">
        <f t="shared" si="4"/>
        <v>0</v>
      </c>
      <c r="AC12" s="165">
        <f t="shared" si="5"/>
        <v>2663440</v>
      </c>
      <c r="AD12" s="165">
        <f t="shared" si="17"/>
        <v>22639.240000000005</v>
      </c>
      <c r="AE12" s="165">
        <f t="shared" si="6"/>
        <v>-247400</v>
      </c>
      <c r="AF12" s="165">
        <f t="shared" si="7"/>
        <v>0</v>
      </c>
      <c r="AG12" s="165"/>
      <c r="AH12" s="230">
        <f t="shared" si="8"/>
        <v>1624940</v>
      </c>
    </row>
    <row r="13" spans="2:34" ht="26.25" customHeight="1">
      <c r="B13" s="166">
        <f t="shared" si="9"/>
        <v>44602</v>
      </c>
      <c r="C13" s="221">
        <v>0</v>
      </c>
      <c r="D13" s="221">
        <v>0</v>
      </c>
      <c r="E13" s="221">
        <v>0</v>
      </c>
      <c r="F13" s="221">
        <v>90000</v>
      </c>
      <c r="G13" s="221">
        <v>-100000</v>
      </c>
      <c r="H13" s="168">
        <f t="shared" si="10"/>
        <v>-10000</v>
      </c>
      <c r="I13" s="137">
        <v>0</v>
      </c>
      <c r="J13" s="137">
        <v>-15000</v>
      </c>
      <c r="K13" s="137">
        <v>0</v>
      </c>
      <c r="L13" s="256">
        <f t="shared" si="11"/>
        <v>10000</v>
      </c>
      <c r="M13" s="136">
        <v>0</v>
      </c>
      <c r="N13" s="256">
        <f t="shared" si="0"/>
        <v>40000</v>
      </c>
      <c r="O13" s="159">
        <f t="shared" si="1"/>
        <v>-5000</v>
      </c>
      <c r="P13" s="159">
        <f t="shared" si="2"/>
        <v>-5000</v>
      </c>
      <c r="Q13" s="135">
        <v>19840</v>
      </c>
      <c r="R13" s="211">
        <f t="shared" si="18"/>
        <v>19840</v>
      </c>
      <c r="S13" s="135">
        <v>0</v>
      </c>
      <c r="T13" s="159">
        <f t="shared" si="12"/>
        <v>0</v>
      </c>
      <c r="U13" s="159">
        <f t="shared" si="13"/>
        <v>337.28000000000003</v>
      </c>
      <c r="V13" s="159">
        <f t="shared" si="14"/>
        <v>337.28000000000003</v>
      </c>
      <c r="W13" s="294">
        <f t="shared" si="15"/>
        <v>168.64000000000001</v>
      </c>
      <c r="X13" s="162">
        <f t="shared" si="16"/>
        <v>-4831.3599999999997</v>
      </c>
      <c r="AA13" s="164">
        <f t="shared" si="3"/>
        <v>1938940</v>
      </c>
      <c r="AB13" s="165">
        <f t="shared" si="4"/>
        <v>0</v>
      </c>
      <c r="AC13" s="165">
        <f>R13+AC12</f>
        <v>2683280</v>
      </c>
      <c r="AD13" s="165">
        <f t="shared" si="17"/>
        <v>22807.880000000005</v>
      </c>
      <c r="AE13" s="165">
        <f t="shared" si="6"/>
        <v>-207400</v>
      </c>
      <c r="AF13" s="165">
        <f t="shared" si="7"/>
        <v>0</v>
      </c>
      <c r="AG13" s="165"/>
      <c r="AH13" s="230">
        <f t="shared" si="8"/>
        <v>1624940</v>
      </c>
    </row>
    <row r="14" spans="2:34" ht="26.25" customHeight="1">
      <c r="B14" s="166">
        <f t="shared" si="9"/>
        <v>44603</v>
      </c>
      <c r="C14" s="221">
        <v>0</v>
      </c>
      <c r="D14" s="221">
        <v>0</v>
      </c>
      <c r="E14" s="221">
        <v>0</v>
      </c>
      <c r="F14" s="221">
        <v>50000</v>
      </c>
      <c r="G14" s="221">
        <v>-20000</v>
      </c>
      <c r="H14" s="168">
        <f t="shared" si="10"/>
        <v>30000</v>
      </c>
      <c r="I14" s="137">
        <v>0</v>
      </c>
      <c r="J14" s="137">
        <v>0</v>
      </c>
      <c r="K14" s="137">
        <v>0</v>
      </c>
      <c r="L14" s="256">
        <f t="shared" si="11"/>
        <v>-30000</v>
      </c>
      <c r="M14" s="136">
        <v>0</v>
      </c>
      <c r="N14" s="256">
        <f t="shared" si="0"/>
        <v>-30000</v>
      </c>
      <c r="O14" s="159">
        <f t="shared" si="1"/>
        <v>15000</v>
      </c>
      <c r="P14" s="159">
        <f t="shared" si="2"/>
        <v>15000</v>
      </c>
      <c r="Q14" s="135">
        <v>45800</v>
      </c>
      <c r="R14" s="211">
        <f t="shared" si="18"/>
        <v>45800</v>
      </c>
      <c r="S14" s="135">
        <v>0</v>
      </c>
      <c r="T14" s="159">
        <f t="shared" si="12"/>
        <v>0</v>
      </c>
      <c r="U14" s="159">
        <f t="shared" si="13"/>
        <v>778.6</v>
      </c>
      <c r="V14" s="159">
        <f t="shared" si="14"/>
        <v>778.6</v>
      </c>
      <c r="W14" s="294">
        <f t="shared" si="15"/>
        <v>389.3</v>
      </c>
      <c r="X14" s="162">
        <f t="shared" si="16"/>
        <v>15389.3</v>
      </c>
      <c r="AA14" s="164">
        <f t="shared" si="3"/>
        <v>1968940</v>
      </c>
      <c r="AB14" s="165">
        <f t="shared" si="4"/>
        <v>0</v>
      </c>
      <c r="AC14" s="165">
        <f t="shared" si="5"/>
        <v>2729080</v>
      </c>
      <c r="AD14" s="165">
        <f t="shared" si="17"/>
        <v>23197.180000000004</v>
      </c>
      <c r="AE14" s="165">
        <f t="shared" si="6"/>
        <v>-237400</v>
      </c>
      <c r="AF14" s="165">
        <f t="shared" si="7"/>
        <v>0</v>
      </c>
      <c r="AG14" s="165"/>
      <c r="AH14" s="230">
        <f t="shared" si="8"/>
        <v>1624940</v>
      </c>
    </row>
    <row r="15" spans="2:34" ht="26.25" customHeight="1">
      <c r="B15" s="166">
        <f t="shared" si="9"/>
        <v>44604</v>
      </c>
      <c r="C15" s="221">
        <v>0</v>
      </c>
      <c r="D15" s="221">
        <v>0</v>
      </c>
      <c r="E15" s="221">
        <v>0</v>
      </c>
      <c r="F15" s="221">
        <v>59400</v>
      </c>
      <c r="G15" s="221">
        <v>-30000</v>
      </c>
      <c r="H15" s="168">
        <f t="shared" si="10"/>
        <v>29400</v>
      </c>
      <c r="I15" s="137">
        <v>0</v>
      </c>
      <c r="J15" s="137">
        <v>-10000</v>
      </c>
      <c r="K15" s="137">
        <v>0</v>
      </c>
      <c r="L15" s="256">
        <f>-F15-G15-I15-K15</f>
        <v>-29400</v>
      </c>
      <c r="M15" s="136">
        <v>-399</v>
      </c>
      <c r="N15" s="256">
        <f t="shared" si="0"/>
        <v>-9799</v>
      </c>
      <c r="O15" s="159">
        <f t="shared" si="1"/>
        <v>14899.5</v>
      </c>
      <c r="P15" s="159">
        <f t="shared" si="2"/>
        <v>14899.5</v>
      </c>
      <c r="Q15" s="135">
        <v>35500</v>
      </c>
      <c r="R15" s="211">
        <f t="shared" si="18"/>
        <v>35500</v>
      </c>
      <c r="S15" s="197">
        <v>0</v>
      </c>
      <c r="T15" s="159">
        <f t="shared" si="12"/>
        <v>0</v>
      </c>
      <c r="U15" s="159">
        <f t="shared" si="13"/>
        <v>603.5</v>
      </c>
      <c r="V15" s="159">
        <f t="shared" si="14"/>
        <v>603.5</v>
      </c>
      <c r="W15" s="294">
        <f t="shared" si="15"/>
        <v>301.75</v>
      </c>
      <c r="X15" s="162">
        <f t="shared" si="16"/>
        <v>15201.25</v>
      </c>
      <c r="AA15" s="164">
        <f t="shared" si="3"/>
        <v>1998340</v>
      </c>
      <c r="AB15" s="165">
        <f t="shared" si="4"/>
        <v>0</v>
      </c>
      <c r="AC15" s="165">
        <f t="shared" si="5"/>
        <v>2764580</v>
      </c>
      <c r="AD15" s="165">
        <f t="shared" si="17"/>
        <v>23498.930000000004</v>
      </c>
      <c r="AE15" s="165">
        <f t="shared" si="6"/>
        <v>-247199</v>
      </c>
      <c r="AF15" s="165">
        <f t="shared" si="7"/>
        <v>0</v>
      </c>
      <c r="AG15" s="165"/>
      <c r="AH15" s="230">
        <f t="shared" si="8"/>
        <v>1624940</v>
      </c>
    </row>
    <row r="16" spans="2:34" ht="26.25" customHeight="1">
      <c r="B16" s="166">
        <f t="shared" si="9"/>
        <v>44605</v>
      </c>
      <c r="C16" s="221">
        <v>0</v>
      </c>
      <c r="D16" s="221">
        <v>0</v>
      </c>
      <c r="E16" s="221">
        <v>0</v>
      </c>
      <c r="F16" s="221">
        <v>9400</v>
      </c>
      <c r="G16" s="221">
        <v>-29400</v>
      </c>
      <c r="H16" s="168">
        <f t="shared" si="10"/>
        <v>-20000</v>
      </c>
      <c r="I16" s="137">
        <v>0</v>
      </c>
      <c r="J16" s="137">
        <v>0</v>
      </c>
      <c r="K16" s="137">
        <v>0</v>
      </c>
      <c r="L16" s="256">
        <f t="shared" si="11"/>
        <v>20000</v>
      </c>
      <c r="M16" s="136">
        <v>-200</v>
      </c>
      <c r="N16" s="256">
        <f t="shared" si="0"/>
        <v>19800</v>
      </c>
      <c r="O16" s="159">
        <f t="shared" si="1"/>
        <v>-9900</v>
      </c>
      <c r="P16" s="159">
        <f t="shared" si="2"/>
        <v>-9900</v>
      </c>
      <c r="Q16" s="135">
        <v>33090</v>
      </c>
      <c r="R16" s="211">
        <f t="shared" si="18"/>
        <v>33090</v>
      </c>
      <c r="S16" s="135">
        <v>0</v>
      </c>
      <c r="T16" s="159">
        <f t="shared" si="12"/>
        <v>0</v>
      </c>
      <c r="U16" s="159">
        <f t="shared" si="13"/>
        <v>562.53000000000009</v>
      </c>
      <c r="V16" s="159">
        <f t="shared" si="14"/>
        <v>562.53000000000009</v>
      </c>
      <c r="W16" s="294">
        <f t="shared" si="15"/>
        <v>281.26500000000004</v>
      </c>
      <c r="X16" s="162">
        <f t="shared" si="16"/>
        <v>-9618.7350000000006</v>
      </c>
      <c r="AA16" s="164">
        <f t="shared" si="3"/>
        <v>1978340</v>
      </c>
      <c r="AB16" s="165">
        <f t="shared" si="4"/>
        <v>0</v>
      </c>
      <c r="AC16" s="165">
        <f t="shared" si="5"/>
        <v>2797670</v>
      </c>
      <c r="AD16" s="165">
        <f t="shared" si="17"/>
        <v>23780.195000000003</v>
      </c>
      <c r="AE16" s="165">
        <f t="shared" si="6"/>
        <v>-227399</v>
      </c>
      <c r="AF16" s="165">
        <f t="shared" si="7"/>
        <v>0</v>
      </c>
      <c r="AG16" s="165"/>
      <c r="AH16" s="230">
        <f t="shared" si="8"/>
        <v>1624940</v>
      </c>
    </row>
    <row r="17" spans="2:34" s="296" customFormat="1" ht="26.25" customHeight="1">
      <c r="B17" s="297">
        <f t="shared" si="9"/>
        <v>44606</v>
      </c>
      <c r="C17" s="221">
        <v>0</v>
      </c>
      <c r="D17" s="221">
        <v>0</v>
      </c>
      <c r="E17" s="221">
        <v>0</v>
      </c>
      <c r="F17" s="291">
        <v>20000</v>
      </c>
      <c r="G17" s="291">
        <v>-70000</v>
      </c>
      <c r="H17" s="292">
        <f t="shared" si="10"/>
        <v>-50000</v>
      </c>
      <c r="I17" s="298">
        <v>0</v>
      </c>
      <c r="J17" s="137">
        <v>-100</v>
      </c>
      <c r="K17" s="298">
        <v>0</v>
      </c>
      <c r="L17" s="256">
        <f t="shared" si="11"/>
        <v>50000</v>
      </c>
      <c r="M17" s="136">
        <v>1480</v>
      </c>
      <c r="N17" s="256">
        <f t="shared" si="0"/>
        <v>51680</v>
      </c>
      <c r="O17" s="159">
        <f t="shared" si="1"/>
        <v>-25740</v>
      </c>
      <c r="P17" s="159">
        <f t="shared" si="2"/>
        <v>-25740</v>
      </c>
      <c r="Q17" s="135">
        <v>61245</v>
      </c>
      <c r="R17" s="211">
        <f t="shared" si="18"/>
        <v>61245</v>
      </c>
      <c r="S17" s="197">
        <v>0</v>
      </c>
      <c r="T17" s="300">
        <f t="shared" si="12"/>
        <v>0</v>
      </c>
      <c r="U17" s="300">
        <f t="shared" si="13"/>
        <v>1041.165</v>
      </c>
      <c r="V17" s="300">
        <f t="shared" si="14"/>
        <v>1041.165</v>
      </c>
      <c r="W17" s="301">
        <f t="shared" si="15"/>
        <v>520.58249999999998</v>
      </c>
      <c r="X17" s="302">
        <f t="shared" si="16"/>
        <v>-25219.4175</v>
      </c>
      <c r="AA17" s="303">
        <f t="shared" si="3"/>
        <v>1928340</v>
      </c>
      <c r="AB17" s="304">
        <f t="shared" si="4"/>
        <v>0</v>
      </c>
      <c r="AC17" s="304">
        <f t="shared" si="5"/>
        <v>2858915</v>
      </c>
      <c r="AD17" s="165">
        <f t="shared" si="17"/>
        <v>24300.777500000004</v>
      </c>
      <c r="AE17" s="304">
        <f t="shared" si="6"/>
        <v>-175719</v>
      </c>
      <c r="AF17" s="304">
        <f t="shared" si="7"/>
        <v>0</v>
      </c>
      <c r="AG17" s="304"/>
      <c r="AH17" s="305">
        <f t="shared" si="8"/>
        <v>1624940</v>
      </c>
    </row>
    <row r="18" spans="2:34" s="296" customFormat="1" ht="26.25" customHeight="1">
      <c r="B18" s="297">
        <f t="shared" si="9"/>
        <v>44607</v>
      </c>
      <c r="C18" s="221">
        <v>0</v>
      </c>
      <c r="D18" s="221">
        <v>0</v>
      </c>
      <c r="E18" s="221">
        <v>0</v>
      </c>
      <c r="F18" s="291">
        <v>70000</v>
      </c>
      <c r="G18" s="291">
        <v>0</v>
      </c>
      <c r="H18" s="292">
        <f t="shared" si="10"/>
        <v>70000</v>
      </c>
      <c r="I18" s="298">
        <v>0</v>
      </c>
      <c r="J18" s="137">
        <v>-5000</v>
      </c>
      <c r="K18" s="298">
        <v>0</v>
      </c>
      <c r="L18" s="256">
        <f t="shared" si="11"/>
        <v>-70000</v>
      </c>
      <c r="M18" s="136">
        <v>610</v>
      </c>
      <c r="N18" s="256">
        <f t="shared" si="0"/>
        <v>-59390</v>
      </c>
      <c r="O18" s="159">
        <f t="shared" si="1"/>
        <v>34695</v>
      </c>
      <c r="P18" s="159">
        <f t="shared" si="2"/>
        <v>34695</v>
      </c>
      <c r="Q18" s="135">
        <v>392237</v>
      </c>
      <c r="R18" s="211">
        <f t="shared" si="18"/>
        <v>392237</v>
      </c>
      <c r="S18" s="197">
        <v>0</v>
      </c>
      <c r="T18" s="300">
        <f t="shared" si="12"/>
        <v>0</v>
      </c>
      <c r="U18" s="300">
        <f t="shared" si="13"/>
        <v>6668.0290000000005</v>
      </c>
      <c r="V18" s="300">
        <f t="shared" si="14"/>
        <v>6668.0290000000005</v>
      </c>
      <c r="W18" s="301">
        <f t="shared" si="15"/>
        <v>3334.0145000000002</v>
      </c>
      <c r="X18" s="302">
        <f t="shared" si="16"/>
        <v>38029.014499999997</v>
      </c>
      <c r="AA18" s="303">
        <f t="shared" si="3"/>
        <v>1998340</v>
      </c>
      <c r="AB18" s="304">
        <f t="shared" si="4"/>
        <v>0</v>
      </c>
      <c r="AC18" s="304">
        <f t="shared" si="5"/>
        <v>3251152</v>
      </c>
      <c r="AD18" s="304">
        <f t="shared" si="17"/>
        <v>27634.792000000005</v>
      </c>
      <c r="AE18" s="304">
        <f t="shared" si="6"/>
        <v>-235109</v>
      </c>
      <c r="AF18" s="304">
        <f t="shared" si="7"/>
        <v>0</v>
      </c>
      <c r="AG18" s="304"/>
      <c r="AH18" s="305">
        <f t="shared" si="8"/>
        <v>1624940</v>
      </c>
    </row>
    <row r="19" spans="2:34" ht="26.25" customHeight="1">
      <c r="B19" s="166">
        <f t="shared" si="9"/>
        <v>44608</v>
      </c>
      <c r="C19" s="291">
        <v>0</v>
      </c>
      <c r="D19" s="291">
        <v>0</v>
      </c>
      <c r="E19" s="291">
        <v>0</v>
      </c>
      <c r="F19" s="221">
        <v>1600</v>
      </c>
      <c r="G19" s="221">
        <v>0</v>
      </c>
      <c r="H19" s="168">
        <f t="shared" si="10"/>
        <v>1600</v>
      </c>
      <c r="I19" s="137">
        <v>0</v>
      </c>
      <c r="J19" s="137">
        <v>0</v>
      </c>
      <c r="K19" s="137">
        <v>0</v>
      </c>
      <c r="L19" s="256">
        <f t="shared" si="11"/>
        <v>-1600</v>
      </c>
      <c r="M19" s="136">
        <v>480</v>
      </c>
      <c r="N19" s="256">
        <f t="shared" si="0"/>
        <v>-1120</v>
      </c>
      <c r="O19" s="159">
        <f t="shared" si="1"/>
        <v>560</v>
      </c>
      <c r="P19" s="159">
        <f t="shared" si="2"/>
        <v>560</v>
      </c>
      <c r="Q19" s="135">
        <v>20800</v>
      </c>
      <c r="R19" s="211">
        <f t="shared" si="18"/>
        <v>20800</v>
      </c>
      <c r="S19" s="135">
        <v>0</v>
      </c>
      <c r="T19" s="159">
        <f t="shared" si="12"/>
        <v>0</v>
      </c>
      <c r="U19" s="159">
        <f t="shared" si="13"/>
        <v>353.6</v>
      </c>
      <c r="V19" s="159">
        <f t="shared" si="14"/>
        <v>353.6</v>
      </c>
      <c r="W19" s="294">
        <f t="shared" si="15"/>
        <v>176.8</v>
      </c>
      <c r="X19" s="162">
        <f t="shared" si="16"/>
        <v>736.8</v>
      </c>
      <c r="AA19" s="164">
        <f t="shared" si="3"/>
        <v>1999940</v>
      </c>
      <c r="AB19" s="165">
        <f t="shared" si="4"/>
        <v>0</v>
      </c>
      <c r="AC19" s="165">
        <f t="shared" si="5"/>
        <v>3271952</v>
      </c>
      <c r="AD19" s="165">
        <f t="shared" si="17"/>
        <v>27811.592000000004</v>
      </c>
      <c r="AE19" s="165">
        <f t="shared" si="6"/>
        <v>-236229</v>
      </c>
      <c r="AF19" s="165">
        <f t="shared" si="7"/>
        <v>0</v>
      </c>
      <c r="AG19" s="165"/>
      <c r="AH19" s="230">
        <f t="shared" si="8"/>
        <v>1624940</v>
      </c>
    </row>
    <row r="20" spans="2:34" ht="26.25" customHeight="1">
      <c r="B20" s="166">
        <f t="shared" si="9"/>
        <v>44609</v>
      </c>
      <c r="C20" s="291">
        <v>0</v>
      </c>
      <c r="D20" s="291">
        <v>0</v>
      </c>
      <c r="E20" s="291">
        <v>0</v>
      </c>
      <c r="F20" s="221">
        <v>0</v>
      </c>
      <c r="G20" s="221">
        <v>0</v>
      </c>
      <c r="H20" s="168">
        <f t="shared" si="10"/>
        <v>0</v>
      </c>
      <c r="I20" s="137">
        <v>0</v>
      </c>
      <c r="J20" s="137">
        <v>0</v>
      </c>
      <c r="K20" s="137">
        <v>0</v>
      </c>
      <c r="L20" s="256">
        <f t="shared" si="11"/>
        <v>0</v>
      </c>
      <c r="M20" s="136">
        <v>-570</v>
      </c>
      <c r="N20" s="256">
        <f t="shared" si="0"/>
        <v>-570</v>
      </c>
      <c r="O20" s="159">
        <f t="shared" si="1"/>
        <v>285</v>
      </c>
      <c r="P20" s="159">
        <f t="shared" si="2"/>
        <v>285</v>
      </c>
      <c r="Q20" s="135">
        <v>123970</v>
      </c>
      <c r="R20" s="211">
        <f t="shared" si="18"/>
        <v>123970</v>
      </c>
      <c r="S20" s="135">
        <v>0</v>
      </c>
      <c r="T20" s="159">
        <f t="shared" si="12"/>
        <v>0</v>
      </c>
      <c r="U20" s="159">
        <f t="shared" si="13"/>
        <v>2107.4900000000002</v>
      </c>
      <c r="V20" s="159">
        <f t="shared" si="14"/>
        <v>2107.4900000000002</v>
      </c>
      <c r="W20" s="294">
        <f t="shared" si="15"/>
        <v>1053.7450000000001</v>
      </c>
      <c r="X20" s="162">
        <f t="shared" si="16"/>
        <v>1338.7450000000001</v>
      </c>
      <c r="AA20" s="164">
        <f t="shared" si="3"/>
        <v>1999940</v>
      </c>
      <c r="AB20" s="165">
        <f t="shared" si="4"/>
        <v>0</v>
      </c>
      <c r="AC20" s="165">
        <f t="shared" si="5"/>
        <v>3395922</v>
      </c>
      <c r="AD20" s="165">
        <f t="shared" si="17"/>
        <v>28865.337000000003</v>
      </c>
      <c r="AE20" s="165">
        <f t="shared" si="6"/>
        <v>-236799</v>
      </c>
      <c r="AF20" s="165">
        <f t="shared" si="7"/>
        <v>0</v>
      </c>
      <c r="AG20" s="165"/>
      <c r="AH20" s="230">
        <f t="shared" si="8"/>
        <v>1624940</v>
      </c>
    </row>
    <row r="21" spans="2:34" ht="26.25" customHeight="1">
      <c r="B21" s="166">
        <f t="shared" si="9"/>
        <v>44610</v>
      </c>
      <c r="C21" s="291">
        <v>0</v>
      </c>
      <c r="D21" s="291">
        <v>0</v>
      </c>
      <c r="E21" s="291">
        <v>0</v>
      </c>
      <c r="F21" s="221">
        <v>0</v>
      </c>
      <c r="G21" s="221">
        <v>0</v>
      </c>
      <c r="H21" s="168">
        <f t="shared" si="10"/>
        <v>0</v>
      </c>
      <c r="I21" s="137">
        <v>0</v>
      </c>
      <c r="J21" s="137">
        <v>0</v>
      </c>
      <c r="K21" s="137">
        <v>0</v>
      </c>
      <c r="L21" s="256">
        <f t="shared" si="11"/>
        <v>0</v>
      </c>
      <c r="M21" s="136">
        <v>-500</v>
      </c>
      <c r="N21" s="256">
        <f t="shared" si="0"/>
        <v>-500</v>
      </c>
      <c r="O21" s="159">
        <f t="shared" si="1"/>
        <v>250</v>
      </c>
      <c r="P21" s="159">
        <f t="shared" si="2"/>
        <v>250</v>
      </c>
      <c r="Q21" s="135">
        <v>0</v>
      </c>
      <c r="R21" s="211">
        <f t="shared" si="18"/>
        <v>0</v>
      </c>
      <c r="S21" s="135">
        <v>0</v>
      </c>
      <c r="T21" s="159">
        <f t="shared" si="12"/>
        <v>0</v>
      </c>
      <c r="U21" s="159">
        <f t="shared" si="13"/>
        <v>0</v>
      </c>
      <c r="V21" s="159">
        <f t="shared" si="14"/>
        <v>0</v>
      </c>
      <c r="W21" s="294">
        <f t="shared" si="15"/>
        <v>0</v>
      </c>
      <c r="X21" s="162">
        <f t="shared" si="16"/>
        <v>250</v>
      </c>
      <c r="AA21" s="164">
        <f t="shared" si="3"/>
        <v>1999940</v>
      </c>
      <c r="AB21" s="165">
        <f t="shared" si="4"/>
        <v>0</v>
      </c>
      <c r="AC21" s="165">
        <f t="shared" si="5"/>
        <v>3395922</v>
      </c>
      <c r="AD21" s="165">
        <f t="shared" si="17"/>
        <v>28865.337000000003</v>
      </c>
      <c r="AE21" s="165">
        <f t="shared" si="6"/>
        <v>-237299</v>
      </c>
      <c r="AF21" s="165">
        <f t="shared" si="7"/>
        <v>0</v>
      </c>
      <c r="AG21" s="165"/>
      <c r="AH21" s="230">
        <f t="shared" si="8"/>
        <v>1624940</v>
      </c>
    </row>
    <row r="22" spans="2:34" ht="26.25" customHeight="1">
      <c r="B22" s="166">
        <f t="shared" si="9"/>
        <v>44611</v>
      </c>
      <c r="C22" s="291"/>
      <c r="D22" s="291"/>
      <c r="E22" s="291"/>
      <c r="F22" s="221"/>
      <c r="G22" s="221"/>
      <c r="H22" s="168">
        <f t="shared" si="10"/>
        <v>0</v>
      </c>
      <c r="I22" s="137"/>
      <c r="J22" s="137"/>
      <c r="K22" s="137"/>
      <c r="L22" s="256">
        <f t="shared" si="11"/>
        <v>0</v>
      </c>
      <c r="M22" s="136"/>
      <c r="N22" s="256">
        <f t="shared" si="0"/>
        <v>0</v>
      </c>
      <c r="O22" s="159">
        <f t="shared" si="1"/>
        <v>0</v>
      </c>
      <c r="P22" s="159">
        <f t="shared" si="2"/>
        <v>0</v>
      </c>
      <c r="Q22" s="135"/>
      <c r="R22" s="211">
        <f t="shared" si="18"/>
        <v>0</v>
      </c>
      <c r="S22" s="135"/>
      <c r="T22" s="159">
        <f t="shared" si="12"/>
        <v>0</v>
      </c>
      <c r="U22" s="159">
        <f t="shared" si="13"/>
        <v>0</v>
      </c>
      <c r="V22" s="159">
        <f t="shared" si="14"/>
        <v>0</v>
      </c>
      <c r="W22" s="294">
        <f t="shared" si="15"/>
        <v>0</v>
      </c>
      <c r="X22" s="162">
        <f t="shared" si="16"/>
        <v>0</v>
      </c>
      <c r="AA22" s="164">
        <f t="shared" si="3"/>
        <v>1999940</v>
      </c>
      <c r="AB22" s="165">
        <f t="shared" si="4"/>
        <v>0</v>
      </c>
      <c r="AC22" s="165">
        <f t="shared" si="5"/>
        <v>3395922</v>
      </c>
      <c r="AD22" s="165">
        <f t="shared" si="17"/>
        <v>28865.337000000003</v>
      </c>
      <c r="AE22" s="165">
        <f t="shared" si="6"/>
        <v>-237299</v>
      </c>
      <c r="AF22" s="165">
        <f t="shared" si="7"/>
        <v>0</v>
      </c>
      <c r="AG22" s="165"/>
      <c r="AH22" s="230">
        <f t="shared" si="8"/>
        <v>1624940</v>
      </c>
    </row>
    <row r="23" spans="2:34" ht="26.25" customHeight="1">
      <c r="B23" s="166">
        <f t="shared" si="9"/>
        <v>44612</v>
      </c>
      <c r="C23" s="221"/>
      <c r="D23" s="221"/>
      <c r="E23" s="221"/>
      <c r="F23" s="221"/>
      <c r="G23" s="221"/>
      <c r="H23" s="168">
        <f t="shared" si="10"/>
        <v>0</v>
      </c>
      <c r="I23" s="137"/>
      <c r="J23" s="137"/>
      <c r="K23" s="137"/>
      <c r="L23" s="256">
        <f t="shared" si="11"/>
        <v>0</v>
      </c>
      <c r="M23" s="136"/>
      <c r="N23" s="256">
        <f t="shared" si="0"/>
        <v>0</v>
      </c>
      <c r="O23" s="159">
        <f t="shared" si="1"/>
        <v>0</v>
      </c>
      <c r="P23" s="159">
        <f t="shared" si="2"/>
        <v>0</v>
      </c>
      <c r="Q23" s="135"/>
      <c r="R23" s="211">
        <f t="shared" si="18"/>
        <v>0</v>
      </c>
      <c r="S23" s="135"/>
      <c r="T23" s="159">
        <f t="shared" si="12"/>
        <v>0</v>
      </c>
      <c r="U23" s="159">
        <f t="shared" si="13"/>
        <v>0</v>
      </c>
      <c r="V23" s="159">
        <f t="shared" si="14"/>
        <v>0</v>
      </c>
      <c r="W23" s="294">
        <f t="shared" si="15"/>
        <v>0</v>
      </c>
      <c r="X23" s="162">
        <f t="shared" si="16"/>
        <v>0</v>
      </c>
      <c r="AA23" s="164">
        <f t="shared" si="3"/>
        <v>1999940</v>
      </c>
      <c r="AB23" s="165">
        <f t="shared" si="4"/>
        <v>0</v>
      </c>
      <c r="AC23" s="165">
        <f t="shared" si="5"/>
        <v>3395922</v>
      </c>
      <c r="AD23" s="165">
        <f t="shared" si="17"/>
        <v>28865.337000000003</v>
      </c>
      <c r="AE23" s="165">
        <f t="shared" si="6"/>
        <v>-237299</v>
      </c>
      <c r="AF23" s="165">
        <f t="shared" si="7"/>
        <v>0</v>
      </c>
      <c r="AG23" s="165"/>
      <c r="AH23" s="230">
        <f t="shared" si="8"/>
        <v>1624940</v>
      </c>
    </row>
    <row r="24" spans="2:34" ht="26.25" customHeight="1">
      <c r="B24" s="198">
        <f t="shared" si="9"/>
        <v>44613</v>
      </c>
      <c r="C24" s="221"/>
      <c r="D24" s="221"/>
      <c r="E24" s="221"/>
      <c r="F24" s="221"/>
      <c r="G24" s="221"/>
      <c r="H24" s="168">
        <f t="shared" si="10"/>
        <v>0</v>
      </c>
      <c r="I24" s="137"/>
      <c r="J24" s="137"/>
      <c r="K24" s="137"/>
      <c r="L24" s="256">
        <f>-F24-G24-I24-K24</f>
        <v>0</v>
      </c>
      <c r="M24" s="136"/>
      <c r="N24" s="256">
        <f t="shared" si="0"/>
        <v>0</v>
      </c>
      <c r="O24" s="159">
        <f t="shared" si="1"/>
        <v>0</v>
      </c>
      <c r="P24" s="159">
        <f t="shared" si="2"/>
        <v>0</v>
      </c>
      <c r="Q24" s="135"/>
      <c r="R24" s="211">
        <f t="shared" si="18"/>
        <v>0</v>
      </c>
      <c r="S24" s="135"/>
      <c r="T24" s="159">
        <f t="shared" si="12"/>
        <v>0</v>
      </c>
      <c r="U24" s="159">
        <f t="shared" si="13"/>
        <v>0</v>
      </c>
      <c r="V24" s="159">
        <f t="shared" si="14"/>
        <v>0</v>
      </c>
      <c r="W24" s="294">
        <f t="shared" si="15"/>
        <v>0</v>
      </c>
      <c r="X24" s="162">
        <f t="shared" si="16"/>
        <v>0</v>
      </c>
      <c r="AA24" s="164">
        <f t="shared" si="3"/>
        <v>1999940</v>
      </c>
      <c r="AB24" s="165">
        <f t="shared" si="4"/>
        <v>0</v>
      </c>
      <c r="AC24" s="165">
        <f t="shared" si="5"/>
        <v>3395922</v>
      </c>
      <c r="AD24" s="165">
        <f t="shared" si="17"/>
        <v>28865.337000000003</v>
      </c>
      <c r="AE24" s="165">
        <f t="shared" si="6"/>
        <v>-237299</v>
      </c>
      <c r="AF24" s="165">
        <f t="shared" si="7"/>
        <v>0</v>
      </c>
      <c r="AG24" s="165"/>
      <c r="AH24" s="230">
        <f t="shared" si="8"/>
        <v>1624940</v>
      </c>
    </row>
    <row r="25" spans="2:34" ht="26.25" customHeight="1">
      <c r="B25" s="198">
        <f t="shared" si="9"/>
        <v>44614</v>
      </c>
      <c r="C25" s="221"/>
      <c r="D25" s="221"/>
      <c r="E25" s="221"/>
      <c r="F25" s="221"/>
      <c r="G25" s="221"/>
      <c r="H25" s="168">
        <f t="shared" si="10"/>
        <v>0</v>
      </c>
      <c r="I25" s="137"/>
      <c r="J25" s="137"/>
      <c r="K25" s="137"/>
      <c r="L25" s="256">
        <f t="shared" si="11"/>
        <v>0</v>
      </c>
      <c r="M25" s="136"/>
      <c r="N25" s="256">
        <f t="shared" si="0"/>
        <v>0</v>
      </c>
      <c r="O25" s="159">
        <f t="shared" si="1"/>
        <v>0</v>
      </c>
      <c r="P25" s="159">
        <f t="shared" si="2"/>
        <v>0</v>
      </c>
      <c r="Q25" s="135"/>
      <c r="R25" s="211">
        <f t="shared" si="18"/>
        <v>0</v>
      </c>
      <c r="S25" s="135"/>
      <c r="T25" s="159">
        <f t="shared" si="12"/>
        <v>0</v>
      </c>
      <c r="U25" s="159">
        <f t="shared" si="13"/>
        <v>0</v>
      </c>
      <c r="V25" s="159">
        <f t="shared" si="14"/>
        <v>0</v>
      </c>
      <c r="W25" s="294">
        <f t="shared" si="15"/>
        <v>0</v>
      </c>
      <c r="X25" s="162">
        <f t="shared" si="16"/>
        <v>0</v>
      </c>
      <c r="AA25" s="164">
        <f t="shared" si="3"/>
        <v>1999940</v>
      </c>
      <c r="AB25" s="165">
        <f t="shared" si="4"/>
        <v>0</v>
      </c>
      <c r="AC25" s="165">
        <f t="shared" si="5"/>
        <v>3395922</v>
      </c>
      <c r="AD25" s="165">
        <f t="shared" si="17"/>
        <v>28865.337000000003</v>
      </c>
      <c r="AE25" s="165">
        <f t="shared" si="6"/>
        <v>-237299</v>
      </c>
      <c r="AF25" s="165">
        <f t="shared" si="7"/>
        <v>0</v>
      </c>
      <c r="AG25" s="165"/>
      <c r="AH25" s="230">
        <f t="shared" si="8"/>
        <v>1624940</v>
      </c>
    </row>
    <row r="26" spans="2:34" ht="26.25" customHeight="1">
      <c r="B26" s="166">
        <f t="shared" si="9"/>
        <v>44615</v>
      </c>
      <c r="C26" s="221"/>
      <c r="D26" s="221"/>
      <c r="E26" s="221"/>
      <c r="F26" s="221"/>
      <c r="G26" s="221"/>
      <c r="H26" s="168">
        <f t="shared" si="10"/>
        <v>0</v>
      </c>
      <c r="I26" s="137"/>
      <c r="J26" s="137"/>
      <c r="K26" s="137"/>
      <c r="L26" s="256">
        <f t="shared" si="11"/>
        <v>0</v>
      </c>
      <c r="M26" s="275"/>
      <c r="N26" s="256">
        <f t="shared" si="0"/>
        <v>0</v>
      </c>
      <c r="O26" s="159">
        <f t="shared" si="1"/>
        <v>0</v>
      </c>
      <c r="P26" s="159">
        <f t="shared" si="2"/>
        <v>0</v>
      </c>
      <c r="Q26" s="135"/>
      <c r="R26" s="211">
        <f t="shared" si="18"/>
        <v>0</v>
      </c>
      <c r="S26" s="135"/>
      <c r="T26" s="159">
        <f t="shared" si="12"/>
        <v>0</v>
      </c>
      <c r="U26" s="159">
        <f t="shared" si="13"/>
        <v>0</v>
      </c>
      <c r="V26" s="159">
        <f t="shared" si="14"/>
        <v>0</v>
      </c>
      <c r="W26" s="294">
        <f t="shared" si="15"/>
        <v>0</v>
      </c>
      <c r="X26" s="162">
        <f t="shared" si="16"/>
        <v>0</v>
      </c>
      <c r="AA26" s="164">
        <f t="shared" si="3"/>
        <v>1999940</v>
      </c>
      <c r="AB26" s="165">
        <f t="shared" si="4"/>
        <v>0</v>
      </c>
      <c r="AC26" s="165">
        <f t="shared" si="5"/>
        <v>3395922</v>
      </c>
      <c r="AD26" s="165">
        <f t="shared" si="17"/>
        <v>28865.337000000003</v>
      </c>
      <c r="AE26" s="165">
        <f t="shared" si="6"/>
        <v>-237299</v>
      </c>
      <c r="AF26" s="165">
        <f t="shared" si="7"/>
        <v>0</v>
      </c>
      <c r="AG26" s="165"/>
      <c r="AH26" s="230">
        <f t="shared" si="8"/>
        <v>1624940</v>
      </c>
    </row>
    <row r="27" spans="2:34" ht="26.25" customHeight="1">
      <c r="B27" s="166">
        <f t="shared" si="9"/>
        <v>44616</v>
      </c>
      <c r="C27" s="221"/>
      <c r="D27" s="221"/>
      <c r="E27" s="221"/>
      <c r="F27" s="221"/>
      <c r="G27" s="221"/>
      <c r="H27" s="168">
        <f t="shared" si="10"/>
        <v>0</v>
      </c>
      <c r="I27" s="137"/>
      <c r="J27" s="137"/>
      <c r="K27" s="137"/>
      <c r="L27" s="256">
        <f t="shared" si="11"/>
        <v>0</v>
      </c>
      <c r="M27" s="275"/>
      <c r="N27" s="256">
        <f t="shared" si="0"/>
        <v>0</v>
      </c>
      <c r="O27" s="159">
        <f t="shared" si="1"/>
        <v>0</v>
      </c>
      <c r="P27" s="159">
        <f t="shared" si="2"/>
        <v>0</v>
      </c>
      <c r="Q27" s="135"/>
      <c r="R27" s="211">
        <f t="shared" si="18"/>
        <v>0</v>
      </c>
      <c r="S27" s="135"/>
      <c r="T27" s="159">
        <f t="shared" si="12"/>
        <v>0</v>
      </c>
      <c r="U27" s="159">
        <f t="shared" si="13"/>
        <v>0</v>
      </c>
      <c r="V27" s="159">
        <f t="shared" si="14"/>
        <v>0</v>
      </c>
      <c r="W27" s="294">
        <f t="shared" si="15"/>
        <v>0</v>
      </c>
      <c r="X27" s="162">
        <f t="shared" si="16"/>
        <v>0</v>
      </c>
      <c r="AA27" s="164">
        <f t="shared" si="3"/>
        <v>1999940</v>
      </c>
      <c r="AB27" s="165">
        <f t="shared" si="4"/>
        <v>0</v>
      </c>
      <c r="AC27" s="165">
        <f t="shared" si="5"/>
        <v>3395922</v>
      </c>
      <c r="AD27" s="165">
        <f t="shared" si="17"/>
        <v>28865.337000000003</v>
      </c>
      <c r="AE27" s="165">
        <f t="shared" si="6"/>
        <v>-237299</v>
      </c>
      <c r="AF27" s="165">
        <f t="shared" si="7"/>
        <v>0</v>
      </c>
      <c r="AG27" s="165"/>
      <c r="AH27" s="230">
        <f t="shared" si="8"/>
        <v>1624940</v>
      </c>
    </row>
    <row r="28" spans="2:34" ht="26.25" customHeight="1">
      <c r="B28" s="166">
        <f t="shared" si="9"/>
        <v>44617</v>
      </c>
      <c r="C28" s="221"/>
      <c r="D28" s="221"/>
      <c r="E28" s="221"/>
      <c r="F28" s="221"/>
      <c r="G28" s="221"/>
      <c r="H28" s="168">
        <f t="shared" si="10"/>
        <v>0</v>
      </c>
      <c r="I28" s="137"/>
      <c r="J28" s="137"/>
      <c r="K28" s="137"/>
      <c r="L28" s="256">
        <f t="shared" si="11"/>
        <v>0</v>
      </c>
      <c r="M28" s="307"/>
      <c r="N28" s="256">
        <f t="shared" si="0"/>
        <v>0</v>
      </c>
      <c r="O28" s="159">
        <f t="shared" si="1"/>
        <v>0</v>
      </c>
      <c r="P28" s="159">
        <f t="shared" si="2"/>
        <v>0</v>
      </c>
      <c r="Q28" s="135"/>
      <c r="R28" s="211">
        <f t="shared" si="18"/>
        <v>0</v>
      </c>
      <c r="S28" s="135"/>
      <c r="T28" s="159">
        <f t="shared" si="12"/>
        <v>0</v>
      </c>
      <c r="U28" s="159">
        <f t="shared" si="13"/>
        <v>0</v>
      </c>
      <c r="V28" s="159">
        <f t="shared" si="14"/>
        <v>0</v>
      </c>
      <c r="W28" s="294">
        <f t="shared" si="15"/>
        <v>0</v>
      </c>
      <c r="X28" s="162">
        <f t="shared" si="16"/>
        <v>0</v>
      </c>
      <c r="AA28" s="164">
        <f t="shared" si="3"/>
        <v>1999940</v>
      </c>
      <c r="AB28" s="165">
        <f t="shared" si="4"/>
        <v>0</v>
      </c>
      <c r="AC28" s="165">
        <f t="shared" si="5"/>
        <v>3395922</v>
      </c>
      <c r="AD28" s="165">
        <f t="shared" si="17"/>
        <v>28865.337000000003</v>
      </c>
      <c r="AE28" s="165">
        <f t="shared" si="6"/>
        <v>-237299</v>
      </c>
      <c r="AF28" s="165">
        <f t="shared" si="7"/>
        <v>0</v>
      </c>
      <c r="AG28" s="165"/>
      <c r="AH28" s="230">
        <f t="shared" si="8"/>
        <v>1624940</v>
      </c>
    </row>
    <row r="29" spans="2:34" ht="26.25" customHeight="1">
      <c r="B29" s="166">
        <f t="shared" si="9"/>
        <v>44618</v>
      </c>
      <c r="C29" s="221"/>
      <c r="D29" s="221"/>
      <c r="E29" s="221"/>
      <c r="F29" s="221"/>
      <c r="G29" s="221"/>
      <c r="H29" s="168">
        <f>SUM(C29:G29)</f>
        <v>0</v>
      </c>
      <c r="I29" s="137"/>
      <c r="J29" s="137"/>
      <c r="K29" s="137"/>
      <c r="L29" s="256">
        <f t="shared" si="11"/>
        <v>0</v>
      </c>
      <c r="M29" s="136"/>
      <c r="N29" s="256">
        <f t="shared" si="0"/>
        <v>0</v>
      </c>
      <c r="O29" s="159">
        <f t="shared" si="1"/>
        <v>0</v>
      </c>
      <c r="P29" s="159">
        <f t="shared" si="2"/>
        <v>0</v>
      </c>
      <c r="Q29" s="135"/>
      <c r="R29" s="211">
        <f t="shared" si="18"/>
        <v>0</v>
      </c>
      <c r="S29" s="135"/>
      <c r="T29" s="159">
        <f t="shared" si="12"/>
        <v>0</v>
      </c>
      <c r="U29" s="159">
        <f t="shared" si="13"/>
        <v>0</v>
      </c>
      <c r="V29" s="159">
        <f t="shared" si="14"/>
        <v>0</v>
      </c>
      <c r="W29" s="294">
        <f t="shared" si="15"/>
        <v>0</v>
      </c>
      <c r="X29" s="162">
        <f t="shared" si="16"/>
        <v>0</v>
      </c>
      <c r="AA29" s="164">
        <f t="shared" si="3"/>
        <v>1999940</v>
      </c>
      <c r="AB29" s="165">
        <f t="shared" si="4"/>
        <v>0</v>
      </c>
      <c r="AC29" s="165">
        <f t="shared" si="5"/>
        <v>3395922</v>
      </c>
      <c r="AD29" s="165">
        <f t="shared" si="17"/>
        <v>28865.337000000003</v>
      </c>
      <c r="AE29" s="165">
        <f t="shared" si="6"/>
        <v>-237299</v>
      </c>
      <c r="AF29" s="165">
        <f t="shared" si="7"/>
        <v>0</v>
      </c>
      <c r="AG29" s="165"/>
      <c r="AH29" s="230">
        <f t="shared" si="8"/>
        <v>1624940</v>
      </c>
    </row>
    <row r="30" spans="2:34" ht="26.25" customHeight="1">
      <c r="B30" s="166">
        <f t="shared" si="9"/>
        <v>44619</v>
      </c>
      <c r="C30" s="221"/>
      <c r="D30" s="221"/>
      <c r="E30" s="221"/>
      <c r="F30" s="221"/>
      <c r="G30" s="221"/>
      <c r="H30" s="168">
        <f>SUM(C30:G30)</f>
        <v>0</v>
      </c>
      <c r="I30" s="137"/>
      <c r="J30" s="137"/>
      <c r="K30" s="137"/>
      <c r="L30" s="256">
        <f>-F30-G30-I30-K30</f>
        <v>0</v>
      </c>
      <c r="M30" s="136"/>
      <c r="N30" s="256">
        <f t="shared" si="0"/>
        <v>0</v>
      </c>
      <c r="O30" s="159">
        <f t="shared" si="1"/>
        <v>0</v>
      </c>
      <c r="P30" s="159">
        <f t="shared" si="2"/>
        <v>0</v>
      </c>
      <c r="Q30" s="135"/>
      <c r="R30" s="211">
        <f t="shared" si="18"/>
        <v>0</v>
      </c>
      <c r="S30" s="135"/>
      <c r="T30" s="159">
        <f t="shared" si="12"/>
        <v>0</v>
      </c>
      <c r="U30" s="159">
        <f t="shared" si="13"/>
        <v>0</v>
      </c>
      <c r="V30" s="159">
        <f t="shared" si="14"/>
        <v>0</v>
      </c>
      <c r="W30" s="294">
        <f t="shared" si="15"/>
        <v>0</v>
      </c>
      <c r="X30" s="162">
        <f t="shared" si="16"/>
        <v>0</v>
      </c>
      <c r="AA30" s="164">
        <f t="shared" si="3"/>
        <v>1999940</v>
      </c>
      <c r="AB30" s="165">
        <f t="shared" si="4"/>
        <v>0</v>
      </c>
      <c r="AC30" s="165">
        <f t="shared" si="5"/>
        <v>3395922</v>
      </c>
      <c r="AD30" s="165">
        <f t="shared" si="17"/>
        <v>28865.337000000003</v>
      </c>
      <c r="AE30" s="165">
        <f t="shared" si="6"/>
        <v>-237299</v>
      </c>
      <c r="AF30" s="165">
        <f t="shared" si="7"/>
        <v>0</v>
      </c>
      <c r="AG30" s="165"/>
      <c r="AH30" s="230">
        <f t="shared" si="8"/>
        <v>1624940</v>
      </c>
    </row>
    <row r="31" spans="2:34" ht="26.25" customHeight="1">
      <c r="B31" s="166">
        <f t="shared" si="9"/>
        <v>44620</v>
      </c>
      <c r="C31" s="221"/>
      <c r="D31" s="221"/>
      <c r="E31" s="221"/>
      <c r="F31" s="221"/>
      <c r="G31" s="221"/>
      <c r="H31" s="168">
        <f t="shared" si="10"/>
        <v>0</v>
      </c>
      <c r="I31" s="137"/>
      <c r="J31" s="137"/>
      <c r="K31" s="137"/>
      <c r="L31" s="256">
        <f t="shared" si="11"/>
        <v>0</v>
      </c>
      <c r="M31" s="136"/>
      <c r="N31" s="256">
        <f t="shared" si="0"/>
        <v>0</v>
      </c>
      <c r="O31" s="159">
        <f t="shared" si="1"/>
        <v>0</v>
      </c>
      <c r="P31" s="159">
        <f t="shared" si="2"/>
        <v>0</v>
      </c>
      <c r="Q31" s="135"/>
      <c r="R31" s="211">
        <f t="shared" si="18"/>
        <v>0</v>
      </c>
      <c r="S31" s="135"/>
      <c r="T31" s="159">
        <f t="shared" si="12"/>
        <v>0</v>
      </c>
      <c r="U31" s="159">
        <f t="shared" si="13"/>
        <v>0</v>
      </c>
      <c r="V31" s="159">
        <f t="shared" si="14"/>
        <v>0</v>
      </c>
      <c r="W31" s="294">
        <f t="shared" si="15"/>
        <v>0</v>
      </c>
      <c r="X31" s="162">
        <f t="shared" si="16"/>
        <v>0</v>
      </c>
      <c r="AA31" s="164">
        <f t="shared" si="3"/>
        <v>1999940</v>
      </c>
      <c r="AB31" s="165">
        <f t="shared" si="4"/>
        <v>0</v>
      </c>
      <c r="AC31" s="165">
        <f t="shared" si="5"/>
        <v>3395922</v>
      </c>
      <c r="AD31" s="165">
        <f t="shared" si="17"/>
        <v>28865.337000000003</v>
      </c>
      <c r="AE31" s="165">
        <f t="shared" si="6"/>
        <v>-237299</v>
      </c>
      <c r="AF31" s="165">
        <f t="shared" si="7"/>
        <v>0</v>
      </c>
      <c r="AG31" s="165"/>
      <c r="AH31" s="230">
        <f t="shared" si="8"/>
        <v>1624940</v>
      </c>
    </row>
    <row r="32" spans="2:34" ht="26.25" hidden="1" customHeight="1">
      <c r="B32" s="166">
        <f t="shared" si="9"/>
        <v>44621</v>
      </c>
      <c r="C32" s="221"/>
      <c r="D32" s="221"/>
      <c r="E32" s="221"/>
      <c r="F32" s="221"/>
      <c r="G32" s="221"/>
      <c r="H32" s="168">
        <f t="shared" si="10"/>
        <v>0</v>
      </c>
      <c r="I32" s="137"/>
      <c r="J32" s="137"/>
      <c r="K32" s="137"/>
      <c r="L32" s="256">
        <f t="shared" si="11"/>
        <v>0</v>
      </c>
      <c r="M32" s="136"/>
      <c r="N32" s="256">
        <f t="shared" si="0"/>
        <v>0</v>
      </c>
      <c r="O32" s="159">
        <f t="shared" si="1"/>
        <v>0</v>
      </c>
      <c r="P32" s="159">
        <f t="shared" si="2"/>
        <v>0</v>
      </c>
      <c r="Q32" s="135"/>
      <c r="R32" s="211">
        <f t="shared" si="18"/>
        <v>0</v>
      </c>
      <c r="S32" s="135"/>
      <c r="T32" s="159">
        <f t="shared" si="12"/>
        <v>0</v>
      </c>
      <c r="U32" s="159">
        <f t="shared" si="13"/>
        <v>0</v>
      </c>
      <c r="V32" s="159">
        <f t="shared" si="14"/>
        <v>0</v>
      </c>
      <c r="W32" s="294">
        <f t="shared" si="15"/>
        <v>0</v>
      </c>
      <c r="X32" s="162">
        <f t="shared" si="16"/>
        <v>0</v>
      </c>
      <c r="AA32" s="164">
        <f t="shared" si="3"/>
        <v>1999940</v>
      </c>
      <c r="AB32" s="165">
        <f t="shared" si="4"/>
        <v>0</v>
      </c>
      <c r="AC32" s="165">
        <f t="shared" si="5"/>
        <v>3395922</v>
      </c>
      <c r="AD32" s="165">
        <f t="shared" si="17"/>
        <v>28865.337000000003</v>
      </c>
      <c r="AE32" s="165">
        <f t="shared" si="6"/>
        <v>-237299</v>
      </c>
      <c r="AF32" s="165">
        <f t="shared" si="7"/>
        <v>0</v>
      </c>
      <c r="AG32" s="165"/>
      <c r="AH32" s="230">
        <f t="shared" si="8"/>
        <v>1624940</v>
      </c>
    </row>
    <row r="33" spans="2:34" ht="26.25" hidden="1" customHeight="1">
      <c r="B33" s="166">
        <f t="shared" si="9"/>
        <v>44622</v>
      </c>
      <c r="C33" s="221"/>
      <c r="D33" s="221"/>
      <c r="E33" s="221"/>
      <c r="F33" s="221"/>
      <c r="G33" s="221"/>
      <c r="H33" s="168">
        <f t="shared" si="10"/>
        <v>0</v>
      </c>
      <c r="I33" s="137"/>
      <c r="J33" s="137"/>
      <c r="K33" s="137"/>
      <c r="L33" s="256">
        <f t="shared" si="11"/>
        <v>0</v>
      </c>
      <c r="M33" s="136"/>
      <c r="N33" s="256">
        <f t="shared" si="0"/>
        <v>0</v>
      </c>
      <c r="O33" s="159">
        <f t="shared" si="1"/>
        <v>0</v>
      </c>
      <c r="P33" s="159">
        <f t="shared" si="2"/>
        <v>0</v>
      </c>
      <c r="Q33" s="135"/>
      <c r="R33" s="211">
        <f t="shared" si="18"/>
        <v>0</v>
      </c>
      <c r="S33" s="135"/>
      <c r="T33" s="159">
        <f t="shared" si="12"/>
        <v>0</v>
      </c>
      <c r="U33" s="159">
        <f t="shared" si="13"/>
        <v>0</v>
      </c>
      <c r="V33" s="159">
        <f t="shared" si="14"/>
        <v>0</v>
      </c>
      <c r="W33" s="294">
        <f t="shared" si="15"/>
        <v>0</v>
      </c>
      <c r="X33" s="162">
        <f t="shared" si="16"/>
        <v>0</v>
      </c>
      <c r="AA33" s="164">
        <f t="shared" si="3"/>
        <v>1999940</v>
      </c>
      <c r="AB33" s="165">
        <f t="shared" si="4"/>
        <v>0</v>
      </c>
      <c r="AC33" s="165">
        <f t="shared" si="5"/>
        <v>3395922</v>
      </c>
      <c r="AD33" s="165">
        <f t="shared" si="17"/>
        <v>28865.337000000003</v>
      </c>
      <c r="AE33" s="165">
        <f t="shared" si="6"/>
        <v>-237299</v>
      </c>
      <c r="AF33" s="165">
        <f t="shared" si="7"/>
        <v>0</v>
      </c>
      <c r="AG33" s="165"/>
      <c r="AH33" s="230">
        <f t="shared" si="8"/>
        <v>1624940</v>
      </c>
    </row>
    <row r="34" spans="2:34" ht="26.25" hidden="1" customHeight="1">
      <c r="B34" s="166">
        <f t="shared" si="9"/>
        <v>44623</v>
      </c>
      <c r="C34" s="221"/>
      <c r="D34" s="221"/>
      <c r="E34" s="221"/>
      <c r="F34" s="221"/>
      <c r="G34" s="221"/>
      <c r="H34" s="168">
        <f>SUM(C34:G34)</f>
        <v>0</v>
      </c>
      <c r="I34" s="137"/>
      <c r="J34" s="137"/>
      <c r="K34" s="137"/>
      <c r="L34" s="256">
        <f>-F34-G34-I34-K34</f>
        <v>0</v>
      </c>
      <c r="M34" s="136"/>
      <c r="N34" s="256">
        <f t="shared" si="0"/>
        <v>0</v>
      </c>
      <c r="O34" s="159">
        <f t="shared" si="1"/>
        <v>0</v>
      </c>
      <c r="P34" s="159">
        <f t="shared" si="2"/>
        <v>0</v>
      </c>
      <c r="Q34" s="135"/>
      <c r="R34" s="211">
        <f>Q34-S34</f>
        <v>0</v>
      </c>
      <c r="S34" s="135"/>
      <c r="T34" s="159">
        <f>S34*1.7%</f>
        <v>0</v>
      </c>
      <c r="U34" s="159">
        <f>R34*1.7%</f>
        <v>0</v>
      </c>
      <c r="V34" s="159">
        <f>SUM(T34:U34)</f>
        <v>0</v>
      </c>
      <c r="W34" s="294">
        <f t="shared" si="15"/>
        <v>0</v>
      </c>
      <c r="X34" s="162">
        <f t="shared" si="16"/>
        <v>0</v>
      </c>
      <c r="AA34" s="164">
        <f t="shared" si="3"/>
        <v>1999940</v>
      </c>
      <c r="AB34" s="165">
        <f t="shared" si="4"/>
        <v>0</v>
      </c>
      <c r="AC34" s="165">
        <f t="shared" si="5"/>
        <v>3395922</v>
      </c>
      <c r="AD34" s="165">
        <f t="shared" si="17"/>
        <v>28865.337000000003</v>
      </c>
      <c r="AE34" s="165">
        <f t="shared" si="6"/>
        <v>-237299</v>
      </c>
      <c r="AF34" s="165">
        <f t="shared" si="7"/>
        <v>0</v>
      </c>
      <c r="AG34" s="165"/>
      <c r="AH34" s="230">
        <f t="shared" si="8"/>
        <v>1624940</v>
      </c>
    </row>
    <row r="35" spans="2:34" ht="26.25" customHeight="1" thickBot="1">
      <c r="B35" s="138"/>
      <c r="C35" s="139"/>
      <c r="D35" s="139"/>
      <c r="E35" s="139"/>
      <c r="F35" s="140"/>
      <c r="G35" s="140"/>
      <c r="H35" s="141"/>
      <c r="I35" s="142"/>
      <c r="J35" s="142"/>
      <c r="K35" s="142"/>
      <c r="L35" s="143"/>
      <c r="M35" s="143"/>
      <c r="N35" s="143"/>
      <c r="O35" s="160"/>
      <c r="P35" s="160"/>
      <c r="Q35" s="144"/>
      <c r="R35" s="212"/>
      <c r="S35" s="144"/>
      <c r="T35" s="160"/>
      <c r="U35" s="160"/>
      <c r="V35" s="160"/>
      <c r="W35" s="295"/>
      <c r="X35" s="163"/>
      <c r="AA35" s="164"/>
      <c r="AB35" s="165"/>
      <c r="AC35" s="165"/>
      <c r="AD35" s="165"/>
      <c r="AE35" s="165"/>
      <c r="AF35" s="165"/>
      <c r="AG35" s="165"/>
      <c r="AH35" s="230"/>
    </row>
    <row r="36" spans="2:34" ht="15" customHeight="1" thickBot="1">
      <c r="AB36" s="165"/>
    </row>
    <row r="37" spans="2:34" ht="23.25" customHeight="1" thickBot="1">
      <c r="B37" s="145" t="s">
        <v>99</v>
      </c>
      <c r="C37" s="175">
        <f>SUM(C4:C35)</f>
        <v>1624940</v>
      </c>
      <c r="D37" s="175">
        <f t="shared" ref="D37:X37" si="19">SUM(D4:D35)</f>
        <v>0</v>
      </c>
      <c r="E37" s="175">
        <f t="shared" si="19"/>
        <v>0</v>
      </c>
      <c r="F37" s="175">
        <f t="shared" si="19"/>
        <v>1094400</v>
      </c>
      <c r="G37" s="175">
        <f t="shared" si="19"/>
        <v>-719400</v>
      </c>
      <c r="H37" s="175">
        <f t="shared" si="19"/>
        <v>1999940</v>
      </c>
      <c r="I37" s="175">
        <f>SUM(I4:I35)</f>
        <v>0</v>
      </c>
      <c r="J37" s="175">
        <f>SUM(J4:J35)</f>
        <v>-70500</v>
      </c>
      <c r="K37" s="175">
        <f t="shared" si="19"/>
        <v>0</v>
      </c>
      <c r="L37" s="175">
        <f>SUM(L4:L35)</f>
        <v>-375000</v>
      </c>
      <c r="M37" s="277">
        <f t="shared" si="19"/>
        <v>-3299</v>
      </c>
      <c r="N37" s="277">
        <f t="shared" si="19"/>
        <v>-237299</v>
      </c>
      <c r="O37" s="175">
        <f t="shared" si="19"/>
        <v>189149.5</v>
      </c>
      <c r="P37" s="175">
        <f t="shared" si="19"/>
        <v>189149.5</v>
      </c>
      <c r="Q37" s="175">
        <f t="shared" si="19"/>
        <v>3395922</v>
      </c>
      <c r="R37" s="175">
        <f t="shared" si="19"/>
        <v>3395922</v>
      </c>
      <c r="S37" s="175">
        <f t="shared" si="19"/>
        <v>0</v>
      </c>
      <c r="T37" s="175">
        <f t="shared" si="19"/>
        <v>0</v>
      </c>
      <c r="U37" s="175">
        <f t="shared" si="19"/>
        <v>57730.674000000006</v>
      </c>
      <c r="V37" s="175">
        <f t="shared" si="19"/>
        <v>57730.674000000006</v>
      </c>
      <c r="W37" s="175">
        <f t="shared" si="19"/>
        <v>28865.337000000003</v>
      </c>
      <c r="X37" s="274">
        <f t="shared" si="19"/>
        <v>218014.83699999997</v>
      </c>
    </row>
    <row r="38" spans="2:34" ht="19.5" customHeight="1">
      <c r="I38" s="146"/>
      <c r="J38" s="146"/>
      <c r="K38" s="146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</row>
    <row r="39" spans="2:34" ht="19.5" customHeight="1">
      <c r="I39" s="146"/>
      <c r="J39" s="146"/>
      <c r="K39" s="146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</row>
    <row r="40" spans="2:34" ht="24" customHeight="1">
      <c r="C40" s="242" t="s">
        <v>163</v>
      </c>
      <c r="D40" s="242"/>
      <c r="E40" s="242"/>
      <c r="F40" s="173"/>
      <c r="G40" s="173"/>
      <c r="H40" s="411">
        <f>-H37</f>
        <v>-1999940</v>
      </c>
      <c r="I40" s="411"/>
      <c r="J40" s="313"/>
      <c r="K40" s="264"/>
      <c r="L40" s="264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</row>
    <row r="41" spans="2:34" ht="24" customHeight="1">
      <c r="C41" s="242" t="s">
        <v>178</v>
      </c>
      <c r="D41" s="242"/>
      <c r="E41" s="242"/>
      <c r="F41" s="150"/>
      <c r="G41" s="150"/>
      <c r="H41" s="417">
        <f>L37+M37</f>
        <v>-378299</v>
      </c>
      <c r="I41" s="418"/>
      <c r="J41" s="314"/>
      <c r="K41" s="264"/>
      <c r="L41" s="264"/>
      <c r="M41" s="173"/>
      <c r="N41" s="257" t="s">
        <v>167</v>
      </c>
      <c r="O41" s="173"/>
      <c r="P41" s="173"/>
      <c r="Q41" s="173"/>
      <c r="R41" s="173"/>
      <c r="S41" s="173"/>
      <c r="T41" s="257" t="s">
        <v>171</v>
      </c>
      <c r="U41" s="173"/>
      <c r="V41" s="173"/>
      <c r="W41" s="173"/>
      <c r="Y41" s="173"/>
      <c r="Z41" s="173"/>
      <c r="AA41" s="173"/>
    </row>
    <row r="42" spans="2:34" ht="24" customHeight="1" thickBot="1">
      <c r="C42" s="242" t="s">
        <v>176</v>
      </c>
      <c r="D42" s="242"/>
      <c r="E42" s="242"/>
      <c r="F42" s="150"/>
      <c r="G42" s="150"/>
      <c r="H42" s="419">
        <f>-ROUNDDOWN(H41*50%,0)</f>
        <v>189149</v>
      </c>
      <c r="I42" s="419"/>
      <c r="J42" s="314"/>
      <c r="K42" s="264"/>
      <c r="L42" s="264"/>
      <c r="M42" s="173"/>
      <c r="N42" s="148" t="s">
        <v>168</v>
      </c>
      <c r="O42" s="246"/>
      <c r="P42" s="246"/>
      <c r="Q42" s="246"/>
      <c r="R42" s="173"/>
      <c r="S42" s="173"/>
      <c r="T42" s="148" t="s">
        <v>189</v>
      </c>
      <c r="U42" s="173"/>
      <c r="V42" s="173"/>
      <c r="W42" s="173"/>
      <c r="Y42" s="173"/>
      <c r="Z42" s="173"/>
      <c r="AA42" s="173"/>
    </row>
    <row r="43" spans="2:34" ht="8.25" customHeight="1" thickTop="1">
      <c r="C43" s="242"/>
      <c r="D43" s="242"/>
      <c r="E43" s="242"/>
      <c r="F43" s="150"/>
      <c r="G43" s="150"/>
      <c r="H43" s="173"/>
      <c r="I43" s="265"/>
      <c r="J43" s="265"/>
      <c r="K43" s="264"/>
      <c r="L43" s="264"/>
      <c r="M43" s="173"/>
      <c r="N43" s="148"/>
      <c r="O43" s="173"/>
      <c r="P43" s="173"/>
      <c r="Q43" s="173"/>
      <c r="R43" s="173"/>
      <c r="S43" s="173"/>
      <c r="T43" s="148"/>
      <c r="U43" s="173"/>
      <c r="V43" s="173"/>
      <c r="W43" s="173"/>
      <c r="Y43" s="173"/>
      <c r="Z43" s="173"/>
      <c r="AA43" s="173"/>
    </row>
    <row r="44" spans="2:34" ht="24" customHeight="1">
      <c r="C44" s="242" t="s">
        <v>164</v>
      </c>
      <c r="D44" s="242"/>
      <c r="E44" s="242"/>
      <c r="F44" s="150"/>
      <c r="G44" s="150"/>
      <c r="H44" s="413">
        <f>R37</f>
        <v>3395922</v>
      </c>
      <c r="I44" s="413"/>
      <c r="J44" s="314"/>
      <c r="K44" s="264"/>
      <c r="L44" s="264"/>
      <c r="M44" s="173"/>
      <c r="N44" s="257" t="s">
        <v>169</v>
      </c>
      <c r="O44" s="173"/>
      <c r="P44" s="173"/>
      <c r="Q44" s="173"/>
      <c r="R44" s="173"/>
      <c r="S44" s="173"/>
      <c r="T44" s="257" t="s">
        <v>169</v>
      </c>
      <c r="U44" s="173"/>
      <c r="V44" s="173"/>
      <c r="W44" s="173"/>
      <c r="Z44" s="173"/>
      <c r="AA44" s="173"/>
    </row>
    <row r="45" spans="2:34" ht="24" customHeight="1">
      <c r="C45" s="242" t="s">
        <v>200</v>
      </c>
      <c r="D45" s="242"/>
      <c r="E45" s="242"/>
      <c r="F45" s="150"/>
      <c r="G45" s="150"/>
      <c r="H45" s="413">
        <f>H44*1.7%</f>
        <v>57730.674000000006</v>
      </c>
      <c r="I45" s="413"/>
      <c r="J45" s="314"/>
      <c r="K45" s="264"/>
      <c r="L45" s="264"/>
      <c r="M45" s="173"/>
      <c r="N45" s="148" t="s">
        <v>170</v>
      </c>
      <c r="O45" s="246"/>
      <c r="P45" s="246"/>
      <c r="Q45" s="246"/>
      <c r="R45" s="173"/>
      <c r="S45" s="173"/>
      <c r="T45" s="148" t="s">
        <v>204</v>
      </c>
      <c r="U45" s="173"/>
      <c r="V45" s="173"/>
      <c r="W45" s="173"/>
      <c r="Z45" s="173"/>
      <c r="AA45" s="173"/>
    </row>
    <row r="46" spans="2:34" ht="24" customHeight="1">
      <c r="C46" s="242" t="s">
        <v>198</v>
      </c>
      <c r="D46" s="242"/>
      <c r="E46" s="242"/>
      <c r="F46" s="150"/>
      <c r="G46" s="150"/>
      <c r="H46" s="413">
        <f>-H45*50%</f>
        <v>-28865.337000000003</v>
      </c>
      <c r="I46" s="413"/>
      <c r="J46" s="314"/>
      <c r="K46" s="264"/>
      <c r="L46" s="264"/>
      <c r="M46" s="173"/>
      <c r="N46" s="148"/>
      <c r="O46" s="173"/>
      <c r="P46" s="173"/>
      <c r="Q46" s="173"/>
      <c r="R46" s="173"/>
      <c r="S46" s="173"/>
      <c r="V46" s="148"/>
      <c r="W46" s="148"/>
      <c r="Z46" s="173"/>
      <c r="AA46" s="173"/>
    </row>
    <row r="47" spans="2:34" ht="24" customHeight="1">
      <c r="C47" s="242" t="s">
        <v>201</v>
      </c>
      <c r="D47" s="242"/>
      <c r="E47" s="242"/>
      <c r="F47" s="150"/>
      <c r="G47" s="150"/>
      <c r="H47" s="413">
        <f>S37</f>
        <v>0</v>
      </c>
      <c r="I47" s="413"/>
      <c r="J47" s="314"/>
      <c r="K47" s="264"/>
      <c r="L47" s="264"/>
      <c r="M47" s="173"/>
      <c r="N47" s="148"/>
      <c r="O47" s="173"/>
      <c r="P47" s="173"/>
      <c r="Q47" s="173"/>
      <c r="R47" s="173"/>
      <c r="S47" s="173"/>
      <c r="V47" s="148"/>
      <c r="W47" s="148"/>
      <c r="Z47" s="173"/>
      <c r="AA47" s="173"/>
    </row>
    <row r="48" spans="2:34" ht="24" customHeight="1">
      <c r="C48" s="242" t="s">
        <v>202</v>
      </c>
      <c r="D48" s="242"/>
      <c r="E48" s="242"/>
      <c r="F48" s="150"/>
      <c r="G48" s="150"/>
      <c r="H48" s="413">
        <f>T37</f>
        <v>0</v>
      </c>
      <c r="I48" s="413"/>
      <c r="J48" s="314"/>
      <c r="K48" s="264"/>
      <c r="L48" s="264"/>
      <c r="M48" s="173"/>
      <c r="N48" s="148"/>
      <c r="O48" s="173"/>
      <c r="P48" s="173"/>
      <c r="Q48" s="173"/>
      <c r="R48" s="173"/>
      <c r="S48" s="173"/>
      <c r="V48" s="148"/>
      <c r="W48" s="148"/>
      <c r="Z48" s="173"/>
      <c r="AA48" s="173"/>
    </row>
    <row r="49" spans="2:27" ht="24" customHeight="1">
      <c r="C49" s="242" t="s">
        <v>199</v>
      </c>
      <c r="D49" s="242"/>
      <c r="E49" s="242"/>
      <c r="F49" s="150"/>
      <c r="G49" s="150"/>
      <c r="H49" s="413">
        <f>-H48*50%</f>
        <v>0</v>
      </c>
      <c r="I49" s="413"/>
      <c r="J49" s="314"/>
      <c r="K49" s="264"/>
      <c r="L49" s="264"/>
      <c r="M49" s="173"/>
      <c r="N49" s="148"/>
      <c r="O49" s="173"/>
      <c r="P49" s="173"/>
      <c r="Q49" s="173"/>
      <c r="R49" s="173"/>
      <c r="S49" s="173"/>
      <c r="V49" s="148"/>
      <c r="W49" s="148"/>
      <c r="Z49" s="173"/>
      <c r="AA49" s="173"/>
    </row>
    <row r="50" spans="2:27" ht="24" customHeight="1">
      <c r="B50" s="149"/>
      <c r="C50" s="242" t="s">
        <v>177</v>
      </c>
      <c r="D50" s="124"/>
      <c r="E50" s="124"/>
      <c r="F50" s="124"/>
      <c r="G50" s="124"/>
      <c r="H50" s="413">
        <v>0</v>
      </c>
      <c r="I50" s="413"/>
      <c r="J50" s="314"/>
      <c r="K50" s="264"/>
      <c r="L50" s="264"/>
      <c r="M50" s="173"/>
      <c r="N50" s="251"/>
      <c r="O50" s="148"/>
      <c r="P50" s="173"/>
      <c r="Q50" s="173"/>
      <c r="R50" s="173"/>
      <c r="S50" s="173"/>
      <c r="V50" s="148"/>
      <c r="W50" s="148"/>
      <c r="Z50" s="173"/>
      <c r="AA50" s="173"/>
    </row>
    <row r="51" spans="2:27" ht="24" customHeight="1" thickBot="1">
      <c r="B51" s="149"/>
      <c r="C51" s="242"/>
      <c r="D51" s="242"/>
      <c r="E51" s="242"/>
      <c r="F51" s="173"/>
      <c r="G51" s="173"/>
      <c r="H51" s="420">
        <f>ROUNDDOWN(H45+H46+H49+H50,0)</f>
        <v>28865</v>
      </c>
      <c r="I51" s="420"/>
      <c r="J51" s="314"/>
      <c r="K51" s="264"/>
      <c r="L51" s="264"/>
      <c r="M51" s="173"/>
      <c r="N51" s="257" t="s">
        <v>173</v>
      </c>
      <c r="O51" s="173"/>
      <c r="P51" s="173"/>
      <c r="Q51" s="173"/>
      <c r="R51" s="173"/>
      <c r="S51" s="173"/>
      <c r="T51" s="257" t="s">
        <v>45</v>
      </c>
      <c r="U51" s="173"/>
      <c r="V51" s="173"/>
      <c r="W51" s="173"/>
      <c r="Z51" s="173"/>
      <c r="AA51" s="173"/>
    </row>
    <row r="52" spans="2:27" ht="21.75" customHeight="1" thickTop="1">
      <c r="B52" s="149"/>
      <c r="C52" s="242"/>
      <c r="D52" s="242"/>
      <c r="E52" s="242"/>
      <c r="F52" s="173"/>
      <c r="G52" s="173"/>
      <c r="H52" s="173"/>
      <c r="I52" s="281"/>
      <c r="J52" s="314"/>
      <c r="K52" s="264"/>
      <c r="L52" s="264"/>
      <c r="M52" s="173"/>
      <c r="N52" s="148" t="s">
        <v>172</v>
      </c>
      <c r="O52" s="246"/>
      <c r="P52" s="246"/>
      <c r="Q52" s="246"/>
      <c r="R52" s="173"/>
      <c r="S52" s="173"/>
      <c r="T52" s="148" t="s">
        <v>191</v>
      </c>
      <c r="U52" s="173"/>
      <c r="V52" s="173"/>
      <c r="W52" s="173"/>
      <c r="Z52" s="173"/>
      <c r="AA52" s="173"/>
    </row>
    <row r="53" spans="2:27" ht="30" customHeight="1">
      <c r="B53" s="149"/>
      <c r="C53" s="242" t="s">
        <v>203</v>
      </c>
      <c r="D53" s="242"/>
      <c r="E53" s="242"/>
      <c r="F53" s="173"/>
      <c r="G53" s="173"/>
      <c r="H53" s="421">
        <f>H42+H51</f>
        <v>218014</v>
      </c>
      <c r="I53" s="421"/>
      <c r="J53" s="314"/>
      <c r="K53" s="284"/>
      <c r="L53" s="284"/>
      <c r="M53" s="173"/>
      <c r="N53" s="148"/>
      <c r="O53" s="173"/>
      <c r="P53" s="173"/>
      <c r="Q53" s="173"/>
      <c r="R53" s="173"/>
      <c r="S53" s="173"/>
      <c r="T53" s="148"/>
      <c r="U53" s="173"/>
      <c r="V53" s="173"/>
      <c r="W53" s="173"/>
      <c r="Z53" s="173"/>
      <c r="AA53" s="173"/>
    </row>
    <row r="54" spans="2:27" ht="26.25" customHeight="1">
      <c r="B54" s="208"/>
      <c r="C54" s="242"/>
      <c r="D54" s="124"/>
      <c r="E54" s="124"/>
      <c r="F54" s="124"/>
      <c r="G54" s="124"/>
      <c r="H54" s="422"/>
      <c r="I54" s="422"/>
      <c r="J54" s="314"/>
      <c r="K54" s="283"/>
      <c r="L54" s="283"/>
      <c r="M54" s="173"/>
      <c r="N54" s="257" t="s">
        <v>169</v>
      </c>
      <c r="R54" s="173"/>
      <c r="S54" s="173"/>
      <c r="T54" s="257" t="s">
        <v>169</v>
      </c>
      <c r="U54" s="150"/>
      <c r="V54" s="150"/>
      <c r="W54" s="150"/>
      <c r="Z54" s="173"/>
      <c r="AA54" s="173"/>
    </row>
    <row r="55" spans="2:27" ht="26.25" customHeight="1">
      <c r="B55" s="209"/>
      <c r="C55" s="242" t="s">
        <v>175</v>
      </c>
      <c r="D55" s="242"/>
      <c r="E55" s="242"/>
      <c r="H55" s="412">
        <f>H40+H53</f>
        <v>-1781926</v>
      </c>
      <c r="I55" s="412"/>
      <c r="J55" s="314"/>
      <c r="K55" s="283"/>
      <c r="L55" s="283"/>
      <c r="M55" s="173"/>
      <c r="N55" s="148" t="s">
        <v>170</v>
      </c>
      <c r="O55" s="248"/>
      <c r="P55" s="248"/>
      <c r="Q55" s="248"/>
      <c r="R55" s="173"/>
      <c r="S55" s="173"/>
      <c r="T55" s="148" t="s">
        <v>205</v>
      </c>
      <c r="U55" s="150"/>
      <c r="V55" s="150"/>
      <c r="W55" s="150"/>
      <c r="Z55" s="173"/>
      <c r="AA55" s="173"/>
    </row>
    <row r="56" spans="2:27" ht="25.5" customHeight="1">
      <c r="D56" s="242"/>
      <c r="E56" s="242"/>
      <c r="G56" s="209"/>
      <c r="K56" s="283"/>
      <c r="L56" s="283"/>
      <c r="M56" s="173"/>
      <c r="S56" s="173"/>
      <c r="Z56" s="150"/>
      <c r="AA56" s="150"/>
    </row>
    <row r="57" spans="2:27" ht="28.5">
      <c r="B57" s="124"/>
      <c r="C57" s="124"/>
      <c r="D57" s="124"/>
      <c r="E57" s="124"/>
      <c r="F57" s="124"/>
      <c r="I57" s="151"/>
      <c r="J57" s="151"/>
      <c r="K57" s="283"/>
      <c r="L57" s="283"/>
      <c r="M57" s="173"/>
      <c r="N57" s="148"/>
      <c r="O57" s="148"/>
      <c r="T57" s="148"/>
      <c r="U57" s="150"/>
      <c r="V57" s="150"/>
      <c r="W57" s="150"/>
      <c r="Y57" s="150"/>
      <c r="Z57" s="150"/>
      <c r="AA57" s="150"/>
    </row>
    <row r="58" spans="2:27" ht="28.5">
      <c r="B58" s="124"/>
      <c r="C58" s="124"/>
      <c r="D58" s="124"/>
      <c r="E58" s="124"/>
      <c r="F58" s="124"/>
      <c r="G58" s="124"/>
      <c r="H58" s="124"/>
      <c r="K58" s="283"/>
      <c r="L58" s="173"/>
      <c r="M58" s="252"/>
      <c r="N58" s="148"/>
      <c r="U58" s="148"/>
      <c r="V58" s="150"/>
      <c r="W58" s="150"/>
      <c r="X58" s="150"/>
      <c r="Y58" s="150"/>
      <c r="Z58" s="150"/>
    </row>
    <row r="59" spans="2:27" ht="28.5">
      <c r="B59" s="124"/>
      <c r="C59" s="124"/>
      <c r="D59" s="124"/>
      <c r="E59" s="124"/>
      <c r="F59" s="124"/>
      <c r="G59" s="124"/>
      <c r="H59" s="124"/>
      <c r="L59" s="153"/>
      <c r="N59" s="148"/>
      <c r="T59" s="148"/>
      <c r="U59" s="173"/>
      <c r="V59" s="173"/>
      <c r="W59" s="173"/>
      <c r="Y59" s="150"/>
    </row>
    <row r="60" spans="2:27" ht="23.25">
      <c r="G60" s="124"/>
      <c r="H60" s="124"/>
      <c r="L60" s="154"/>
      <c r="N60" s="257"/>
      <c r="T60" s="257"/>
      <c r="U60" s="150"/>
      <c r="V60" s="150"/>
      <c r="W60" s="150"/>
      <c r="Y60" s="150"/>
    </row>
    <row r="61" spans="2:27" ht="18.75">
      <c r="L61" s="155"/>
      <c r="M61" s="153"/>
      <c r="N61" s="148"/>
      <c r="T61" s="148"/>
      <c r="U61" s="150"/>
      <c r="V61" s="150"/>
      <c r="W61" s="150"/>
    </row>
    <row r="62" spans="2:27" ht="18.75">
      <c r="L62" s="156"/>
      <c r="M62" s="154"/>
      <c r="N62" s="247"/>
      <c r="T62" s="150"/>
      <c r="U62" s="150"/>
    </row>
    <row r="63" spans="2:27">
      <c r="L63" s="156"/>
      <c r="M63" s="155"/>
    </row>
    <row r="64" spans="2:27" ht="15.75">
      <c r="L64" s="156"/>
      <c r="M64" s="156"/>
      <c r="N64" s="153"/>
      <c r="Q64" s="152"/>
    </row>
    <row r="65" spans="9:24">
      <c r="L65" s="156"/>
      <c r="M65" s="156"/>
      <c r="N65" s="154"/>
    </row>
    <row r="66" spans="9:24">
      <c r="L66" s="156"/>
      <c r="M66" s="156"/>
      <c r="N66" s="155"/>
    </row>
    <row r="67" spans="9:24">
      <c r="L67" s="156"/>
      <c r="M67" s="156"/>
      <c r="N67" s="156"/>
    </row>
    <row r="68" spans="9:24">
      <c r="L68" s="156"/>
      <c r="M68" s="156"/>
      <c r="N68" s="156"/>
    </row>
    <row r="69" spans="9:24" s="123" customFormat="1">
      <c r="I69" s="124"/>
      <c r="J69" s="124"/>
      <c r="K69" s="124"/>
      <c r="L69" s="156"/>
      <c r="M69" s="156"/>
      <c r="N69" s="156"/>
      <c r="O69" s="124"/>
      <c r="P69" s="124"/>
      <c r="Q69" s="124"/>
      <c r="R69" s="124"/>
      <c r="S69" s="124"/>
      <c r="T69" s="124"/>
      <c r="U69" s="124"/>
      <c r="V69" s="124"/>
      <c r="W69" s="124"/>
      <c r="X69" s="124"/>
    </row>
    <row r="70" spans="9:24">
      <c r="L70" s="156"/>
      <c r="M70" s="156"/>
      <c r="N70" s="156"/>
    </row>
    <row r="71" spans="9:24">
      <c r="L71" s="156"/>
      <c r="M71" s="156"/>
      <c r="N71" s="156"/>
    </row>
    <row r="72" spans="9:24">
      <c r="M72" s="156"/>
      <c r="N72" s="156"/>
    </row>
    <row r="73" spans="9:24">
      <c r="M73" s="156"/>
      <c r="N73" s="156"/>
    </row>
    <row r="74" spans="9:24">
      <c r="N74" s="156"/>
    </row>
    <row r="75" spans="9:24">
      <c r="N75" s="156"/>
    </row>
    <row r="76" spans="9:24">
      <c r="N76" s="156"/>
    </row>
  </sheetData>
  <sheetProtection algorithmName="SHA-512" hashValue="gDT86vMtkkzX2LuZYppiBgAXbNJr3dLXa4HCjFQubuxuS+aadugTTKXS6n9KPC0h45yiXKRmL4g3JssdlCDQig==" saltValue="FANJ9Ik+RIy1ff76X0xEKw==" spinCount="100000" sheet="1" objects="1" scenarios="1"/>
  <mergeCells count="15">
    <mergeCell ref="H40:I40"/>
    <mergeCell ref="H55:I55"/>
    <mergeCell ref="H46:I46"/>
    <mergeCell ref="B2:X2"/>
    <mergeCell ref="H41:I41"/>
    <mergeCell ref="H42:I42"/>
    <mergeCell ref="H44:I44"/>
    <mergeCell ref="H45:I45"/>
    <mergeCell ref="H47:I47"/>
    <mergeCell ref="H48:I48"/>
    <mergeCell ref="H49:I49"/>
    <mergeCell ref="H51:I51"/>
    <mergeCell ref="H53:I53"/>
    <mergeCell ref="H50:I50"/>
    <mergeCell ref="H54:I54"/>
  </mergeCells>
  <printOptions horizontalCentered="1"/>
  <pageMargins left="0" right="0" top="0" bottom="0" header="0" footer="0"/>
  <pageSetup scale="37" orientation="landscape" horizontalDpi="360" verticalDpi="36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FFF00"/>
    <pageSetUpPr fitToPage="1"/>
  </sheetPr>
  <dimension ref="B1:AH72"/>
  <sheetViews>
    <sheetView showGridLines="0" view="pageBreakPreview" zoomScale="70" zoomScaleNormal="90" zoomScaleSheetLayoutView="70" workbookViewId="0">
      <pane ySplit="3" topLeftCell="A42" activePane="bottomLeft" state="frozen"/>
      <selection activeCell="Q50" sqref="Q50"/>
      <selection pane="bottomLeft" activeCell="J57" sqref="J57"/>
    </sheetView>
  </sheetViews>
  <sheetFormatPr defaultRowHeight="15"/>
  <cols>
    <col min="1" max="1" width="1" style="124" customWidth="1"/>
    <col min="2" max="2" width="12.28515625" style="123" bestFit="1" customWidth="1"/>
    <col min="3" max="5" width="14.85546875" style="123" customWidth="1"/>
    <col min="6" max="6" width="14.140625" style="123" customWidth="1"/>
    <col min="7" max="7" width="14.42578125" style="123" customWidth="1"/>
    <col min="8" max="8" width="14.85546875" style="123" customWidth="1"/>
    <col min="9" max="11" width="15.42578125" style="124" customWidth="1"/>
    <col min="12" max="14" width="17.42578125" style="124" customWidth="1"/>
    <col min="15" max="16" width="15.28515625" style="124" bestFit="1" customWidth="1"/>
    <col min="17" max="19" width="19" style="124" customWidth="1"/>
    <col min="20" max="20" width="18.42578125" style="124" customWidth="1"/>
    <col min="21" max="21" width="14.28515625" style="124" customWidth="1"/>
    <col min="22" max="22" width="13.7109375" style="124" customWidth="1"/>
    <col min="23" max="23" width="14.7109375" style="124" bestFit="1" customWidth="1"/>
    <col min="24" max="24" width="16.28515625" style="124" customWidth="1"/>
    <col min="25" max="25" width="3.140625" style="124" customWidth="1"/>
    <col min="26" max="29" width="11.85546875" style="124" customWidth="1"/>
    <col min="30" max="30" width="9.140625" style="124" customWidth="1"/>
    <col min="31" max="31" width="12.140625" style="124" customWidth="1"/>
    <col min="32" max="32" width="11.7109375" style="124" customWidth="1"/>
    <col min="33" max="33" width="9.140625" style="124" customWidth="1"/>
    <col min="34" max="34" width="13.28515625" style="124" customWidth="1"/>
    <col min="35" max="35" width="9.140625" style="124" customWidth="1"/>
    <col min="36" max="16384" width="9.140625" style="124"/>
  </cols>
  <sheetData>
    <row r="1" spans="2:34" ht="24.75" customHeight="1" thickBot="1"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</row>
    <row r="2" spans="2:34" ht="28.5" customHeight="1" thickBot="1">
      <c r="B2" s="414" t="s">
        <v>232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415"/>
      <c r="X2" s="416"/>
    </row>
    <row r="3" spans="2:34" ht="60.75" thickBot="1">
      <c r="B3" s="125" t="s">
        <v>94</v>
      </c>
      <c r="C3" s="126" t="s">
        <v>121</v>
      </c>
      <c r="D3" s="126" t="s">
        <v>213</v>
      </c>
      <c r="E3" s="126" t="s">
        <v>228</v>
      </c>
      <c r="F3" s="126" t="s">
        <v>188</v>
      </c>
      <c r="G3" s="126" t="s">
        <v>186</v>
      </c>
      <c r="H3" s="126" t="s">
        <v>163</v>
      </c>
      <c r="I3" s="127" t="s">
        <v>111</v>
      </c>
      <c r="J3" s="127" t="s">
        <v>211</v>
      </c>
      <c r="K3" s="127" t="s">
        <v>183</v>
      </c>
      <c r="L3" s="127" t="s">
        <v>180</v>
      </c>
      <c r="M3" s="127" t="s">
        <v>181</v>
      </c>
      <c r="N3" s="127" t="s">
        <v>182</v>
      </c>
      <c r="O3" s="128">
        <v>-0.5</v>
      </c>
      <c r="P3" s="157">
        <f>-100%-O3</f>
        <v>-0.5</v>
      </c>
      <c r="Q3" s="127" t="s">
        <v>141</v>
      </c>
      <c r="R3" s="127" t="s">
        <v>142</v>
      </c>
      <c r="S3" s="127" t="s">
        <v>98</v>
      </c>
      <c r="T3" s="127" t="s">
        <v>125</v>
      </c>
      <c r="U3" s="206" t="s">
        <v>143</v>
      </c>
      <c r="V3" s="127" t="s">
        <v>97</v>
      </c>
      <c r="W3" s="127" t="s">
        <v>144</v>
      </c>
      <c r="X3" s="129" t="s">
        <v>96</v>
      </c>
      <c r="AA3" s="130" t="s">
        <v>106</v>
      </c>
      <c r="AB3" s="130" t="s">
        <v>95</v>
      </c>
      <c r="AC3" s="130" t="s">
        <v>107</v>
      </c>
      <c r="AD3" s="131" t="s">
        <v>108</v>
      </c>
      <c r="AE3" s="131" t="s">
        <v>109</v>
      </c>
      <c r="AF3" s="130" t="s">
        <v>147</v>
      </c>
      <c r="AG3" s="130" t="s">
        <v>110</v>
      </c>
      <c r="AH3" s="130" t="s">
        <v>120</v>
      </c>
    </row>
    <row r="4" spans="2:34" ht="26.25" customHeight="1">
      <c r="B4" s="132">
        <v>44593</v>
      </c>
      <c r="C4" s="240">
        <v>1766</v>
      </c>
      <c r="D4" s="240">
        <v>0</v>
      </c>
      <c r="E4" s="379">
        <v>10000</v>
      </c>
      <c r="F4" s="240">
        <v>130000</v>
      </c>
      <c r="G4" s="240">
        <v>-130000</v>
      </c>
      <c r="H4" s="376">
        <f>C4+F4+G4</f>
        <v>1766</v>
      </c>
      <c r="I4" s="133">
        <v>0</v>
      </c>
      <c r="J4" s="133">
        <v>-38600</v>
      </c>
      <c r="K4" s="133">
        <v>0</v>
      </c>
      <c r="L4" s="256">
        <f>-F4-G4-I4-K4+E4</f>
        <v>10000</v>
      </c>
      <c r="M4" s="133">
        <v>34050</v>
      </c>
      <c r="N4" s="256">
        <f>L4+M4-J4*2</f>
        <v>121250</v>
      </c>
      <c r="O4" s="321">
        <f>N4*$O$3-J4</f>
        <v>-22025</v>
      </c>
      <c r="P4" s="321">
        <f>N4*$P$3-J4</f>
        <v>-22025</v>
      </c>
      <c r="Q4" s="134">
        <v>501210</v>
      </c>
      <c r="R4" s="210">
        <f>Q4-S4</f>
        <v>410410</v>
      </c>
      <c r="S4" s="134">
        <v>90800</v>
      </c>
      <c r="T4" s="159">
        <f>S4*1.7%</f>
        <v>1543.6000000000001</v>
      </c>
      <c r="U4" s="158">
        <f>R4*1.7%</f>
        <v>6976.97</v>
      </c>
      <c r="V4" s="158">
        <f>SUM(T4:U4)</f>
        <v>8520.57</v>
      </c>
      <c r="W4" s="159">
        <f>V4*50%</f>
        <v>4260.2849999999999</v>
      </c>
      <c r="X4" s="286">
        <f>O4+W4-T4</f>
        <v>-19308.314999999999</v>
      </c>
      <c r="AA4" s="164">
        <f>H4</f>
        <v>1766</v>
      </c>
      <c r="AB4" s="165">
        <f>I4+K4</f>
        <v>0</v>
      </c>
      <c r="AC4" s="165">
        <f>R4</f>
        <v>410410</v>
      </c>
      <c r="AD4" s="165">
        <f>W4</f>
        <v>4260.2849999999999</v>
      </c>
      <c r="AE4" s="165">
        <f>N4</f>
        <v>121250</v>
      </c>
      <c r="AF4" s="165">
        <f>S4</f>
        <v>90800</v>
      </c>
      <c r="AG4" s="165"/>
      <c r="AH4" s="213">
        <f>C4</f>
        <v>1766</v>
      </c>
    </row>
    <row r="5" spans="2:34" ht="26.25" customHeight="1">
      <c r="B5" s="166">
        <f>B4+1</f>
        <v>44594</v>
      </c>
      <c r="C5" s="221">
        <v>0</v>
      </c>
      <c r="D5" s="221">
        <v>0</v>
      </c>
      <c r="E5" s="221">
        <v>0</v>
      </c>
      <c r="F5" s="221">
        <v>0</v>
      </c>
      <c r="G5" s="221">
        <v>0</v>
      </c>
      <c r="H5" s="168">
        <f>C5+F5+G5</f>
        <v>0</v>
      </c>
      <c r="I5" s="136">
        <v>0</v>
      </c>
      <c r="J5" s="136">
        <v>0</v>
      </c>
      <c r="K5" s="136">
        <v>0</v>
      </c>
      <c r="L5" s="256">
        <f t="shared" ref="L5:L34" si="0">-F5-G5-I5-K5+E5</f>
        <v>0</v>
      </c>
      <c r="M5" s="136">
        <v>-70100</v>
      </c>
      <c r="N5" s="256">
        <f t="shared" ref="N5:N34" si="1">L5+M5-J5*2</f>
        <v>-70100</v>
      </c>
      <c r="O5" s="159">
        <f t="shared" ref="O5:O34" si="2">N5*$O$3-J5</f>
        <v>35050</v>
      </c>
      <c r="P5" s="159">
        <f t="shared" ref="P5:P34" si="3">N5*$P$3-J5</f>
        <v>35050</v>
      </c>
      <c r="Q5" s="135">
        <v>446105</v>
      </c>
      <c r="R5" s="211">
        <f>Q5-S5</f>
        <v>20130</v>
      </c>
      <c r="S5" s="135">
        <v>425975</v>
      </c>
      <c r="T5" s="159">
        <f>S5*1.7%</f>
        <v>7241.5750000000007</v>
      </c>
      <c r="U5" s="159">
        <f>R5*1.7%</f>
        <v>342.21000000000004</v>
      </c>
      <c r="V5" s="159">
        <f>SUM(T5:U5)</f>
        <v>7583.7850000000008</v>
      </c>
      <c r="W5" s="159">
        <f>V5*50%</f>
        <v>3791.8925000000004</v>
      </c>
      <c r="X5" s="288">
        <f t="shared" ref="X5:X34" si="4">O5+W5-T5</f>
        <v>31600.317500000001</v>
      </c>
      <c r="AA5" s="164">
        <f t="shared" ref="AA5:AA33" si="5">AA4+H5</f>
        <v>1766</v>
      </c>
      <c r="AB5" s="165">
        <f t="shared" ref="AB5:AB33" si="6">AB4+I5+K5</f>
        <v>0</v>
      </c>
      <c r="AC5" s="165">
        <f t="shared" ref="AC5:AC33" si="7">R5+AC4</f>
        <v>430540</v>
      </c>
      <c r="AD5" s="165">
        <f>W5+AD4</f>
        <v>8052.1774999999998</v>
      </c>
      <c r="AE5" s="165">
        <f t="shared" ref="AE5:AE33" si="8">AE4+N5</f>
        <v>51150</v>
      </c>
      <c r="AF5" s="165">
        <f t="shared" ref="AF5:AF33" si="9">S5+AF4</f>
        <v>516775</v>
      </c>
      <c r="AG5" s="165"/>
      <c r="AH5" s="230">
        <f t="shared" ref="AH5:AH33" si="10">C5+AH4</f>
        <v>1766</v>
      </c>
    </row>
    <row r="6" spans="2:34" ht="26.25" customHeight="1">
      <c r="B6" s="166">
        <f t="shared" ref="B6:B33" si="11">B5+1</f>
        <v>44595</v>
      </c>
      <c r="C6" s="221">
        <v>5621</v>
      </c>
      <c r="D6" s="378">
        <v>-20000</v>
      </c>
      <c r="E6" s="378">
        <v>10000</v>
      </c>
      <c r="F6" s="221">
        <v>0</v>
      </c>
      <c r="G6" s="221">
        <v>0</v>
      </c>
      <c r="H6" s="168">
        <f>C6+F6+G6</f>
        <v>5621</v>
      </c>
      <c r="I6" s="136">
        <v>0</v>
      </c>
      <c r="J6" s="136">
        <v>0</v>
      </c>
      <c r="K6" s="136">
        <v>0</v>
      </c>
      <c r="L6" s="256">
        <f t="shared" si="0"/>
        <v>10000</v>
      </c>
      <c r="M6" s="136">
        <v>0</v>
      </c>
      <c r="N6" s="256">
        <f t="shared" si="1"/>
        <v>10000</v>
      </c>
      <c r="O6" s="159">
        <f t="shared" si="2"/>
        <v>-5000</v>
      </c>
      <c r="P6" s="159">
        <f t="shared" si="3"/>
        <v>-5000</v>
      </c>
      <c r="Q6" s="135">
        <v>16450</v>
      </c>
      <c r="R6" s="211">
        <f>Q6-S6</f>
        <v>16450</v>
      </c>
      <c r="S6" s="135">
        <v>0</v>
      </c>
      <c r="T6" s="159">
        <f t="shared" ref="T6:T34" si="12">S6*1.7%</f>
        <v>0</v>
      </c>
      <c r="U6" s="159">
        <f t="shared" ref="U6:U34" si="13">R6*1.7%</f>
        <v>279.65000000000003</v>
      </c>
      <c r="V6" s="159">
        <f t="shared" ref="V6:V34" si="14">SUM(T6:U6)</f>
        <v>279.65000000000003</v>
      </c>
      <c r="W6" s="159">
        <f t="shared" ref="W6:W13" si="15">V6*50%</f>
        <v>139.82500000000002</v>
      </c>
      <c r="X6" s="288">
        <f t="shared" si="4"/>
        <v>-4860.1750000000002</v>
      </c>
      <c r="AA6" s="164">
        <f t="shared" si="5"/>
        <v>7387</v>
      </c>
      <c r="AB6" s="165">
        <f t="shared" si="6"/>
        <v>0</v>
      </c>
      <c r="AC6" s="165">
        <f t="shared" si="7"/>
        <v>446990</v>
      </c>
      <c r="AD6" s="165">
        <f t="shared" ref="AD6:AD33" si="16">W6+AD5</f>
        <v>8192.0025000000005</v>
      </c>
      <c r="AE6" s="165">
        <f t="shared" si="8"/>
        <v>61150</v>
      </c>
      <c r="AF6" s="165">
        <f t="shared" si="9"/>
        <v>516775</v>
      </c>
      <c r="AG6" s="165"/>
      <c r="AH6" s="230">
        <f t="shared" si="10"/>
        <v>7387</v>
      </c>
    </row>
    <row r="7" spans="2:34" ht="26.25" customHeight="1">
      <c r="B7" s="166">
        <f t="shared" si="11"/>
        <v>44596</v>
      </c>
      <c r="C7" s="221">
        <v>0</v>
      </c>
      <c r="D7" s="221">
        <v>0</v>
      </c>
      <c r="E7" s="221">
        <v>0</v>
      </c>
      <c r="F7" s="221">
        <v>0</v>
      </c>
      <c r="G7" s="221">
        <v>0</v>
      </c>
      <c r="H7" s="168">
        <f t="shared" ref="H7:H35" si="17">C7+F7+G7</f>
        <v>0</v>
      </c>
      <c r="I7" s="136">
        <v>0</v>
      </c>
      <c r="J7" s="136">
        <v>0</v>
      </c>
      <c r="K7" s="136">
        <v>0</v>
      </c>
      <c r="L7" s="256">
        <f t="shared" si="0"/>
        <v>0</v>
      </c>
      <c r="M7" s="136">
        <v>0</v>
      </c>
      <c r="N7" s="256">
        <f t="shared" si="1"/>
        <v>0</v>
      </c>
      <c r="O7" s="159">
        <f t="shared" si="2"/>
        <v>0</v>
      </c>
      <c r="P7" s="159">
        <f t="shared" si="3"/>
        <v>0</v>
      </c>
      <c r="Q7" s="135">
        <v>0</v>
      </c>
      <c r="R7" s="211">
        <f t="shared" ref="R7:R34" si="18">Q7-S7</f>
        <v>0</v>
      </c>
      <c r="S7" s="135">
        <v>0</v>
      </c>
      <c r="T7" s="159">
        <f t="shared" si="12"/>
        <v>0</v>
      </c>
      <c r="U7" s="159">
        <f t="shared" si="13"/>
        <v>0</v>
      </c>
      <c r="V7" s="159">
        <f t="shared" si="14"/>
        <v>0</v>
      </c>
      <c r="W7" s="159">
        <f t="shared" si="15"/>
        <v>0</v>
      </c>
      <c r="X7" s="288">
        <f t="shared" si="4"/>
        <v>0</v>
      </c>
      <c r="AA7" s="164">
        <f t="shared" si="5"/>
        <v>7387</v>
      </c>
      <c r="AB7" s="165">
        <f t="shared" si="6"/>
        <v>0</v>
      </c>
      <c r="AC7" s="165">
        <f t="shared" si="7"/>
        <v>446990</v>
      </c>
      <c r="AD7" s="165">
        <f t="shared" si="16"/>
        <v>8192.0025000000005</v>
      </c>
      <c r="AE7" s="165">
        <f t="shared" si="8"/>
        <v>61150</v>
      </c>
      <c r="AF7" s="165">
        <f t="shared" si="9"/>
        <v>516775</v>
      </c>
      <c r="AG7" s="165"/>
      <c r="AH7" s="230">
        <f t="shared" si="10"/>
        <v>7387</v>
      </c>
    </row>
    <row r="8" spans="2:34" ht="26.25" customHeight="1">
      <c r="B8" s="166">
        <f t="shared" si="11"/>
        <v>44597</v>
      </c>
      <c r="C8" s="221">
        <v>0</v>
      </c>
      <c r="D8" s="221">
        <v>0</v>
      </c>
      <c r="E8" s="221">
        <v>0</v>
      </c>
      <c r="F8" s="221">
        <v>0</v>
      </c>
      <c r="G8" s="221">
        <v>0</v>
      </c>
      <c r="H8" s="168">
        <f t="shared" si="17"/>
        <v>0</v>
      </c>
      <c r="I8" s="136">
        <v>0</v>
      </c>
      <c r="J8" s="136">
        <v>0</v>
      </c>
      <c r="K8" s="136">
        <v>0</v>
      </c>
      <c r="L8" s="256">
        <f t="shared" si="0"/>
        <v>0</v>
      </c>
      <c r="M8" s="136">
        <v>0</v>
      </c>
      <c r="N8" s="256">
        <f t="shared" si="1"/>
        <v>0</v>
      </c>
      <c r="O8" s="159">
        <f t="shared" si="2"/>
        <v>0</v>
      </c>
      <c r="P8" s="159">
        <f t="shared" si="3"/>
        <v>0</v>
      </c>
      <c r="Q8" s="135">
        <v>0</v>
      </c>
      <c r="R8" s="211">
        <f t="shared" si="18"/>
        <v>0</v>
      </c>
      <c r="S8" s="135">
        <v>0</v>
      </c>
      <c r="T8" s="159">
        <f t="shared" si="12"/>
        <v>0</v>
      </c>
      <c r="U8" s="159">
        <f t="shared" si="13"/>
        <v>0</v>
      </c>
      <c r="V8" s="159">
        <f t="shared" si="14"/>
        <v>0</v>
      </c>
      <c r="W8" s="159">
        <f t="shared" si="15"/>
        <v>0</v>
      </c>
      <c r="X8" s="288">
        <f t="shared" si="4"/>
        <v>0</v>
      </c>
      <c r="AA8" s="164">
        <f t="shared" si="5"/>
        <v>7387</v>
      </c>
      <c r="AB8" s="165">
        <f t="shared" si="6"/>
        <v>0</v>
      </c>
      <c r="AC8" s="165">
        <f t="shared" si="7"/>
        <v>446990</v>
      </c>
      <c r="AD8" s="165">
        <f t="shared" si="16"/>
        <v>8192.0025000000005</v>
      </c>
      <c r="AE8" s="165">
        <f t="shared" si="8"/>
        <v>61150</v>
      </c>
      <c r="AF8" s="165">
        <f t="shared" si="9"/>
        <v>516775</v>
      </c>
      <c r="AG8" s="165"/>
      <c r="AH8" s="230">
        <f t="shared" si="10"/>
        <v>7387</v>
      </c>
    </row>
    <row r="9" spans="2:34" ht="26.25" customHeight="1">
      <c r="B9" s="166">
        <f t="shared" si="11"/>
        <v>44598</v>
      </c>
      <c r="C9" s="221">
        <v>0</v>
      </c>
      <c r="D9" s="221">
        <v>0</v>
      </c>
      <c r="E9" s="221">
        <v>0</v>
      </c>
      <c r="F9" s="221">
        <v>0</v>
      </c>
      <c r="G9" s="221">
        <v>0</v>
      </c>
      <c r="H9" s="168">
        <f t="shared" si="17"/>
        <v>0</v>
      </c>
      <c r="I9" s="136">
        <v>0</v>
      </c>
      <c r="J9" s="136">
        <v>0</v>
      </c>
      <c r="K9" s="136">
        <v>0</v>
      </c>
      <c r="L9" s="256">
        <f t="shared" si="0"/>
        <v>0</v>
      </c>
      <c r="M9" s="136">
        <v>0</v>
      </c>
      <c r="N9" s="256">
        <f t="shared" si="1"/>
        <v>0</v>
      </c>
      <c r="O9" s="159">
        <f t="shared" si="2"/>
        <v>0</v>
      </c>
      <c r="P9" s="159">
        <f t="shared" si="3"/>
        <v>0</v>
      </c>
      <c r="Q9" s="135">
        <v>0</v>
      </c>
      <c r="R9" s="211">
        <f t="shared" si="18"/>
        <v>0</v>
      </c>
      <c r="S9" s="135">
        <v>0</v>
      </c>
      <c r="T9" s="159">
        <f t="shared" si="12"/>
        <v>0</v>
      </c>
      <c r="U9" s="159">
        <f t="shared" si="13"/>
        <v>0</v>
      </c>
      <c r="V9" s="159">
        <f t="shared" si="14"/>
        <v>0</v>
      </c>
      <c r="W9" s="159">
        <f t="shared" si="15"/>
        <v>0</v>
      </c>
      <c r="X9" s="288">
        <f>O9+W9-T9</f>
        <v>0</v>
      </c>
      <c r="AA9" s="164">
        <f t="shared" si="5"/>
        <v>7387</v>
      </c>
      <c r="AB9" s="165">
        <f t="shared" si="6"/>
        <v>0</v>
      </c>
      <c r="AC9" s="165">
        <f t="shared" si="7"/>
        <v>446990</v>
      </c>
      <c r="AD9" s="165">
        <f t="shared" si="16"/>
        <v>8192.0025000000005</v>
      </c>
      <c r="AE9" s="165">
        <f t="shared" si="8"/>
        <v>61150</v>
      </c>
      <c r="AF9" s="165">
        <f t="shared" si="9"/>
        <v>516775</v>
      </c>
      <c r="AG9" s="165"/>
      <c r="AH9" s="230">
        <f t="shared" si="10"/>
        <v>7387</v>
      </c>
    </row>
    <row r="10" spans="2:34" ht="26.25" customHeight="1">
      <c r="B10" s="166">
        <f t="shared" si="11"/>
        <v>44599</v>
      </c>
      <c r="C10" s="221">
        <v>0</v>
      </c>
      <c r="D10" s="221">
        <v>0</v>
      </c>
      <c r="E10" s="221">
        <v>0</v>
      </c>
      <c r="F10" s="221">
        <v>0</v>
      </c>
      <c r="G10" s="221">
        <v>0</v>
      </c>
      <c r="H10" s="168">
        <f t="shared" si="17"/>
        <v>0</v>
      </c>
      <c r="I10" s="136">
        <v>0</v>
      </c>
      <c r="J10" s="136">
        <v>0</v>
      </c>
      <c r="K10" s="136">
        <v>0</v>
      </c>
      <c r="L10" s="256">
        <f t="shared" si="0"/>
        <v>0</v>
      </c>
      <c r="M10" s="136">
        <v>-5955</v>
      </c>
      <c r="N10" s="256">
        <f t="shared" si="1"/>
        <v>-5955</v>
      </c>
      <c r="O10" s="159">
        <f t="shared" si="2"/>
        <v>2977.5</v>
      </c>
      <c r="P10" s="159">
        <f t="shared" si="3"/>
        <v>2977.5</v>
      </c>
      <c r="Q10" s="135">
        <v>4095</v>
      </c>
      <c r="R10" s="211">
        <f t="shared" si="18"/>
        <v>4095</v>
      </c>
      <c r="S10" s="135">
        <v>0</v>
      </c>
      <c r="T10" s="159">
        <f t="shared" si="12"/>
        <v>0</v>
      </c>
      <c r="U10" s="159">
        <f t="shared" si="13"/>
        <v>69.615000000000009</v>
      </c>
      <c r="V10" s="159">
        <f t="shared" si="14"/>
        <v>69.615000000000009</v>
      </c>
      <c r="W10" s="159">
        <f t="shared" si="15"/>
        <v>34.807500000000005</v>
      </c>
      <c r="X10" s="288">
        <f t="shared" si="4"/>
        <v>3012.3074999999999</v>
      </c>
      <c r="AA10" s="164">
        <f t="shared" si="5"/>
        <v>7387</v>
      </c>
      <c r="AB10" s="165">
        <f t="shared" si="6"/>
        <v>0</v>
      </c>
      <c r="AC10" s="165">
        <f t="shared" si="7"/>
        <v>451085</v>
      </c>
      <c r="AD10" s="165">
        <f t="shared" si="16"/>
        <v>8226.8100000000013</v>
      </c>
      <c r="AE10" s="165">
        <f t="shared" si="8"/>
        <v>55195</v>
      </c>
      <c r="AF10" s="165">
        <f t="shared" si="9"/>
        <v>516775</v>
      </c>
      <c r="AG10" s="165"/>
      <c r="AH10" s="230">
        <f t="shared" si="10"/>
        <v>7387</v>
      </c>
    </row>
    <row r="11" spans="2:34" ht="26.25" customHeight="1">
      <c r="B11" s="166">
        <f t="shared" si="11"/>
        <v>44600</v>
      </c>
      <c r="C11" s="221">
        <v>0</v>
      </c>
      <c r="D11" s="221">
        <v>0</v>
      </c>
      <c r="E11" s="221">
        <v>0</v>
      </c>
      <c r="F11" s="221">
        <v>0</v>
      </c>
      <c r="G11" s="221">
        <v>0</v>
      </c>
      <c r="H11" s="168">
        <f t="shared" si="17"/>
        <v>0</v>
      </c>
      <c r="I11" s="136">
        <v>0</v>
      </c>
      <c r="J11" s="136">
        <v>0</v>
      </c>
      <c r="K11" s="136">
        <v>0</v>
      </c>
      <c r="L11" s="256">
        <f t="shared" si="0"/>
        <v>0</v>
      </c>
      <c r="M11" s="136">
        <v>-735</v>
      </c>
      <c r="N11" s="256">
        <f t="shared" si="1"/>
        <v>-735</v>
      </c>
      <c r="O11" s="159">
        <f t="shared" si="2"/>
        <v>367.5</v>
      </c>
      <c r="P11" s="159">
        <f t="shared" si="3"/>
        <v>367.5</v>
      </c>
      <c r="Q11" s="135">
        <v>2125</v>
      </c>
      <c r="R11" s="211">
        <f t="shared" si="18"/>
        <v>2125</v>
      </c>
      <c r="S11" s="135">
        <v>0</v>
      </c>
      <c r="T11" s="159">
        <f t="shared" si="12"/>
        <v>0</v>
      </c>
      <c r="U11" s="159">
        <f t="shared" si="13"/>
        <v>36.125</v>
      </c>
      <c r="V11" s="159">
        <f t="shared" si="14"/>
        <v>36.125</v>
      </c>
      <c r="W11" s="159">
        <f t="shared" si="15"/>
        <v>18.0625</v>
      </c>
      <c r="X11" s="288">
        <f t="shared" si="4"/>
        <v>385.5625</v>
      </c>
      <c r="AA11" s="164">
        <f t="shared" si="5"/>
        <v>7387</v>
      </c>
      <c r="AB11" s="165">
        <f t="shared" si="6"/>
        <v>0</v>
      </c>
      <c r="AC11" s="165">
        <f t="shared" si="7"/>
        <v>453210</v>
      </c>
      <c r="AD11" s="165">
        <f t="shared" si="16"/>
        <v>8244.8725000000013</v>
      </c>
      <c r="AE11" s="165">
        <f t="shared" si="8"/>
        <v>54460</v>
      </c>
      <c r="AF11" s="165">
        <f t="shared" si="9"/>
        <v>516775</v>
      </c>
      <c r="AG11" s="165"/>
      <c r="AH11" s="230">
        <f t="shared" si="10"/>
        <v>7387</v>
      </c>
    </row>
    <row r="12" spans="2:34" ht="26.25" customHeight="1">
      <c r="B12" s="166">
        <f t="shared" si="11"/>
        <v>44601</v>
      </c>
      <c r="C12" s="221">
        <v>0</v>
      </c>
      <c r="D12" s="221">
        <v>0</v>
      </c>
      <c r="E12" s="221">
        <v>0</v>
      </c>
      <c r="F12" s="221">
        <v>0</v>
      </c>
      <c r="G12" s="221">
        <v>0</v>
      </c>
      <c r="H12" s="168">
        <f t="shared" si="17"/>
        <v>0</v>
      </c>
      <c r="I12" s="136">
        <v>0</v>
      </c>
      <c r="J12" s="136">
        <v>0</v>
      </c>
      <c r="K12" s="136">
        <v>0</v>
      </c>
      <c r="L12" s="256">
        <f t="shared" si="0"/>
        <v>0</v>
      </c>
      <c r="M12" s="136">
        <v>0</v>
      </c>
      <c r="N12" s="256">
        <f t="shared" si="1"/>
        <v>0</v>
      </c>
      <c r="O12" s="159">
        <f t="shared" si="2"/>
        <v>0</v>
      </c>
      <c r="P12" s="159">
        <f t="shared" si="3"/>
        <v>0</v>
      </c>
      <c r="Q12" s="135">
        <v>0</v>
      </c>
      <c r="R12" s="211">
        <f t="shared" si="18"/>
        <v>0</v>
      </c>
      <c r="S12" s="135">
        <v>0</v>
      </c>
      <c r="T12" s="159">
        <f t="shared" si="12"/>
        <v>0</v>
      </c>
      <c r="U12" s="159">
        <f t="shared" si="13"/>
        <v>0</v>
      </c>
      <c r="V12" s="159">
        <f t="shared" si="14"/>
        <v>0</v>
      </c>
      <c r="W12" s="159">
        <f t="shared" si="15"/>
        <v>0</v>
      </c>
      <c r="X12" s="288">
        <f t="shared" si="4"/>
        <v>0</v>
      </c>
      <c r="AA12" s="164">
        <f t="shared" si="5"/>
        <v>7387</v>
      </c>
      <c r="AB12" s="165">
        <f t="shared" si="6"/>
        <v>0</v>
      </c>
      <c r="AC12" s="165">
        <f t="shared" si="7"/>
        <v>453210</v>
      </c>
      <c r="AD12" s="165">
        <f t="shared" si="16"/>
        <v>8244.8725000000013</v>
      </c>
      <c r="AE12" s="165">
        <f t="shared" si="8"/>
        <v>54460</v>
      </c>
      <c r="AF12" s="165">
        <f t="shared" si="9"/>
        <v>516775</v>
      </c>
      <c r="AG12" s="165"/>
      <c r="AH12" s="230">
        <f t="shared" si="10"/>
        <v>7387</v>
      </c>
    </row>
    <row r="13" spans="2:34" ht="26.25" customHeight="1">
      <c r="B13" s="166">
        <f t="shared" si="11"/>
        <v>44602</v>
      </c>
      <c r="C13" s="221">
        <v>0</v>
      </c>
      <c r="D13" s="221">
        <v>0</v>
      </c>
      <c r="E13" s="221">
        <v>0</v>
      </c>
      <c r="F13" s="221">
        <v>0</v>
      </c>
      <c r="G13" s="221">
        <v>0</v>
      </c>
      <c r="H13" s="168">
        <f t="shared" si="17"/>
        <v>0</v>
      </c>
      <c r="I13" s="136">
        <v>0</v>
      </c>
      <c r="J13" s="136">
        <v>0</v>
      </c>
      <c r="K13" s="136">
        <v>0</v>
      </c>
      <c r="L13" s="256">
        <f t="shared" si="0"/>
        <v>0</v>
      </c>
      <c r="M13" s="136">
        <v>0</v>
      </c>
      <c r="N13" s="256">
        <f t="shared" si="1"/>
        <v>0</v>
      </c>
      <c r="O13" s="159">
        <f t="shared" si="2"/>
        <v>0</v>
      </c>
      <c r="P13" s="159">
        <f t="shared" si="3"/>
        <v>0</v>
      </c>
      <c r="Q13" s="135">
        <v>0</v>
      </c>
      <c r="R13" s="211">
        <f t="shared" si="18"/>
        <v>0</v>
      </c>
      <c r="S13" s="135">
        <v>0</v>
      </c>
      <c r="T13" s="159">
        <f t="shared" si="12"/>
        <v>0</v>
      </c>
      <c r="U13" s="159">
        <f t="shared" si="13"/>
        <v>0</v>
      </c>
      <c r="V13" s="159">
        <f t="shared" si="14"/>
        <v>0</v>
      </c>
      <c r="W13" s="159">
        <f t="shared" si="15"/>
        <v>0</v>
      </c>
      <c r="X13" s="288">
        <f t="shared" si="4"/>
        <v>0</v>
      </c>
      <c r="AA13" s="164">
        <f t="shared" si="5"/>
        <v>7387</v>
      </c>
      <c r="AB13" s="165">
        <f t="shared" si="6"/>
        <v>0</v>
      </c>
      <c r="AC13" s="165">
        <f t="shared" si="7"/>
        <v>453210</v>
      </c>
      <c r="AD13" s="165">
        <f t="shared" si="16"/>
        <v>8244.8725000000013</v>
      </c>
      <c r="AE13" s="165">
        <f t="shared" si="8"/>
        <v>54460</v>
      </c>
      <c r="AF13" s="165">
        <f t="shared" si="9"/>
        <v>516775</v>
      </c>
      <c r="AG13" s="165"/>
      <c r="AH13" s="230">
        <f t="shared" si="10"/>
        <v>7387</v>
      </c>
    </row>
    <row r="14" spans="2:34" ht="26.25" customHeight="1">
      <c r="B14" s="166">
        <f t="shared" si="11"/>
        <v>44603</v>
      </c>
      <c r="C14" s="221">
        <v>0</v>
      </c>
      <c r="D14" s="221">
        <v>0</v>
      </c>
      <c r="E14" s="221">
        <v>0</v>
      </c>
      <c r="F14" s="221">
        <v>0</v>
      </c>
      <c r="G14" s="221">
        <v>0</v>
      </c>
      <c r="H14" s="168">
        <f t="shared" si="17"/>
        <v>0</v>
      </c>
      <c r="I14" s="136">
        <v>0</v>
      </c>
      <c r="J14" s="136">
        <v>0</v>
      </c>
      <c r="K14" s="136">
        <v>0</v>
      </c>
      <c r="L14" s="256">
        <f t="shared" si="0"/>
        <v>0</v>
      </c>
      <c r="M14" s="386">
        <v>0</v>
      </c>
      <c r="N14" s="256">
        <f t="shared" si="1"/>
        <v>0</v>
      </c>
      <c r="O14" s="159">
        <f t="shared" si="2"/>
        <v>0</v>
      </c>
      <c r="P14" s="159">
        <f t="shared" si="3"/>
        <v>0</v>
      </c>
      <c r="Q14" s="135">
        <v>0</v>
      </c>
      <c r="R14" s="211">
        <f t="shared" si="18"/>
        <v>-20130</v>
      </c>
      <c r="S14" s="135">
        <v>20130</v>
      </c>
      <c r="T14" s="159">
        <f t="shared" si="12"/>
        <v>342.21000000000004</v>
      </c>
      <c r="U14" s="159">
        <f>R14*1.7%</f>
        <v>-342.21000000000004</v>
      </c>
      <c r="V14" s="159">
        <f>SUM(T14:U14)</f>
        <v>0</v>
      </c>
      <c r="W14" s="159">
        <f>V14*50%</f>
        <v>0</v>
      </c>
      <c r="X14" s="288">
        <f t="shared" si="4"/>
        <v>-342.21000000000004</v>
      </c>
      <c r="AA14" s="164">
        <f t="shared" si="5"/>
        <v>7387</v>
      </c>
      <c r="AB14" s="165">
        <f t="shared" si="6"/>
        <v>0</v>
      </c>
      <c r="AC14" s="165">
        <f t="shared" si="7"/>
        <v>433080</v>
      </c>
      <c r="AD14" s="165">
        <f t="shared" si="16"/>
        <v>8244.8725000000013</v>
      </c>
      <c r="AE14" s="165">
        <f t="shared" si="8"/>
        <v>54460</v>
      </c>
      <c r="AF14" s="165">
        <f t="shared" si="9"/>
        <v>536905</v>
      </c>
      <c r="AG14" s="165"/>
      <c r="AH14" s="230">
        <f t="shared" si="10"/>
        <v>7387</v>
      </c>
    </row>
    <row r="15" spans="2:34" s="296" customFormat="1" ht="26.25" customHeight="1">
      <c r="B15" s="297">
        <f t="shared" si="11"/>
        <v>44604</v>
      </c>
      <c r="C15" s="221">
        <v>0</v>
      </c>
      <c r="D15" s="221">
        <v>0</v>
      </c>
      <c r="E15" s="221">
        <v>0</v>
      </c>
      <c r="F15" s="221">
        <v>0</v>
      </c>
      <c r="G15" s="221">
        <v>0</v>
      </c>
      <c r="H15" s="168">
        <f t="shared" si="17"/>
        <v>0</v>
      </c>
      <c r="I15" s="136">
        <v>0</v>
      </c>
      <c r="J15" s="136">
        <v>0</v>
      </c>
      <c r="K15" s="136">
        <v>0</v>
      </c>
      <c r="L15" s="256">
        <f t="shared" si="0"/>
        <v>0</v>
      </c>
      <c r="M15" s="275">
        <v>0</v>
      </c>
      <c r="N15" s="256">
        <f t="shared" si="1"/>
        <v>0</v>
      </c>
      <c r="O15" s="159">
        <f t="shared" si="2"/>
        <v>0</v>
      </c>
      <c r="P15" s="159">
        <f t="shared" si="3"/>
        <v>0</v>
      </c>
      <c r="Q15" s="197">
        <v>0</v>
      </c>
      <c r="R15" s="279">
        <f t="shared" si="18"/>
        <v>0</v>
      </c>
      <c r="S15" s="197">
        <v>0</v>
      </c>
      <c r="T15" s="300">
        <f t="shared" si="12"/>
        <v>0</v>
      </c>
      <c r="U15" s="300">
        <f t="shared" si="13"/>
        <v>0</v>
      </c>
      <c r="V15" s="300">
        <f t="shared" si="14"/>
        <v>0</v>
      </c>
      <c r="W15" s="300">
        <f t="shared" ref="W15:W34" si="19">V15*50%</f>
        <v>0</v>
      </c>
      <c r="X15" s="306">
        <f t="shared" si="4"/>
        <v>0</v>
      </c>
      <c r="AA15" s="303">
        <f t="shared" si="5"/>
        <v>7387</v>
      </c>
      <c r="AB15" s="304">
        <f t="shared" si="6"/>
        <v>0</v>
      </c>
      <c r="AC15" s="304">
        <f t="shared" si="7"/>
        <v>433080</v>
      </c>
      <c r="AD15" s="304">
        <f t="shared" si="16"/>
        <v>8244.8725000000013</v>
      </c>
      <c r="AE15" s="304">
        <f t="shared" si="8"/>
        <v>54460</v>
      </c>
      <c r="AF15" s="304">
        <f t="shared" si="9"/>
        <v>536905</v>
      </c>
      <c r="AG15" s="304"/>
      <c r="AH15" s="305">
        <f t="shared" si="10"/>
        <v>7387</v>
      </c>
    </row>
    <row r="16" spans="2:34" ht="26.25" customHeight="1">
      <c r="B16" s="166">
        <f t="shared" si="11"/>
        <v>44605</v>
      </c>
      <c r="C16" s="221">
        <v>0</v>
      </c>
      <c r="D16" s="221">
        <v>0</v>
      </c>
      <c r="E16" s="221">
        <v>0</v>
      </c>
      <c r="F16" s="221">
        <v>0</v>
      </c>
      <c r="G16" s="221">
        <v>0</v>
      </c>
      <c r="H16" s="168">
        <f t="shared" si="17"/>
        <v>0</v>
      </c>
      <c r="I16" s="136">
        <v>0</v>
      </c>
      <c r="J16" s="136">
        <v>0</v>
      </c>
      <c r="K16" s="136">
        <v>0</v>
      </c>
      <c r="L16" s="256">
        <f t="shared" si="0"/>
        <v>0</v>
      </c>
      <c r="M16" s="275">
        <v>0</v>
      </c>
      <c r="N16" s="256">
        <f t="shared" si="1"/>
        <v>0</v>
      </c>
      <c r="O16" s="159">
        <f>N16*$O$3-J16</f>
        <v>0</v>
      </c>
      <c r="P16" s="159">
        <f t="shared" si="3"/>
        <v>0</v>
      </c>
      <c r="Q16" s="197">
        <v>0</v>
      </c>
      <c r="R16" s="211">
        <f t="shared" si="18"/>
        <v>0</v>
      </c>
      <c r="S16" s="197">
        <v>0</v>
      </c>
      <c r="T16" s="159">
        <f t="shared" si="12"/>
        <v>0</v>
      </c>
      <c r="U16" s="159">
        <f t="shared" si="13"/>
        <v>0</v>
      </c>
      <c r="V16" s="159">
        <f t="shared" si="14"/>
        <v>0</v>
      </c>
      <c r="W16" s="159">
        <f t="shared" si="19"/>
        <v>0</v>
      </c>
      <c r="X16" s="288">
        <f t="shared" si="4"/>
        <v>0</v>
      </c>
      <c r="AA16" s="164">
        <f t="shared" si="5"/>
        <v>7387</v>
      </c>
      <c r="AB16" s="165">
        <f t="shared" si="6"/>
        <v>0</v>
      </c>
      <c r="AC16" s="165">
        <f t="shared" si="7"/>
        <v>433080</v>
      </c>
      <c r="AD16" s="165">
        <f t="shared" si="16"/>
        <v>8244.8725000000013</v>
      </c>
      <c r="AE16" s="165">
        <f t="shared" si="8"/>
        <v>54460</v>
      </c>
      <c r="AF16" s="165">
        <f t="shared" si="9"/>
        <v>536905</v>
      </c>
      <c r="AG16" s="165"/>
      <c r="AH16" s="230">
        <f t="shared" si="10"/>
        <v>7387</v>
      </c>
    </row>
    <row r="17" spans="2:34" s="296" customFormat="1" ht="26.25" customHeight="1">
      <c r="B17" s="297">
        <f t="shared" si="11"/>
        <v>44606</v>
      </c>
      <c r="C17" s="221">
        <v>0</v>
      </c>
      <c r="D17" s="221">
        <v>0</v>
      </c>
      <c r="E17" s="221">
        <v>0</v>
      </c>
      <c r="F17" s="291">
        <v>35121</v>
      </c>
      <c r="G17" s="291">
        <v>-35621</v>
      </c>
      <c r="H17" s="168">
        <f t="shared" si="17"/>
        <v>-500</v>
      </c>
      <c r="I17" s="136">
        <v>0</v>
      </c>
      <c r="J17" s="136">
        <v>0</v>
      </c>
      <c r="K17" s="136">
        <v>0</v>
      </c>
      <c r="L17" s="256">
        <f t="shared" si="0"/>
        <v>500</v>
      </c>
      <c r="M17" s="275">
        <v>0</v>
      </c>
      <c r="N17" s="256">
        <f>L17+M17-J17*2</f>
        <v>500</v>
      </c>
      <c r="O17" s="159">
        <f t="shared" si="2"/>
        <v>-250</v>
      </c>
      <c r="P17" s="159">
        <f t="shared" si="3"/>
        <v>-250</v>
      </c>
      <c r="Q17" s="197">
        <v>91685</v>
      </c>
      <c r="R17" s="279">
        <f t="shared" si="18"/>
        <v>91685</v>
      </c>
      <c r="S17" s="197">
        <v>0</v>
      </c>
      <c r="T17" s="300">
        <f t="shared" si="12"/>
        <v>0</v>
      </c>
      <c r="U17" s="300">
        <f t="shared" si="13"/>
        <v>1558.6450000000002</v>
      </c>
      <c r="V17" s="300">
        <f t="shared" si="14"/>
        <v>1558.6450000000002</v>
      </c>
      <c r="W17" s="300">
        <f>V17*50%</f>
        <v>779.3225000000001</v>
      </c>
      <c r="X17" s="306">
        <f t="shared" si="4"/>
        <v>529.3225000000001</v>
      </c>
      <c r="AA17" s="303">
        <f t="shared" si="5"/>
        <v>6887</v>
      </c>
      <c r="AB17" s="304">
        <f t="shared" si="6"/>
        <v>0</v>
      </c>
      <c r="AC17" s="304">
        <f t="shared" si="7"/>
        <v>524765</v>
      </c>
      <c r="AD17" s="304">
        <f t="shared" si="16"/>
        <v>9024.1950000000015</v>
      </c>
      <c r="AE17" s="304">
        <f t="shared" si="8"/>
        <v>54960</v>
      </c>
      <c r="AF17" s="304">
        <f t="shared" si="9"/>
        <v>536905</v>
      </c>
      <c r="AG17" s="304"/>
      <c r="AH17" s="305">
        <f t="shared" si="10"/>
        <v>7387</v>
      </c>
    </row>
    <row r="18" spans="2:34" s="296" customFormat="1" ht="26.25" customHeight="1">
      <c r="B18" s="297">
        <f t="shared" si="11"/>
        <v>44607</v>
      </c>
      <c r="C18" s="221">
        <v>0</v>
      </c>
      <c r="D18" s="221">
        <v>0</v>
      </c>
      <c r="E18" s="221">
        <v>113</v>
      </c>
      <c r="F18" s="291">
        <v>50000</v>
      </c>
      <c r="G18" s="291">
        <v>-6887</v>
      </c>
      <c r="H18" s="168">
        <f t="shared" si="17"/>
        <v>43113</v>
      </c>
      <c r="I18" s="298">
        <v>0</v>
      </c>
      <c r="J18" s="298">
        <v>-6500</v>
      </c>
      <c r="K18" s="298">
        <v>0</v>
      </c>
      <c r="L18" s="256">
        <f>-F18-G18-I18-K18+E18</f>
        <v>-43000</v>
      </c>
      <c r="M18" s="275">
        <v>0</v>
      </c>
      <c r="N18" s="256">
        <f t="shared" si="1"/>
        <v>-30000</v>
      </c>
      <c r="O18" s="159">
        <f>N18*$O$3-J18</f>
        <v>21500</v>
      </c>
      <c r="P18" s="159">
        <f t="shared" si="3"/>
        <v>21500</v>
      </c>
      <c r="Q18" s="197">
        <v>29030</v>
      </c>
      <c r="R18" s="279">
        <f t="shared" si="18"/>
        <v>29030</v>
      </c>
      <c r="S18" s="197">
        <v>0</v>
      </c>
      <c r="T18" s="300">
        <f t="shared" si="12"/>
        <v>0</v>
      </c>
      <c r="U18" s="300">
        <f t="shared" si="13"/>
        <v>493.51000000000005</v>
      </c>
      <c r="V18" s="300">
        <f t="shared" si="14"/>
        <v>493.51000000000005</v>
      </c>
      <c r="W18" s="300">
        <f t="shared" si="19"/>
        <v>246.75500000000002</v>
      </c>
      <c r="X18" s="306">
        <f t="shared" si="4"/>
        <v>21746.755000000001</v>
      </c>
      <c r="AA18" s="303">
        <f t="shared" si="5"/>
        <v>50000</v>
      </c>
      <c r="AB18" s="304">
        <f t="shared" si="6"/>
        <v>0</v>
      </c>
      <c r="AC18" s="304">
        <f t="shared" si="7"/>
        <v>553795</v>
      </c>
      <c r="AD18" s="304">
        <f t="shared" si="16"/>
        <v>9270.9500000000007</v>
      </c>
      <c r="AE18" s="304">
        <f t="shared" si="8"/>
        <v>24960</v>
      </c>
      <c r="AF18" s="304">
        <f t="shared" si="9"/>
        <v>536905</v>
      </c>
      <c r="AG18" s="304"/>
      <c r="AH18" s="305">
        <f t="shared" si="10"/>
        <v>7387</v>
      </c>
    </row>
    <row r="19" spans="2:34" ht="26.25" customHeight="1">
      <c r="B19" s="198">
        <f t="shared" si="11"/>
        <v>44608</v>
      </c>
      <c r="C19" s="221">
        <v>0</v>
      </c>
      <c r="D19" s="221">
        <v>-113</v>
      </c>
      <c r="E19" s="221">
        <v>0</v>
      </c>
      <c r="F19" s="221">
        <v>119887</v>
      </c>
      <c r="G19" s="221">
        <v>-80000</v>
      </c>
      <c r="H19" s="168">
        <f t="shared" si="17"/>
        <v>39887</v>
      </c>
      <c r="I19" s="137">
        <v>0</v>
      </c>
      <c r="J19" s="137">
        <v>0</v>
      </c>
      <c r="K19" s="137">
        <v>0</v>
      </c>
      <c r="L19" s="256">
        <f>-F19-G19-I19-K19+E19+D19</f>
        <v>-40000</v>
      </c>
      <c r="M19" s="136">
        <v>0</v>
      </c>
      <c r="N19" s="256">
        <f>L19+M19-J19*2</f>
        <v>-40000</v>
      </c>
      <c r="O19" s="159">
        <f>N19*$O$3-J19</f>
        <v>20000</v>
      </c>
      <c r="P19" s="159">
        <f t="shared" si="3"/>
        <v>20000</v>
      </c>
      <c r="Q19" s="135">
        <v>185795</v>
      </c>
      <c r="R19" s="211">
        <f t="shared" si="18"/>
        <v>185795</v>
      </c>
      <c r="S19" s="135">
        <v>0</v>
      </c>
      <c r="T19" s="159">
        <f t="shared" si="12"/>
        <v>0</v>
      </c>
      <c r="U19" s="159">
        <f t="shared" si="13"/>
        <v>3158.5150000000003</v>
      </c>
      <c r="V19" s="159">
        <f t="shared" si="14"/>
        <v>3158.5150000000003</v>
      </c>
      <c r="W19" s="159">
        <f t="shared" si="19"/>
        <v>1579.2575000000002</v>
      </c>
      <c r="X19" s="288">
        <f t="shared" si="4"/>
        <v>21579.2575</v>
      </c>
      <c r="AA19" s="164">
        <f t="shared" si="5"/>
        <v>89887</v>
      </c>
      <c r="AB19" s="165">
        <f t="shared" si="6"/>
        <v>0</v>
      </c>
      <c r="AC19" s="165">
        <f t="shared" si="7"/>
        <v>739590</v>
      </c>
      <c r="AD19" s="165">
        <f t="shared" si="16"/>
        <v>10850.2075</v>
      </c>
      <c r="AE19" s="165">
        <f t="shared" si="8"/>
        <v>-15040</v>
      </c>
      <c r="AF19" s="165">
        <f t="shared" si="9"/>
        <v>536905</v>
      </c>
      <c r="AG19" s="165"/>
      <c r="AH19" s="230">
        <f t="shared" si="10"/>
        <v>7387</v>
      </c>
    </row>
    <row r="20" spans="2:34" ht="26.25" customHeight="1">
      <c r="B20" s="166">
        <f t="shared" si="11"/>
        <v>44609</v>
      </c>
      <c r="C20" s="221">
        <v>0</v>
      </c>
      <c r="D20" s="221">
        <v>0</v>
      </c>
      <c r="E20" s="221">
        <v>0</v>
      </c>
      <c r="F20" s="221">
        <v>130000</v>
      </c>
      <c r="G20" s="221">
        <v>0</v>
      </c>
      <c r="H20" s="168">
        <f t="shared" si="17"/>
        <v>130000</v>
      </c>
      <c r="I20" s="137">
        <v>0</v>
      </c>
      <c r="J20" s="137">
        <v>0</v>
      </c>
      <c r="K20" s="137">
        <v>0</v>
      </c>
      <c r="L20" s="256">
        <f t="shared" si="0"/>
        <v>-130000</v>
      </c>
      <c r="M20" s="136">
        <v>0</v>
      </c>
      <c r="N20" s="256">
        <f t="shared" si="1"/>
        <v>-130000</v>
      </c>
      <c r="O20" s="159">
        <f t="shared" si="2"/>
        <v>65000</v>
      </c>
      <c r="P20" s="159">
        <f t="shared" si="3"/>
        <v>65000</v>
      </c>
      <c r="Q20" s="135">
        <v>436150</v>
      </c>
      <c r="R20" s="211">
        <f t="shared" si="18"/>
        <v>436150</v>
      </c>
      <c r="S20" s="135">
        <v>0</v>
      </c>
      <c r="T20" s="159">
        <f t="shared" si="12"/>
        <v>0</v>
      </c>
      <c r="U20" s="159">
        <f t="shared" si="13"/>
        <v>7414.55</v>
      </c>
      <c r="V20" s="159">
        <f t="shared" si="14"/>
        <v>7414.55</v>
      </c>
      <c r="W20" s="159">
        <f t="shared" si="19"/>
        <v>3707.2750000000001</v>
      </c>
      <c r="X20" s="288">
        <f t="shared" si="4"/>
        <v>68707.274999999994</v>
      </c>
      <c r="AA20" s="164">
        <f t="shared" si="5"/>
        <v>219887</v>
      </c>
      <c r="AB20" s="165">
        <f t="shared" si="6"/>
        <v>0</v>
      </c>
      <c r="AC20" s="165">
        <f t="shared" si="7"/>
        <v>1175740</v>
      </c>
      <c r="AD20" s="165">
        <f t="shared" si="16"/>
        <v>14557.4825</v>
      </c>
      <c r="AE20" s="165">
        <f t="shared" si="8"/>
        <v>-145040</v>
      </c>
      <c r="AF20" s="165">
        <f t="shared" si="9"/>
        <v>536905</v>
      </c>
      <c r="AG20" s="165"/>
      <c r="AH20" s="230">
        <f t="shared" si="10"/>
        <v>7387</v>
      </c>
    </row>
    <row r="21" spans="2:34" ht="26.25" customHeight="1">
      <c r="B21" s="166">
        <f t="shared" si="11"/>
        <v>44610</v>
      </c>
      <c r="C21" s="221">
        <v>0</v>
      </c>
      <c r="D21" s="221">
        <v>0</v>
      </c>
      <c r="E21" s="221">
        <v>0</v>
      </c>
      <c r="F21" s="221">
        <v>40000</v>
      </c>
      <c r="G21" s="221">
        <v>-40000</v>
      </c>
      <c r="H21" s="168">
        <f t="shared" si="17"/>
        <v>0</v>
      </c>
      <c r="I21" s="137">
        <v>0</v>
      </c>
      <c r="J21" s="137">
        <v>-28000</v>
      </c>
      <c r="K21" s="137">
        <v>0</v>
      </c>
      <c r="L21" s="256">
        <f t="shared" si="0"/>
        <v>0</v>
      </c>
      <c r="M21" s="136">
        <v>0</v>
      </c>
      <c r="N21" s="256">
        <f t="shared" si="1"/>
        <v>56000</v>
      </c>
      <c r="O21" s="159">
        <f t="shared" si="2"/>
        <v>0</v>
      </c>
      <c r="P21" s="159">
        <f t="shared" si="3"/>
        <v>0</v>
      </c>
      <c r="Q21" s="135">
        <v>82200</v>
      </c>
      <c r="R21" s="211">
        <f t="shared" si="18"/>
        <v>82200</v>
      </c>
      <c r="S21" s="135">
        <v>0</v>
      </c>
      <c r="T21" s="159">
        <f t="shared" si="12"/>
        <v>0</v>
      </c>
      <c r="U21" s="159">
        <f t="shared" si="13"/>
        <v>1397.4</v>
      </c>
      <c r="V21" s="159">
        <f t="shared" si="14"/>
        <v>1397.4</v>
      </c>
      <c r="W21" s="159">
        <f t="shared" si="19"/>
        <v>698.7</v>
      </c>
      <c r="X21" s="288">
        <f t="shared" si="4"/>
        <v>698.7</v>
      </c>
      <c r="AA21" s="164">
        <f t="shared" si="5"/>
        <v>219887</v>
      </c>
      <c r="AB21" s="165">
        <f t="shared" si="6"/>
        <v>0</v>
      </c>
      <c r="AC21" s="165">
        <f t="shared" si="7"/>
        <v>1257940</v>
      </c>
      <c r="AD21" s="165">
        <f t="shared" si="16"/>
        <v>15256.182500000001</v>
      </c>
      <c r="AE21" s="165">
        <f t="shared" si="8"/>
        <v>-89040</v>
      </c>
      <c r="AF21" s="165">
        <f t="shared" si="9"/>
        <v>536905</v>
      </c>
      <c r="AG21" s="165"/>
      <c r="AH21" s="230">
        <f t="shared" si="10"/>
        <v>7387</v>
      </c>
    </row>
    <row r="22" spans="2:34" ht="26.25" customHeight="1">
      <c r="B22" s="166">
        <f t="shared" si="11"/>
        <v>44611</v>
      </c>
      <c r="C22" s="221"/>
      <c r="D22" s="221"/>
      <c r="E22" s="221"/>
      <c r="F22" s="221"/>
      <c r="G22" s="221"/>
      <c r="H22" s="168">
        <f t="shared" si="17"/>
        <v>0</v>
      </c>
      <c r="I22" s="137"/>
      <c r="J22" s="137"/>
      <c r="K22" s="137"/>
      <c r="L22" s="256">
        <f t="shared" si="0"/>
        <v>0</v>
      </c>
      <c r="M22" s="136"/>
      <c r="N22" s="256">
        <f t="shared" si="1"/>
        <v>0</v>
      </c>
      <c r="O22" s="159">
        <f t="shared" si="2"/>
        <v>0</v>
      </c>
      <c r="P22" s="159">
        <f t="shared" si="3"/>
        <v>0</v>
      </c>
      <c r="Q22" s="135"/>
      <c r="R22" s="211">
        <f t="shared" si="18"/>
        <v>0</v>
      </c>
      <c r="S22" s="135"/>
      <c r="T22" s="159">
        <f t="shared" si="12"/>
        <v>0</v>
      </c>
      <c r="U22" s="159">
        <f t="shared" si="13"/>
        <v>0</v>
      </c>
      <c r="V22" s="159">
        <f t="shared" si="14"/>
        <v>0</v>
      </c>
      <c r="W22" s="159">
        <f t="shared" si="19"/>
        <v>0</v>
      </c>
      <c r="X22" s="288">
        <f t="shared" si="4"/>
        <v>0</v>
      </c>
      <c r="AA22" s="164">
        <f t="shared" si="5"/>
        <v>219887</v>
      </c>
      <c r="AB22" s="165">
        <f t="shared" si="6"/>
        <v>0</v>
      </c>
      <c r="AC22" s="165">
        <f t="shared" si="7"/>
        <v>1257940</v>
      </c>
      <c r="AD22" s="165">
        <f t="shared" si="16"/>
        <v>15256.182500000001</v>
      </c>
      <c r="AE22" s="165">
        <f t="shared" si="8"/>
        <v>-89040</v>
      </c>
      <c r="AF22" s="165">
        <f t="shared" si="9"/>
        <v>536905</v>
      </c>
      <c r="AG22" s="165"/>
      <c r="AH22" s="230">
        <f t="shared" si="10"/>
        <v>7387</v>
      </c>
    </row>
    <row r="23" spans="2:34" ht="26.25" customHeight="1">
      <c r="B23" s="166">
        <f t="shared" si="11"/>
        <v>44612</v>
      </c>
      <c r="C23" s="221"/>
      <c r="D23" s="221"/>
      <c r="E23" s="221"/>
      <c r="F23" s="221"/>
      <c r="G23" s="221"/>
      <c r="H23" s="168">
        <f t="shared" si="17"/>
        <v>0</v>
      </c>
      <c r="I23" s="137"/>
      <c r="J23" s="137"/>
      <c r="K23" s="137"/>
      <c r="L23" s="256">
        <f t="shared" si="0"/>
        <v>0</v>
      </c>
      <c r="M23" s="136"/>
      <c r="N23" s="256">
        <f t="shared" si="1"/>
        <v>0</v>
      </c>
      <c r="O23" s="159">
        <f t="shared" si="2"/>
        <v>0</v>
      </c>
      <c r="P23" s="159">
        <f t="shared" si="3"/>
        <v>0</v>
      </c>
      <c r="Q23" s="135"/>
      <c r="R23" s="211">
        <f t="shared" si="18"/>
        <v>0</v>
      </c>
      <c r="S23" s="135"/>
      <c r="T23" s="159">
        <f t="shared" si="12"/>
        <v>0</v>
      </c>
      <c r="U23" s="159">
        <f t="shared" si="13"/>
        <v>0</v>
      </c>
      <c r="V23" s="159">
        <f t="shared" si="14"/>
        <v>0</v>
      </c>
      <c r="W23" s="159">
        <f t="shared" si="19"/>
        <v>0</v>
      </c>
      <c r="X23" s="288">
        <f t="shared" si="4"/>
        <v>0</v>
      </c>
      <c r="AA23" s="164">
        <f t="shared" si="5"/>
        <v>219887</v>
      </c>
      <c r="AB23" s="165">
        <f t="shared" si="6"/>
        <v>0</v>
      </c>
      <c r="AC23" s="165">
        <f t="shared" si="7"/>
        <v>1257940</v>
      </c>
      <c r="AD23" s="165">
        <f t="shared" si="16"/>
        <v>15256.182500000001</v>
      </c>
      <c r="AE23" s="165">
        <f t="shared" si="8"/>
        <v>-89040</v>
      </c>
      <c r="AF23" s="165">
        <f t="shared" si="9"/>
        <v>536905</v>
      </c>
      <c r="AG23" s="165"/>
      <c r="AH23" s="230">
        <f t="shared" si="10"/>
        <v>7387</v>
      </c>
    </row>
    <row r="24" spans="2:34" ht="26.25" customHeight="1">
      <c r="B24" s="198">
        <f t="shared" si="11"/>
        <v>44613</v>
      </c>
      <c r="C24" s="221"/>
      <c r="D24" s="221"/>
      <c r="E24" s="221"/>
      <c r="F24" s="221"/>
      <c r="G24" s="221"/>
      <c r="H24" s="168">
        <f t="shared" si="17"/>
        <v>0</v>
      </c>
      <c r="I24" s="137"/>
      <c r="J24" s="137"/>
      <c r="K24" s="137"/>
      <c r="L24" s="256">
        <f t="shared" si="0"/>
        <v>0</v>
      </c>
      <c r="M24" s="136"/>
      <c r="N24" s="256">
        <f t="shared" si="1"/>
        <v>0</v>
      </c>
      <c r="O24" s="159">
        <f t="shared" si="2"/>
        <v>0</v>
      </c>
      <c r="P24" s="159">
        <f t="shared" si="3"/>
        <v>0</v>
      </c>
      <c r="Q24" s="135"/>
      <c r="R24" s="211">
        <f t="shared" si="18"/>
        <v>0</v>
      </c>
      <c r="S24" s="135"/>
      <c r="T24" s="159">
        <f t="shared" si="12"/>
        <v>0</v>
      </c>
      <c r="U24" s="159">
        <f t="shared" si="13"/>
        <v>0</v>
      </c>
      <c r="V24" s="159">
        <f t="shared" si="14"/>
        <v>0</v>
      </c>
      <c r="W24" s="159">
        <f t="shared" si="19"/>
        <v>0</v>
      </c>
      <c r="X24" s="288">
        <f t="shared" si="4"/>
        <v>0</v>
      </c>
      <c r="AA24" s="164">
        <f t="shared" si="5"/>
        <v>219887</v>
      </c>
      <c r="AB24" s="165">
        <f t="shared" si="6"/>
        <v>0</v>
      </c>
      <c r="AC24" s="165">
        <f t="shared" si="7"/>
        <v>1257940</v>
      </c>
      <c r="AD24" s="165">
        <f t="shared" si="16"/>
        <v>15256.182500000001</v>
      </c>
      <c r="AE24" s="165">
        <f t="shared" si="8"/>
        <v>-89040</v>
      </c>
      <c r="AF24" s="165">
        <f t="shared" si="9"/>
        <v>536905</v>
      </c>
      <c r="AG24" s="165"/>
      <c r="AH24" s="230">
        <f t="shared" si="10"/>
        <v>7387</v>
      </c>
    </row>
    <row r="25" spans="2:34" ht="26.25" customHeight="1">
      <c r="B25" s="198">
        <f t="shared" si="11"/>
        <v>44614</v>
      </c>
      <c r="C25" s="221"/>
      <c r="D25" s="221"/>
      <c r="E25" s="221"/>
      <c r="F25" s="221"/>
      <c r="G25" s="221"/>
      <c r="H25" s="168">
        <f t="shared" si="17"/>
        <v>0</v>
      </c>
      <c r="I25" s="137"/>
      <c r="J25" s="137"/>
      <c r="K25" s="137"/>
      <c r="L25" s="256">
        <f t="shared" si="0"/>
        <v>0</v>
      </c>
      <c r="M25" s="136"/>
      <c r="N25" s="256">
        <f>L25+M25-J25*2</f>
        <v>0</v>
      </c>
      <c r="O25" s="159">
        <f>N25*$O$3-J25</f>
        <v>0</v>
      </c>
      <c r="P25" s="159">
        <f t="shared" si="3"/>
        <v>0</v>
      </c>
      <c r="Q25" s="135"/>
      <c r="R25" s="211">
        <f t="shared" si="18"/>
        <v>0</v>
      </c>
      <c r="S25" s="135"/>
      <c r="T25" s="159">
        <f t="shared" si="12"/>
        <v>0</v>
      </c>
      <c r="U25" s="159">
        <f t="shared" si="13"/>
        <v>0</v>
      </c>
      <c r="V25" s="159">
        <f t="shared" si="14"/>
        <v>0</v>
      </c>
      <c r="W25" s="159">
        <f>V25*50%</f>
        <v>0</v>
      </c>
      <c r="X25" s="288">
        <f t="shared" si="4"/>
        <v>0</v>
      </c>
      <c r="AA25" s="164">
        <f t="shared" si="5"/>
        <v>219887</v>
      </c>
      <c r="AB25" s="165">
        <f t="shared" si="6"/>
        <v>0</v>
      </c>
      <c r="AC25" s="165">
        <f t="shared" si="7"/>
        <v>1257940</v>
      </c>
      <c r="AD25" s="165">
        <f t="shared" si="16"/>
        <v>15256.182500000001</v>
      </c>
      <c r="AE25" s="165">
        <f t="shared" si="8"/>
        <v>-89040</v>
      </c>
      <c r="AF25" s="165">
        <f t="shared" si="9"/>
        <v>536905</v>
      </c>
      <c r="AG25" s="165"/>
      <c r="AH25" s="230">
        <f t="shared" si="10"/>
        <v>7387</v>
      </c>
    </row>
    <row r="26" spans="2:34" ht="26.25" customHeight="1">
      <c r="B26" s="166">
        <f t="shared" si="11"/>
        <v>44615</v>
      </c>
      <c r="C26" s="221"/>
      <c r="D26" s="221"/>
      <c r="E26" s="221"/>
      <c r="F26" s="221"/>
      <c r="G26" s="221"/>
      <c r="H26" s="168">
        <f t="shared" si="17"/>
        <v>0</v>
      </c>
      <c r="I26" s="137"/>
      <c r="J26" s="137"/>
      <c r="K26" s="137"/>
      <c r="L26" s="256">
        <f t="shared" si="0"/>
        <v>0</v>
      </c>
      <c r="M26" s="136"/>
      <c r="N26" s="256">
        <f t="shared" si="1"/>
        <v>0</v>
      </c>
      <c r="O26" s="159">
        <f t="shared" si="2"/>
        <v>0</v>
      </c>
      <c r="P26" s="159">
        <f t="shared" si="3"/>
        <v>0</v>
      </c>
      <c r="Q26" s="135"/>
      <c r="R26" s="211">
        <f t="shared" si="18"/>
        <v>0</v>
      </c>
      <c r="S26" s="135"/>
      <c r="T26" s="159">
        <f t="shared" si="12"/>
        <v>0</v>
      </c>
      <c r="U26" s="159">
        <f t="shared" si="13"/>
        <v>0</v>
      </c>
      <c r="V26" s="159">
        <f t="shared" si="14"/>
        <v>0</v>
      </c>
      <c r="W26" s="159">
        <f t="shared" si="19"/>
        <v>0</v>
      </c>
      <c r="X26" s="288">
        <f t="shared" si="4"/>
        <v>0</v>
      </c>
      <c r="AA26" s="164">
        <f t="shared" si="5"/>
        <v>219887</v>
      </c>
      <c r="AB26" s="165">
        <f t="shared" si="6"/>
        <v>0</v>
      </c>
      <c r="AC26" s="165">
        <f t="shared" si="7"/>
        <v>1257940</v>
      </c>
      <c r="AD26" s="165">
        <f t="shared" si="16"/>
        <v>15256.182500000001</v>
      </c>
      <c r="AE26" s="165">
        <f t="shared" si="8"/>
        <v>-89040</v>
      </c>
      <c r="AF26" s="165">
        <f t="shared" si="9"/>
        <v>536905</v>
      </c>
      <c r="AG26" s="165"/>
      <c r="AH26" s="230">
        <f t="shared" si="10"/>
        <v>7387</v>
      </c>
    </row>
    <row r="27" spans="2:34" ht="26.25" customHeight="1">
      <c r="B27" s="166">
        <f t="shared" si="11"/>
        <v>44616</v>
      </c>
      <c r="C27" s="221"/>
      <c r="D27" s="221"/>
      <c r="E27" s="221"/>
      <c r="F27" s="221"/>
      <c r="G27" s="221"/>
      <c r="H27" s="168">
        <f t="shared" si="17"/>
        <v>0</v>
      </c>
      <c r="I27" s="137"/>
      <c r="J27" s="137"/>
      <c r="K27" s="137"/>
      <c r="L27" s="256">
        <f t="shared" si="0"/>
        <v>0</v>
      </c>
      <c r="M27" s="136"/>
      <c r="N27" s="256">
        <f t="shared" si="1"/>
        <v>0</v>
      </c>
      <c r="O27" s="159">
        <f t="shared" si="2"/>
        <v>0</v>
      </c>
      <c r="P27" s="159">
        <f t="shared" si="3"/>
        <v>0</v>
      </c>
      <c r="Q27" s="135"/>
      <c r="R27" s="211">
        <f t="shared" si="18"/>
        <v>0</v>
      </c>
      <c r="S27" s="135"/>
      <c r="T27" s="159">
        <f t="shared" si="12"/>
        <v>0</v>
      </c>
      <c r="U27" s="159">
        <f t="shared" si="13"/>
        <v>0</v>
      </c>
      <c r="V27" s="159">
        <f t="shared" si="14"/>
        <v>0</v>
      </c>
      <c r="W27" s="159">
        <f t="shared" si="19"/>
        <v>0</v>
      </c>
      <c r="X27" s="288">
        <f t="shared" si="4"/>
        <v>0</v>
      </c>
      <c r="AA27" s="164">
        <f t="shared" si="5"/>
        <v>219887</v>
      </c>
      <c r="AB27" s="165">
        <f t="shared" si="6"/>
        <v>0</v>
      </c>
      <c r="AC27" s="165">
        <f t="shared" si="7"/>
        <v>1257940</v>
      </c>
      <c r="AD27" s="165">
        <f t="shared" si="16"/>
        <v>15256.182500000001</v>
      </c>
      <c r="AE27" s="165">
        <f t="shared" si="8"/>
        <v>-89040</v>
      </c>
      <c r="AF27" s="165">
        <f t="shared" si="9"/>
        <v>536905</v>
      </c>
      <c r="AG27" s="165"/>
      <c r="AH27" s="230">
        <f t="shared" si="10"/>
        <v>7387</v>
      </c>
    </row>
    <row r="28" spans="2:34" ht="26.25" customHeight="1">
      <c r="B28" s="166">
        <f t="shared" si="11"/>
        <v>44617</v>
      </c>
      <c r="C28" s="221"/>
      <c r="D28" s="221"/>
      <c r="E28" s="221"/>
      <c r="F28" s="221"/>
      <c r="G28" s="221"/>
      <c r="H28" s="168">
        <f t="shared" si="17"/>
        <v>0</v>
      </c>
      <c r="I28" s="137"/>
      <c r="J28" s="137"/>
      <c r="K28" s="137"/>
      <c r="L28" s="256">
        <f t="shared" si="0"/>
        <v>0</v>
      </c>
      <c r="M28" s="136"/>
      <c r="N28" s="256">
        <f t="shared" si="1"/>
        <v>0</v>
      </c>
      <c r="O28" s="159">
        <f t="shared" si="2"/>
        <v>0</v>
      </c>
      <c r="P28" s="159">
        <f t="shared" si="3"/>
        <v>0</v>
      </c>
      <c r="Q28" s="135"/>
      <c r="R28" s="211">
        <f t="shared" si="18"/>
        <v>0</v>
      </c>
      <c r="S28" s="135"/>
      <c r="T28" s="159">
        <f t="shared" si="12"/>
        <v>0</v>
      </c>
      <c r="U28" s="159">
        <f t="shared" si="13"/>
        <v>0</v>
      </c>
      <c r="V28" s="159">
        <f t="shared" si="14"/>
        <v>0</v>
      </c>
      <c r="W28" s="159">
        <f t="shared" si="19"/>
        <v>0</v>
      </c>
      <c r="X28" s="288">
        <f t="shared" si="4"/>
        <v>0</v>
      </c>
      <c r="AA28" s="164">
        <f t="shared" si="5"/>
        <v>219887</v>
      </c>
      <c r="AB28" s="165">
        <f t="shared" si="6"/>
        <v>0</v>
      </c>
      <c r="AC28" s="165">
        <f t="shared" si="7"/>
        <v>1257940</v>
      </c>
      <c r="AD28" s="165">
        <f t="shared" si="16"/>
        <v>15256.182500000001</v>
      </c>
      <c r="AE28" s="165">
        <f t="shared" si="8"/>
        <v>-89040</v>
      </c>
      <c r="AF28" s="165">
        <f t="shared" si="9"/>
        <v>536905</v>
      </c>
      <c r="AG28" s="165"/>
      <c r="AH28" s="230">
        <f t="shared" si="10"/>
        <v>7387</v>
      </c>
    </row>
    <row r="29" spans="2:34" ht="26.25" customHeight="1">
      <c r="B29" s="166">
        <f t="shared" si="11"/>
        <v>44618</v>
      </c>
      <c r="C29" s="221"/>
      <c r="D29" s="221"/>
      <c r="E29" s="221"/>
      <c r="F29" s="221"/>
      <c r="G29" s="221"/>
      <c r="H29" s="168">
        <f t="shared" si="17"/>
        <v>0</v>
      </c>
      <c r="I29" s="137"/>
      <c r="J29" s="137"/>
      <c r="K29" s="137"/>
      <c r="L29" s="256">
        <f t="shared" si="0"/>
        <v>0</v>
      </c>
      <c r="M29" s="136"/>
      <c r="N29" s="256">
        <f t="shared" si="1"/>
        <v>0</v>
      </c>
      <c r="O29" s="159">
        <f t="shared" si="2"/>
        <v>0</v>
      </c>
      <c r="P29" s="159">
        <f t="shared" si="3"/>
        <v>0</v>
      </c>
      <c r="Q29" s="135"/>
      <c r="R29" s="211">
        <f t="shared" si="18"/>
        <v>0</v>
      </c>
      <c r="S29" s="135"/>
      <c r="T29" s="159">
        <v>0</v>
      </c>
      <c r="U29" s="159">
        <f t="shared" si="13"/>
        <v>0</v>
      </c>
      <c r="V29" s="159">
        <f t="shared" si="14"/>
        <v>0</v>
      </c>
      <c r="W29" s="159">
        <f t="shared" si="19"/>
        <v>0</v>
      </c>
      <c r="X29" s="288">
        <f t="shared" si="4"/>
        <v>0</v>
      </c>
      <c r="AA29" s="164">
        <f t="shared" si="5"/>
        <v>219887</v>
      </c>
      <c r="AB29" s="165">
        <f t="shared" si="6"/>
        <v>0</v>
      </c>
      <c r="AC29" s="165">
        <f t="shared" si="7"/>
        <v>1257940</v>
      </c>
      <c r="AD29" s="165">
        <f t="shared" si="16"/>
        <v>15256.182500000001</v>
      </c>
      <c r="AE29" s="165">
        <f t="shared" si="8"/>
        <v>-89040</v>
      </c>
      <c r="AF29" s="165">
        <f t="shared" si="9"/>
        <v>536905</v>
      </c>
      <c r="AG29" s="165"/>
      <c r="AH29" s="230">
        <f t="shared" si="10"/>
        <v>7387</v>
      </c>
    </row>
    <row r="30" spans="2:34" ht="26.25" customHeight="1">
      <c r="B30" s="166">
        <f t="shared" si="11"/>
        <v>44619</v>
      </c>
      <c r="C30" s="221"/>
      <c r="D30" s="221"/>
      <c r="E30" s="221"/>
      <c r="F30" s="221"/>
      <c r="G30" s="221"/>
      <c r="H30" s="168">
        <f t="shared" si="17"/>
        <v>0</v>
      </c>
      <c r="I30" s="137"/>
      <c r="J30" s="137"/>
      <c r="K30" s="137"/>
      <c r="L30" s="256">
        <f t="shared" si="0"/>
        <v>0</v>
      </c>
      <c r="M30" s="136"/>
      <c r="N30" s="256">
        <f t="shared" si="1"/>
        <v>0</v>
      </c>
      <c r="O30" s="159">
        <f t="shared" si="2"/>
        <v>0</v>
      </c>
      <c r="P30" s="159">
        <f t="shared" si="3"/>
        <v>0</v>
      </c>
      <c r="Q30" s="135"/>
      <c r="R30" s="211">
        <f t="shared" si="18"/>
        <v>0</v>
      </c>
      <c r="S30" s="135"/>
      <c r="T30" s="159">
        <f t="shared" si="12"/>
        <v>0</v>
      </c>
      <c r="U30" s="159">
        <f t="shared" si="13"/>
        <v>0</v>
      </c>
      <c r="V30" s="159">
        <f t="shared" si="14"/>
        <v>0</v>
      </c>
      <c r="W30" s="159">
        <f t="shared" si="19"/>
        <v>0</v>
      </c>
      <c r="X30" s="288">
        <f t="shared" si="4"/>
        <v>0</v>
      </c>
      <c r="AA30" s="164">
        <f t="shared" si="5"/>
        <v>219887</v>
      </c>
      <c r="AB30" s="165">
        <f t="shared" si="6"/>
        <v>0</v>
      </c>
      <c r="AC30" s="165">
        <f t="shared" si="7"/>
        <v>1257940</v>
      </c>
      <c r="AD30" s="165">
        <f t="shared" si="16"/>
        <v>15256.182500000001</v>
      </c>
      <c r="AE30" s="165">
        <f t="shared" si="8"/>
        <v>-89040</v>
      </c>
      <c r="AF30" s="165">
        <f t="shared" si="9"/>
        <v>536905</v>
      </c>
      <c r="AG30" s="165"/>
      <c r="AH30" s="230">
        <f t="shared" si="10"/>
        <v>7387</v>
      </c>
    </row>
    <row r="31" spans="2:34" ht="26.25" customHeight="1">
      <c r="B31" s="166">
        <f t="shared" si="11"/>
        <v>44620</v>
      </c>
      <c r="C31" s="221"/>
      <c r="D31" s="221"/>
      <c r="E31" s="221"/>
      <c r="F31" s="221"/>
      <c r="G31" s="221"/>
      <c r="H31" s="168">
        <f t="shared" si="17"/>
        <v>0</v>
      </c>
      <c r="I31" s="137"/>
      <c r="J31" s="137"/>
      <c r="K31" s="137"/>
      <c r="L31" s="256">
        <f t="shared" si="0"/>
        <v>0</v>
      </c>
      <c r="M31" s="136"/>
      <c r="N31" s="256">
        <f t="shared" si="1"/>
        <v>0</v>
      </c>
      <c r="O31" s="159">
        <f t="shared" si="2"/>
        <v>0</v>
      </c>
      <c r="P31" s="159">
        <f t="shared" si="3"/>
        <v>0</v>
      </c>
      <c r="Q31" s="135"/>
      <c r="R31" s="211">
        <f t="shared" si="18"/>
        <v>0</v>
      </c>
      <c r="S31" s="135"/>
      <c r="T31" s="159">
        <f t="shared" si="12"/>
        <v>0</v>
      </c>
      <c r="U31" s="159">
        <f t="shared" si="13"/>
        <v>0</v>
      </c>
      <c r="V31" s="159">
        <f t="shared" si="14"/>
        <v>0</v>
      </c>
      <c r="W31" s="159">
        <f t="shared" si="19"/>
        <v>0</v>
      </c>
      <c r="X31" s="288">
        <f t="shared" si="4"/>
        <v>0</v>
      </c>
      <c r="AA31" s="164">
        <f t="shared" si="5"/>
        <v>219887</v>
      </c>
      <c r="AB31" s="165">
        <f t="shared" si="6"/>
        <v>0</v>
      </c>
      <c r="AC31" s="165">
        <f t="shared" si="7"/>
        <v>1257940</v>
      </c>
      <c r="AD31" s="165">
        <f t="shared" si="16"/>
        <v>15256.182500000001</v>
      </c>
      <c r="AE31" s="165">
        <f t="shared" si="8"/>
        <v>-89040</v>
      </c>
      <c r="AF31" s="165">
        <f t="shared" si="9"/>
        <v>536905</v>
      </c>
      <c r="AG31" s="165"/>
      <c r="AH31" s="230">
        <f t="shared" si="10"/>
        <v>7387</v>
      </c>
    </row>
    <row r="32" spans="2:34" ht="26.25" customHeight="1">
      <c r="B32" s="166">
        <f t="shared" si="11"/>
        <v>44621</v>
      </c>
      <c r="C32" s="221"/>
      <c r="D32" s="221"/>
      <c r="E32" s="221"/>
      <c r="F32" s="221"/>
      <c r="G32" s="221"/>
      <c r="H32" s="168">
        <f t="shared" si="17"/>
        <v>0</v>
      </c>
      <c r="I32" s="137"/>
      <c r="J32" s="137"/>
      <c r="K32" s="137"/>
      <c r="L32" s="256">
        <f t="shared" si="0"/>
        <v>0</v>
      </c>
      <c r="M32" s="136"/>
      <c r="N32" s="256">
        <f t="shared" si="1"/>
        <v>0</v>
      </c>
      <c r="O32" s="159">
        <f t="shared" si="2"/>
        <v>0</v>
      </c>
      <c r="P32" s="159">
        <f t="shared" si="3"/>
        <v>0</v>
      </c>
      <c r="Q32" s="135"/>
      <c r="R32" s="211">
        <f t="shared" si="18"/>
        <v>0</v>
      </c>
      <c r="S32" s="135"/>
      <c r="T32" s="159">
        <f t="shared" si="12"/>
        <v>0</v>
      </c>
      <c r="U32" s="159">
        <f t="shared" si="13"/>
        <v>0</v>
      </c>
      <c r="V32" s="159">
        <f t="shared" si="14"/>
        <v>0</v>
      </c>
      <c r="W32" s="159">
        <f t="shared" si="19"/>
        <v>0</v>
      </c>
      <c r="X32" s="288">
        <f t="shared" si="4"/>
        <v>0</v>
      </c>
      <c r="AA32" s="164">
        <f t="shared" si="5"/>
        <v>219887</v>
      </c>
      <c r="AB32" s="165">
        <f t="shared" si="6"/>
        <v>0</v>
      </c>
      <c r="AC32" s="165">
        <f t="shared" si="7"/>
        <v>1257940</v>
      </c>
      <c r="AD32" s="165">
        <f t="shared" si="16"/>
        <v>15256.182500000001</v>
      </c>
      <c r="AE32" s="165">
        <f t="shared" si="8"/>
        <v>-89040</v>
      </c>
      <c r="AF32" s="165">
        <f t="shared" si="9"/>
        <v>536905</v>
      </c>
      <c r="AG32" s="165"/>
      <c r="AH32" s="230">
        <f t="shared" si="10"/>
        <v>7387</v>
      </c>
    </row>
    <row r="33" spans="2:34" ht="26.25" customHeight="1">
      <c r="B33" s="166">
        <f t="shared" si="11"/>
        <v>44622</v>
      </c>
      <c r="C33" s="221"/>
      <c r="D33" s="221"/>
      <c r="E33" s="221"/>
      <c r="F33" s="221"/>
      <c r="G33" s="221"/>
      <c r="H33" s="168">
        <f t="shared" si="17"/>
        <v>0</v>
      </c>
      <c r="I33" s="137"/>
      <c r="J33" s="137"/>
      <c r="K33" s="137"/>
      <c r="L33" s="256">
        <f t="shared" si="0"/>
        <v>0</v>
      </c>
      <c r="M33" s="136"/>
      <c r="N33" s="256">
        <f t="shared" si="1"/>
        <v>0</v>
      </c>
      <c r="O33" s="159">
        <f t="shared" si="2"/>
        <v>0</v>
      </c>
      <c r="P33" s="159">
        <f t="shared" si="3"/>
        <v>0</v>
      </c>
      <c r="Q33" s="135"/>
      <c r="R33" s="211">
        <f t="shared" si="18"/>
        <v>0</v>
      </c>
      <c r="S33" s="135"/>
      <c r="T33" s="159">
        <f t="shared" si="12"/>
        <v>0</v>
      </c>
      <c r="U33" s="159">
        <f t="shared" si="13"/>
        <v>0</v>
      </c>
      <c r="V33" s="159">
        <f t="shared" si="14"/>
        <v>0</v>
      </c>
      <c r="W33" s="159">
        <f t="shared" si="19"/>
        <v>0</v>
      </c>
      <c r="X33" s="288">
        <f t="shared" si="4"/>
        <v>0</v>
      </c>
      <c r="AA33" s="164">
        <f t="shared" si="5"/>
        <v>219887</v>
      </c>
      <c r="AB33" s="165">
        <f t="shared" si="6"/>
        <v>0</v>
      </c>
      <c r="AC33" s="165">
        <f t="shared" si="7"/>
        <v>1257940</v>
      </c>
      <c r="AD33" s="165">
        <f t="shared" si="16"/>
        <v>15256.182500000001</v>
      </c>
      <c r="AE33" s="165">
        <f t="shared" si="8"/>
        <v>-89040</v>
      </c>
      <c r="AF33" s="165">
        <f t="shared" si="9"/>
        <v>536905</v>
      </c>
      <c r="AG33" s="165"/>
      <c r="AH33" s="230">
        <f t="shared" si="10"/>
        <v>7387</v>
      </c>
    </row>
    <row r="34" spans="2:34" ht="26.25" customHeight="1">
      <c r="B34" s="166">
        <v>44561</v>
      </c>
      <c r="C34" s="221"/>
      <c r="D34" s="221"/>
      <c r="E34" s="221"/>
      <c r="F34" s="221"/>
      <c r="G34" s="221"/>
      <c r="H34" s="168">
        <f t="shared" si="17"/>
        <v>0</v>
      </c>
      <c r="I34" s="221"/>
      <c r="J34" s="221"/>
      <c r="K34" s="137"/>
      <c r="L34" s="256">
        <f t="shared" si="0"/>
        <v>0</v>
      </c>
      <c r="M34" s="136"/>
      <c r="N34" s="256">
        <f t="shared" si="1"/>
        <v>0</v>
      </c>
      <c r="O34" s="159">
        <f t="shared" si="2"/>
        <v>0</v>
      </c>
      <c r="P34" s="159">
        <f t="shared" si="3"/>
        <v>0</v>
      </c>
      <c r="Q34" s="311"/>
      <c r="R34" s="211">
        <f t="shared" si="18"/>
        <v>0</v>
      </c>
      <c r="S34" s="135"/>
      <c r="T34" s="159">
        <f t="shared" si="12"/>
        <v>0</v>
      </c>
      <c r="U34" s="159">
        <f t="shared" si="13"/>
        <v>0</v>
      </c>
      <c r="V34" s="159">
        <f t="shared" si="14"/>
        <v>0</v>
      </c>
      <c r="W34" s="159">
        <f t="shared" si="19"/>
        <v>0</v>
      </c>
      <c r="X34" s="287">
        <f t="shared" si="4"/>
        <v>0</v>
      </c>
      <c r="AA34" s="164"/>
      <c r="AB34" s="165"/>
      <c r="AC34" s="165"/>
      <c r="AD34" s="165"/>
      <c r="AE34" s="165"/>
      <c r="AF34" s="165"/>
      <c r="AG34" s="165"/>
      <c r="AH34" s="230"/>
    </row>
    <row r="35" spans="2:34" ht="26.25" customHeight="1" thickBot="1">
      <c r="B35" s="138"/>
      <c r="C35" s="139"/>
      <c r="D35" s="139"/>
      <c r="E35" s="139"/>
      <c r="F35" s="140"/>
      <c r="G35" s="140"/>
      <c r="H35" s="377">
        <f t="shared" si="17"/>
        <v>0</v>
      </c>
      <c r="I35" s="142"/>
      <c r="J35" s="142"/>
      <c r="K35" s="142"/>
      <c r="L35" s="143"/>
      <c r="M35" s="143"/>
      <c r="N35" s="143"/>
      <c r="O35" s="160"/>
      <c r="P35" s="160"/>
      <c r="Q35" s="144"/>
      <c r="R35" s="212"/>
      <c r="S35" s="144"/>
      <c r="T35" s="160"/>
      <c r="U35" s="160"/>
      <c r="V35" s="160"/>
      <c r="W35" s="160"/>
      <c r="X35" s="163"/>
      <c r="AA35" s="164"/>
      <c r="AB35" s="165"/>
      <c r="AC35" s="165"/>
      <c r="AD35" s="165"/>
      <c r="AE35" s="165"/>
      <c r="AF35" s="165"/>
      <c r="AG35" s="165"/>
      <c r="AH35" s="230"/>
    </row>
    <row r="36" spans="2:34" ht="6.75" customHeight="1" thickBot="1">
      <c r="AB36" s="165"/>
    </row>
    <row r="37" spans="2:34" ht="23.25" customHeight="1" thickBot="1">
      <c r="B37" s="145" t="s">
        <v>99</v>
      </c>
      <c r="C37" s="175">
        <f>SUM(C4:C35)</f>
        <v>7387</v>
      </c>
      <c r="D37" s="175">
        <f t="shared" ref="D37:X37" si="20">SUM(D4:D35)</f>
        <v>-20113</v>
      </c>
      <c r="E37" s="175">
        <f t="shared" si="20"/>
        <v>20113</v>
      </c>
      <c r="F37" s="175">
        <f t="shared" si="20"/>
        <v>505008</v>
      </c>
      <c r="G37" s="175">
        <f t="shared" si="20"/>
        <v>-292508</v>
      </c>
      <c r="H37" s="175">
        <f t="shared" si="20"/>
        <v>219887</v>
      </c>
      <c r="I37" s="175">
        <f t="shared" si="20"/>
        <v>0</v>
      </c>
      <c r="J37" s="175">
        <f t="shared" si="20"/>
        <v>-73100</v>
      </c>
      <c r="K37" s="175">
        <f t="shared" si="20"/>
        <v>0</v>
      </c>
      <c r="L37" s="175">
        <f t="shared" si="20"/>
        <v>-192500</v>
      </c>
      <c r="M37" s="175">
        <f t="shared" si="20"/>
        <v>-42740</v>
      </c>
      <c r="N37" s="175">
        <f>SUM(N4:N35)</f>
        <v>-89040</v>
      </c>
      <c r="O37" s="175">
        <f>SUM(O4:O35)</f>
        <v>117620</v>
      </c>
      <c r="P37" s="175">
        <f t="shared" si="20"/>
        <v>117620</v>
      </c>
      <c r="Q37" s="175">
        <f t="shared" si="20"/>
        <v>1794845</v>
      </c>
      <c r="R37" s="175">
        <f t="shared" si="20"/>
        <v>1257940</v>
      </c>
      <c r="S37" s="175">
        <f t="shared" si="20"/>
        <v>536905</v>
      </c>
      <c r="T37" s="175">
        <f t="shared" si="20"/>
        <v>9127.385000000002</v>
      </c>
      <c r="U37" s="175">
        <f t="shared" si="20"/>
        <v>21384.98</v>
      </c>
      <c r="V37" s="175">
        <f t="shared" si="20"/>
        <v>30512.365000000002</v>
      </c>
      <c r="W37" s="175">
        <f>SUM(W4:W35)</f>
        <v>15256.182500000001</v>
      </c>
      <c r="X37" s="274">
        <f t="shared" si="20"/>
        <v>123748.7975</v>
      </c>
    </row>
    <row r="38" spans="2:34" ht="27" customHeight="1">
      <c r="I38" s="146"/>
      <c r="J38" s="146"/>
      <c r="K38" s="146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</row>
    <row r="39" spans="2:34" ht="27" customHeight="1">
      <c r="I39" s="146"/>
      <c r="J39" s="146"/>
      <c r="K39" s="146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</row>
    <row r="40" spans="2:34" ht="24" customHeight="1">
      <c r="C40" s="242" t="s">
        <v>163</v>
      </c>
      <c r="D40" s="242"/>
      <c r="E40" s="242"/>
      <c r="F40" s="173"/>
      <c r="G40" s="173"/>
      <c r="H40" s="423">
        <f>-H37</f>
        <v>-219887</v>
      </c>
      <c r="I40" s="423"/>
      <c r="J40" s="315"/>
      <c r="K40" s="173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</row>
    <row r="41" spans="2:34" ht="24" customHeight="1">
      <c r="C41" s="242" t="s">
        <v>178</v>
      </c>
      <c r="D41" s="242"/>
      <c r="E41" s="242"/>
      <c r="F41" s="150"/>
      <c r="G41" s="150"/>
      <c r="H41" s="424">
        <f>L37+M37</f>
        <v>-235240</v>
      </c>
      <c r="I41" s="424"/>
      <c r="J41" s="316"/>
      <c r="K41" s="173"/>
      <c r="L41" s="173"/>
      <c r="M41" s="173"/>
      <c r="N41" s="257" t="s">
        <v>167</v>
      </c>
      <c r="O41" s="173"/>
      <c r="P41" s="173"/>
      <c r="Q41" s="173"/>
      <c r="R41" s="173"/>
      <c r="S41" s="173"/>
      <c r="U41" s="257" t="s">
        <v>171</v>
      </c>
      <c r="V41" s="173"/>
      <c r="W41" s="173"/>
      <c r="Y41" s="173"/>
      <c r="Z41" s="173"/>
      <c r="AA41" s="173"/>
    </row>
    <row r="42" spans="2:34" ht="24" customHeight="1" thickBot="1">
      <c r="C42" s="242" t="s">
        <v>176</v>
      </c>
      <c r="D42" s="242"/>
      <c r="E42" s="242"/>
      <c r="F42" s="150"/>
      <c r="G42" s="150"/>
      <c r="H42" s="419">
        <f>-ROUNDDOWN(H41*50%,0)</f>
        <v>117620</v>
      </c>
      <c r="I42" s="419"/>
      <c r="J42" s="316"/>
      <c r="K42" s="173"/>
      <c r="L42" s="173"/>
      <c r="M42" s="173"/>
      <c r="N42" s="148" t="s">
        <v>168</v>
      </c>
      <c r="O42" s="246"/>
      <c r="P42" s="246"/>
      <c r="Q42" s="246"/>
      <c r="R42" s="173"/>
      <c r="S42" s="173"/>
      <c r="U42" s="148" t="s">
        <v>189</v>
      </c>
      <c r="V42" s="173"/>
      <c r="W42" s="173"/>
      <c r="Y42" s="173"/>
      <c r="Z42" s="173"/>
      <c r="AA42" s="173"/>
    </row>
    <row r="43" spans="2:34" ht="8.25" customHeight="1" thickTop="1">
      <c r="C43" s="242"/>
      <c r="D43" s="242"/>
      <c r="E43" s="242"/>
      <c r="F43" s="150"/>
      <c r="G43" s="150"/>
      <c r="H43" s="173"/>
      <c r="I43" s="244"/>
      <c r="J43" s="244"/>
      <c r="K43" s="173"/>
      <c r="L43" s="173"/>
      <c r="M43" s="173"/>
      <c r="N43" s="148"/>
      <c r="O43" s="173"/>
      <c r="P43" s="173"/>
      <c r="Q43" s="173"/>
      <c r="R43" s="173"/>
      <c r="S43" s="173"/>
      <c r="U43" s="148"/>
      <c r="V43" s="173"/>
      <c r="W43" s="173"/>
      <c r="Y43" s="173"/>
      <c r="Z43" s="173"/>
      <c r="AA43" s="173"/>
    </row>
    <row r="44" spans="2:34" ht="24" customHeight="1">
      <c r="C44" s="242" t="s">
        <v>164</v>
      </c>
      <c r="D44" s="242"/>
      <c r="E44" s="242"/>
      <c r="F44" s="150"/>
      <c r="G44" s="150"/>
      <c r="H44" s="424">
        <f>R37</f>
        <v>1257940</v>
      </c>
      <c r="I44" s="424"/>
      <c r="J44" s="316"/>
      <c r="K44" s="173"/>
      <c r="L44" s="173"/>
      <c r="M44" s="173"/>
      <c r="N44" s="148"/>
      <c r="O44" s="173"/>
      <c r="P44" s="173"/>
      <c r="Q44" s="173"/>
      <c r="R44" s="173"/>
      <c r="S44" s="173"/>
      <c r="U44" s="148"/>
      <c r="V44" s="173"/>
      <c r="W44" s="173"/>
      <c r="Z44" s="173"/>
      <c r="AA44" s="173"/>
    </row>
    <row r="45" spans="2:34" ht="24" customHeight="1">
      <c r="C45" s="242" t="s">
        <v>200</v>
      </c>
      <c r="D45" s="242"/>
      <c r="E45" s="242"/>
      <c r="F45" s="150"/>
      <c r="G45" s="150"/>
      <c r="H45" s="424">
        <f>H44*1.7%</f>
        <v>21384.980000000003</v>
      </c>
      <c r="I45" s="424"/>
      <c r="J45" s="316"/>
      <c r="K45" s="173"/>
      <c r="L45" s="173"/>
      <c r="M45" s="173"/>
      <c r="N45" s="257" t="s">
        <v>169</v>
      </c>
      <c r="O45" s="173"/>
      <c r="P45" s="173"/>
      <c r="Q45" s="173"/>
      <c r="R45" s="173"/>
      <c r="S45" s="173"/>
      <c r="U45" s="257" t="s">
        <v>169</v>
      </c>
      <c r="V45" s="173"/>
      <c r="W45" s="173"/>
      <c r="Z45" s="173"/>
      <c r="AA45" s="173"/>
    </row>
    <row r="46" spans="2:34" ht="24" customHeight="1">
      <c r="C46" s="242" t="s">
        <v>174</v>
      </c>
      <c r="D46" s="242"/>
      <c r="E46" s="242"/>
      <c r="F46" s="150"/>
      <c r="G46" s="150"/>
      <c r="H46" s="424">
        <f>-H45*50%</f>
        <v>-10692.490000000002</v>
      </c>
      <c r="I46" s="424"/>
      <c r="J46" s="316"/>
      <c r="K46" s="173"/>
      <c r="L46" s="173"/>
      <c r="M46" s="173"/>
      <c r="N46" s="148" t="s">
        <v>170</v>
      </c>
      <c r="O46" s="246"/>
      <c r="P46" s="246"/>
      <c r="Q46" s="246"/>
      <c r="R46" s="173"/>
      <c r="S46" s="173"/>
      <c r="U46" s="148" t="s">
        <v>190</v>
      </c>
      <c r="V46" s="173"/>
      <c r="W46" s="173"/>
      <c r="Z46" s="173"/>
      <c r="AA46" s="173"/>
    </row>
    <row r="47" spans="2:34" ht="24" customHeight="1">
      <c r="C47" s="242" t="s">
        <v>201</v>
      </c>
      <c r="D47" s="242"/>
      <c r="E47" s="242"/>
      <c r="F47" s="150"/>
      <c r="G47" s="150"/>
      <c r="H47" s="424">
        <f>S37</f>
        <v>536905</v>
      </c>
      <c r="I47" s="424"/>
      <c r="J47" s="316"/>
      <c r="K47" s="173"/>
      <c r="L47" s="173"/>
      <c r="M47" s="173"/>
      <c r="N47" s="148"/>
      <c r="O47" s="173"/>
      <c r="P47" s="173"/>
      <c r="Q47" s="173"/>
      <c r="R47" s="173"/>
      <c r="S47" s="173"/>
      <c r="U47" s="148"/>
      <c r="V47" s="173"/>
      <c r="W47" s="173"/>
      <c r="Z47" s="173"/>
      <c r="AA47" s="173"/>
    </row>
    <row r="48" spans="2:34" ht="24" customHeight="1">
      <c r="C48" s="242" t="s">
        <v>202</v>
      </c>
      <c r="D48" s="242"/>
      <c r="E48" s="242"/>
      <c r="F48" s="150"/>
      <c r="G48" s="150"/>
      <c r="H48" s="424">
        <f>T37</f>
        <v>9127.385000000002</v>
      </c>
      <c r="I48" s="424"/>
      <c r="J48" s="316"/>
      <c r="K48" s="173"/>
      <c r="L48" s="173"/>
      <c r="M48" s="173"/>
      <c r="N48" s="148"/>
      <c r="O48" s="173"/>
      <c r="P48" s="173"/>
      <c r="Q48" s="173"/>
      <c r="R48" s="173"/>
      <c r="S48" s="173"/>
      <c r="U48" s="148"/>
      <c r="V48" s="173"/>
      <c r="W48" s="173"/>
      <c r="Z48" s="173"/>
      <c r="AA48" s="173"/>
    </row>
    <row r="49" spans="2:27" ht="24" customHeight="1">
      <c r="C49" s="242" t="s">
        <v>199</v>
      </c>
      <c r="D49" s="242"/>
      <c r="E49" s="242"/>
      <c r="F49" s="150"/>
      <c r="G49" s="150"/>
      <c r="H49" s="424">
        <f>-H48*50%</f>
        <v>-4563.692500000001</v>
      </c>
      <c r="I49" s="424"/>
      <c r="J49" s="316"/>
      <c r="K49" s="173"/>
      <c r="L49" s="173"/>
      <c r="M49" s="173"/>
      <c r="N49" s="148"/>
      <c r="O49" s="173"/>
      <c r="P49" s="173"/>
      <c r="Q49" s="173"/>
      <c r="R49" s="173"/>
      <c r="S49" s="173"/>
      <c r="V49" s="148"/>
      <c r="W49" s="173"/>
      <c r="Z49" s="173"/>
      <c r="AA49" s="173"/>
    </row>
    <row r="50" spans="2:27" ht="24" customHeight="1">
      <c r="C50" s="242" t="s">
        <v>177</v>
      </c>
      <c r="D50" s="242"/>
      <c r="E50" s="242"/>
      <c r="F50" s="150"/>
      <c r="G50" s="150"/>
      <c r="H50" s="424">
        <v>0</v>
      </c>
      <c r="I50" s="424"/>
      <c r="J50" s="316"/>
      <c r="K50" s="173"/>
      <c r="L50" s="173"/>
      <c r="M50" s="173"/>
      <c r="N50" s="148"/>
      <c r="O50" s="173"/>
      <c r="P50" s="173"/>
      <c r="Q50" s="173"/>
      <c r="R50" s="173"/>
      <c r="S50" s="173"/>
      <c r="V50" s="148"/>
      <c r="W50" s="173"/>
      <c r="Z50" s="173"/>
      <c r="AA50" s="173"/>
    </row>
    <row r="51" spans="2:27" ht="24" customHeight="1" thickBot="1">
      <c r="B51" s="149"/>
      <c r="C51" s="242"/>
      <c r="D51" s="242"/>
      <c r="E51" s="242"/>
      <c r="F51" s="173"/>
      <c r="G51" s="173"/>
      <c r="H51" s="425">
        <f>ROUNDDOWN(H45+H46+H49+H50,0)</f>
        <v>6128</v>
      </c>
      <c r="I51" s="425"/>
      <c r="J51" s="315"/>
      <c r="K51" s="173"/>
      <c r="L51" s="173"/>
      <c r="M51" s="173"/>
      <c r="N51" s="253"/>
      <c r="O51" s="148"/>
      <c r="P51" s="173"/>
      <c r="Q51" s="173"/>
      <c r="R51" s="173"/>
      <c r="S51" s="173"/>
      <c r="V51" s="148"/>
      <c r="W51" s="173"/>
      <c r="Z51" s="173"/>
      <c r="AA51" s="173"/>
    </row>
    <row r="52" spans="2:27" ht="24" customHeight="1" thickTop="1">
      <c r="B52" s="149"/>
      <c r="C52" s="242"/>
      <c r="D52" s="242"/>
      <c r="E52" s="242"/>
      <c r="F52" s="173"/>
      <c r="G52" s="173"/>
      <c r="H52" s="252"/>
      <c r="I52" s="252"/>
      <c r="J52" s="316"/>
      <c r="K52" s="173"/>
      <c r="L52" s="173"/>
      <c r="M52" s="173"/>
      <c r="N52" s="280"/>
      <c r="O52" s="148"/>
      <c r="P52" s="173"/>
      <c r="Q52" s="173"/>
      <c r="R52" s="173"/>
      <c r="S52" s="173"/>
      <c r="V52" s="148"/>
      <c r="W52" s="173"/>
      <c r="Z52" s="173"/>
      <c r="AA52" s="173"/>
    </row>
    <row r="53" spans="2:27" ht="30" customHeight="1">
      <c r="B53" s="149"/>
      <c r="C53" s="242" t="s">
        <v>203</v>
      </c>
      <c r="D53" s="242"/>
      <c r="E53" s="242"/>
      <c r="F53" s="173"/>
      <c r="G53" s="173"/>
      <c r="H53" s="421">
        <f>H42+H51</f>
        <v>123748</v>
      </c>
      <c r="I53" s="427"/>
      <c r="J53" s="316"/>
      <c r="K53" s="173"/>
      <c r="L53" s="173"/>
      <c r="M53" s="173"/>
      <c r="N53" s="257" t="s">
        <v>173</v>
      </c>
      <c r="O53" s="173"/>
      <c r="P53" s="173"/>
      <c r="Q53" s="173"/>
      <c r="R53" s="173"/>
      <c r="S53" s="173"/>
      <c r="U53" s="257" t="s">
        <v>45</v>
      </c>
      <c r="V53" s="173"/>
      <c r="W53" s="173"/>
      <c r="Z53" s="173"/>
      <c r="AA53" s="173"/>
    </row>
    <row r="54" spans="2:27" ht="27.75" customHeight="1">
      <c r="B54" s="149"/>
      <c r="C54" s="124"/>
      <c r="D54" s="124"/>
      <c r="E54" s="124"/>
      <c r="F54" s="124"/>
      <c r="G54" s="124"/>
      <c r="H54" s="124"/>
      <c r="J54" s="316"/>
      <c r="K54" s="173"/>
      <c r="L54" s="173"/>
      <c r="M54" s="173"/>
      <c r="N54" s="148" t="s">
        <v>172</v>
      </c>
      <c r="O54" s="246"/>
      <c r="P54" s="246"/>
      <c r="Q54" s="246"/>
      <c r="R54" s="173"/>
      <c r="S54" s="173"/>
      <c r="U54" s="148" t="s">
        <v>191</v>
      </c>
      <c r="V54" s="173"/>
      <c r="W54" s="173"/>
      <c r="Z54" s="173"/>
      <c r="AA54" s="173"/>
    </row>
    <row r="55" spans="2:27" ht="29.25" customHeight="1">
      <c r="B55" s="255"/>
      <c r="C55" s="242" t="s">
        <v>175</v>
      </c>
      <c r="D55" s="242"/>
      <c r="E55" s="242"/>
      <c r="H55" s="426">
        <f>H40+H53</f>
        <v>-96139</v>
      </c>
      <c r="I55" s="426"/>
      <c r="J55" s="316"/>
      <c r="K55" s="173"/>
      <c r="L55" s="173"/>
      <c r="M55" s="173"/>
      <c r="N55" s="148"/>
      <c r="O55" s="173"/>
      <c r="P55" s="173"/>
      <c r="Q55" s="173"/>
      <c r="R55" s="173"/>
      <c r="S55" s="173"/>
      <c r="U55" s="148"/>
      <c r="V55" s="173"/>
      <c r="W55" s="173"/>
      <c r="Z55" s="173"/>
      <c r="AA55" s="173"/>
    </row>
    <row r="56" spans="2:27" ht="23.25" customHeight="1">
      <c r="B56" s="254"/>
      <c r="C56" s="242"/>
      <c r="D56" s="242"/>
      <c r="E56" s="242"/>
      <c r="H56" s="423"/>
      <c r="I56" s="423"/>
      <c r="J56" s="316"/>
      <c r="K56" s="173"/>
      <c r="L56" s="173"/>
      <c r="M56" s="173"/>
      <c r="N56" s="257" t="s">
        <v>169</v>
      </c>
      <c r="S56" s="173"/>
      <c r="U56" s="257" t="s">
        <v>169</v>
      </c>
      <c r="V56" s="150"/>
      <c r="W56" s="150"/>
      <c r="Z56" s="173"/>
      <c r="AA56" s="173"/>
    </row>
    <row r="57" spans="2:27" ht="27" customHeight="1">
      <c r="C57" s="124"/>
      <c r="D57" s="124"/>
      <c r="E57" s="124"/>
      <c r="F57" s="124"/>
      <c r="I57" s="151"/>
      <c r="J57" s="151"/>
      <c r="K57" s="173"/>
      <c r="L57" s="173"/>
      <c r="M57" s="173"/>
      <c r="N57" s="148"/>
      <c r="O57" s="269"/>
      <c r="P57" s="269"/>
      <c r="Q57" s="269"/>
      <c r="S57" s="173"/>
      <c r="Z57" s="150"/>
      <c r="AA57" s="150"/>
    </row>
    <row r="58" spans="2:27" ht="28.5">
      <c r="B58" s="124"/>
      <c r="C58" s="124"/>
      <c r="D58" s="124"/>
      <c r="E58" s="124"/>
      <c r="F58" s="124"/>
      <c r="G58" s="124"/>
      <c r="H58" s="124"/>
      <c r="K58" s="173"/>
      <c r="L58" s="173"/>
      <c r="N58" s="148"/>
      <c r="U58" s="148"/>
      <c r="V58" s="150"/>
      <c r="W58" s="150"/>
      <c r="X58" s="150"/>
      <c r="Y58" s="150"/>
      <c r="Z58" s="150"/>
    </row>
    <row r="59" spans="2:27" ht="28.5">
      <c r="B59" s="124"/>
      <c r="C59" s="124"/>
      <c r="D59" s="124"/>
      <c r="E59" s="124"/>
      <c r="F59" s="124"/>
      <c r="G59" s="124"/>
      <c r="H59" s="124"/>
      <c r="L59" s="173"/>
      <c r="N59" s="148"/>
      <c r="T59" s="148"/>
      <c r="U59" s="150"/>
      <c r="V59" s="150"/>
      <c r="X59" s="150"/>
      <c r="Y59" s="150"/>
    </row>
    <row r="60" spans="2:27" ht="28.5">
      <c r="B60" s="124"/>
      <c r="G60" s="124"/>
      <c r="H60" s="124"/>
      <c r="L60" s="153"/>
      <c r="M60" s="153"/>
      <c r="N60" s="148"/>
      <c r="O60" s="173"/>
      <c r="P60" s="173"/>
      <c r="Q60" s="173"/>
      <c r="T60" s="148"/>
      <c r="U60" s="173"/>
      <c r="V60" s="173"/>
      <c r="Y60" s="150"/>
    </row>
    <row r="61" spans="2:27" ht="23.25">
      <c r="L61" s="154"/>
      <c r="M61" s="154"/>
      <c r="N61" s="257"/>
      <c r="T61" s="257"/>
      <c r="U61" s="150"/>
      <c r="V61" s="150"/>
      <c r="Y61" s="150"/>
    </row>
    <row r="62" spans="2:27" ht="23.25">
      <c r="L62" s="155"/>
      <c r="M62" s="155"/>
      <c r="N62" s="257"/>
      <c r="T62" s="148"/>
      <c r="U62" s="150"/>
      <c r="V62" s="150"/>
    </row>
    <row r="63" spans="2:27" ht="23.25">
      <c r="L63" s="156"/>
      <c r="M63" s="156"/>
      <c r="N63" s="257"/>
      <c r="T63" s="150"/>
      <c r="U63" s="150"/>
    </row>
    <row r="64" spans="2:27" ht="18.75">
      <c r="L64" s="156"/>
      <c r="M64" s="156"/>
      <c r="Q64" s="247"/>
      <c r="W64" s="150"/>
    </row>
    <row r="65" spans="9:24">
      <c r="L65" s="156"/>
      <c r="M65" s="156"/>
      <c r="N65" s="156"/>
    </row>
    <row r="66" spans="9:24">
      <c r="L66" s="156"/>
      <c r="M66" s="156"/>
      <c r="N66" s="156"/>
    </row>
    <row r="67" spans="9:24">
      <c r="L67" s="156"/>
      <c r="M67" s="156"/>
      <c r="N67" s="156"/>
    </row>
    <row r="68" spans="9:24">
      <c r="L68" s="156"/>
      <c r="M68" s="156"/>
      <c r="N68" s="156"/>
    </row>
    <row r="69" spans="9:24">
      <c r="L69" s="156"/>
      <c r="M69" s="156"/>
      <c r="N69" s="156"/>
    </row>
    <row r="70" spans="9:24" s="123" customFormat="1">
      <c r="I70" s="124"/>
      <c r="J70" s="124"/>
      <c r="K70" s="124"/>
      <c r="L70" s="156"/>
      <c r="M70" s="156"/>
      <c r="N70" s="156"/>
      <c r="O70" s="124"/>
      <c r="P70" s="124"/>
      <c r="Q70" s="124"/>
      <c r="R70" s="124"/>
      <c r="S70" s="124"/>
      <c r="T70" s="124"/>
      <c r="U70" s="124"/>
      <c r="V70" s="124"/>
      <c r="W70" s="124"/>
      <c r="X70" s="124"/>
    </row>
    <row r="71" spans="9:24">
      <c r="L71" s="156"/>
      <c r="M71" s="156"/>
      <c r="N71" s="156"/>
    </row>
    <row r="72" spans="9:24">
      <c r="L72" s="156"/>
      <c r="M72" s="156"/>
      <c r="N72" s="156"/>
    </row>
  </sheetData>
  <mergeCells count="15">
    <mergeCell ref="H56:I56"/>
    <mergeCell ref="H46:I46"/>
    <mergeCell ref="H49:I49"/>
    <mergeCell ref="B2:X2"/>
    <mergeCell ref="H41:I41"/>
    <mergeCell ref="H42:I42"/>
    <mergeCell ref="H44:I44"/>
    <mergeCell ref="H45:I45"/>
    <mergeCell ref="H47:I47"/>
    <mergeCell ref="H48:I48"/>
    <mergeCell ref="H51:I51"/>
    <mergeCell ref="H40:I40"/>
    <mergeCell ref="H55:I55"/>
    <mergeCell ref="H53:I53"/>
    <mergeCell ref="H50:I50"/>
  </mergeCells>
  <conditionalFormatting sqref="B35:G35 B4:B34">
    <cfRule type="duplicateValues" dxfId="4" priority="1"/>
    <cfRule type="duplicateValues" dxfId="3" priority="2"/>
  </conditionalFormatting>
  <printOptions horizontalCentered="1"/>
  <pageMargins left="0" right="0" top="0" bottom="0" header="0" footer="0"/>
  <pageSetup scale="37" orientation="landscape" horizontalDpi="360" verticalDpi="36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FF00"/>
    <pageSetUpPr fitToPage="1"/>
  </sheetPr>
  <dimension ref="B1:AI88"/>
  <sheetViews>
    <sheetView showGridLines="0" view="pageBreakPreview" zoomScale="70" zoomScaleNormal="85" zoomScaleSheetLayoutView="70" workbookViewId="0">
      <pane ySplit="3" topLeftCell="A25" activePane="bottomLeft" state="frozen"/>
      <selection activeCell="Q50" sqref="Q50"/>
      <selection pane="bottomLeft" activeCell="L36" sqref="L36"/>
    </sheetView>
  </sheetViews>
  <sheetFormatPr defaultRowHeight="15"/>
  <cols>
    <col min="1" max="1" width="1" style="124" customWidth="1"/>
    <col min="2" max="2" width="12.28515625" style="123" bestFit="1" customWidth="1"/>
    <col min="3" max="5" width="12.28515625" style="123" customWidth="1"/>
    <col min="6" max="6" width="14.140625" style="123" customWidth="1"/>
    <col min="7" max="7" width="14.28515625" style="123" customWidth="1"/>
    <col min="8" max="8" width="14.85546875" style="123" customWidth="1"/>
    <col min="9" max="11" width="15.42578125" style="124" customWidth="1"/>
    <col min="12" max="14" width="17.42578125" style="124" customWidth="1"/>
    <col min="15" max="15" width="13.5703125" style="124" bestFit="1" customWidth="1"/>
    <col min="16" max="16" width="14.140625" style="124" bestFit="1" customWidth="1"/>
    <col min="17" max="17" width="19" style="124" customWidth="1"/>
    <col min="18" max="18" width="20.5703125" style="124" customWidth="1"/>
    <col min="19" max="19" width="19.85546875" style="124" customWidth="1"/>
    <col min="20" max="20" width="18.42578125" style="124" customWidth="1"/>
    <col min="21" max="21" width="16" style="124" customWidth="1"/>
    <col min="22" max="22" width="13.7109375" style="124" customWidth="1"/>
    <col min="23" max="23" width="14.7109375" style="124" bestFit="1" customWidth="1"/>
    <col min="24" max="24" width="20.140625" style="124" hidden="1" customWidth="1"/>
    <col min="25" max="25" width="23" style="124" customWidth="1"/>
    <col min="26" max="26" width="1.5703125" style="124" customWidth="1"/>
    <col min="27" max="27" width="9.140625" style="124" customWidth="1"/>
    <col min="28" max="28" width="8.85546875" style="124" customWidth="1"/>
    <col min="29" max="29" width="9.28515625" style="124" customWidth="1"/>
    <col min="30" max="30" width="10.5703125" style="124" customWidth="1"/>
    <col min="31" max="31" width="8.42578125" style="124" customWidth="1"/>
    <col min="32" max="32" width="10.140625" style="124" customWidth="1"/>
    <col min="33" max="33" width="11" style="124" customWidth="1"/>
    <col min="34" max="34" width="7.140625" style="124" customWidth="1"/>
    <col min="35" max="35" width="10.28515625" style="124" customWidth="1"/>
    <col min="36" max="37" width="9.140625" style="124" customWidth="1"/>
    <col min="38" max="16384" width="9.140625" style="124"/>
  </cols>
  <sheetData>
    <row r="1" spans="2:35" ht="24.75" customHeight="1" thickBot="1"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</row>
    <row r="2" spans="2:35" ht="28.5" customHeight="1" thickBot="1">
      <c r="B2" s="414" t="s">
        <v>233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415"/>
      <c r="X2" s="415"/>
      <c r="Y2" s="416"/>
    </row>
    <row r="3" spans="2:35" ht="60.75" thickBot="1">
      <c r="B3" s="125" t="s">
        <v>94</v>
      </c>
      <c r="C3" s="126" t="s">
        <v>121</v>
      </c>
      <c r="D3" s="126" t="s">
        <v>185</v>
      </c>
      <c r="E3" s="126" t="s">
        <v>187</v>
      </c>
      <c r="F3" s="282" t="s">
        <v>188</v>
      </c>
      <c r="G3" s="126" t="s">
        <v>186</v>
      </c>
      <c r="H3" s="126" t="s">
        <v>163</v>
      </c>
      <c r="I3" s="127" t="s">
        <v>230</v>
      </c>
      <c r="J3" s="127" t="s">
        <v>211</v>
      </c>
      <c r="K3" s="127" t="s">
        <v>183</v>
      </c>
      <c r="L3" s="127" t="s">
        <v>180</v>
      </c>
      <c r="M3" s="127" t="s">
        <v>181</v>
      </c>
      <c r="N3" s="127" t="s">
        <v>182</v>
      </c>
      <c r="O3" s="128">
        <v>-0.5</v>
      </c>
      <c r="P3" s="157">
        <f>-100%-O3</f>
        <v>-0.5</v>
      </c>
      <c r="Q3" s="127" t="s">
        <v>207</v>
      </c>
      <c r="R3" s="127" t="s">
        <v>142</v>
      </c>
      <c r="S3" s="127" t="s">
        <v>208</v>
      </c>
      <c r="T3" s="127" t="s">
        <v>125</v>
      </c>
      <c r="U3" s="206" t="s">
        <v>209</v>
      </c>
      <c r="V3" s="127" t="s">
        <v>97</v>
      </c>
      <c r="W3" s="127" t="s">
        <v>144</v>
      </c>
      <c r="X3" s="127" t="s">
        <v>145</v>
      </c>
      <c r="Y3" s="129" t="s">
        <v>96</v>
      </c>
      <c r="AB3" s="130" t="s">
        <v>106</v>
      </c>
      <c r="AC3" s="130" t="s">
        <v>95</v>
      </c>
      <c r="AD3" s="130" t="s">
        <v>107</v>
      </c>
      <c r="AE3" s="131" t="s">
        <v>108</v>
      </c>
      <c r="AF3" s="131" t="s">
        <v>109</v>
      </c>
      <c r="AG3" s="130" t="s">
        <v>147</v>
      </c>
      <c r="AH3" s="130" t="s">
        <v>110</v>
      </c>
      <c r="AI3" s="130" t="s">
        <v>120</v>
      </c>
    </row>
    <row r="4" spans="2:35" ht="26.25" customHeight="1">
      <c r="B4" s="132">
        <v>44593</v>
      </c>
      <c r="C4" s="240">
        <v>132423</v>
      </c>
      <c r="D4" s="240">
        <v>0</v>
      </c>
      <c r="E4" s="289">
        <v>0</v>
      </c>
      <c r="F4" s="289">
        <v>53923</v>
      </c>
      <c r="G4" s="289">
        <v>-176323</v>
      </c>
      <c r="H4" s="290">
        <f>SUM(C4:G4)</f>
        <v>10023</v>
      </c>
      <c r="I4" s="133">
        <v>0</v>
      </c>
      <c r="J4" s="133">
        <v>-1600</v>
      </c>
      <c r="K4" s="133">
        <v>0</v>
      </c>
      <c r="L4" s="256">
        <f>-F4-G4-I4-K4</f>
        <v>122400</v>
      </c>
      <c r="M4" s="275">
        <v>2108.5</v>
      </c>
      <c r="N4" s="256">
        <f>L4+M4-J4*2</f>
        <v>127708.5</v>
      </c>
      <c r="O4" s="321">
        <f>N4*$O$3-J4</f>
        <v>-62254.25</v>
      </c>
      <c r="P4" s="321">
        <f>N4*$P$3-J4</f>
        <v>-62254.25</v>
      </c>
      <c r="Q4" s="276">
        <v>683610</v>
      </c>
      <c r="R4" s="210">
        <f>Q4-S4</f>
        <v>683610</v>
      </c>
      <c r="S4" s="134">
        <v>0</v>
      </c>
      <c r="T4" s="159">
        <f>S4*1.7%</f>
        <v>0</v>
      </c>
      <c r="U4" s="158">
        <f>R4*1.7%</f>
        <v>11621.37</v>
      </c>
      <c r="V4" s="158">
        <f>SUM(T4:U4)</f>
        <v>11621.37</v>
      </c>
      <c r="W4" s="159">
        <f>V4*50%</f>
        <v>5810.6850000000004</v>
      </c>
      <c r="X4" s="159">
        <f>V4*50%</f>
        <v>5810.6850000000004</v>
      </c>
      <c r="Y4" s="161">
        <f>O4+W4-T4</f>
        <v>-56443.565000000002</v>
      </c>
      <c r="AB4" s="164">
        <f>H4</f>
        <v>10023</v>
      </c>
      <c r="AC4" s="165">
        <f>I4+K4</f>
        <v>0</v>
      </c>
      <c r="AD4" s="165">
        <f>R4</f>
        <v>683610</v>
      </c>
      <c r="AE4" s="165">
        <f>X4-T4</f>
        <v>5810.6850000000004</v>
      </c>
      <c r="AF4" s="165">
        <f>N4</f>
        <v>127708.5</v>
      </c>
      <c r="AG4" s="165">
        <f>S4</f>
        <v>0</v>
      </c>
      <c r="AH4" s="165"/>
      <c r="AI4" s="213">
        <f>C4</f>
        <v>132423</v>
      </c>
    </row>
    <row r="5" spans="2:35" ht="26.25" customHeight="1">
      <c r="B5" s="166">
        <f>B4+1</f>
        <v>44594</v>
      </c>
      <c r="C5" s="221">
        <v>0</v>
      </c>
      <c r="D5" s="221">
        <v>0</v>
      </c>
      <c r="E5" s="291">
        <v>0</v>
      </c>
      <c r="F5" s="291">
        <v>150000</v>
      </c>
      <c r="G5" s="291">
        <v>-160023</v>
      </c>
      <c r="H5" s="168">
        <f>SUM(C5:G5)</f>
        <v>-10023</v>
      </c>
      <c r="I5" s="371">
        <v>32927</v>
      </c>
      <c r="J5" s="136">
        <v>-20000</v>
      </c>
      <c r="K5" s="136">
        <v>0</v>
      </c>
      <c r="L5" s="256">
        <f>-F5-G5+I5-K5</f>
        <v>42950</v>
      </c>
      <c r="M5" s="136">
        <v>-24332.5</v>
      </c>
      <c r="N5" s="256">
        <f t="shared" ref="N5:N34" si="0">L5+M5-J5*2</f>
        <v>58617.5</v>
      </c>
      <c r="O5" s="159">
        <f>N5*$O$3-J5</f>
        <v>-9308.75</v>
      </c>
      <c r="P5" s="159">
        <f>N5*$P$3-J5</f>
        <v>-9308.75</v>
      </c>
      <c r="Q5" s="135">
        <v>1468781</v>
      </c>
      <c r="R5" s="211">
        <f>Q5-S5</f>
        <v>1399581</v>
      </c>
      <c r="S5" s="135">
        <v>69200</v>
      </c>
      <c r="T5" s="159">
        <f>S5*1.7%</f>
        <v>1176.4000000000001</v>
      </c>
      <c r="U5" s="159">
        <f>R5*1.7%</f>
        <v>23792.877</v>
      </c>
      <c r="V5" s="159">
        <f>SUM(T5:U5)</f>
        <v>24969.277000000002</v>
      </c>
      <c r="W5" s="159">
        <f>V5*50%</f>
        <v>12484.638500000001</v>
      </c>
      <c r="X5" s="159">
        <f>V5*50%</f>
        <v>12484.638500000001</v>
      </c>
      <c r="Y5" s="162">
        <f>O5+W5-T5</f>
        <v>1999.4885000000008</v>
      </c>
      <c r="AB5" s="164">
        <f t="shared" ref="AB5:AB33" si="1">AB4+H5</f>
        <v>0</v>
      </c>
      <c r="AC5" s="165">
        <f>AC4+I5+K5</f>
        <v>32927</v>
      </c>
      <c r="AD5" s="165">
        <f>R5+AD4</f>
        <v>2083191</v>
      </c>
      <c r="AE5" s="165">
        <f>AE4+X5-T5</f>
        <v>17118.923500000001</v>
      </c>
      <c r="AF5" s="165">
        <f>AF4+N5</f>
        <v>186326</v>
      </c>
      <c r="AG5" s="165">
        <f>S5+AG4</f>
        <v>69200</v>
      </c>
      <c r="AH5" s="165"/>
      <c r="AI5" s="230">
        <f>C5+AI4</f>
        <v>132423</v>
      </c>
    </row>
    <row r="6" spans="2:35" ht="26.25" customHeight="1">
      <c r="B6" s="166">
        <f t="shared" ref="B6:B33" si="2">B5+1</f>
        <v>44595</v>
      </c>
      <c r="C6" s="221">
        <v>0</v>
      </c>
      <c r="D6" s="221">
        <v>0</v>
      </c>
      <c r="E6" s="291">
        <v>0</v>
      </c>
      <c r="F6" s="291">
        <v>70000</v>
      </c>
      <c r="G6" s="291">
        <v>-50000</v>
      </c>
      <c r="H6" s="168">
        <f t="shared" ref="H6:H34" si="3">SUM(C6:G6)</f>
        <v>20000</v>
      </c>
      <c r="I6" s="136">
        <v>-32927</v>
      </c>
      <c r="J6" s="136">
        <v>-10000</v>
      </c>
      <c r="K6" s="136">
        <v>0</v>
      </c>
      <c r="L6" s="256">
        <f>-F6-G6+I6-K6</f>
        <v>-52927</v>
      </c>
      <c r="M6" s="136">
        <v>-26818</v>
      </c>
      <c r="N6" s="256">
        <f t="shared" si="0"/>
        <v>-59745</v>
      </c>
      <c r="O6" s="159">
        <f>N6*$O$3-J6</f>
        <v>39872.5</v>
      </c>
      <c r="P6" s="159">
        <f>N6*$P$3-J6</f>
        <v>39872.5</v>
      </c>
      <c r="Q6" s="135">
        <v>337687</v>
      </c>
      <c r="R6" s="211">
        <f>Q6-S6</f>
        <v>337687</v>
      </c>
      <c r="S6" s="135">
        <v>0</v>
      </c>
      <c r="T6" s="159">
        <f>S6*1.7%</f>
        <v>0</v>
      </c>
      <c r="U6" s="159">
        <f t="shared" ref="U6:U34" si="4">R6*1.7%</f>
        <v>5740.6790000000001</v>
      </c>
      <c r="V6" s="159">
        <f t="shared" ref="V6:V34" si="5">SUM(T6:U6)</f>
        <v>5740.6790000000001</v>
      </c>
      <c r="W6" s="159">
        <f t="shared" ref="W6:W34" si="6">V6*50%</f>
        <v>2870.3395</v>
      </c>
      <c r="X6" s="159">
        <f t="shared" ref="X6:X33" si="7">V6*50%</f>
        <v>2870.3395</v>
      </c>
      <c r="Y6" s="162">
        <f t="shared" ref="Y6:Y34" si="8">O6+W6-T6</f>
        <v>42742.839500000002</v>
      </c>
      <c r="AB6" s="164">
        <f t="shared" si="1"/>
        <v>20000</v>
      </c>
      <c r="AC6" s="165">
        <f t="shared" ref="AC6:AC33" si="9">AC5+I6+K6</f>
        <v>0</v>
      </c>
      <c r="AD6" s="165">
        <f t="shared" ref="AD6:AD33" si="10">R6+AD5</f>
        <v>2420878</v>
      </c>
      <c r="AE6" s="165">
        <f>AE5+X6-T6</f>
        <v>19989.262999999999</v>
      </c>
      <c r="AF6" s="165">
        <f t="shared" ref="AF6:AF33" si="11">AF5+N6</f>
        <v>126581</v>
      </c>
      <c r="AG6" s="165">
        <f t="shared" ref="AG6:AG32" si="12">S6+AG5</f>
        <v>69200</v>
      </c>
      <c r="AH6" s="165"/>
      <c r="AI6" s="230">
        <f t="shared" ref="AI6:AI33" si="13">C6+AI5</f>
        <v>132423</v>
      </c>
    </row>
    <row r="7" spans="2:35" ht="26.25" customHeight="1">
      <c r="B7" s="166">
        <f t="shared" si="2"/>
        <v>44596</v>
      </c>
      <c r="C7" s="221">
        <v>0</v>
      </c>
      <c r="D7" s="221">
        <v>0</v>
      </c>
      <c r="E7" s="291">
        <v>0</v>
      </c>
      <c r="F7" s="291">
        <v>245000</v>
      </c>
      <c r="G7" s="291">
        <v>-150000</v>
      </c>
      <c r="H7" s="168">
        <f t="shared" si="3"/>
        <v>95000</v>
      </c>
      <c r="I7" s="136">
        <v>0</v>
      </c>
      <c r="J7" s="136">
        <v>0</v>
      </c>
      <c r="K7" s="136">
        <v>0</v>
      </c>
      <c r="L7" s="256">
        <f t="shared" ref="L7:L34" si="14">-F7-G7+I7-K7</f>
        <v>-95000</v>
      </c>
      <c r="M7" s="136">
        <v>-1506.5</v>
      </c>
      <c r="N7" s="256">
        <f t="shared" si="0"/>
        <v>-96506.5</v>
      </c>
      <c r="O7" s="159">
        <f t="shared" ref="O7:O34" si="15">N7*$O$3-J7</f>
        <v>48253.25</v>
      </c>
      <c r="P7" s="159">
        <f t="shared" ref="P7:P34" si="16">N7*$P$3-J7</f>
        <v>48253.25</v>
      </c>
      <c r="Q7" s="135">
        <v>498738</v>
      </c>
      <c r="R7" s="211">
        <f t="shared" ref="R7:R32" si="17">Q7-S7</f>
        <v>153633</v>
      </c>
      <c r="S7" s="387">
        <f>384501-39396</f>
        <v>345105</v>
      </c>
      <c r="T7" s="159">
        <f t="shared" ref="T7:T32" si="18">S7*1.7%</f>
        <v>5866.7850000000008</v>
      </c>
      <c r="U7" s="159">
        <f t="shared" si="4"/>
        <v>2611.761</v>
      </c>
      <c r="V7" s="159">
        <f t="shared" si="5"/>
        <v>8478.5460000000003</v>
      </c>
      <c r="W7" s="159">
        <f t="shared" si="6"/>
        <v>4239.2730000000001</v>
      </c>
      <c r="X7" s="159">
        <f t="shared" si="7"/>
        <v>4239.2730000000001</v>
      </c>
      <c r="Y7" s="162">
        <f t="shared" si="8"/>
        <v>46625.737999999998</v>
      </c>
      <c r="AB7" s="164">
        <f t="shared" si="1"/>
        <v>115000</v>
      </c>
      <c r="AC7" s="165">
        <f t="shared" si="9"/>
        <v>0</v>
      </c>
      <c r="AD7" s="165">
        <f t="shared" si="10"/>
        <v>2574511</v>
      </c>
      <c r="AE7" s="165">
        <f t="shared" ref="AE7:AE33" si="19">AE6+X7-T7</f>
        <v>18361.751</v>
      </c>
      <c r="AF7" s="165">
        <f t="shared" si="11"/>
        <v>30074.5</v>
      </c>
      <c r="AG7" s="165">
        <f t="shared" si="12"/>
        <v>414305</v>
      </c>
      <c r="AH7" s="165"/>
      <c r="AI7" s="230">
        <f t="shared" si="13"/>
        <v>132423</v>
      </c>
    </row>
    <row r="8" spans="2:35" ht="26.25" customHeight="1">
      <c r="B8" s="166">
        <f t="shared" si="2"/>
        <v>44597</v>
      </c>
      <c r="C8" s="221">
        <v>0</v>
      </c>
      <c r="D8" s="221">
        <v>0</v>
      </c>
      <c r="E8" s="291">
        <v>0</v>
      </c>
      <c r="F8" s="291">
        <v>180000</v>
      </c>
      <c r="G8" s="291">
        <v>-100000</v>
      </c>
      <c r="H8" s="168">
        <f t="shared" si="3"/>
        <v>80000</v>
      </c>
      <c r="I8" s="137">
        <v>0</v>
      </c>
      <c r="J8" s="137">
        <v>0</v>
      </c>
      <c r="K8" s="137">
        <v>0</v>
      </c>
      <c r="L8" s="256">
        <f t="shared" si="14"/>
        <v>-80000</v>
      </c>
      <c r="M8" s="380">
        <v>-4263.75</v>
      </c>
      <c r="N8" s="256">
        <f t="shared" si="0"/>
        <v>-84263.75</v>
      </c>
      <c r="O8" s="159">
        <f t="shared" si="15"/>
        <v>42131.875</v>
      </c>
      <c r="P8" s="159">
        <f t="shared" si="16"/>
        <v>42131.875</v>
      </c>
      <c r="Q8" s="382">
        <v>1291216</v>
      </c>
      <c r="R8" s="211">
        <f t="shared" si="17"/>
        <v>1250195</v>
      </c>
      <c r="S8" s="135">
        <v>41021</v>
      </c>
      <c r="T8" s="159">
        <f t="shared" si="18"/>
        <v>697.35700000000008</v>
      </c>
      <c r="U8" s="159">
        <f t="shared" si="4"/>
        <v>21253.315000000002</v>
      </c>
      <c r="V8" s="159">
        <f>SUM(T8:U8)</f>
        <v>21950.672000000002</v>
      </c>
      <c r="W8" s="159">
        <f>V8*50%</f>
        <v>10975.336000000001</v>
      </c>
      <c r="X8" s="159">
        <f t="shared" si="7"/>
        <v>10975.336000000001</v>
      </c>
      <c r="Y8" s="162">
        <f t="shared" si="8"/>
        <v>52409.853999999999</v>
      </c>
      <c r="AB8" s="164">
        <f t="shared" si="1"/>
        <v>195000</v>
      </c>
      <c r="AC8" s="165">
        <f t="shared" si="9"/>
        <v>0</v>
      </c>
      <c r="AD8" s="165">
        <f t="shared" si="10"/>
        <v>3824706</v>
      </c>
      <c r="AE8" s="165">
        <f t="shared" si="19"/>
        <v>28639.73</v>
      </c>
      <c r="AF8" s="165">
        <f t="shared" si="11"/>
        <v>-54189.25</v>
      </c>
      <c r="AG8" s="165">
        <f t="shared" si="12"/>
        <v>455326</v>
      </c>
      <c r="AH8" s="165"/>
      <c r="AI8" s="230">
        <f t="shared" si="13"/>
        <v>132423</v>
      </c>
    </row>
    <row r="9" spans="2:35" ht="26.25" customHeight="1">
      <c r="B9" s="166">
        <f t="shared" si="2"/>
        <v>44598</v>
      </c>
      <c r="C9" s="221">
        <v>0</v>
      </c>
      <c r="D9" s="221">
        <v>0</v>
      </c>
      <c r="E9" s="291">
        <v>0</v>
      </c>
      <c r="F9" s="291">
        <v>130000</v>
      </c>
      <c r="G9" s="291">
        <v>-100000</v>
      </c>
      <c r="H9" s="168">
        <f t="shared" si="3"/>
        <v>30000</v>
      </c>
      <c r="I9" s="137">
        <v>0</v>
      </c>
      <c r="J9" s="137">
        <v>0</v>
      </c>
      <c r="K9" s="137">
        <v>0</v>
      </c>
      <c r="L9" s="256">
        <f t="shared" si="14"/>
        <v>-30000</v>
      </c>
      <c r="M9" s="136">
        <v>-35129</v>
      </c>
      <c r="N9" s="256">
        <f t="shared" si="0"/>
        <v>-65129</v>
      </c>
      <c r="O9" s="159">
        <f t="shared" si="15"/>
        <v>32564.5</v>
      </c>
      <c r="P9" s="159">
        <f t="shared" si="16"/>
        <v>32564.5</v>
      </c>
      <c r="Q9" s="135">
        <v>1280396</v>
      </c>
      <c r="R9" s="211">
        <f t="shared" si="17"/>
        <v>1119090</v>
      </c>
      <c r="S9" s="135">
        <v>161306</v>
      </c>
      <c r="T9" s="159">
        <f t="shared" si="18"/>
        <v>2742.2020000000002</v>
      </c>
      <c r="U9" s="159">
        <f t="shared" si="4"/>
        <v>19024.530000000002</v>
      </c>
      <c r="V9" s="159">
        <f t="shared" si="5"/>
        <v>21766.732000000004</v>
      </c>
      <c r="W9" s="159">
        <f t="shared" si="6"/>
        <v>10883.366000000002</v>
      </c>
      <c r="X9" s="159">
        <f t="shared" si="7"/>
        <v>10883.366000000002</v>
      </c>
      <c r="Y9" s="162">
        <f t="shared" si="8"/>
        <v>40705.664000000004</v>
      </c>
      <c r="AB9" s="164">
        <f t="shared" si="1"/>
        <v>225000</v>
      </c>
      <c r="AC9" s="165">
        <f t="shared" si="9"/>
        <v>0</v>
      </c>
      <c r="AD9" s="165">
        <f t="shared" si="10"/>
        <v>4943796</v>
      </c>
      <c r="AE9" s="165">
        <f t="shared" si="19"/>
        <v>36780.894000000008</v>
      </c>
      <c r="AF9" s="165">
        <f t="shared" si="11"/>
        <v>-119318.25</v>
      </c>
      <c r="AG9" s="165">
        <f t="shared" si="12"/>
        <v>616632</v>
      </c>
      <c r="AH9" s="165"/>
      <c r="AI9" s="230">
        <f t="shared" si="13"/>
        <v>132423</v>
      </c>
    </row>
    <row r="10" spans="2:35" ht="26.25" customHeight="1">
      <c r="B10" s="166">
        <f t="shared" si="2"/>
        <v>44599</v>
      </c>
      <c r="C10" s="221">
        <v>0</v>
      </c>
      <c r="D10" s="221">
        <v>0</v>
      </c>
      <c r="E10" s="291">
        <v>0</v>
      </c>
      <c r="F10" s="291">
        <v>100000</v>
      </c>
      <c r="G10" s="291">
        <v>0</v>
      </c>
      <c r="H10" s="168">
        <f>SUM(C10:G10)</f>
        <v>100000</v>
      </c>
      <c r="I10" s="137">
        <v>0</v>
      </c>
      <c r="J10" s="137">
        <v>0</v>
      </c>
      <c r="K10" s="137">
        <v>0</v>
      </c>
      <c r="L10" s="256">
        <f t="shared" si="14"/>
        <v>-100000</v>
      </c>
      <c r="M10" s="136">
        <v>8976</v>
      </c>
      <c r="N10" s="256">
        <f t="shared" si="0"/>
        <v>-91024</v>
      </c>
      <c r="O10" s="159">
        <f>N10*$O$3-J10</f>
        <v>45512</v>
      </c>
      <c r="P10" s="159">
        <f>N10*$P$3-J10</f>
        <v>45512</v>
      </c>
      <c r="Q10" s="135">
        <v>590085</v>
      </c>
      <c r="R10" s="211">
        <f>Q10-S10</f>
        <v>590085</v>
      </c>
      <c r="S10" s="135">
        <v>0</v>
      </c>
      <c r="T10" s="159">
        <f>S10*1.7%</f>
        <v>0</v>
      </c>
      <c r="U10" s="159">
        <f>R10*1.7%</f>
        <v>10031.445000000002</v>
      </c>
      <c r="V10" s="159">
        <f>SUM(T10:U10)</f>
        <v>10031.445000000002</v>
      </c>
      <c r="W10" s="159">
        <f>V10*50%</f>
        <v>5015.7225000000008</v>
      </c>
      <c r="X10" s="159">
        <f>V10*50%</f>
        <v>5015.7225000000008</v>
      </c>
      <c r="Y10" s="162">
        <f>O10+W10-T10</f>
        <v>50527.722500000003</v>
      </c>
      <c r="AB10" s="164">
        <f t="shared" si="1"/>
        <v>325000</v>
      </c>
      <c r="AC10" s="165">
        <f t="shared" si="9"/>
        <v>0</v>
      </c>
      <c r="AD10" s="165">
        <f t="shared" si="10"/>
        <v>5533881</v>
      </c>
      <c r="AE10" s="165">
        <f t="shared" si="19"/>
        <v>41796.616500000011</v>
      </c>
      <c r="AF10" s="165">
        <f t="shared" si="11"/>
        <v>-210342.25</v>
      </c>
      <c r="AG10" s="165">
        <f t="shared" si="12"/>
        <v>616632</v>
      </c>
      <c r="AH10" s="165"/>
      <c r="AI10" s="230">
        <f t="shared" si="13"/>
        <v>132423</v>
      </c>
    </row>
    <row r="11" spans="2:35" ht="26.25" customHeight="1">
      <c r="B11" s="166">
        <f t="shared" si="2"/>
        <v>44600</v>
      </c>
      <c r="C11" s="221">
        <v>0</v>
      </c>
      <c r="D11" s="221">
        <v>0</v>
      </c>
      <c r="E11" s="291">
        <v>0</v>
      </c>
      <c r="F11" s="291">
        <v>50000</v>
      </c>
      <c r="G11" s="291">
        <v>-20000</v>
      </c>
      <c r="H11" s="168">
        <f>SUM(C11:G11)</f>
        <v>30000</v>
      </c>
      <c r="I11" s="137">
        <v>0</v>
      </c>
      <c r="J11" s="137">
        <v>0</v>
      </c>
      <c r="K11" s="137">
        <v>0</v>
      </c>
      <c r="L11" s="256">
        <f t="shared" si="14"/>
        <v>-30000</v>
      </c>
      <c r="M11" s="136">
        <v>933.5</v>
      </c>
      <c r="N11" s="256">
        <f t="shared" si="0"/>
        <v>-29066.5</v>
      </c>
      <c r="O11" s="159">
        <f>N11*$O$3-J11</f>
        <v>14533.25</v>
      </c>
      <c r="P11" s="159">
        <f t="shared" si="16"/>
        <v>14533.25</v>
      </c>
      <c r="Q11" s="135">
        <v>72746</v>
      </c>
      <c r="R11" s="211">
        <f t="shared" si="17"/>
        <v>46051</v>
      </c>
      <c r="S11" s="135">
        <v>26695</v>
      </c>
      <c r="T11" s="159">
        <f t="shared" si="18"/>
        <v>453.81500000000005</v>
      </c>
      <c r="U11" s="159">
        <f t="shared" si="4"/>
        <v>782.86700000000008</v>
      </c>
      <c r="V11" s="159">
        <f t="shared" si="5"/>
        <v>1236.6820000000002</v>
      </c>
      <c r="W11" s="159">
        <f t="shared" si="6"/>
        <v>618.34100000000012</v>
      </c>
      <c r="X11" s="159">
        <f t="shared" si="7"/>
        <v>618.34100000000012</v>
      </c>
      <c r="Y11" s="162">
        <f t="shared" si="8"/>
        <v>14697.776</v>
      </c>
      <c r="AB11" s="164">
        <f t="shared" si="1"/>
        <v>355000</v>
      </c>
      <c r="AC11" s="165">
        <f t="shared" si="9"/>
        <v>0</v>
      </c>
      <c r="AD11" s="165">
        <f t="shared" si="10"/>
        <v>5579932</v>
      </c>
      <c r="AE11" s="165">
        <f t="shared" si="19"/>
        <v>41961.142500000009</v>
      </c>
      <c r="AF11" s="165">
        <f t="shared" si="11"/>
        <v>-239408.75</v>
      </c>
      <c r="AG11" s="165">
        <f t="shared" si="12"/>
        <v>643327</v>
      </c>
      <c r="AH11" s="165"/>
      <c r="AI11" s="230">
        <f t="shared" si="13"/>
        <v>132423</v>
      </c>
    </row>
    <row r="12" spans="2:35" ht="26.25" customHeight="1">
      <c r="B12" s="166">
        <f t="shared" si="2"/>
        <v>44601</v>
      </c>
      <c r="C12" s="221">
        <v>0</v>
      </c>
      <c r="D12" s="221">
        <v>0</v>
      </c>
      <c r="E12" s="291">
        <v>0</v>
      </c>
      <c r="F12" s="221">
        <v>295000</v>
      </c>
      <c r="G12" s="221">
        <v>-200000</v>
      </c>
      <c r="H12" s="168">
        <f t="shared" si="3"/>
        <v>95000</v>
      </c>
      <c r="I12" s="137">
        <v>0</v>
      </c>
      <c r="J12" s="137">
        <v>0</v>
      </c>
      <c r="K12" s="137">
        <v>0</v>
      </c>
      <c r="L12" s="256">
        <f t="shared" si="14"/>
        <v>-95000</v>
      </c>
      <c r="M12" s="136">
        <v>9072</v>
      </c>
      <c r="N12" s="256">
        <f t="shared" si="0"/>
        <v>-85928</v>
      </c>
      <c r="O12" s="159">
        <f t="shared" si="15"/>
        <v>42964</v>
      </c>
      <c r="P12" s="159">
        <f t="shared" si="16"/>
        <v>42964</v>
      </c>
      <c r="Q12" s="135">
        <v>2377754</v>
      </c>
      <c r="R12" s="211">
        <f t="shared" si="17"/>
        <v>2368819</v>
      </c>
      <c r="S12" s="135">
        <v>8935</v>
      </c>
      <c r="T12" s="159">
        <f t="shared" si="18"/>
        <v>151.89500000000001</v>
      </c>
      <c r="U12" s="159">
        <f t="shared" si="4"/>
        <v>40269.923000000003</v>
      </c>
      <c r="V12" s="159">
        <f t="shared" si="5"/>
        <v>40421.817999999999</v>
      </c>
      <c r="W12" s="159">
        <f t="shared" si="6"/>
        <v>20210.909</v>
      </c>
      <c r="X12" s="159">
        <f t="shared" si="7"/>
        <v>20210.909</v>
      </c>
      <c r="Y12" s="162">
        <f t="shared" si="8"/>
        <v>63023.014000000003</v>
      </c>
      <c r="AB12" s="164">
        <f t="shared" si="1"/>
        <v>450000</v>
      </c>
      <c r="AC12" s="165">
        <f t="shared" si="9"/>
        <v>0</v>
      </c>
      <c r="AD12" s="165">
        <f t="shared" si="10"/>
        <v>7948751</v>
      </c>
      <c r="AE12" s="165">
        <f t="shared" si="19"/>
        <v>62020.156500000012</v>
      </c>
      <c r="AF12" s="165">
        <f t="shared" si="11"/>
        <v>-325336.75</v>
      </c>
      <c r="AG12" s="165">
        <f t="shared" si="12"/>
        <v>652262</v>
      </c>
      <c r="AH12" s="165"/>
      <c r="AI12" s="230">
        <f t="shared" si="13"/>
        <v>132423</v>
      </c>
    </row>
    <row r="13" spans="2:35" ht="26.25" customHeight="1">
      <c r="B13" s="166">
        <f t="shared" si="2"/>
        <v>44602</v>
      </c>
      <c r="C13" s="221">
        <v>0</v>
      </c>
      <c r="D13" s="221">
        <v>0</v>
      </c>
      <c r="E13" s="291">
        <v>0</v>
      </c>
      <c r="F13" s="221">
        <v>0</v>
      </c>
      <c r="G13" s="221">
        <v>0</v>
      </c>
      <c r="H13" s="168">
        <f t="shared" si="3"/>
        <v>0</v>
      </c>
      <c r="I13" s="137">
        <v>0</v>
      </c>
      <c r="J13" s="137">
        <v>0</v>
      </c>
      <c r="K13" s="137">
        <v>0</v>
      </c>
      <c r="L13" s="256">
        <f t="shared" si="14"/>
        <v>0</v>
      </c>
      <c r="M13" s="136">
        <v>870.5</v>
      </c>
      <c r="N13" s="256">
        <f t="shared" si="0"/>
        <v>870.5</v>
      </c>
      <c r="O13" s="159">
        <f t="shared" si="15"/>
        <v>-435.25</v>
      </c>
      <c r="P13" s="159">
        <f t="shared" si="16"/>
        <v>-435.25</v>
      </c>
      <c r="Q13" s="135">
        <v>152846</v>
      </c>
      <c r="R13" s="211">
        <f t="shared" si="17"/>
        <v>20619</v>
      </c>
      <c r="S13" s="135">
        <v>132227</v>
      </c>
      <c r="T13" s="159">
        <f t="shared" si="18"/>
        <v>2247.8590000000004</v>
      </c>
      <c r="U13" s="159">
        <f t="shared" si="4"/>
        <v>350.52300000000002</v>
      </c>
      <c r="V13" s="159">
        <f t="shared" si="5"/>
        <v>2598.3820000000005</v>
      </c>
      <c r="W13" s="159">
        <f t="shared" si="6"/>
        <v>1299.1910000000003</v>
      </c>
      <c r="X13" s="159">
        <f t="shared" si="7"/>
        <v>1299.1910000000003</v>
      </c>
      <c r="Y13" s="162">
        <f t="shared" si="8"/>
        <v>-1383.9180000000001</v>
      </c>
      <c r="AB13" s="164">
        <f t="shared" si="1"/>
        <v>450000</v>
      </c>
      <c r="AC13" s="165">
        <f t="shared" si="9"/>
        <v>0</v>
      </c>
      <c r="AD13" s="165">
        <f>R13+AD12</f>
        <v>7969370</v>
      </c>
      <c r="AE13" s="165">
        <f t="shared" si="19"/>
        <v>61071.488500000007</v>
      </c>
      <c r="AF13" s="165">
        <f t="shared" si="11"/>
        <v>-324466.25</v>
      </c>
      <c r="AG13" s="165">
        <f t="shared" si="12"/>
        <v>784489</v>
      </c>
      <c r="AH13" s="165"/>
      <c r="AI13" s="230">
        <f t="shared" si="13"/>
        <v>132423</v>
      </c>
    </row>
    <row r="14" spans="2:35" ht="26.25" customHeight="1">
      <c r="B14" s="166">
        <f t="shared" si="2"/>
        <v>44603</v>
      </c>
      <c r="C14" s="221">
        <v>0</v>
      </c>
      <c r="D14" s="221">
        <v>0</v>
      </c>
      <c r="E14" s="291">
        <v>0</v>
      </c>
      <c r="F14" s="221">
        <v>0</v>
      </c>
      <c r="G14" s="221">
        <v>-30000</v>
      </c>
      <c r="H14" s="168">
        <f t="shared" si="3"/>
        <v>-30000</v>
      </c>
      <c r="I14" s="137">
        <v>0</v>
      </c>
      <c r="J14" s="137">
        <v>0</v>
      </c>
      <c r="K14" s="137">
        <v>0</v>
      </c>
      <c r="L14" s="256">
        <f t="shared" si="14"/>
        <v>30000</v>
      </c>
      <c r="M14" s="136">
        <v>-34405</v>
      </c>
      <c r="N14" s="256">
        <f t="shared" si="0"/>
        <v>-4405</v>
      </c>
      <c r="O14" s="159">
        <f t="shared" si="15"/>
        <v>2202.5</v>
      </c>
      <c r="P14" s="159">
        <f t="shared" si="16"/>
        <v>2202.5</v>
      </c>
      <c r="Q14" s="135">
        <v>176982</v>
      </c>
      <c r="R14" s="211">
        <f>Q14-S14</f>
        <v>77542</v>
      </c>
      <c r="S14" s="135">
        <v>99440</v>
      </c>
      <c r="T14" s="159">
        <f t="shared" si="18"/>
        <v>1690.48</v>
      </c>
      <c r="U14" s="159">
        <f t="shared" si="4"/>
        <v>1318.2140000000002</v>
      </c>
      <c r="V14" s="159">
        <f t="shared" si="5"/>
        <v>3008.6940000000004</v>
      </c>
      <c r="W14" s="159">
        <f t="shared" si="6"/>
        <v>1504.3470000000002</v>
      </c>
      <c r="X14" s="159">
        <f t="shared" si="7"/>
        <v>1504.3470000000002</v>
      </c>
      <c r="Y14" s="162">
        <f t="shared" si="8"/>
        <v>2016.3670000000002</v>
      </c>
      <c r="AB14" s="164">
        <f t="shared" si="1"/>
        <v>420000</v>
      </c>
      <c r="AC14" s="165">
        <f t="shared" si="9"/>
        <v>0</v>
      </c>
      <c r="AD14" s="165">
        <f t="shared" si="10"/>
        <v>8046912</v>
      </c>
      <c r="AE14" s="165">
        <f t="shared" si="19"/>
        <v>60885.355500000005</v>
      </c>
      <c r="AF14" s="165">
        <f t="shared" si="11"/>
        <v>-328871.25</v>
      </c>
      <c r="AG14" s="165">
        <f t="shared" si="12"/>
        <v>883929</v>
      </c>
      <c r="AH14" s="165"/>
      <c r="AI14" s="230">
        <f t="shared" si="13"/>
        <v>132423</v>
      </c>
    </row>
    <row r="15" spans="2:35" ht="26.25" customHeight="1">
      <c r="B15" s="166">
        <f t="shared" si="2"/>
        <v>44604</v>
      </c>
      <c r="C15" s="221">
        <v>0</v>
      </c>
      <c r="D15" s="221">
        <v>0</v>
      </c>
      <c r="E15" s="291">
        <v>0</v>
      </c>
      <c r="F15" s="221">
        <v>50000</v>
      </c>
      <c r="G15" s="221">
        <v>-130000</v>
      </c>
      <c r="H15" s="168">
        <f t="shared" si="3"/>
        <v>-80000</v>
      </c>
      <c r="I15" s="137">
        <v>0</v>
      </c>
      <c r="J15" s="137">
        <v>0</v>
      </c>
      <c r="K15" s="137">
        <v>0</v>
      </c>
      <c r="L15" s="256">
        <f t="shared" si="14"/>
        <v>80000</v>
      </c>
      <c r="M15" s="136">
        <v>-6989</v>
      </c>
      <c r="N15" s="256">
        <f t="shared" si="0"/>
        <v>73011</v>
      </c>
      <c r="O15" s="159">
        <f t="shared" si="15"/>
        <v>-36505.5</v>
      </c>
      <c r="P15" s="159">
        <f t="shared" si="16"/>
        <v>-36505.5</v>
      </c>
      <c r="Q15" s="135">
        <v>292531</v>
      </c>
      <c r="R15" s="211">
        <f>Q15-S15</f>
        <v>283109</v>
      </c>
      <c r="S15" s="135">
        <v>9422</v>
      </c>
      <c r="T15" s="159">
        <f t="shared" si="18"/>
        <v>160.17400000000001</v>
      </c>
      <c r="U15" s="159">
        <f t="shared" si="4"/>
        <v>4812.8530000000001</v>
      </c>
      <c r="V15" s="159">
        <f t="shared" si="5"/>
        <v>4973.027</v>
      </c>
      <c r="W15" s="159">
        <f t="shared" si="6"/>
        <v>2486.5135</v>
      </c>
      <c r="X15" s="159">
        <f t="shared" si="7"/>
        <v>2486.5135</v>
      </c>
      <c r="Y15" s="162">
        <f t="shared" si="8"/>
        <v>-34179.160499999998</v>
      </c>
      <c r="AB15" s="164">
        <f t="shared" si="1"/>
        <v>340000</v>
      </c>
      <c r="AC15" s="165">
        <f t="shared" si="9"/>
        <v>0</v>
      </c>
      <c r="AD15" s="165">
        <f t="shared" si="10"/>
        <v>8330021</v>
      </c>
      <c r="AE15" s="165">
        <f t="shared" si="19"/>
        <v>63211.695000000007</v>
      </c>
      <c r="AF15" s="165">
        <f t="shared" si="11"/>
        <v>-255860.25</v>
      </c>
      <c r="AG15" s="165">
        <f t="shared" si="12"/>
        <v>893351</v>
      </c>
      <c r="AH15" s="165"/>
      <c r="AI15" s="230">
        <f t="shared" si="13"/>
        <v>132423</v>
      </c>
    </row>
    <row r="16" spans="2:35" ht="26.25" customHeight="1">
      <c r="B16" s="166">
        <f t="shared" si="2"/>
        <v>44605</v>
      </c>
      <c r="C16" s="221">
        <v>0</v>
      </c>
      <c r="D16" s="221">
        <v>0</v>
      </c>
      <c r="E16" s="291">
        <v>0</v>
      </c>
      <c r="F16" s="221">
        <v>60000</v>
      </c>
      <c r="G16" s="221">
        <v>-50000</v>
      </c>
      <c r="H16" s="168">
        <f t="shared" si="3"/>
        <v>10000</v>
      </c>
      <c r="I16" s="137">
        <v>0</v>
      </c>
      <c r="J16" s="137">
        <v>0</v>
      </c>
      <c r="K16" s="137">
        <v>0</v>
      </c>
      <c r="L16" s="256">
        <f t="shared" si="14"/>
        <v>-10000</v>
      </c>
      <c r="M16" s="136">
        <v>4357.5</v>
      </c>
      <c r="N16" s="256">
        <f t="shared" si="0"/>
        <v>-5642.5</v>
      </c>
      <c r="O16" s="159">
        <f t="shared" si="15"/>
        <v>2821.25</v>
      </c>
      <c r="P16" s="159">
        <f t="shared" si="16"/>
        <v>2821.25</v>
      </c>
      <c r="Q16" s="135">
        <v>44880</v>
      </c>
      <c r="R16" s="211">
        <f t="shared" si="17"/>
        <v>17330</v>
      </c>
      <c r="S16" s="135">
        <v>27550</v>
      </c>
      <c r="T16" s="159">
        <f t="shared" si="18"/>
        <v>468.35</v>
      </c>
      <c r="U16" s="159">
        <f t="shared" si="4"/>
        <v>294.61</v>
      </c>
      <c r="V16" s="159">
        <f t="shared" si="5"/>
        <v>762.96</v>
      </c>
      <c r="W16" s="159">
        <f t="shared" si="6"/>
        <v>381.48</v>
      </c>
      <c r="X16" s="159">
        <f t="shared" si="7"/>
        <v>381.48</v>
      </c>
      <c r="Y16" s="162">
        <f t="shared" si="8"/>
        <v>2734.38</v>
      </c>
      <c r="AB16" s="164">
        <f t="shared" si="1"/>
        <v>350000</v>
      </c>
      <c r="AC16" s="165">
        <f t="shared" si="9"/>
        <v>0</v>
      </c>
      <c r="AD16" s="165">
        <f t="shared" si="10"/>
        <v>8347351</v>
      </c>
      <c r="AE16" s="165">
        <f t="shared" si="19"/>
        <v>63124.825000000012</v>
      </c>
      <c r="AF16" s="165">
        <f t="shared" si="11"/>
        <v>-261502.75</v>
      </c>
      <c r="AG16" s="165">
        <f t="shared" si="12"/>
        <v>920901</v>
      </c>
      <c r="AH16" s="165"/>
      <c r="AI16" s="230">
        <f t="shared" si="13"/>
        <v>132423</v>
      </c>
    </row>
    <row r="17" spans="2:35" s="296" customFormat="1" ht="26.25" customHeight="1">
      <c r="B17" s="297">
        <f t="shared" si="2"/>
        <v>44606</v>
      </c>
      <c r="C17" s="221">
        <v>0</v>
      </c>
      <c r="D17" s="221">
        <v>0</v>
      </c>
      <c r="E17" s="291">
        <v>0</v>
      </c>
      <c r="F17" s="291">
        <v>150000</v>
      </c>
      <c r="G17" s="291">
        <v>-45000</v>
      </c>
      <c r="H17" s="168">
        <f>SUM(C17:G17)</f>
        <v>105000</v>
      </c>
      <c r="I17" s="137">
        <v>0</v>
      </c>
      <c r="J17" s="137">
        <v>0</v>
      </c>
      <c r="K17" s="137">
        <v>0</v>
      </c>
      <c r="L17" s="256">
        <f t="shared" si="14"/>
        <v>-105000</v>
      </c>
      <c r="M17" s="136">
        <v>6304.5</v>
      </c>
      <c r="N17" s="256">
        <f t="shared" si="0"/>
        <v>-98695.5</v>
      </c>
      <c r="O17" s="159">
        <f t="shared" si="15"/>
        <v>49347.75</v>
      </c>
      <c r="P17" s="159">
        <f t="shared" si="16"/>
        <v>49347.75</v>
      </c>
      <c r="Q17" s="135">
        <v>176218</v>
      </c>
      <c r="R17" s="211">
        <f t="shared" si="17"/>
        <v>176218</v>
      </c>
      <c r="S17" s="135">
        <v>0</v>
      </c>
      <c r="T17" s="159">
        <f t="shared" si="18"/>
        <v>0</v>
      </c>
      <c r="U17" s="300">
        <f t="shared" si="4"/>
        <v>2995.7060000000001</v>
      </c>
      <c r="V17" s="300">
        <f t="shared" si="5"/>
        <v>2995.7060000000001</v>
      </c>
      <c r="W17" s="300">
        <f t="shared" si="6"/>
        <v>1497.8530000000001</v>
      </c>
      <c r="X17" s="300">
        <f t="shared" si="7"/>
        <v>1497.8530000000001</v>
      </c>
      <c r="Y17" s="302">
        <f t="shared" si="8"/>
        <v>50845.603000000003</v>
      </c>
      <c r="AB17" s="303">
        <f t="shared" si="1"/>
        <v>455000</v>
      </c>
      <c r="AC17" s="304">
        <f t="shared" si="9"/>
        <v>0</v>
      </c>
      <c r="AD17" s="304">
        <f t="shared" si="10"/>
        <v>8523569</v>
      </c>
      <c r="AE17" s="304">
        <f t="shared" si="19"/>
        <v>64622.678000000014</v>
      </c>
      <c r="AF17" s="304">
        <f t="shared" si="11"/>
        <v>-360198.25</v>
      </c>
      <c r="AG17" s="304">
        <f t="shared" si="12"/>
        <v>920901</v>
      </c>
      <c r="AH17" s="304"/>
      <c r="AI17" s="305">
        <f t="shared" si="13"/>
        <v>132423</v>
      </c>
    </row>
    <row r="18" spans="2:35" s="296" customFormat="1" ht="26.25" customHeight="1">
      <c r="B18" s="297">
        <f t="shared" si="2"/>
        <v>44607</v>
      </c>
      <c r="C18" s="221">
        <v>0</v>
      </c>
      <c r="D18" s="221">
        <v>0</v>
      </c>
      <c r="E18" s="291">
        <v>0</v>
      </c>
      <c r="F18" s="291">
        <v>80000</v>
      </c>
      <c r="G18" s="291">
        <v>-100000</v>
      </c>
      <c r="H18" s="168">
        <f t="shared" si="3"/>
        <v>-20000</v>
      </c>
      <c r="I18" s="137">
        <v>0</v>
      </c>
      <c r="J18" s="137">
        <v>0</v>
      </c>
      <c r="K18" s="137">
        <v>0</v>
      </c>
      <c r="L18" s="256">
        <f t="shared" si="14"/>
        <v>20000</v>
      </c>
      <c r="M18" s="136">
        <v>-5325.5</v>
      </c>
      <c r="N18" s="256">
        <f t="shared" si="0"/>
        <v>14674.5</v>
      </c>
      <c r="O18" s="159">
        <f t="shared" si="15"/>
        <v>-7337.25</v>
      </c>
      <c r="P18" s="159">
        <f t="shared" si="16"/>
        <v>-7337.25</v>
      </c>
      <c r="Q18" s="135">
        <v>253640</v>
      </c>
      <c r="R18" s="211">
        <f>Q18-S18</f>
        <v>253640</v>
      </c>
      <c r="S18" s="135">
        <v>0</v>
      </c>
      <c r="T18" s="159">
        <f t="shared" si="18"/>
        <v>0</v>
      </c>
      <c r="U18" s="300">
        <f t="shared" si="4"/>
        <v>4311.88</v>
      </c>
      <c r="V18" s="300">
        <f t="shared" si="5"/>
        <v>4311.88</v>
      </c>
      <c r="W18" s="300">
        <f t="shared" si="6"/>
        <v>2155.94</v>
      </c>
      <c r="X18" s="300">
        <f t="shared" si="7"/>
        <v>2155.94</v>
      </c>
      <c r="Y18" s="302">
        <f t="shared" si="8"/>
        <v>-5181.3099999999995</v>
      </c>
      <c r="AB18" s="303">
        <f t="shared" si="1"/>
        <v>435000</v>
      </c>
      <c r="AC18" s="304">
        <f t="shared" si="9"/>
        <v>0</v>
      </c>
      <c r="AD18" s="304">
        <f t="shared" si="10"/>
        <v>8777209</v>
      </c>
      <c r="AE18" s="304">
        <f t="shared" si="19"/>
        <v>66778.618000000017</v>
      </c>
      <c r="AF18" s="304">
        <f t="shared" si="11"/>
        <v>-345523.75</v>
      </c>
      <c r="AG18" s="304">
        <f t="shared" si="12"/>
        <v>920901</v>
      </c>
      <c r="AH18" s="304"/>
      <c r="AI18" s="305">
        <f t="shared" si="13"/>
        <v>132423</v>
      </c>
    </row>
    <row r="19" spans="2:35" ht="26.25" customHeight="1">
      <c r="B19" s="166">
        <f t="shared" si="2"/>
        <v>44608</v>
      </c>
      <c r="C19" s="291">
        <v>0</v>
      </c>
      <c r="D19" s="291">
        <v>0</v>
      </c>
      <c r="E19" s="291">
        <v>0</v>
      </c>
      <c r="F19" s="221">
        <v>74800</v>
      </c>
      <c r="G19" s="221">
        <v>-130000</v>
      </c>
      <c r="H19" s="168">
        <f t="shared" si="3"/>
        <v>-55200</v>
      </c>
      <c r="I19" s="137">
        <v>0</v>
      </c>
      <c r="J19" s="137">
        <v>0</v>
      </c>
      <c r="K19" s="137">
        <v>0</v>
      </c>
      <c r="L19" s="256">
        <f t="shared" si="14"/>
        <v>55200</v>
      </c>
      <c r="M19" s="136">
        <v>-879</v>
      </c>
      <c r="N19" s="256">
        <f t="shared" si="0"/>
        <v>54321</v>
      </c>
      <c r="O19" s="159">
        <f t="shared" si="15"/>
        <v>-27160.5</v>
      </c>
      <c r="P19" s="159">
        <f t="shared" si="16"/>
        <v>-27160.5</v>
      </c>
      <c r="Q19" s="135">
        <v>200920</v>
      </c>
      <c r="R19" s="211">
        <f t="shared" si="17"/>
        <v>200920</v>
      </c>
      <c r="S19" s="135">
        <v>0</v>
      </c>
      <c r="T19" s="159">
        <f t="shared" si="18"/>
        <v>0</v>
      </c>
      <c r="U19" s="159">
        <f t="shared" si="4"/>
        <v>3415.6400000000003</v>
      </c>
      <c r="V19" s="159">
        <f t="shared" si="5"/>
        <v>3415.6400000000003</v>
      </c>
      <c r="W19" s="159">
        <f t="shared" si="6"/>
        <v>1707.8200000000002</v>
      </c>
      <c r="X19" s="159">
        <f t="shared" si="7"/>
        <v>1707.8200000000002</v>
      </c>
      <c r="Y19" s="162">
        <f t="shared" si="8"/>
        <v>-25452.68</v>
      </c>
      <c r="AB19" s="164">
        <f t="shared" si="1"/>
        <v>379800</v>
      </c>
      <c r="AC19" s="165">
        <f t="shared" si="9"/>
        <v>0</v>
      </c>
      <c r="AD19" s="165">
        <f t="shared" si="10"/>
        <v>8978129</v>
      </c>
      <c r="AE19" s="165">
        <f t="shared" si="19"/>
        <v>68486.438000000024</v>
      </c>
      <c r="AF19" s="165">
        <f t="shared" si="11"/>
        <v>-291202.75</v>
      </c>
      <c r="AG19" s="165">
        <f t="shared" si="12"/>
        <v>920901</v>
      </c>
      <c r="AH19" s="165"/>
      <c r="AI19" s="230">
        <f t="shared" si="13"/>
        <v>132423</v>
      </c>
    </row>
    <row r="20" spans="2:35" ht="26.25" customHeight="1">
      <c r="B20" s="166">
        <f t="shared" si="2"/>
        <v>44609</v>
      </c>
      <c r="C20" s="291">
        <v>0</v>
      </c>
      <c r="D20" s="291">
        <v>0</v>
      </c>
      <c r="E20" s="291">
        <v>0</v>
      </c>
      <c r="F20" s="221">
        <v>100000</v>
      </c>
      <c r="G20" s="221">
        <v>-60000</v>
      </c>
      <c r="H20" s="168">
        <f t="shared" si="3"/>
        <v>40000</v>
      </c>
      <c r="I20" s="137">
        <v>0</v>
      </c>
      <c r="J20" s="137">
        <v>0</v>
      </c>
      <c r="K20" s="137">
        <v>0</v>
      </c>
      <c r="L20" s="256">
        <f t="shared" si="14"/>
        <v>-40000</v>
      </c>
      <c r="M20" s="136">
        <v>-11235.5</v>
      </c>
      <c r="N20" s="256">
        <f t="shared" si="0"/>
        <v>-51235.5</v>
      </c>
      <c r="O20" s="159">
        <f t="shared" si="15"/>
        <v>25617.75</v>
      </c>
      <c r="P20" s="159">
        <f t="shared" si="16"/>
        <v>25617.75</v>
      </c>
      <c r="Q20" s="135">
        <v>311136</v>
      </c>
      <c r="R20" s="211">
        <f>Q20-S20</f>
        <v>311136</v>
      </c>
      <c r="S20" s="135">
        <v>0</v>
      </c>
      <c r="T20" s="159">
        <f t="shared" si="18"/>
        <v>0</v>
      </c>
      <c r="U20" s="159">
        <f t="shared" si="4"/>
        <v>5289.3120000000008</v>
      </c>
      <c r="V20" s="159">
        <f t="shared" si="5"/>
        <v>5289.3120000000008</v>
      </c>
      <c r="W20" s="159">
        <f t="shared" si="6"/>
        <v>2644.6560000000004</v>
      </c>
      <c r="X20" s="159">
        <f t="shared" si="7"/>
        <v>2644.6560000000004</v>
      </c>
      <c r="Y20" s="162">
        <f t="shared" si="8"/>
        <v>28262.405999999999</v>
      </c>
      <c r="AB20" s="164">
        <f t="shared" si="1"/>
        <v>419800</v>
      </c>
      <c r="AC20" s="165">
        <f t="shared" si="9"/>
        <v>0</v>
      </c>
      <c r="AD20" s="165">
        <f t="shared" si="10"/>
        <v>9289265</v>
      </c>
      <c r="AE20" s="165">
        <f t="shared" si="19"/>
        <v>71131.094000000026</v>
      </c>
      <c r="AF20" s="165">
        <f t="shared" si="11"/>
        <v>-342438.25</v>
      </c>
      <c r="AG20" s="165">
        <f t="shared" si="12"/>
        <v>920901</v>
      </c>
      <c r="AH20" s="165"/>
      <c r="AI20" s="230">
        <f t="shared" si="13"/>
        <v>132423</v>
      </c>
    </row>
    <row r="21" spans="2:35" ht="26.25" customHeight="1">
      <c r="B21" s="166">
        <f t="shared" si="2"/>
        <v>44610</v>
      </c>
      <c r="C21" s="291">
        <v>0</v>
      </c>
      <c r="D21" s="291">
        <v>0</v>
      </c>
      <c r="E21" s="291">
        <v>0</v>
      </c>
      <c r="F21" s="221">
        <v>146650</v>
      </c>
      <c r="G21" s="221">
        <v>-100000</v>
      </c>
      <c r="H21" s="168">
        <f t="shared" si="3"/>
        <v>46650</v>
      </c>
      <c r="I21" s="137">
        <v>0</v>
      </c>
      <c r="J21" s="137">
        <v>0</v>
      </c>
      <c r="K21" s="137">
        <v>0</v>
      </c>
      <c r="L21" s="256">
        <f t="shared" si="14"/>
        <v>-46650</v>
      </c>
      <c r="M21" s="136">
        <v>0</v>
      </c>
      <c r="N21" s="256">
        <f t="shared" si="0"/>
        <v>-46650</v>
      </c>
      <c r="O21" s="159">
        <f t="shared" si="15"/>
        <v>23325</v>
      </c>
      <c r="P21" s="159">
        <f t="shared" si="16"/>
        <v>23325</v>
      </c>
      <c r="Q21" s="135">
        <v>73600</v>
      </c>
      <c r="R21" s="211">
        <f t="shared" si="17"/>
        <v>73600</v>
      </c>
      <c r="S21" s="135">
        <v>0</v>
      </c>
      <c r="T21" s="159">
        <f t="shared" si="18"/>
        <v>0</v>
      </c>
      <c r="U21" s="159">
        <f t="shared" si="4"/>
        <v>1251.2</v>
      </c>
      <c r="V21" s="159">
        <f t="shared" si="5"/>
        <v>1251.2</v>
      </c>
      <c r="W21" s="159">
        <f t="shared" si="6"/>
        <v>625.6</v>
      </c>
      <c r="X21" s="159">
        <f t="shared" si="7"/>
        <v>625.6</v>
      </c>
      <c r="Y21" s="162">
        <f t="shared" si="8"/>
        <v>23950.6</v>
      </c>
      <c r="AB21" s="164">
        <f t="shared" si="1"/>
        <v>466450</v>
      </c>
      <c r="AC21" s="165">
        <f t="shared" si="9"/>
        <v>0</v>
      </c>
      <c r="AD21" s="165">
        <f>R21+AD20</f>
        <v>9362865</v>
      </c>
      <c r="AE21" s="165">
        <f t="shared" si="19"/>
        <v>71756.694000000032</v>
      </c>
      <c r="AF21" s="165">
        <f t="shared" si="11"/>
        <v>-389088.25</v>
      </c>
      <c r="AG21" s="165">
        <f t="shared" si="12"/>
        <v>920901</v>
      </c>
      <c r="AH21" s="165"/>
      <c r="AI21" s="230">
        <f t="shared" si="13"/>
        <v>132423</v>
      </c>
    </row>
    <row r="22" spans="2:35" ht="26.25" customHeight="1">
      <c r="B22" s="166">
        <f t="shared" si="2"/>
        <v>44611</v>
      </c>
      <c r="C22" s="291"/>
      <c r="D22" s="221"/>
      <c r="E22" s="221"/>
      <c r="F22" s="221"/>
      <c r="G22" s="221"/>
      <c r="H22" s="168">
        <f t="shared" si="3"/>
        <v>0</v>
      </c>
      <c r="I22" s="137"/>
      <c r="J22" s="137"/>
      <c r="K22" s="137"/>
      <c r="L22" s="256">
        <f t="shared" si="14"/>
        <v>0</v>
      </c>
      <c r="M22" s="136"/>
      <c r="N22" s="256">
        <f t="shared" si="0"/>
        <v>0</v>
      </c>
      <c r="O22" s="159">
        <f t="shared" si="15"/>
        <v>0</v>
      </c>
      <c r="P22" s="159">
        <f t="shared" si="16"/>
        <v>0</v>
      </c>
      <c r="Q22" s="135"/>
      <c r="R22" s="211">
        <f t="shared" si="17"/>
        <v>0</v>
      </c>
      <c r="S22" s="135"/>
      <c r="T22" s="159">
        <f t="shared" si="18"/>
        <v>0</v>
      </c>
      <c r="U22" s="159">
        <f t="shared" si="4"/>
        <v>0</v>
      </c>
      <c r="V22" s="159">
        <f t="shared" si="5"/>
        <v>0</v>
      </c>
      <c r="W22" s="159">
        <f t="shared" si="6"/>
        <v>0</v>
      </c>
      <c r="X22" s="159">
        <f t="shared" si="7"/>
        <v>0</v>
      </c>
      <c r="Y22" s="162">
        <f t="shared" si="8"/>
        <v>0</v>
      </c>
      <c r="AB22" s="164">
        <f t="shared" si="1"/>
        <v>466450</v>
      </c>
      <c r="AC22" s="165">
        <f t="shared" si="9"/>
        <v>0</v>
      </c>
      <c r="AD22" s="165">
        <f t="shared" si="10"/>
        <v>9362865</v>
      </c>
      <c r="AE22" s="165">
        <f t="shared" si="19"/>
        <v>71756.694000000032</v>
      </c>
      <c r="AF22" s="165">
        <f t="shared" si="11"/>
        <v>-389088.25</v>
      </c>
      <c r="AG22" s="165">
        <f t="shared" si="12"/>
        <v>920901</v>
      </c>
      <c r="AH22" s="165"/>
      <c r="AI22" s="230">
        <f t="shared" si="13"/>
        <v>132423</v>
      </c>
    </row>
    <row r="23" spans="2:35" ht="26.25" customHeight="1">
      <c r="B23" s="166">
        <f t="shared" si="2"/>
        <v>44612</v>
      </c>
      <c r="C23" s="221"/>
      <c r="D23" s="221"/>
      <c r="E23" s="221"/>
      <c r="F23" s="221"/>
      <c r="G23" s="221"/>
      <c r="H23" s="168">
        <f t="shared" si="3"/>
        <v>0</v>
      </c>
      <c r="I23" s="137"/>
      <c r="J23" s="137"/>
      <c r="K23" s="137"/>
      <c r="L23" s="256">
        <f t="shared" si="14"/>
        <v>0</v>
      </c>
      <c r="M23" s="136"/>
      <c r="N23" s="256">
        <f t="shared" si="0"/>
        <v>0</v>
      </c>
      <c r="O23" s="159">
        <f t="shared" si="15"/>
        <v>0</v>
      </c>
      <c r="P23" s="159">
        <f t="shared" si="16"/>
        <v>0</v>
      </c>
      <c r="Q23" s="135"/>
      <c r="R23" s="211">
        <f t="shared" si="17"/>
        <v>0</v>
      </c>
      <c r="S23" s="135"/>
      <c r="T23" s="159">
        <f t="shared" si="18"/>
        <v>0</v>
      </c>
      <c r="U23" s="159">
        <f t="shared" si="4"/>
        <v>0</v>
      </c>
      <c r="V23" s="159">
        <f t="shared" si="5"/>
        <v>0</v>
      </c>
      <c r="W23" s="159">
        <f t="shared" si="6"/>
        <v>0</v>
      </c>
      <c r="X23" s="159">
        <f t="shared" si="7"/>
        <v>0</v>
      </c>
      <c r="Y23" s="162">
        <f t="shared" si="8"/>
        <v>0</v>
      </c>
      <c r="AB23" s="164">
        <f t="shared" si="1"/>
        <v>466450</v>
      </c>
      <c r="AC23" s="165">
        <f t="shared" si="9"/>
        <v>0</v>
      </c>
      <c r="AD23" s="165">
        <f t="shared" si="10"/>
        <v>9362865</v>
      </c>
      <c r="AE23" s="165">
        <f t="shared" si="19"/>
        <v>71756.694000000032</v>
      </c>
      <c r="AF23" s="165">
        <f t="shared" si="11"/>
        <v>-389088.25</v>
      </c>
      <c r="AG23" s="165">
        <f t="shared" si="12"/>
        <v>920901</v>
      </c>
      <c r="AH23" s="165"/>
      <c r="AI23" s="230">
        <f t="shared" si="13"/>
        <v>132423</v>
      </c>
    </row>
    <row r="24" spans="2:35" ht="26.25" customHeight="1">
      <c r="B24" s="198">
        <f t="shared" si="2"/>
        <v>44613</v>
      </c>
      <c r="C24" s="221"/>
      <c r="D24" s="221"/>
      <c r="E24" s="221"/>
      <c r="F24" s="221"/>
      <c r="G24" s="221"/>
      <c r="H24" s="168">
        <f t="shared" si="3"/>
        <v>0</v>
      </c>
      <c r="I24" s="137"/>
      <c r="J24" s="137"/>
      <c r="K24" s="137"/>
      <c r="L24" s="256">
        <f t="shared" si="14"/>
        <v>0</v>
      </c>
      <c r="M24" s="312"/>
      <c r="N24" s="256">
        <f t="shared" si="0"/>
        <v>0</v>
      </c>
      <c r="O24" s="159">
        <f t="shared" si="15"/>
        <v>0</v>
      </c>
      <c r="P24" s="159">
        <f t="shared" si="16"/>
        <v>0</v>
      </c>
      <c r="Q24" s="135"/>
      <c r="R24" s="211">
        <f t="shared" si="17"/>
        <v>0</v>
      </c>
      <c r="S24" s="135"/>
      <c r="T24" s="159">
        <f t="shared" si="18"/>
        <v>0</v>
      </c>
      <c r="U24" s="159">
        <f t="shared" si="4"/>
        <v>0</v>
      </c>
      <c r="V24" s="159">
        <f t="shared" si="5"/>
        <v>0</v>
      </c>
      <c r="W24" s="159">
        <f t="shared" si="6"/>
        <v>0</v>
      </c>
      <c r="X24" s="159">
        <f t="shared" si="7"/>
        <v>0</v>
      </c>
      <c r="Y24" s="162">
        <f t="shared" si="8"/>
        <v>0</v>
      </c>
      <c r="AB24" s="164">
        <f t="shared" si="1"/>
        <v>466450</v>
      </c>
      <c r="AC24" s="165">
        <f t="shared" si="9"/>
        <v>0</v>
      </c>
      <c r="AD24" s="165">
        <f t="shared" si="10"/>
        <v>9362865</v>
      </c>
      <c r="AE24" s="165">
        <f t="shared" si="19"/>
        <v>71756.694000000032</v>
      </c>
      <c r="AF24" s="165">
        <f t="shared" si="11"/>
        <v>-389088.25</v>
      </c>
      <c r="AG24" s="165">
        <f t="shared" si="12"/>
        <v>920901</v>
      </c>
      <c r="AH24" s="165"/>
      <c r="AI24" s="230">
        <f t="shared" si="13"/>
        <v>132423</v>
      </c>
    </row>
    <row r="25" spans="2:35" ht="26.25" customHeight="1">
      <c r="B25" s="198">
        <f t="shared" si="2"/>
        <v>44614</v>
      </c>
      <c r="C25" s="221"/>
      <c r="D25" s="221"/>
      <c r="E25" s="221"/>
      <c r="F25" s="221"/>
      <c r="G25" s="221"/>
      <c r="H25" s="168">
        <f t="shared" si="3"/>
        <v>0</v>
      </c>
      <c r="I25" s="137"/>
      <c r="J25" s="137"/>
      <c r="K25" s="137"/>
      <c r="L25" s="256">
        <f t="shared" si="14"/>
        <v>0</v>
      </c>
      <c r="M25" s="136"/>
      <c r="N25" s="256">
        <f t="shared" si="0"/>
        <v>0</v>
      </c>
      <c r="O25" s="159">
        <f t="shared" si="15"/>
        <v>0</v>
      </c>
      <c r="P25" s="159">
        <f t="shared" si="16"/>
        <v>0</v>
      </c>
      <c r="Q25" s="135"/>
      <c r="R25" s="211">
        <f t="shared" si="17"/>
        <v>0</v>
      </c>
      <c r="S25" s="135"/>
      <c r="T25" s="159">
        <f t="shared" si="18"/>
        <v>0</v>
      </c>
      <c r="U25" s="159">
        <f t="shared" si="4"/>
        <v>0</v>
      </c>
      <c r="V25" s="159">
        <f t="shared" si="5"/>
        <v>0</v>
      </c>
      <c r="W25" s="159">
        <f t="shared" si="6"/>
        <v>0</v>
      </c>
      <c r="X25" s="159">
        <f t="shared" si="7"/>
        <v>0</v>
      </c>
      <c r="Y25" s="162">
        <f t="shared" si="8"/>
        <v>0</v>
      </c>
      <c r="AB25" s="164">
        <f t="shared" si="1"/>
        <v>466450</v>
      </c>
      <c r="AC25" s="165">
        <f t="shared" si="9"/>
        <v>0</v>
      </c>
      <c r="AD25" s="165">
        <f t="shared" si="10"/>
        <v>9362865</v>
      </c>
      <c r="AE25" s="165">
        <f t="shared" si="19"/>
        <v>71756.694000000032</v>
      </c>
      <c r="AF25" s="165">
        <f t="shared" si="11"/>
        <v>-389088.25</v>
      </c>
      <c r="AG25" s="165">
        <f t="shared" si="12"/>
        <v>920901</v>
      </c>
      <c r="AH25" s="165"/>
      <c r="AI25" s="230">
        <f t="shared" si="13"/>
        <v>132423</v>
      </c>
    </row>
    <row r="26" spans="2:35" ht="26.25" customHeight="1">
      <c r="B26" s="166">
        <f t="shared" si="2"/>
        <v>44615</v>
      </c>
      <c r="C26" s="221"/>
      <c r="D26" s="221"/>
      <c r="E26" s="221"/>
      <c r="F26" s="221"/>
      <c r="G26" s="221"/>
      <c r="H26" s="168">
        <f t="shared" si="3"/>
        <v>0</v>
      </c>
      <c r="I26" s="137"/>
      <c r="J26" s="137"/>
      <c r="K26" s="137"/>
      <c r="L26" s="256">
        <f t="shared" si="14"/>
        <v>0</v>
      </c>
      <c r="M26" s="136"/>
      <c r="N26" s="256">
        <f t="shared" si="0"/>
        <v>0</v>
      </c>
      <c r="O26" s="159">
        <f t="shared" si="15"/>
        <v>0</v>
      </c>
      <c r="P26" s="159">
        <f t="shared" si="16"/>
        <v>0</v>
      </c>
      <c r="Q26" s="135"/>
      <c r="R26" s="211">
        <f t="shared" si="17"/>
        <v>0</v>
      </c>
      <c r="S26" s="135"/>
      <c r="T26" s="159">
        <f t="shared" si="18"/>
        <v>0</v>
      </c>
      <c r="U26" s="159">
        <f t="shared" si="4"/>
        <v>0</v>
      </c>
      <c r="V26" s="159">
        <f t="shared" si="5"/>
        <v>0</v>
      </c>
      <c r="W26" s="159">
        <f t="shared" si="6"/>
        <v>0</v>
      </c>
      <c r="X26" s="159">
        <f t="shared" si="7"/>
        <v>0</v>
      </c>
      <c r="Y26" s="162">
        <f t="shared" si="8"/>
        <v>0</v>
      </c>
      <c r="AB26" s="164">
        <f t="shared" si="1"/>
        <v>466450</v>
      </c>
      <c r="AC26" s="165">
        <f t="shared" si="9"/>
        <v>0</v>
      </c>
      <c r="AD26" s="165">
        <f t="shared" si="10"/>
        <v>9362865</v>
      </c>
      <c r="AE26" s="165">
        <f t="shared" si="19"/>
        <v>71756.694000000032</v>
      </c>
      <c r="AF26" s="165">
        <f t="shared" si="11"/>
        <v>-389088.25</v>
      </c>
      <c r="AG26" s="165">
        <f t="shared" si="12"/>
        <v>920901</v>
      </c>
      <c r="AH26" s="165"/>
      <c r="AI26" s="230">
        <f t="shared" si="13"/>
        <v>132423</v>
      </c>
    </row>
    <row r="27" spans="2:35" ht="26.25" customHeight="1">
      <c r="B27" s="166">
        <f t="shared" si="2"/>
        <v>44616</v>
      </c>
      <c r="C27" s="221"/>
      <c r="D27" s="221"/>
      <c r="E27" s="221"/>
      <c r="F27" s="221"/>
      <c r="G27" s="221"/>
      <c r="H27" s="168">
        <f t="shared" si="3"/>
        <v>0</v>
      </c>
      <c r="I27" s="137"/>
      <c r="J27" s="137"/>
      <c r="K27" s="137"/>
      <c r="L27" s="256">
        <f t="shared" si="14"/>
        <v>0</v>
      </c>
      <c r="M27" s="136"/>
      <c r="N27" s="256">
        <f t="shared" si="0"/>
        <v>0</v>
      </c>
      <c r="O27" s="159">
        <f t="shared" si="15"/>
        <v>0</v>
      </c>
      <c r="P27" s="159">
        <f t="shared" si="16"/>
        <v>0</v>
      </c>
      <c r="Q27" s="135"/>
      <c r="R27" s="211">
        <f t="shared" si="17"/>
        <v>0</v>
      </c>
      <c r="S27" s="135"/>
      <c r="T27" s="159">
        <f t="shared" si="18"/>
        <v>0</v>
      </c>
      <c r="U27" s="159">
        <f t="shared" si="4"/>
        <v>0</v>
      </c>
      <c r="V27" s="159">
        <f t="shared" si="5"/>
        <v>0</v>
      </c>
      <c r="W27" s="159">
        <f t="shared" si="6"/>
        <v>0</v>
      </c>
      <c r="X27" s="159">
        <f t="shared" si="7"/>
        <v>0</v>
      </c>
      <c r="Y27" s="162">
        <f t="shared" si="8"/>
        <v>0</v>
      </c>
      <c r="AB27" s="164">
        <f t="shared" si="1"/>
        <v>466450</v>
      </c>
      <c r="AC27" s="165">
        <f t="shared" si="9"/>
        <v>0</v>
      </c>
      <c r="AD27" s="165">
        <f t="shared" si="10"/>
        <v>9362865</v>
      </c>
      <c r="AE27" s="165">
        <f t="shared" si="19"/>
        <v>71756.694000000032</v>
      </c>
      <c r="AF27" s="165">
        <f t="shared" si="11"/>
        <v>-389088.25</v>
      </c>
      <c r="AG27" s="165">
        <f t="shared" si="12"/>
        <v>920901</v>
      </c>
      <c r="AH27" s="165"/>
      <c r="AI27" s="230">
        <f t="shared" si="13"/>
        <v>132423</v>
      </c>
    </row>
    <row r="28" spans="2:35" ht="26.25" customHeight="1">
      <c r="B28" s="166">
        <f t="shared" si="2"/>
        <v>44617</v>
      </c>
      <c r="C28" s="221"/>
      <c r="D28" s="221"/>
      <c r="E28" s="221"/>
      <c r="F28" s="221"/>
      <c r="G28" s="221"/>
      <c r="H28" s="168">
        <f t="shared" si="3"/>
        <v>0</v>
      </c>
      <c r="I28" s="137"/>
      <c r="J28" s="137"/>
      <c r="K28" s="137"/>
      <c r="L28" s="256">
        <f t="shared" si="14"/>
        <v>0</v>
      </c>
      <c r="M28" s="136"/>
      <c r="N28" s="256">
        <f t="shared" si="0"/>
        <v>0</v>
      </c>
      <c r="O28" s="159">
        <f t="shared" si="15"/>
        <v>0</v>
      </c>
      <c r="P28" s="159">
        <f t="shared" si="16"/>
        <v>0</v>
      </c>
      <c r="Q28" s="135"/>
      <c r="R28" s="211">
        <f t="shared" si="17"/>
        <v>0</v>
      </c>
      <c r="S28" s="135"/>
      <c r="T28" s="159">
        <f t="shared" si="18"/>
        <v>0</v>
      </c>
      <c r="U28" s="159">
        <f t="shared" si="4"/>
        <v>0</v>
      </c>
      <c r="V28" s="159">
        <f t="shared" si="5"/>
        <v>0</v>
      </c>
      <c r="W28" s="159">
        <f t="shared" si="6"/>
        <v>0</v>
      </c>
      <c r="X28" s="159">
        <f t="shared" si="7"/>
        <v>0</v>
      </c>
      <c r="Y28" s="162">
        <f t="shared" si="8"/>
        <v>0</v>
      </c>
      <c r="AB28" s="164">
        <f t="shared" si="1"/>
        <v>466450</v>
      </c>
      <c r="AC28" s="165">
        <f t="shared" si="9"/>
        <v>0</v>
      </c>
      <c r="AD28" s="165">
        <f t="shared" si="10"/>
        <v>9362865</v>
      </c>
      <c r="AE28" s="165">
        <f t="shared" si="19"/>
        <v>71756.694000000032</v>
      </c>
      <c r="AF28" s="165">
        <f t="shared" si="11"/>
        <v>-389088.25</v>
      </c>
      <c r="AG28" s="165">
        <f t="shared" si="12"/>
        <v>920901</v>
      </c>
      <c r="AH28" s="165"/>
      <c r="AI28" s="230">
        <f t="shared" si="13"/>
        <v>132423</v>
      </c>
    </row>
    <row r="29" spans="2:35" ht="26.25" customHeight="1">
      <c r="B29" s="166">
        <f t="shared" si="2"/>
        <v>44618</v>
      </c>
      <c r="C29" s="221"/>
      <c r="D29" s="221"/>
      <c r="E29" s="221"/>
      <c r="F29" s="221"/>
      <c r="G29" s="221"/>
      <c r="H29" s="168">
        <f t="shared" si="3"/>
        <v>0</v>
      </c>
      <c r="I29" s="137"/>
      <c r="J29" s="137"/>
      <c r="K29" s="137"/>
      <c r="L29" s="256">
        <f t="shared" si="14"/>
        <v>0</v>
      </c>
      <c r="M29" s="136"/>
      <c r="N29" s="256">
        <f t="shared" si="0"/>
        <v>0</v>
      </c>
      <c r="O29" s="159">
        <f t="shared" si="15"/>
        <v>0</v>
      </c>
      <c r="P29" s="159">
        <f t="shared" si="16"/>
        <v>0</v>
      </c>
      <c r="Q29" s="135"/>
      <c r="R29" s="211">
        <f t="shared" si="17"/>
        <v>0</v>
      </c>
      <c r="S29" s="135"/>
      <c r="T29" s="159">
        <f t="shared" si="18"/>
        <v>0</v>
      </c>
      <c r="U29" s="159">
        <f t="shared" si="4"/>
        <v>0</v>
      </c>
      <c r="V29" s="159">
        <f t="shared" si="5"/>
        <v>0</v>
      </c>
      <c r="W29" s="159">
        <f t="shared" si="6"/>
        <v>0</v>
      </c>
      <c r="X29" s="159">
        <f t="shared" si="7"/>
        <v>0</v>
      </c>
      <c r="Y29" s="162">
        <f t="shared" si="8"/>
        <v>0</v>
      </c>
      <c r="AB29" s="164">
        <f t="shared" si="1"/>
        <v>466450</v>
      </c>
      <c r="AC29" s="165">
        <f t="shared" si="9"/>
        <v>0</v>
      </c>
      <c r="AD29" s="165">
        <f t="shared" si="10"/>
        <v>9362865</v>
      </c>
      <c r="AE29" s="165">
        <f t="shared" si="19"/>
        <v>71756.694000000032</v>
      </c>
      <c r="AF29" s="165">
        <f t="shared" si="11"/>
        <v>-389088.25</v>
      </c>
      <c r="AG29" s="165">
        <f t="shared" si="12"/>
        <v>920901</v>
      </c>
      <c r="AH29" s="165"/>
      <c r="AI29" s="230">
        <f t="shared" si="13"/>
        <v>132423</v>
      </c>
    </row>
    <row r="30" spans="2:35" ht="26.25" customHeight="1">
      <c r="B30" s="166">
        <f t="shared" si="2"/>
        <v>44619</v>
      </c>
      <c r="C30" s="221"/>
      <c r="D30" s="221"/>
      <c r="E30" s="221"/>
      <c r="F30" s="221"/>
      <c r="G30" s="221"/>
      <c r="H30" s="168">
        <f t="shared" si="3"/>
        <v>0</v>
      </c>
      <c r="I30" s="137"/>
      <c r="J30" s="137"/>
      <c r="K30" s="137"/>
      <c r="L30" s="256">
        <f t="shared" si="14"/>
        <v>0</v>
      </c>
      <c r="M30" s="136"/>
      <c r="N30" s="256">
        <f t="shared" si="0"/>
        <v>0</v>
      </c>
      <c r="O30" s="159">
        <f t="shared" si="15"/>
        <v>0</v>
      </c>
      <c r="P30" s="159">
        <f t="shared" si="16"/>
        <v>0</v>
      </c>
      <c r="Q30" s="135"/>
      <c r="R30" s="211">
        <f t="shared" si="17"/>
        <v>0</v>
      </c>
      <c r="S30" s="135"/>
      <c r="T30" s="159">
        <f t="shared" si="18"/>
        <v>0</v>
      </c>
      <c r="U30" s="159">
        <f t="shared" si="4"/>
        <v>0</v>
      </c>
      <c r="V30" s="159">
        <f>SUM(T30:U30)</f>
        <v>0</v>
      </c>
      <c r="W30" s="159">
        <f>V30*50%</f>
        <v>0</v>
      </c>
      <c r="X30" s="159">
        <f t="shared" si="7"/>
        <v>0</v>
      </c>
      <c r="Y30" s="162">
        <f t="shared" si="8"/>
        <v>0</v>
      </c>
      <c r="AB30" s="164">
        <f t="shared" si="1"/>
        <v>466450</v>
      </c>
      <c r="AC30" s="165">
        <f t="shared" si="9"/>
        <v>0</v>
      </c>
      <c r="AD30" s="165">
        <f t="shared" si="10"/>
        <v>9362865</v>
      </c>
      <c r="AE30" s="165">
        <f t="shared" si="19"/>
        <v>71756.694000000032</v>
      </c>
      <c r="AF30" s="165">
        <f t="shared" si="11"/>
        <v>-389088.25</v>
      </c>
      <c r="AG30" s="165">
        <f t="shared" si="12"/>
        <v>920901</v>
      </c>
      <c r="AH30" s="165"/>
      <c r="AI30" s="230">
        <f t="shared" si="13"/>
        <v>132423</v>
      </c>
    </row>
    <row r="31" spans="2:35" ht="26.25" customHeight="1">
      <c r="B31" s="166">
        <f t="shared" si="2"/>
        <v>44620</v>
      </c>
      <c r="C31" s="221"/>
      <c r="D31" s="221"/>
      <c r="E31" s="221"/>
      <c r="F31" s="221"/>
      <c r="G31" s="221"/>
      <c r="H31" s="168">
        <f t="shared" si="3"/>
        <v>0</v>
      </c>
      <c r="I31" s="137"/>
      <c r="J31" s="137"/>
      <c r="K31" s="137"/>
      <c r="L31" s="256">
        <f t="shared" si="14"/>
        <v>0</v>
      </c>
      <c r="M31" s="136"/>
      <c r="N31" s="256">
        <f t="shared" si="0"/>
        <v>0</v>
      </c>
      <c r="O31" s="159">
        <f t="shared" si="15"/>
        <v>0</v>
      </c>
      <c r="P31" s="159">
        <f t="shared" si="16"/>
        <v>0</v>
      </c>
      <c r="Q31" s="135"/>
      <c r="R31" s="211">
        <f t="shared" si="17"/>
        <v>0</v>
      </c>
      <c r="S31" s="135"/>
      <c r="T31" s="159">
        <f t="shared" si="18"/>
        <v>0</v>
      </c>
      <c r="U31" s="159">
        <f t="shared" si="4"/>
        <v>0</v>
      </c>
      <c r="V31" s="159">
        <f t="shared" si="5"/>
        <v>0</v>
      </c>
      <c r="W31" s="159">
        <f t="shared" si="6"/>
        <v>0</v>
      </c>
      <c r="X31" s="159">
        <f t="shared" si="7"/>
        <v>0</v>
      </c>
      <c r="Y31" s="162">
        <f t="shared" si="8"/>
        <v>0</v>
      </c>
      <c r="AB31" s="164">
        <f t="shared" si="1"/>
        <v>466450</v>
      </c>
      <c r="AC31" s="165">
        <f t="shared" si="9"/>
        <v>0</v>
      </c>
      <c r="AD31" s="165">
        <f t="shared" si="10"/>
        <v>9362865</v>
      </c>
      <c r="AE31" s="165">
        <f t="shared" si="19"/>
        <v>71756.694000000032</v>
      </c>
      <c r="AF31" s="165">
        <f t="shared" si="11"/>
        <v>-389088.25</v>
      </c>
      <c r="AG31" s="165">
        <f t="shared" si="12"/>
        <v>920901</v>
      </c>
      <c r="AH31" s="165"/>
      <c r="AI31" s="230">
        <f t="shared" si="13"/>
        <v>132423</v>
      </c>
    </row>
    <row r="32" spans="2:35" ht="26.25" customHeight="1">
      <c r="B32" s="166">
        <f t="shared" si="2"/>
        <v>44621</v>
      </c>
      <c r="C32" s="221"/>
      <c r="D32" s="221"/>
      <c r="E32" s="221"/>
      <c r="F32" s="221"/>
      <c r="G32" s="221"/>
      <c r="H32" s="168">
        <f t="shared" si="3"/>
        <v>0</v>
      </c>
      <c r="I32" s="137"/>
      <c r="J32" s="137"/>
      <c r="K32" s="137"/>
      <c r="L32" s="256">
        <f t="shared" si="14"/>
        <v>0</v>
      </c>
      <c r="M32" s="136"/>
      <c r="N32" s="256">
        <f t="shared" si="0"/>
        <v>0</v>
      </c>
      <c r="O32" s="159">
        <f t="shared" si="15"/>
        <v>0</v>
      </c>
      <c r="P32" s="159">
        <f t="shared" si="16"/>
        <v>0</v>
      </c>
      <c r="Q32" s="135"/>
      <c r="R32" s="211">
        <f t="shared" si="17"/>
        <v>0</v>
      </c>
      <c r="S32" s="135"/>
      <c r="T32" s="159">
        <f t="shared" si="18"/>
        <v>0</v>
      </c>
      <c r="U32" s="159">
        <f t="shared" si="4"/>
        <v>0</v>
      </c>
      <c r="V32" s="159">
        <f t="shared" si="5"/>
        <v>0</v>
      </c>
      <c r="W32" s="159">
        <f t="shared" si="6"/>
        <v>0</v>
      </c>
      <c r="X32" s="159">
        <f t="shared" si="7"/>
        <v>0</v>
      </c>
      <c r="Y32" s="162">
        <f t="shared" si="8"/>
        <v>0</v>
      </c>
      <c r="AB32" s="164">
        <f t="shared" si="1"/>
        <v>466450</v>
      </c>
      <c r="AC32" s="165">
        <f t="shared" si="9"/>
        <v>0</v>
      </c>
      <c r="AD32" s="165">
        <f t="shared" si="10"/>
        <v>9362865</v>
      </c>
      <c r="AE32" s="165">
        <f t="shared" si="19"/>
        <v>71756.694000000032</v>
      </c>
      <c r="AF32" s="165">
        <f t="shared" si="11"/>
        <v>-389088.25</v>
      </c>
      <c r="AG32" s="165">
        <f t="shared" si="12"/>
        <v>920901</v>
      </c>
      <c r="AH32" s="165"/>
      <c r="AI32" s="230">
        <f t="shared" si="13"/>
        <v>132423</v>
      </c>
    </row>
    <row r="33" spans="2:35" ht="26.25" customHeight="1">
      <c r="B33" s="166">
        <f t="shared" si="2"/>
        <v>44622</v>
      </c>
      <c r="C33" s="221"/>
      <c r="D33" s="221"/>
      <c r="E33" s="221"/>
      <c r="F33" s="221"/>
      <c r="G33" s="221"/>
      <c r="H33" s="168">
        <f t="shared" si="3"/>
        <v>0</v>
      </c>
      <c r="I33" s="137"/>
      <c r="J33" s="137"/>
      <c r="K33" s="137"/>
      <c r="L33" s="256">
        <f t="shared" si="14"/>
        <v>0</v>
      </c>
      <c r="M33" s="136"/>
      <c r="N33" s="256">
        <f t="shared" si="0"/>
        <v>0</v>
      </c>
      <c r="O33" s="159">
        <f t="shared" si="15"/>
        <v>0</v>
      </c>
      <c r="P33" s="159">
        <f t="shared" si="16"/>
        <v>0</v>
      </c>
      <c r="Q33" s="135"/>
      <c r="R33" s="211">
        <f>Q33-S33</f>
        <v>0</v>
      </c>
      <c r="S33" s="135"/>
      <c r="T33" s="159">
        <f>S33*1.7%</f>
        <v>0</v>
      </c>
      <c r="U33" s="159">
        <f t="shared" si="4"/>
        <v>0</v>
      </c>
      <c r="V33" s="159">
        <f t="shared" si="5"/>
        <v>0</v>
      </c>
      <c r="W33" s="159">
        <f t="shared" si="6"/>
        <v>0</v>
      </c>
      <c r="X33" s="159">
        <f t="shared" si="7"/>
        <v>0</v>
      </c>
      <c r="Y33" s="162">
        <f t="shared" si="8"/>
        <v>0</v>
      </c>
      <c r="AB33" s="164">
        <f t="shared" si="1"/>
        <v>466450</v>
      </c>
      <c r="AC33" s="165">
        <f t="shared" si="9"/>
        <v>0</v>
      </c>
      <c r="AD33" s="165">
        <f t="shared" si="10"/>
        <v>9362865</v>
      </c>
      <c r="AE33" s="165">
        <f t="shared" si="19"/>
        <v>71756.694000000032</v>
      </c>
      <c r="AF33" s="165">
        <f t="shared" si="11"/>
        <v>-389088.25</v>
      </c>
      <c r="AG33" s="165">
        <f>S33+AG32</f>
        <v>920901</v>
      </c>
      <c r="AH33" s="165"/>
      <c r="AI33" s="230">
        <f t="shared" si="13"/>
        <v>132423</v>
      </c>
    </row>
    <row r="34" spans="2:35" ht="26.25" customHeight="1">
      <c r="B34" s="166">
        <v>44561</v>
      </c>
      <c r="C34" s="221"/>
      <c r="D34" s="221"/>
      <c r="E34" s="221"/>
      <c r="F34" s="221"/>
      <c r="G34" s="221"/>
      <c r="H34" s="168">
        <f t="shared" si="3"/>
        <v>0</v>
      </c>
      <c r="I34" s="136"/>
      <c r="J34" s="221"/>
      <c r="K34" s="221"/>
      <c r="L34" s="256">
        <f t="shared" si="14"/>
        <v>0</v>
      </c>
      <c r="M34" s="221"/>
      <c r="N34" s="256">
        <f t="shared" si="0"/>
        <v>0</v>
      </c>
      <c r="O34" s="159">
        <f t="shared" si="15"/>
        <v>0</v>
      </c>
      <c r="P34" s="159">
        <f t="shared" si="16"/>
        <v>0</v>
      </c>
      <c r="Q34" s="135"/>
      <c r="R34" s="211">
        <f>Q34-S34</f>
        <v>0</v>
      </c>
      <c r="S34" s="135"/>
      <c r="T34" s="159">
        <f>S34*1.7%</f>
        <v>0</v>
      </c>
      <c r="U34" s="159">
        <f t="shared" si="4"/>
        <v>0</v>
      </c>
      <c r="V34" s="159">
        <f t="shared" si="5"/>
        <v>0</v>
      </c>
      <c r="W34" s="159">
        <f t="shared" si="6"/>
        <v>0</v>
      </c>
      <c r="X34" s="221"/>
      <c r="Y34" s="162">
        <f t="shared" si="8"/>
        <v>0</v>
      </c>
      <c r="AB34" s="164"/>
      <c r="AC34" s="165"/>
      <c r="AD34" s="165"/>
      <c r="AE34" s="165"/>
      <c r="AF34" s="165"/>
      <c r="AG34" s="165"/>
      <c r="AH34" s="165"/>
      <c r="AI34" s="230"/>
    </row>
    <row r="35" spans="2:35" ht="26.25" customHeight="1" thickBot="1">
      <c r="B35" s="138"/>
      <c r="C35" s="139"/>
      <c r="D35" s="139"/>
      <c r="E35" s="139"/>
      <c r="F35" s="140"/>
      <c r="G35" s="140"/>
      <c r="H35" s="141"/>
      <c r="I35" s="142"/>
      <c r="J35" s="142"/>
      <c r="K35" s="142"/>
      <c r="L35" s="143"/>
      <c r="M35" s="143"/>
      <c r="N35" s="143"/>
      <c r="O35" s="160"/>
      <c r="P35" s="160"/>
      <c r="Q35" s="144"/>
      <c r="R35" s="212"/>
      <c r="S35" s="144"/>
      <c r="T35" s="160"/>
      <c r="U35" s="160"/>
      <c r="V35" s="160"/>
      <c r="W35" s="160"/>
      <c r="X35" s="160"/>
      <c r="Y35" s="163"/>
      <c r="AB35" s="164"/>
      <c r="AC35" s="165"/>
      <c r="AD35" s="165"/>
      <c r="AE35" s="165"/>
      <c r="AF35" s="165"/>
      <c r="AG35" s="165"/>
      <c r="AH35" s="165"/>
      <c r="AI35" s="230"/>
    </row>
    <row r="36" spans="2:35" ht="6.75" customHeight="1" thickBot="1">
      <c r="AC36" s="165"/>
    </row>
    <row r="37" spans="2:35" ht="23.25" customHeight="1" thickBot="1">
      <c r="B37" s="145" t="s">
        <v>99</v>
      </c>
      <c r="C37" s="175">
        <f>SUM(C4:C35)</f>
        <v>132423</v>
      </c>
      <c r="D37" s="175">
        <f t="shared" ref="D37:Y37" si="20">SUM(D4:D35)</f>
        <v>0</v>
      </c>
      <c r="E37" s="175">
        <f t="shared" si="20"/>
        <v>0</v>
      </c>
      <c r="F37" s="175">
        <f t="shared" si="20"/>
        <v>1935373</v>
      </c>
      <c r="G37" s="175">
        <f t="shared" si="20"/>
        <v>-1601346</v>
      </c>
      <c r="H37" s="175">
        <f t="shared" si="20"/>
        <v>466450</v>
      </c>
      <c r="I37" s="175">
        <f>SUM(I4:I35)</f>
        <v>0</v>
      </c>
      <c r="J37" s="175">
        <f>SUM(J4:J35)</f>
        <v>-31600</v>
      </c>
      <c r="K37" s="175">
        <f>SUM(K4:K35)</f>
        <v>0</v>
      </c>
      <c r="L37" s="175">
        <f>SUM(L4:L35)</f>
        <v>-334027</v>
      </c>
      <c r="M37" s="381">
        <f>SUM(M4:M35)</f>
        <v>-118261.25</v>
      </c>
      <c r="N37" s="175">
        <f t="shared" si="20"/>
        <v>-389088.25</v>
      </c>
      <c r="O37" s="175">
        <f t="shared" si="20"/>
        <v>226144.125</v>
      </c>
      <c r="P37" s="175">
        <f t="shared" si="20"/>
        <v>226144.125</v>
      </c>
      <c r="Q37" s="352">
        <f t="shared" si="20"/>
        <v>10283766</v>
      </c>
      <c r="R37" s="175">
        <f>SUM(R4:R35)</f>
        <v>9362865</v>
      </c>
      <c r="S37" s="175">
        <f t="shared" si="20"/>
        <v>920901</v>
      </c>
      <c r="T37" s="175">
        <f>SUM(T4:T35)</f>
        <v>15655.317000000005</v>
      </c>
      <c r="U37" s="175">
        <f t="shared" si="20"/>
        <v>159168.70500000005</v>
      </c>
      <c r="V37" s="175">
        <f t="shared" si="20"/>
        <v>174824.02200000006</v>
      </c>
      <c r="W37" s="175">
        <f t="shared" si="20"/>
        <v>87412.011000000028</v>
      </c>
      <c r="X37" s="175">
        <f t="shared" si="20"/>
        <v>87412.011000000028</v>
      </c>
      <c r="Y37" s="274">
        <f t="shared" si="20"/>
        <v>297900.81900000002</v>
      </c>
    </row>
    <row r="38" spans="2:35" ht="23.25" customHeight="1">
      <c r="B38" s="145"/>
      <c r="C38" s="270"/>
      <c r="D38" s="270"/>
      <c r="E38" s="270"/>
      <c r="F38" s="270"/>
      <c r="G38" s="270"/>
      <c r="H38" s="270"/>
      <c r="I38" s="271"/>
      <c r="J38" s="271"/>
      <c r="K38" s="271"/>
      <c r="L38" s="272"/>
      <c r="M38" s="272"/>
      <c r="N38" s="272"/>
      <c r="O38" s="272"/>
      <c r="P38" s="272"/>
      <c r="Q38" s="272"/>
      <c r="R38" s="272"/>
      <c r="S38" s="272"/>
      <c r="T38" s="272"/>
      <c r="U38" s="272"/>
      <c r="V38" s="272"/>
      <c r="W38" s="272"/>
      <c r="X38" s="272"/>
      <c r="Y38" s="273"/>
    </row>
    <row r="39" spans="2:35" ht="23.25" customHeight="1">
      <c r="B39" s="145"/>
      <c r="C39" s="270"/>
      <c r="D39" s="270"/>
      <c r="E39" s="270"/>
      <c r="F39" s="270"/>
      <c r="G39" s="270"/>
      <c r="H39" s="270"/>
      <c r="I39" s="271"/>
      <c r="J39" s="271"/>
      <c r="K39" s="271"/>
      <c r="L39" s="272"/>
      <c r="M39" s="272"/>
      <c r="N39" s="272"/>
      <c r="O39" s="272"/>
      <c r="P39" s="272"/>
      <c r="Q39" s="272"/>
      <c r="R39" s="272"/>
      <c r="S39" s="272"/>
      <c r="T39" s="272"/>
      <c r="U39" s="272"/>
      <c r="V39" s="272"/>
      <c r="W39" s="272"/>
      <c r="X39" s="272"/>
      <c r="Y39" s="273"/>
    </row>
    <row r="40" spans="2:35" ht="29.25" customHeight="1">
      <c r="C40" s="242" t="s">
        <v>163</v>
      </c>
      <c r="D40" s="242"/>
      <c r="E40" s="242"/>
      <c r="F40" s="242"/>
      <c r="H40" s="411">
        <f>-H37</f>
        <v>-466450</v>
      </c>
      <c r="I40" s="411"/>
      <c r="J40" s="313"/>
      <c r="K40" s="146"/>
      <c r="L40" s="146"/>
      <c r="M40" s="146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</row>
    <row r="41" spans="2:35" ht="24" customHeight="1">
      <c r="C41" s="242" t="s">
        <v>178</v>
      </c>
      <c r="D41" s="242"/>
      <c r="E41" s="242"/>
      <c r="F41" s="242"/>
      <c r="H41" s="418">
        <f>L37+M37</f>
        <v>-452288.25</v>
      </c>
      <c r="I41" s="418"/>
      <c r="J41" s="314"/>
      <c r="K41" s="146"/>
      <c r="L41" s="146"/>
      <c r="M41" s="146"/>
      <c r="N41" s="257" t="s">
        <v>167</v>
      </c>
      <c r="O41" s="173"/>
      <c r="P41" s="173"/>
      <c r="Q41" s="173"/>
      <c r="R41" s="173"/>
      <c r="S41" s="147"/>
      <c r="T41" s="147"/>
      <c r="U41" s="257" t="s">
        <v>171</v>
      </c>
      <c r="V41" s="173"/>
      <c r="W41" s="173"/>
      <c r="X41" s="147"/>
      <c r="Y41" s="173"/>
      <c r="Z41" s="173"/>
      <c r="AA41" s="173"/>
      <c r="AB41" s="173"/>
      <c r="AC41" s="173"/>
    </row>
    <row r="42" spans="2:35" ht="24" customHeight="1" thickBot="1">
      <c r="C42" s="242" t="s">
        <v>176</v>
      </c>
      <c r="D42" s="242"/>
      <c r="E42" s="242"/>
      <c r="F42" s="242"/>
      <c r="H42" s="431">
        <f>-ROUNDDOWN(H41*50%,0)</f>
        <v>226144</v>
      </c>
      <c r="I42" s="431"/>
      <c r="J42" s="314"/>
      <c r="K42" s="146"/>
      <c r="L42" s="146"/>
      <c r="M42" s="146"/>
      <c r="N42" s="148" t="s">
        <v>168</v>
      </c>
      <c r="O42" s="246"/>
      <c r="P42" s="246"/>
      <c r="Q42" s="246"/>
      <c r="R42" s="173"/>
      <c r="S42" s="147"/>
      <c r="T42" s="147"/>
      <c r="U42" s="148" t="s">
        <v>189</v>
      </c>
      <c r="V42" s="173"/>
      <c r="W42" s="173"/>
      <c r="X42" s="147"/>
      <c r="Y42" s="173"/>
      <c r="Z42" s="173"/>
      <c r="AA42" s="173"/>
      <c r="AB42" s="173"/>
      <c r="AC42" s="173"/>
    </row>
    <row r="43" spans="2:35" ht="24" customHeight="1" thickTop="1">
      <c r="C43" s="242"/>
      <c r="D43" s="242"/>
      <c r="E43" s="242"/>
      <c r="F43" s="242"/>
      <c r="H43" s="265"/>
      <c r="I43" s="265"/>
      <c r="J43" s="265"/>
      <c r="K43" s="146"/>
      <c r="L43" s="146"/>
      <c r="M43" s="146"/>
      <c r="N43" s="148"/>
      <c r="O43" s="173"/>
      <c r="P43" s="173"/>
      <c r="Q43" s="173"/>
      <c r="R43" s="173"/>
      <c r="S43" s="147"/>
      <c r="T43" s="147"/>
      <c r="U43" s="148"/>
      <c r="V43" s="173"/>
      <c r="W43" s="173"/>
      <c r="X43" s="147"/>
      <c r="Y43" s="173"/>
      <c r="Z43" s="173"/>
      <c r="AA43" s="173"/>
      <c r="AB43" s="173"/>
      <c r="AC43" s="173"/>
    </row>
    <row r="44" spans="2:35" ht="23.25" customHeight="1">
      <c r="C44" s="242" t="s">
        <v>164</v>
      </c>
      <c r="D44" s="242"/>
      <c r="E44" s="242"/>
      <c r="F44" s="242"/>
      <c r="H44" s="413">
        <f>R37</f>
        <v>9362865</v>
      </c>
      <c r="I44" s="413"/>
      <c r="J44" s="314"/>
      <c r="K44" s="146"/>
      <c r="L44" s="146"/>
      <c r="M44" s="146"/>
      <c r="N44" s="257" t="s">
        <v>169</v>
      </c>
      <c r="O44" s="173"/>
      <c r="P44" s="173"/>
      <c r="Q44" s="173"/>
      <c r="R44" s="173"/>
      <c r="S44" s="147"/>
      <c r="T44" s="147"/>
      <c r="U44" s="257" t="s">
        <v>169</v>
      </c>
      <c r="V44" s="173"/>
      <c r="W44" s="173"/>
      <c r="X44" s="147"/>
      <c r="Y44" s="173"/>
      <c r="Z44" s="173"/>
      <c r="AA44" s="173"/>
      <c r="AB44" s="173"/>
      <c r="AC44" s="173"/>
    </row>
    <row r="45" spans="2:35" ht="24" customHeight="1">
      <c r="C45" s="242" t="s">
        <v>200</v>
      </c>
      <c r="D45" s="242"/>
      <c r="E45" s="242"/>
      <c r="F45" s="242"/>
      <c r="H45" s="413">
        <f>H44*1.7%</f>
        <v>159168.70500000002</v>
      </c>
      <c r="I45" s="413"/>
      <c r="J45" s="314"/>
      <c r="K45" s="146"/>
      <c r="L45" s="146"/>
      <c r="M45" s="146"/>
      <c r="N45" s="148" t="s">
        <v>170</v>
      </c>
      <c r="O45" s="246"/>
      <c r="P45" s="246"/>
      <c r="Q45" s="246"/>
      <c r="R45" s="173"/>
      <c r="S45" s="147"/>
      <c r="T45" s="147"/>
      <c r="U45" s="148" t="s">
        <v>206</v>
      </c>
      <c r="V45" s="173"/>
      <c r="W45" s="173"/>
      <c r="X45" s="147"/>
      <c r="Y45" s="173"/>
      <c r="AB45" s="173"/>
      <c r="AC45" s="173"/>
    </row>
    <row r="46" spans="2:35" ht="24" customHeight="1">
      <c r="C46" s="242" t="s">
        <v>198</v>
      </c>
      <c r="D46" s="242"/>
      <c r="E46" s="242"/>
      <c r="F46" s="242"/>
      <c r="H46" s="413">
        <f>-H45*50%</f>
        <v>-79584.352500000008</v>
      </c>
      <c r="I46" s="413"/>
      <c r="J46" s="314"/>
      <c r="K46" s="146"/>
      <c r="L46" s="146"/>
      <c r="M46" s="146"/>
      <c r="N46" s="148"/>
      <c r="O46" s="173"/>
      <c r="P46" s="173"/>
      <c r="Q46" s="173"/>
      <c r="R46" s="173"/>
      <c r="S46" s="147"/>
      <c r="T46" s="147"/>
      <c r="U46" s="148"/>
      <c r="V46" s="173"/>
      <c r="W46" s="173"/>
      <c r="X46" s="147"/>
      <c r="Y46" s="173"/>
      <c r="AB46" s="173"/>
      <c r="AC46" s="173"/>
    </row>
    <row r="47" spans="2:35" ht="24" customHeight="1">
      <c r="C47" s="242" t="s">
        <v>201</v>
      </c>
      <c r="D47" s="242"/>
      <c r="E47" s="242"/>
      <c r="F47" s="242"/>
      <c r="H47" s="413">
        <f>S37</f>
        <v>920901</v>
      </c>
      <c r="I47" s="413"/>
      <c r="J47" s="314"/>
      <c r="K47" s="146"/>
      <c r="L47" s="146"/>
      <c r="M47" s="146"/>
      <c r="N47" s="148"/>
      <c r="O47" s="173"/>
      <c r="P47" s="173"/>
      <c r="Q47" s="173"/>
      <c r="R47" s="173"/>
      <c r="S47" s="147"/>
      <c r="T47" s="147"/>
      <c r="U47" s="148"/>
      <c r="V47" s="173"/>
      <c r="W47" s="173"/>
      <c r="X47" s="147"/>
      <c r="Y47" s="173"/>
      <c r="AB47" s="173"/>
      <c r="AC47" s="173"/>
    </row>
    <row r="48" spans="2:35" ht="24" customHeight="1">
      <c r="C48" s="242" t="s">
        <v>202</v>
      </c>
      <c r="D48" s="242"/>
      <c r="E48" s="242"/>
      <c r="F48" s="242"/>
      <c r="H48" s="413">
        <f>H47*1.7%</f>
        <v>15655.317000000001</v>
      </c>
      <c r="I48" s="413"/>
      <c r="J48" s="314"/>
      <c r="K48" s="146"/>
      <c r="L48" s="146"/>
      <c r="M48" s="146"/>
      <c r="N48" s="148"/>
      <c r="O48" s="173"/>
      <c r="P48" s="173"/>
      <c r="Q48" s="173"/>
      <c r="R48" s="173"/>
      <c r="S48" s="147"/>
      <c r="T48" s="147"/>
      <c r="U48" s="148"/>
      <c r="V48" s="173"/>
      <c r="W48" s="173"/>
      <c r="X48" s="147"/>
      <c r="Y48" s="173"/>
      <c r="AB48" s="173"/>
      <c r="AC48" s="173"/>
    </row>
    <row r="49" spans="2:29" ht="24" customHeight="1">
      <c r="C49" s="242" t="s">
        <v>199</v>
      </c>
      <c r="D49" s="242"/>
      <c r="E49" s="242"/>
      <c r="F49" s="242"/>
      <c r="H49" s="413">
        <f>-H48/2</f>
        <v>-7827.6585000000005</v>
      </c>
      <c r="I49" s="413"/>
      <c r="J49" s="314"/>
      <c r="K49" s="146"/>
      <c r="L49" s="146"/>
      <c r="M49" s="146"/>
      <c r="N49" s="148"/>
      <c r="O49" s="173"/>
      <c r="P49" s="173"/>
      <c r="Q49" s="173"/>
      <c r="R49" s="173"/>
      <c r="S49" s="147"/>
      <c r="T49" s="147"/>
      <c r="U49" s="148"/>
      <c r="V49" s="173"/>
      <c r="W49" s="173"/>
      <c r="X49" s="147"/>
      <c r="Y49" s="173"/>
      <c r="AB49" s="173"/>
      <c r="AC49" s="173"/>
    </row>
    <row r="50" spans="2:29" ht="24" customHeight="1">
      <c r="C50" s="242" t="s">
        <v>177</v>
      </c>
      <c r="D50" s="242"/>
      <c r="E50" s="242"/>
      <c r="F50" s="242"/>
      <c r="H50" s="423">
        <v>0</v>
      </c>
      <c r="I50" s="423"/>
      <c r="J50" s="315"/>
      <c r="K50" s="146"/>
      <c r="L50" s="146"/>
      <c r="M50" s="146"/>
      <c r="N50" s="148"/>
      <c r="O50" s="173"/>
      <c r="P50" s="173"/>
      <c r="Q50" s="173"/>
      <c r="R50" s="173"/>
      <c r="S50" s="147"/>
      <c r="T50" s="147"/>
      <c r="U50" s="148"/>
      <c r="V50" s="173"/>
      <c r="W50" s="173"/>
      <c r="X50" s="147"/>
      <c r="Y50" s="173"/>
      <c r="AB50" s="173"/>
      <c r="AC50" s="173"/>
    </row>
    <row r="51" spans="2:29" ht="24" customHeight="1" thickBot="1">
      <c r="C51" s="242"/>
      <c r="D51" s="242"/>
      <c r="E51" s="242"/>
      <c r="F51" s="242"/>
      <c r="H51" s="428">
        <f>ROUNDDOWN(H45+H46+H49+H50,0)</f>
        <v>71756</v>
      </c>
      <c r="I51" s="428"/>
      <c r="J51" s="313"/>
      <c r="K51" s="146"/>
      <c r="L51" s="146"/>
      <c r="M51" s="146"/>
      <c r="N51" s="148"/>
      <c r="O51" s="173"/>
      <c r="P51" s="173"/>
      <c r="Q51" s="173"/>
      <c r="R51" s="173"/>
      <c r="S51" s="147"/>
      <c r="T51" s="147"/>
      <c r="U51" s="148"/>
      <c r="V51" s="173"/>
      <c r="W51" s="173"/>
      <c r="X51" s="147"/>
      <c r="Y51" s="173"/>
      <c r="AB51" s="173"/>
      <c r="AC51" s="173"/>
    </row>
    <row r="52" spans="2:29" ht="26.25" customHeight="1" thickTop="1">
      <c r="C52" s="242"/>
      <c r="D52" s="242"/>
      <c r="E52" s="242"/>
      <c r="F52" s="242"/>
      <c r="H52" s="266"/>
      <c r="I52" s="266"/>
      <c r="J52" s="266"/>
      <c r="K52" s="146"/>
      <c r="L52" s="146"/>
      <c r="M52" s="146"/>
      <c r="N52" s="257" t="s">
        <v>173</v>
      </c>
      <c r="O52" s="173"/>
      <c r="P52" s="173"/>
      <c r="Q52" s="173"/>
      <c r="R52" s="173"/>
      <c r="S52" s="147"/>
      <c r="T52" s="147"/>
      <c r="U52" s="257" t="s">
        <v>45</v>
      </c>
      <c r="V52" s="173"/>
      <c r="W52" s="173"/>
      <c r="X52" s="147"/>
      <c r="Y52" s="173"/>
      <c r="AB52" s="173"/>
      <c r="AC52" s="173"/>
    </row>
    <row r="53" spans="2:29" ht="29.25" customHeight="1">
      <c r="C53" s="242" t="s">
        <v>203</v>
      </c>
      <c r="D53" s="242"/>
      <c r="E53" s="242"/>
      <c r="F53" s="242"/>
      <c r="H53" s="421">
        <f>H42+H51</f>
        <v>297900</v>
      </c>
      <c r="I53" s="427"/>
      <c r="J53" s="266"/>
      <c r="K53" s="146"/>
      <c r="L53" s="146"/>
      <c r="M53" s="146"/>
      <c r="N53" s="148" t="s">
        <v>172</v>
      </c>
      <c r="O53" s="246"/>
      <c r="P53" s="246"/>
      <c r="Q53" s="246"/>
      <c r="R53" s="173"/>
      <c r="S53" s="147"/>
      <c r="T53" s="147"/>
      <c r="U53" s="148" t="s">
        <v>191</v>
      </c>
      <c r="V53" s="173"/>
      <c r="W53" s="173"/>
      <c r="X53" s="147"/>
      <c r="Y53" s="173"/>
      <c r="AB53" s="173"/>
      <c r="AC53" s="173"/>
    </row>
    <row r="54" spans="2:29" ht="24.75" customHeight="1">
      <c r="C54" s="124"/>
      <c r="D54" s="242"/>
      <c r="E54" s="242"/>
      <c r="F54" s="242"/>
      <c r="H54" s="124"/>
      <c r="J54" s="266"/>
      <c r="K54" s="146"/>
      <c r="L54" s="146"/>
      <c r="M54" s="146"/>
      <c r="N54" s="148"/>
      <c r="O54" s="173"/>
      <c r="P54" s="173"/>
      <c r="Q54" s="173"/>
      <c r="R54" s="173"/>
      <c r="S54" s="147"/>
      <c r="T54" s="147"/>
      <c r="U54" s="148"/>
      <c r="V54" s="173"/>
      <c r="W54" s="173"/>
      <c r="X54" s="147"/>
      <c r="Y54" s="173"/>
      <c r="AB54" s="173"/>
      <c r="AC54" s="173"/>
    </row>
    <row r="55" spans="2:29" ht="21.75" customHeight="1">
      <c r="C55" s="242"/>
      <c r="D55" s="242"/>
      <c r="E55" s="242"/>
      <c r="F55" s="242"/>
      <c r="H55" s="430"/>
      <c r="I55" s="422"/>
      <c r="J55" s="266"/>
      <c r="K55" s="146"/>
      <c r="L55" s="146"/>
      <c r="M55" s="146"/>
      <c r="N55" s="257" t="s">
        <v>169</v>
      </c>
      <c r="S55" s="147"/>
      <c r="T55" s="147"/>
      <c r="U55" s="257" t="s">
        <v>169</v>
      </c>
      <c r="V55" s="150"/>
      <c r="W55" s="150"/>
      <c r="X55" s="147"/>
      <c r="Y55" s="173"/>
      <c r="AB55" s="150"/>
      <c r="AC55" s="150"/>
    </row>
    <row r="56" spans="2:29" ht="22.5" customHeight="1">
      <c r="C56" s="242" t="s">
        <v>175</v>
      </c>
      <c r="D56" s="242"/>
      <c r="E56" s="242"/>
      <c r="F56" s="242"/>
      <c r="H56" s="429">
        <f>ROUNDUP(H40+H53,0)</f>
        <v>-168550</v>
      </c>
      <c r="I56" s="429"/>
      <c r="J56" s="266"/>
      <c r="K56" s="146"/>
      <c r="L56" s="146"/>
      <c r="M56" s="146"/>
      <c r="N56" s="148" t="s">
        <v>170</v>
      </c>
      <c r="O56" s="248"/>
      <c r="P56" s="248"/>
      <c r="Q56" s="248"/>
      <c r="S56" s="147"/>
      <c r="T56" s="147"/>
      <c r="U56" s="148" t="s">
        <v>190</v>
      </c>
      <c r="V56" s="150"/>
      <c r="W56" s="150"/>
      <c r="X56" s="147"/>
      <c r="Y56" s="173"/>
      <c r="AB56" s="150"/>
      <c r="AC56" s="150"/>
    </row>
    <row r="57" spans="2:29" ht="24.75" customHeight="1">
      <c r="C57" s="124"/>
      <c r="D57" s="124"/>
      <c r="E57" s="124"/>
      <c r="F57" s="124"/>
      <c r="H57" s="124"/>
      <c r="J57" s="266"/>
      <c r="L57" s="146"/>
      <c r="M57" s="146"/>
      <c r="N57" s="148"/>
      <c r="O57" s="269"/>
      <c r="P57" s="269"/>
      <c r="S57" s="147"/>
      <c r="T57" s="147"/>
      <c r="U57" s="148"/>
      <c r="V57" s="150"/>
      <c r="W57" s="150"/>
      <c r="X57" s="147"/>
      <c r="Y57" s="173"/>
      <c r="AB57" s="150"/>
      <c r="AC57" s="150"/>
    </row>
    <row r="58" spans="2:29" ht="28.5">
      <c r="B58" s="124"/>
      <c r="C58" s="124"/>
      <c r="D58" s="124"/>
      <c r="E58" s="124"/>
      <c r="G58" s="124"/>
      <c r="H58" s="124"/>
      <c r="L58" s="146"/>
      <c r="M58" s="173"/>
      <c r="O58" s="148"/>
      <c r="P58" s="173"/>
      <c r="Q58" s="147"/>
      <c r="R58" s="147"/>
      <c r="U58" s="148"/>
      <c r="V58" s="147"/>
      <c r="W58" s="173"/>
      <c r="Y58" s="150"/>
      <c r="AA58" s="150"/>
    </row>
    <row r="59" spans="2:29" ht="28.5">
      <c r="B59" s="124"/>
      <c r="G59" s="124"/>
      <c r="H59" s="124"/>
      <c r="L59" s="153"/>
      <c r="M59" s="153"/>
      <c r="N59" s="257"/>
      <c r="O59" s="173"/>
      <c r="P59" s="173"/>
      <c r="Q59" s="147"/>
      <c r="T59" s="257"/>
      <c r="U59" s="150"/>
      <c r="V59" s="150"/>
      <c r="Z59" s="150"/>
    </row>
    <row r="60" spans="2:29" ht="28.5">
      <c r="L60" s="154"/>
      <c r="M60" s="154"/>
      <c r="N60" s="148"/>
      <c r="O60" s="173"/>
      <c r="P60" s="173"/>
      <c r="Q60" s="147"/>
      <c r="T60" s="148"/>
      <c r="U60" s="150"/>
      <c r="V60" s="150"/>
    </row>
    <row r="61" spans="2:29" ht="28.5">
      <c r="L61" s="155"/>
      <c r="M61" s="155"/>
      <c r="N61" s="247"/>
      <c r="O61" s="173"/>
      <c r="P61" s="173"/>
      <c r="Q61" s="173"/>
      <c r="T61" s="150"/>
      <c r="U61" s="150"/>
    </row>
    <row r="62" spans="2:29" ht="28.5">
      <c r="L62" s="156"/>
      <c r="M62" s="156"/>
      <c r="O62" s="173"/>
      <c r="P62" s="173"/>
      <c r="Q62" s="173"/>
      <c r="W62" s="150"/>
    </row>
    <row r="63" spans="2:29" ht="28.5">
      <c r="L63" s="156"/>
      <c r="M63" s="156"/>
      <c r="N63" s="156"/>
      <c r="P63" s="173"/>
      <c r="Q63" s="173"/>
    </row>
    <row r="64" spans="2:29">
      <c r="L64" s="156"/>
      <c r="M64" s="156"/>
      <c r="N64" s="156"/>
    </row>
    <row r="65" spans="6:26">
      <c r="L65" s="156"/>
      <c r="M65" s="156"/>
      <c r="N65" s="156"/>
    </row>
    <row r="66" spans="6:26">
      <c r="L66" s="156"/>
      <c r="M66" s="156"/>
      <c r="N66" s="156"/>
    </row>
    <row r="67" spans="6:26">
      <c r="L67" s="156"/>
      <c r="M67" s="156"/>
      <c r="N67" s="156"/>
    </row>
    <row r="68" spans="6:26">
      <c r="L68" s="156"/>
      <c r="M68" s="156"/>
      <c r="N68" s="156"/>
      <c r="Z68" s="123"/>
    </row>
    <row r="69" spans="6:26" s="123" customFormat="1">
      <c r="I69" s="124"/>
      <c r="J69" s="124"/>
      <c r="K69" s="124"/>
      <c r="L69" s="156"/>
      <c r="M69" s="156"/>
      <c r="N69" s="156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</row>
    <row r="70" spans="6:26">
      <c r="L70" s="156"/>
      <c r="M70" s="156"/>
      <c r="N70" s="156"/>
    </row>
    <row r="71" spans="6:26">
      <c r="L71" s="156"/>
      <c r="M71" s="156"/>
    </row>
    <row r="72" spans="6:26" ht="21">
      <c r="F72" s="243"/>
    </row>
    <row r="73" spans="6:26">
      <c r="F73" s="267"/>
    </row>
    <row r="74" spans="6:26">
      <c r="F74" s="267"/>
    </row>
    <row r="75" spans="6:26">
      <c r="F75" s="267"/>
    </row>
    <row r="76" spans="6:26">
      <c r="F76" s="267"/>
    </row>
    <row r="77" spans="6:26">
      <c r="F77" s="267"/>
    </row>
    <row r="78" spans="6:26">
      <c r="F78" s="267"/>
    </row>
    <row r="79" spans="6:26">
      <c r="F79" s="267"/>
    </row>
    <row r="80" spans="6:26" ht="28.5">
      <c r="F80" s="264"/>
    </row>
    <row r="81" spans="6:6" ht="28.5">
      <c r="F81" s="264"/>
    </row>
    <row r="82" spans="6:6" ht="28.5">
      <c r="F82" s="264"/>
    </row>
    <row r="83" spans="6:6" ht="28.5">
      <c r="F83" s="264"/>
    </row>
    <row r="86" spans="6:6">
      <c r="F86" s="124"/>
    </row>
    <row r="87" spans="6:6">
      <c r="F87" s="124"/>
    </row>
    <row r="88" spans="6:6">
      <c r="F88" s="124"/>
    </row>
  </sheetData>
  <sheetProtection algorithmName="SHA-512" hashValue="dRW83yBEomSzUSWQ0oE3vgo61p/edFAYWzH2VTYvMzO+G0dY0Puy/oXgh/pit+Z/BTUgnl5fuoDOzajfv4CT1w==" saltValue="LNNqvzRXSvoTItSK4zAK3w==" spinCount="100000" sheet="1" objects="1" scenarios="1"/>
  <mergeCells count="15">
    <mergeCell ref="B2:Y2"/>
    <mergeCell ref="H41:I41"/>
    <mergeCell ref="H42:I42"/>
    <mergeCell ref="H44:I44"/>
    <mergeCell ref="H45:I45"/>
    <mergeCell ref="H49:I49"/>
    <mergeCell ref="H51:I51"/>
    <mergeCell ref="H40:I40"/>
    <mergeCell ref="H56:I56"/>
    <mergeCell ref="H46:I46"/>
    <mergeCell ref="H50:I50"/>
    <mergeCell ref="H55:I55"/>
    <mergeCell ref="H47:I47"/>
    <mergeCell ref="H48:I48"/>
    <mergeCell ref="H53:I53"/>
  </mergeCells>
  <printOptions horizontalCentered="1"/>
  <pageMargins left="0" right="0" top="0" bottom="0" header="0" footer="0"/>
  <pageSetup scale="37" orientation="landscape" horizontalDpi="360" verticalDpi="36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FF00"/>
    <pageSetUpPr fitToPage="1"/>
  </sheetPr>
  <dimension ref="A1:AG67"/>
  <sheetViews>
    <sheetView showGridLines="0" view="pageBreakPreview" zoomScale="80" zoomScaleNormal="90" zoomScaleSheetLayoutView="80" workbookViewId="0">
      <pane ySplit="3" topLeftCell="A10" activePane="bottomLeft" state="frozen"/>
      <selection pane="bottomLeft" activeCell="N8" sqref="N8"/>
    </sheetView>
  </sheetViews>
  <sheetFormatPr defaultRowHeight="15"/>
  <cols>
    <col min="1" max="1" width="1" style="124" customWidth="1"/>
    <col min="2" max="2" width="12.28515625" style="123" bestFit="1" customWidth="1"/>
    <col min="3" max="3" width="12.28515625" style="123" customWidth="1"/>
    <col min="4" max="4" width="14.140625" style="123" customWidth="1"/>
    <col min="5" max="5" width="12.28515625" style="123" customWidth="1"/>
    <col min="6" max="6" width="14.85546875" style="123" customWidth="1"/>
    <col min="7" max="8" width="15.42578125" style="124" customWidth="1"/>
    <col min="9" max="11" width="17.42578125" style="124" customWidth="1"/>
    <col min="12" max="12" width="13.5703125" style="124" bestFit="1" customWidth="1"/>
    <col min="13" max="13" width="14.140625" style="124" bestFit="1" customWidth="1"/>
    <col min="14" max="15" width="19" style="124" customWidth="1"/>
    <col min="16" max="16" width="19.85546875" style="124" customWidth="1"/>
    <col min="17" max="17" width="18.42578125" style="124" customWidth="1"/>
    <col min="18" max="19" width="13.7109375" style="124" customWidth="1"/>
    <col min="20" max="20" width="14.7109375" style="124" bestFit="1" customWidth="1"/>
    <col min="21" max="21" width="20.140625" style="124" customWidth="1"/>
    <col min="22" max="22" width="24.140625" style="124" bestFit="1" customWidth="1"/>
    <col min="23" max="23" width="1.5703125" style="124" customWidth="1"/>
    <col min="24" max="24" width="9.140625" style="124" customWidth="1"/>
    <col min="25" max="25" width="9.140625" style="124" hidden="1" customWidth="1"/>
    <col min="26" max="26" width="9.5703125" style="124" hidden="1" customWidth="1"/>
    <col min="27" max="27" width="11.42578125" style="124" hidden="1" customWidth="1"/>
    <col min="28" max="28" width="9.140625" style="124" hidden="1" customWidth="1"/>
    <col min="29" max="29" width="10.5703125" style="124" hidden="1" customWidth="1"/>
    <col min="30" max="30" width="11.7109375" style="124" hidden="1" customWidth="1"/>
    <col min="31" max="33" width="9.140625" style="124" hidden="1" customWidth="1"/>
    <col min="34" max="16384" width="9.140625" style="124"/>
  </cols>
  <sheetData>
    <row r="1" spans="2:32" ht="24.75" customHeight="1" thickBot="1"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</row>
    <row r="2" spans="2:32" ht="28.5" customHeight="1" thickBot="1">
      <c r="B2" s="414" t="s">
        <v>184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6"/>
    </row>
    <row r="3" spans="2:32" ht="60.75" thickBot="1">
      <c r="B3" s="125" t="s">
        <v>94</v>
      </c>
      <c r="C3" s="126" t="s">
        <v>121</v>
      </c>
      <c r="D3" s="126" t="s">
        <v>116</v>
      </c>
      <c r="E3" s="126" t="s">
        <v>117</v>
      </c>
      <c r="F3" s="126" t="s">
        <v>163</v>
      </c>
      <c r="G3" s="127" t="s">
        <v>111</v>
      </c>
      <c r="H3" s="127" t="s">
        <v>183</v>
      </c>
      <c r="I3" s="127" t="s">
        <v>180</v>
      </c>
      <c r="J3" s="127" t="s">
        <v>181</v>
      </c>
      <c r="K3" s="127" t="s">
        <v>182</v>
      </c>
      <c r="L3" s="128">
        <v>-0.5</v>
      </c>
      <c r="M3" s="157">
        <f>-100%-L3</f>
        <v>-0.5</v>
      </c>
      <c r="N3" s="127" t="s">
        <v>141</v>
      </c>
      <c r="O3" s="127" t="s">
        <v>142</v>
      </c>
      <c r="P3" s="127" t="s">
        <v>98</v>
      </c>
      <c r="Q3" s="127" t="s">
        <v>125</v>
      </c>
      <c r="R3" s="206" t="s">
        <v>143</v>
      </c>
      <c r="S3" s="127" t="s">
        <v>97</v>
      </c>
      <c r="T3" s="127" t="s">
        <v>144</v>
      </c>
      <c r="U3" s="127" t="s">
        <v>145</v>
      </c>
      <c r="V3" s="129" t="s">
        <v>96</v>
      </c>
      <c r="Y3" s="130" t="s">
        <v>106</v>
      </c>
      <c r="Z3" s="130" t="s">
        <v>95</v>
      </c>
      <c r="AA3" s="130" t="s">
        <v>107</v>
      </c>
      <c r="AB3" s="131" t="s">
        <v>108</v>
      </c>
      <c r="AC3" s="131" t="s">
        <v>109</v>
      </c>
      <c r="AD3" s="130" t="s">
        <v>147</v>
      </c>
      <c r="AE3" s="130" t="s">
        <v>110</v>
      </c>
      <c r="AF3" s="130" t="s">
        <v>120</v>
      </c>
    </row>
    <row r="4" spans="2:32" ht="26.25" customHeight="1">
      <c r="B4" s="132">
        <v>44470</v>
      </c>
      <c r="C4" s="174"/>
      <c r="D4" s="174"/>
      <c r="E4" s="240"/>
      <c r="F4" s="167">
        <f>SUM(C4:E4)</f>
        <v>0</v>
      </c>
      <c r="G4" s="133"/>
      <c r="H4" s="133"/>
      <c r="I4" s="256">
        <f>-D4-E4-G4-H4</f>
        <v>0</v>
      </c>
      <c r="J4" s="136"/>
      <c r="K4" s="256">
        <f t="shared" ref="K4:K14" si="0">I4+J4</f>
        <v>0</v>
      </c>
      <c r="L4" s="158">
        <f>I4*$L$3</f>
        <v>0</v>
      </c>
      <c r="M4" s="158">
        <f>I4*$M$3</f>
        <v>0</v>
      </c>
      <c r="N4" s="134"/>
      <c r="O4" s="210">
        <f>N4-P4</f>
        <v>0</v>
      </c>
      <c r="P4" s="134"/>
      <c r="Q4" s="159">
        <f>P4*1.7%</f>
        <v>0</v>
      </c>
      <c r="R4" s="158">
        <f>O4*1.7%</f>
        <v>0</v>
      </c>
      <c r="S4" s="158">
        <f>SUM(Q4:R4)</f>
        <v>0</v>
      </c>
      <c r="T4" s="159">
        <f>S4*50%</f>
        <v>0</v>
      </c>
      <c r="U4" s="159">
        <f>S4*50%</f>
        <v>0</v>
      </c>
      <c r="V4" s="161">
        <f>L4-T4</f>
        <v>0</v>
      </c>
      <c r="Y4" s="164">
        <f>F4</f>
        <v>0</v>
      </c>
      <c r="Z4" s="165">
        <f>G4+H4</f>
        <v>0</v>
      </c>
      <c r="AA4" s="165">
        <f>O4</f>
        <v>0</v>
      </c>
      <c r="AB4" s="165">
        <f>S4</f>
        <v>0</v>
      </c>
      <c r="AC4" s="165">
        <f>K4</f>
        <v>0</v>
      </c>
      <c r="AD4" s="165">
        <f>P4</f>
        <v>0</v>
      </c>
      <c r="AE4" s="165"/>
      <c r="AF4" s="213">
        <f>C4</f>
        <v>0</v>
      </c>
    </row>
    <row r="5" spans="2:32" ht="26.25" customHeight="1">
      <c r="B5" s="166">
        <f>B4+1</f>
        <v>44471</v>
      </c>
      <c r="C5" s="218"/>
      <c r="D5" s="220"/>
      <c r="E5" s="221"/>
      <c r="F5" s="168">
        <f>SUM(C5:E5)</f>
        <v>0</v>
      </c>
      <c r="G5" s="136"/>
      <c r="H5" s="136"/>
      <c r="I5" s="256">
        <f t="shared" ref="I5:I33" si="1">-D5-E5-G5-H5</f>
        <v>0</v>
      </c>
      <c r="J5" s="136"/>
      <c r="K5" s="256">
        <f t="shared" si="0"/>
        <v>0</v>
      </c>
      <c r="L5" s="159">
        <f t="shared" ref="L5:L14" si="2">I5*$L$3</f>
        <v>0</v>
      </c>
      <c r="M5" s="159">
        <f t="shared" ref="M5:M14" si="3">I5*$M$3</f>
        <v>0</v>
      </c>
      <c r="N5" s="135"/>
      <c r="O5" s="211">
        <f>N5-P5</f>
        <v>0</v>
      </c>
      <c r="P5" s="135"/>
      <c r="Q5" s="159">
        <f>P5*1.7%</f>
        <v>0</v>
      </c>
      <c r="R5" s="159">
        <f>O5*1.7%</f>
        <v>0</v>
      </c>
      <c r="S5" s="159">
        <f>SUM(Q5:R5)</f>
        <v>0</v>
      </c>
      <c r="T5" s="159">
        <f>S5*50%</f>
        <v>0</v>
      </c>
      <c r="U5" s="159">
        <f>S5*50%</f>
        <v>0</v>
      </c>
      <c r="V5" s="162">
        <f>L5-T5</f>
        <v>0</v>
      </c>
      <c r="Y5" s="164">
        <f t="shared" ref="Y5:Y33" si="4">Y4+F5</f>
        <v>0</v>
      </c>
      <c r="Z5" s="165">
        <f>Z4+G5+H5</f>
        <v>0</v>
      </c>
      <c r="AA5" s="165">
        <f>O5+AA4</f>
        <v>0</v>
      </c>
      <c r="AB5" s="165">
        <f>AB4+S5</f>
        <v>0</v>
      </c>
      <c r="AC5" s="165">
        <f>AC4+K5</f>
        <v>0</v>
      </c>
      <c r="AD5" s="165">
        <f>P5+AD4</f>
        <v>0</v>
      </c>
      <c r="AE5" s="165"/>
      <c r="AF5" s="230">
        <f>C5+AF4</f>
        <v>0</v>
      </c>
    </row>
    <row r="6" spans="2:32" ht="26.25" customHeight="1">
      <c r="B6" s="166">
        <f t="shared" ref="B6:B34" si="5">B5+1</f>
        <v>44472</v>
      </c>
      <c r="C6" s="221"/>
      <c r="D6" s="220"/>
      <c r="E6" s="221"/>
      <c r="F6" s="168">
        <f t="shared" ref="F6:F33" si="6">SUM(C6:E6)</f>
        <v>0</v>
      </c>
      <c r="G6" s="136"/>
      <c r="H6" s="136"/>
      <c r="I6" s="256">
        <f t="shared" si="1"/>
        <v>0</v>
      </c>
      <c r="J6" s="136"/>
      <c r="K6" s="256">
        <f t="shared" si="0"/>
        <v>0</v>
      </c>
      <c r="L6" s="159">
        <f t="shared" si="2"/>
        <v>0</v>
      </c>
      <c r="M6" s="159">
        <f t="shared" si="3"/>
        <v>0</v>
      </c>
      <c r="N6" s="135"/>
      <c r="O6" s="211">
        <f>N6-P6</f>
        <v>0</v>
      </c>
      <c r="P6" s="135"/>
      <c r="Q6" s="159">
        <f t="shared" ref="Q6:Q33" si="7">P6*1.7%</f>
        <v>0</v>
      </c>
      <c r="R6" s="159">
        <f t="shared" ref="R6:R33" si="8">O6*1.7%</f>
        <v>0</v>
      </c>
      <c r="S6" s="159">
        <f t="shared" ref="S6:S33" si="9">SUM(Q6:R6)</f>
        <v>0</v>
      </c>
      <c r="T6" s="159">
        <f t="shared" ref="T6:T33" si="10">S6*50%</f>
        <v>0</v>
      </c>
      <c r="U6" s="159">
        <f t="shared" ref="U6:U33" si="11">S6*50%</f>
        <v>0</v>
      </c>
      <c r="V6" s="162">
        <f t="shared" ref="V6:V33" si="12">L6-T6</f>
        <v>0</v>
      </c>
      <c r="Y6" s="164">
        <f t="shared" si="4"/>
        <v>0</v>
      </c>
      <c r="Z6" s="165">
        <f t="shared" ref="Z6:Z36" si="13">Z5+G6+H6</f>
        <v>0</v>
      </c>
      <c r="AA6" s="165">
        <f t="shared" ref="AA6:AA33" si="14">O6+AA5</f>
        <v>0</v>
      </c>
      <c r="AB6" s="165">
        <f t="shared" ref="AB6:AB33" si="15">AB5+S6</f>
        <v>0</v>
      </c>
      <c r="AC6" s="165">
        <f t="shared" ref="AC6:AC33" si="16">AC5+K6</f>
        <v>0</v>
      </c>
      <c r="AD6" s="165">
        <f t="shared" ref="AD6:AD33" si="17">P6+AD5</f>
        <v>0</v>
      </c>
      <c r="AE6" s="165"/>
      <c r="AF6" s="230">
        <f t="shared" ref="AF6:AF33" si="18">C6+AF5</f>
        <v>0</v>
      </c>
    </row>
    <row r="7" spans="2:32" ht="26.25" customHeight="1">
      <c r="B7" s="166">
        <f t="shared" si="5"/>
        <v>44473</v>
      </c>
      <c r="C7" s="221"/>
      <c r="D7" s="220"/>
      <c r="E7" s="221"/>
      <c r="F7" s="168">
        <f t="shared" si="6"/>
        <v>0</v>
      </c>
      <c r="G7" s="136"/>
      <c r="H7" s="136"/>
      <c r="I7" s="256">
        <f t="shared" si="1"/>
        <v>0</v>
      </c>
      <c r="J7" s="136"/>
      <c r="K7" s="256">
        <f t="shared" si="0"/>
        <v>0</v>
      </c>
      <c r="L7" s="159">
        <f t="shared" si="2"/>
        <v>0</v>
      </c>
      <c r="M7" s="159">
        <f t="shared" si="3"/>
        <v>0</v>
      </c>
      <c r="N7" s="135"/>
      <c r="O7" s="211">
        <f t="shared" ref="O7:O33" si="19">N7-P7</f>
        <v>0</v>
      </c>
      <c r="P7" s="135"/>
      <c r="Q7" s="159">
        <f t="shared" si="7"/>
        <v>0</v>
      </c>
      <c r="R7" s="159">
        <f t="shared" si="8"/>
        <v>0</v>
      </c>
      <c r="S7" s="159">
        <f t="shared" si="9"/>
        <v>0</v>
      </c>
      <c r="T7" s="159">
        <f t="shared" si="10"/>
        <v>0</v>
      </c>
      <c r="U7" s="159">
        <f t="shared" si="11"/>
        <v>0</v>
      </c>
      <c r="V7" s="162">
        <f t="shared" si="12"/>
        <v>0</v>
      </c>
      <c r="Y7" s="164">
        <f t="shared" si="4"/>
        <v>0</v>
      </c>
      <c r="Z7" s="165">
        <f t="shared" si="13"/>
        <v>0</v>
      </c>
      <c r="AA7" s="165">
        <f t="shared" si="14"/>
        <v>0</v>
      </c>
      <c r="AB7" s="165">
        <f t="shared" si="15"/>
        <v>0</v>
      </c>
      <c r="AC7" s="165">
        <f t="shared" si="16"/>
        <v>0</v>
      </c>
      <c r="AD7" s="165">
        <f t="shared" si="17"/>
        <v>0</v>
      </c>
      <c r="AE7" s="165"/>
      <c r="AF7" s="230">
        <f t="shared" si="18"/>
        <v>0</v>
      </c>
    </row>
    <row r="8" spans="2:32" ht="26.25" customHeight="1">
      <c r="B8" s="166">
        <f t="shared" si="5"/>
        <v>44474</v>
      </c>
      <c r="C8" s="221"/>
      <c r="D8" s="220"/>
      <c r="E8" s="221"/>
      <c r="F8" s="168">
        <f t="shared" si="6"/>
        <v>0</v>
      </c>
      <c r="G8" s="137"/>
      <c r="H8" s="137"/>
      <c r="I8" s="256">
        <f t="shared" si="1"/>
        <v>0</v>
      </c>
      <c r="J8" s="136"/>
      <c r="K8" s="256">
        <f t="shared" si="0"/>
        <v>0</v>
      </c>
      <c r="L8" s="159">
        <f t="shared" si="2"/>
        <v>0</v>
      </c>
      <c r="M8" s="159">
        <f t="shared" si="3"/>
        <v>0</v>
      </c>
      <c r="N8" s="135"/>
      <c r="O8" s="211">
        <f t="shared" si="19"/>
        <v>0</v>
      </c>
      <c r="P8" s="135"/>
      <c r="Q8" s="159">
        <f t="shared" si="7"/>
        <v>0</v>
      </c>
      <c r="R8" s="159">
        <f t="shared" si="8"/>
        <v>0</v>
      </c>
      <c r="S8" s="159">
        <f t="shared" si="9"/>
        <v>0</v>
      </c>
      <c r="T8" s="159">
        <f t="shared" si="10"/>
        <v>0</v>
      </c>
      <c r="U8" s="159">
        <f t="shared" si="11"/>
        <v>0</v>
      </c>
      <c r="V8" s="162">
        <f t="shared" si="12"/>
        <v>0</v>
      </c>
      <c r="Y8" s="164">
        <f t="shared" si="4"/>
        <v>0</v>
      </c>
      <c r="Z8" s="165">
        <f t="shared" si="13"/>
        <v>0</v>
      </c>
      <c r="AA8" s="165">
        <f t="shared" si="14"/>
        <v>0</v>
      </c>
      <c r="AB8" s="165">
        <f t="shared" si="15"/>
        <v>0</v>
      </c>
      <c r="AC8" s="165">
        <f t="shared" si="16"/>
        <v>0</v>
      </c>
      <c r="AD8" s="165">
        <f t="shared" si="17"/>
        <v>0</v>
      </c>
      <c r="AE8" s="165"/>
      <c r="AF8" s="230">
        <f t="shared" si="18"/>
        <v>0</v>
      </c>
    </row>
    <row r="9" spans="2:32" ht="26.25" customHeight="1">
      <c r="B9" s="166">
        <f t="shared" si="5"/>
        <v>44475</v>
      </c>
      <c r="C9" s="221"/>
      <c r="D9" s="220"/>
      <c r="E9" s="221"/>
      <c r="F9" s="168">
        <f t="shared" si="6"/>
        <v>0</v>
      </c>
      <c r="G9" s="137"/>
      <c r="H9" s="137"/>
      <c r="I9" s="256">
        <f t="shared" si="1"/>
        <v>0</v>
      </c>
      <c r="J9" s="136"/>
      <c r="K9" s="256">
        <f t="shared" si="0"/>
        <v>0</v>
      </c>
      <c r="L9" s="159">
        <f t="shared" si="2"/>
        <v>0</v>
      </c>
      <c r="M9" s="159">
        <f t="shared" si="3"/>
        <v>0</v>
      </c>
      <c r="N9" s="135"/>
      <c r="O9" s="211">
        <f t="shared" si="19"/>
        <v>0</v>
      </c>
      <c r="P9" s="135"/>
      <c r="Q9" s="159">
        <f t="shared" si="7"/>
        <v>0</v>
      </c>
      <c r="R9" s="159">
        <f t="shared" si="8"/>
        <v>0</v>
      </c>
      <c r="S9" s="159">
        <f t="shared" si="9"/>
        <v>0</v>
      </c>
      <c r="T9" s="159">
        <f t="shared" si="10"/>
        <v>0</v>
      </c>
      <c r="U9" s="159">
        <f t="shared" si="11"/>
        <v>0</v>
      </c>
      <c r="V9" s="162">
        <f t="shared" si="12"/>
        <v>0</v>
      </c>
      <c r="Y9" s="164">
        <f t="shared" si="4"/>
        <v>0</v>
      </c>
      <c r="Z9" s="165">
        <f t="shared" si="13"/>
        <v>0</v>
      </c>
      <c r="AA9" s="165">
        <f t="shared" si="14"/>
        <v>0</v>
      </c>
      <c r="AB9" s="165">
        <f t="shared" si="15"/>
        <v>0</v>
      </c>
      <c r="AC9" s="165">
        <f t="shared" si="16"/>
        <v>0</v>
      </c>
      <c r="AD9" s="165">
        <f t="shared" si="17"/>
        <v>0</v>
      </c>
      <c r="AE9" s="165"/>
      <c r="AF9" s="230">
        <f t="shared" si="18"/>
        <v>0</v>
      </c>
    </row>
    <row r="10" spans="2:32" ht="26.25" customHeight="1">
      <c r="B10" s="166">
        <f t="shared" si="5"/>
        <v>44476</v>
      </c>
      <c r="C10" s="221"/>
      <c r="D10" s="220"/>
      <c r="E10" s="221"/>
      <c r="F10" s="168">
        <f t="shared" si="6"/>
        <v>0</v>
      </c>
      <c r="G10" s="137"/>
      <c r="H10" s="137"/>
      <c r="I10" s="256">
        <f t="shared" si="1"/>
        <v>0</v>
      </c>
      <c r="J10" s="136"/>
      <c r="K10" s="256">
        <f t="shared" si="0"/>
        <v>0</v>
      </c>
      <c r="L10" s="159">
        <f t="shared" si="2"/>
        <v>0</v>
      </c>
      <c r="M10" s="159">
        <f t="shared" si="3"/>
        <v>0</v>
      </c>
      <c r="N10" s="135"/>
      <c r="O10" s="211">
        <f t="shared" si="19"/>
        <v>0</v>
      </c>
      <c r="P10" s="135"/>
      <c r="Q10" s="159">
        <f t="shared" si="7"/>
        <v>0</v>
      </c>
      <c r="R10" s="159">
        <f t="shared" si="8"/>
        <v>0</v>
      </c>
      <c r="S10" s="159">
        <f t="shared" si="9"/>
        <v>0</v>
      </c>
      <c r="T10" s="159">
        <f t="shared" si="10"/>
        <v>0</v>
      </c>
      <c r="U10" s="159">
        <f t="shared" si="11"/>
        <v>0</v>
      </c>
      <c r="V10" s="162">
        <f t="shared" si="12"/>
        <v>0</v>
      </c>
      <c r="Y10" s="164">
        <f t="shared" si="4"/>
        <v>0</v>
      </c>
      <c r="Z10" s="165">
        <f t="shared" si="13"/>
        <v>0</v>
      </c>
      <c r="AA10" s="165">
        <f t="shared" si="14"/>
        <v>0</v>
      </c>
      <c r="AB10" s="165">
        <f t="shared" si="15"/>
        <v>0</v>
      </c>
      <c r="AC10" s="165">
        <f t="shared" si="16"/>
        <v>0</v>
      </c>
      <c r="AD10" s="165">
        <f t="shared" si="17"/>
        <v>0</v>
      </c>
      <c r="AE10" s="165"/>
      <c r="AF10" s="230">
        <f t="shared" si="18"/>
        <v>0</v>
      </c>
    </row>
    <row r="11" spans="2:32" ht="26.25" customHeight="1">
      <c r="B11" s="166">
        <f t="shared" si="5"/>
        <v>44477</v>
      </c>
      <c r="C11" s="221"/>
      <c r="D11" s="220"/>
      <c r="E11" s="221"/>
      <c r="F11" s="168">
        <f t="shared" si="6"/>
        <v>0</v>
      </c>
      <c r="G11" s="137"/>
      <c r="H11" s="137"/>
      <c r="I11" s="256">
        <f t="shared" si="1"/>
        <v>0</v>
      </c>
      <c r="J11" s="136"/>
      <c r="K11" s="256">
        <f t="shared" si="0"/>
        <v>0</v>
      </c>
      <c r="L11" s="159">
        <f t="shared" si="2"/>
        <v>0</v>
      </c>
      <c r="M11" s="159">
        <f t="shared" si="3"/>
        <v>0</v>
      </c>
      <c r="N11" s="135"/>
      <c r="O11" s="211">
        <f t="shared" si="19"/>
        <v>0</v>
      </c>
      <c r="P11" s="135"/>
      <c r="Q11" s="159">
        <f t="shared" si="7"/>
        <v>0</v>
      </c>
      <c r="R11" s="159">
        <f t="shared" si="8"/>
        <v>0</v>
      </c>
      <c r="S11" s="159">
        <f t="shared" si="9"/>
        <v>0</v>
      </c>
      <c r="T11" s="159">
        <f t="shared" si="10"/>
        <v>0</v>
      </c>
      <c r="U11" s="159">
        <f t="shared" si="11"/>
        <v>0</v>
      </c>
      <c r="V11" s="162">
        <f t="shared" si="12"/>
        <v>0</v>
      </c>
      <c r="Y11" s="164">
        <f t="shared" si="4"/>
        <v>0</v>
      </c>
      <c r="Z11" s="165">
        <f t="shared" si="13"/>
        <v>0</v>
      </c>
      <c r="AA11" s="165">
        <f t="shared" si="14"/>
        <v>0</v>
      </c>
      <c r="AB11" s="165">
        <f t="shared" si="15"/>
        <v>0</v>
      </c>
      <c r="AC11" s="165">
        <f t="shared" si="16"/>
        <v>0</v>
      </c>
      <c r="AD11" s="165">
        <f t="shared" si="17"/>
        <v>0</v>
      </c>
      <c r="AE11" s="165"/>
      <c r="AF11" s="230">
        <f t="shared" si="18"/>
        <v>0</v>
      </c>
    </row>
    <row r="12" spans="2:32" ht="26.25" customHeight="1">
      <c r="B12" s="166">
        <f t="shared" si="5"/>
        <v>44478</v>
      </c>
      <c r="C12" s="221"/>
      <c r="D12" s="220"/>
      <c r="E12" s="221"/>
      <c r="F12" s="168">
        <f t="shared" si="6"/>
        <v>0</v>
      </c>
      <c r="G12" s="137"/>
      <c r="H12" s="137"/>
      <c r="I12" s="256">
        <f t="shared" si="1"/>
        <v>0</v>
      </c>
      <c r="J12" s="136"/>
      <c r="K12" s="256">
        <f t="shared" si="0"/>
        <v>0</v>
      </c>
      <c r="L12" s="159">
        <f t="shared" si="2"/>
        <v>0</v>
      </c>
      <c r="M12" s="159">
        <f t="shared" si="3"/>
        <v>0</v>
      </c>
      <c r="N12" s="135"/>
      <c r="O12" s="211">
        <f t="shared" si="19"/>
        <v>0</v>
      </c>
      <c r="P12" s="135"/>
      <c r="Q12" s="159">
        <f t="shared" si="7"/>
        <v>0</v>
      </c>
      <c r="R12" s="159">
        <f t="shared" si="8"/>
        <v>0</v>
      </c>
      <c r="S12" s="159">
        <f t="shared" si="9"/>
        <v>0</v>
      </c>
      <c r="T12" s="159">
        <f t="shared" si="10"/>
        <v>0</v>
      </c>
      <c r="U12" s="159">
        <f t="shared" si="11"/>
        <v>0</v>
      </c>
      <c r="V12" s="162">
        <f t="shared" si="12"/>
        <v>0</v>
      </c>
      <c r="Y12" s="164">
        <f t="shared" si="4"/>
        <v>0</v>
      </c>
      <c r="Z12" s="165">
        <f t="shared" si="13"/>
        <v>0</v>
      </c>
      <c r="AA12" s="165">
        <f t="shared" si="14"/>
        <v>0</v>
      </c>
      <c r="AB12" s="165">
        <f t="shared" si="15"/>
        <v>0</v>
      </c>
      <c r="AC12" s="165">
        <f t="shared" si="16"/>
        <v>0</v>
      </c>
      <c r="AD12" s="165">
        <f t="shared" si="17"/>
        <v>0</v>
      </c>
      <c r="AE12" s="165"/>
      <c r="AF12" s="230">
        <f t="shared" si="18"/>
        <v>0</v>
      </c>
    </row>
    <row r="13" spans="2:32" ht="26.25" customHeight="1">
      <c r="B13" s="166">
        <f t="shared" si="5"/>
        <v>44479</v>
      </c>
      <c r="C13" s="221"/>
      <c r="D13" s="220"/>
      <c r="E13" s="221"/>
      <c r="F13" s="168">
        <f t="shared" si="6"/>
        <v>0</v>
      </c>
      <c r="G13" s="137"/>
      <c r="H13" s="137"/>
      <c r="I13" s="256">
        <f t="shared" si="1"/>
        <v>0</v>
      </c>
      <c r="J13" s="136"/>
      <c r="K13" s="256">
        <f t="shared" si="0"/>
        <v>0</v>
      </c>
      <c r="L13" s="159">
        <f t="shared" si="2"/>
        <v>0</v>
      </c>
      <c r="M13" s="159">
        <f t="shared" si="3"/>
        <v>0</v>
      </c>
      <c r="N13" s="135"/>
      <c r="O13" s="211">
        <f t="shared" si="19"/>
        <v>0</v>
      </c>
      <c r="P13" s="135"/>
      <c r="Q13" s="159">
        <f t="shared" si="7"/>
        <v>0</v>
      </c>
      <c r="R13" s="159">
        <f t="shared" si="8"/>
        <v>0</v>
      </c>
      <c r="S13" s="159">
        <f t="shared" si="9"/>
        <v>0</v>
      </c>
      <c r="T13" s="159">
        <f t="shared" si="10"/>
        <v>0</v>
      </c>
      <c r="U13" s="159">
        <f t="shared" si="11"/>
        <v>0</v>
      </c>
      <c r="V13" s="162">
        <f t="shared" si="12"/>
        <v>0</v>
      </c>
      <c r="Y13" s="164">
        <f t="shared" si="4"/>
        <v>0</v>
      </c>
      <c r="Z13" s="165">
        <f t="shared" si="13"/>
        <v>0</v>
      </c>
      <c r="AA13" s="165">
        <f t="shared" si="14"/>
        <v>0</v>
      </c>
      <c r="AB13" s="165">
        <f t="shared" si="15"/>
        <v>0</v>
      </c>
      <c r="AC13" s="165">
        <f t="shared" si="16"/>
        <v>0</v>
      </c>
      <c r="AD13" s="165">
        <f t="shared" si="17"/>
        <v>0</v>
      </c>
      <c r="AE13" s="165"/>
      <c r="AF13" s="230">
        <f t="shared" si="18"/>
        <v>0</v>
      </c>
    </row>
    <row r="14" spans="2:32" ht="26.25" customHeight="1">
      <c r="B14" s="166">
        <f t="shared" si="5"/>
        <v>44480</v>
      </c>
      <c r="C14" s="221"/>
      <c r="D14" s="172"/>
      <c r="E14" s="221"/>
      <c r="F14" s="168">
        <f t="shared" si="6"/>
        <v>0</v>
      </c>
      <c r="G14" s="137"/>
      <c r="H14" s="137"/>
      <c r="I14" s="256">
        <f t="shared" si="1"/>
        <v>0</v>
      </c>
      <c r="J14" s="136"/>
      <c r="K14" s="256">
        <f t="shared" si="0"/>
        <v>0</v>
      </c>
      <c r="L14" s="159">
        <f t="shared" si="2"/>
        <v>0</v>
      </c>
      <c r="M14" s="159">
        <f t="shared" si="3"/>
        <v>0</v>
      </c>
      <c r="N14" s="135"/>
      <c r="O14" s="211">
        <f t="shared" si="19"/>
        <v>0</v>
      </c>
      <c r="P14" s="135"/>
      <c r="Q14" s="159">
        <f t="shared" si="7"/>
        <v>0</v>
      </c>
      <c r="R14" s="159">
        <f t="shared" si="8"/>
        <v>0</v>
      </c>
      <c r="S14" s="159">
        <f t="shared" si="9"/>
        <v>0</v>
      </c>
      <c r="T14" s="159">
        <f t="shared" si="10"/>
        <v>0</v>
      </c>
      <c r="U14" s="159">
        <f t="shared" si="11"/>
        <v>0</v>
      </c>
      <c r="V14" s="162">
        <f t="shared" si="12"/>
        <v>0</v>
      </c>
      <c r="Y14" s="164">
        <f t="shared" si="4"/>
        <v>0</v>
      </c>
      <c r="Z14" s="165">
        <f t="shared" si="13"/>
        <v>0</v>
      </c>
      <c r="AA14" s="165">
        <f t="shared" si="14"/>
        <v>0</v>
      </c>
      <c r="AB14" s="165">
        <f t="shared" si="15"/>
        <v>0</v>
      </c>
      <c r="AC14" s="165">
        <f t="shared" si="16"/>
        <v>0</v>
      </c>
      <c r="AD14" s="165">
        <f t="shared" si="17"/>
        <v>0</v>
      </c>
      <c r="AE14" s="165"/>
      <c r="AF14" s="230">
        <f t="shared" si="18"/>
        <v>0</v>
      </c>
    </row>
    <row r="15" spans="2:32" ht="26.25" customHeight="1">
      <c r="B15" s="166">
        <f t="shared" si="5"/>
        <v>44481</v>
      </c>
      <c r="C15" s="249"/>
      <c r="D15" s="220"/>
      <c r="E15" s="221"/>
      <c r="F15" s="168">
        <f t="shared" si="6"/>
        <v>0</v>
      </c>
      <c r="G15" s="137"/>
      <c r="H15" s="137"/>
      <c r="I15" s="256">
        <f t="shared" si="1"/>
        <v>0</v>
      </c>
      <c r="J15" s="136"/>
      <c r="K15" s="256">
        <f>I15+J15</f>
        <v>0</v>
      </c>
      <c r="L15" s="159">
        <f t="shared" ref="L15:L34" si="20">K15*$L$3</f>
        <v>0</v>
      </c>
      <c r="M15" s="159">
        <f>K15*$M$3</f>
        <v>0</v>
      </c>
      <c r="N15" s="197"/>
      <c r="O15" s="211">
        <f t="shared" si="19"/>
        <v>0</v>
      </c>
      <c r="P15" s="135"/>
      <c r="Q15" s="159">
        <f t="shared" si="7"/>
        <v>0</v>
      </c>
      <c r="R15" s="159">
        <f t="shared" si="8"/>
        <v>0</v>
      </c>
      <c r="S15" s="159">
        <f t="shared" si="9"/>
        <v>0</v>
      </c>
      <c r="T15" s="159">
        <f t="shared" si="10"/>
        <v>0</v>
      </c>
      <c r="U15" s="159">
        <f t="shared" si="11"/>
        <v>0</v>
      </c>
      <c r="V15" s="162">
        <f>L15-T15</f>
        <v>0</v>
      </c>
      <c r="Y15" s="164">
        <f t="shared" si="4"/>
        <v>0</v>
      </c>
      <c r="Z15" s="165">
        <f t="shared" si="13"/>
        <v>0</v>
      </c>
      <c r="AA15" s="165">
        <f t="shared" si="14"/>
        <v>0</v>
      </c>
      <c r="AB15" s="165">
        <f t="shared" si="15"/>
        <v>0</v>
      </c>
      <c r="AC15" s="165">
        <f t="shared" si="16"/>
        <v>0</v>
      </c>
      <c r="AD15" s="165">
        <f t="shared" si="17"/>
        <v>0</v>
      </c>
      <c r="AE15" s="165"/>
      <c r="AF15" s="230">
        <f t="shared" si="18"/>
        <v>0</v>
      </c>
    </row>
    <row r="16" spans="2:32" ht="26.25" customHeight="1">
      <c r="B16" s="166">
        <f t="shared" si="5"/>
        <v>44482</v>
      </c>
      <c r="C16" s="218"/>
      <c r="D16" s="220"/>
      <c r="E16" s="221"/>
      <c r="F16" s="168">
        <f t="shared" si="6"/>
        <v>0</v>
      </c>
      <c r="G16" s="137"/>
      <c r="H16" s="137"/>
      <c r="I16" s="256">
        <f t="shared" si="1"/>
        <v>0</v>
      </c>
      <c r="J16" s="136"/>
      <c r="K16" s="256">
        <f t="shared" ref="K16:K33" si="21">I16+J16</f>
        <v>0</v>
      </c>
      <c r="L16" s="159">
        <f t="shared" si="20"/>
        <v>0</v>
      </c>
      <c r="M16" s="159">
        <f t="shared" ref="M16:M33" si="22">K16*$M$3</f>
        <v>0</v>
      </c>
      <c r="N16" s="135"/>
      <c r="O16" s="211">
        <f t="shared" si="19"/>
        <v>0</v>
      </c>
      <c r="P16" s="135"/>
      <c r="Q16" s="159">
        <f t="shared" si="7"/>
        <v>0</v>
      </c>
      <c r="R16" s="159">
        <f t="shared" si="8"/>
        <v>0</v>
      </c>
      <c r="S16" s="159">
        <f t="shared" si="9"/>
        <v>0</v>
      </c>
      <c r="T16" s="159">
        <f t="shared" si="10"/>
        <v>0</v>
      </c>
      <c r="U16" s="159">
        <f t="shared" si="11"/>
        <v>0</v>
      </c>
      <c r="V16" s="162">
        <f t="shared" si="12"/>
        <v>0</v>
      </c>
      <c r="Y16" s="164">
        <f t="shared" si="4"/>
        <v>0</v>
      </c>
      <c r="Z16" s="165">
        <f t="shared" si="13"/>
        <v>0</v>
      </c>
      <c r="AA16" s="165">
        <f t="shared" si="14"/>
        <v>0</v>
      </c>
      <c r="AB16" s="165">
        <f t="shared" si="15"/>
        <v>0</v>
      </c>
      <c r="AC16" s="165">
        <f t="shared" si="16"/>
        <v>0</v>
      </c>
      <c r="AD16" s="165">
        <f t="shared" si="17"/>
        <v>0</v>
      </c>
      <c r="AE16" s="165"/>
      <c r="AF16" s="230">
        <f t="shared" si="18"/>
        <v>0</v>
      </c>
    </row>
    <row r="17" spans="1:32" s="194" customFormat="1" ht="26.25" customHeight="1">
      <c r="A17" s="124"/>
      <c r="B17" s="198">
        <f t="shared" si="5"/>
        <v>44483</v>
      </c>
      <c r="C17" s="219"/>
      <c r="D17" s="220"/>
      <c r="E17" s="221"/>
      <c r="F17" s="168">
        <f t="shared" si="6"/>
        <v>0</v>
      </c>
      <c r="G17" s="137"/>
      <c r="H17" s="137"/>
      <c r="I17" s="256">
        <f t="shared" si="1"/>
        <v>0</v>
      </c>
      <c r="J17" s="136"/>
      <c r="K17" s="256">
        <f t="shared" si="21"/>
        <v>0</v>
      </c>
      <c r="L17" s="159">
        <f t="shared" si="20"/>
        <v>0</v>
      </c>
      <c r="M17" s="159">
        <f t="shared" si="22"/>
        <v>0</v>
      </c>
      <c r="N17" s="135"/>
      <c r="O17" s="211">
        <f t="shared" si="19"/>
        <v>0</v>
      </c>
      <c r="P17" s="135"/>
      <c r="Q17" s="159">
        <f t="shared" si="7"/>
        <v>0</v>
      </c>
      <c r="R17" s="159">
        <f t="shared" si="8"/>
        <v>0</v>
      </c>
      <c r="S17" s="159">
        <f t="shared" si="9"/>
        <v>0</v>
      </c>
      <c r="T17" s="159">
        <f t="shared" si="10"/>
        <v>0</v>
      </c>
      <c r="U17" s="159">
        <f t="shared" si="11"/>
        <v>0</v>
      </c>
      <c r="V17" s="162">
        <f t="shared" si="12"/>
        <v>0</v>
      </c>
      <c r="W17" s="124"/>
      <c r="X17" s="124"/>
      <c r="Y17" s="195">
        <f t="shared" si="4"/>
        <v>0</v>
      </c>
      <c r="Z17" s="165">
        <f t="shared" si="13"/>
        <v>0</v>
      </c>
      <c r="AA17" s="165">
        <f t="shared" si="14"/>
        <v>0</v>
      </c>
      <c r="AB17" s="165">
        <f t="shared" si="15"/>
        <v>0</v>
      </c>
      <c r="AC17" s="165">
        <f t="shared" si="16"/>
        <v>0</v>
      </c>
      <c r="AD17" s="165">
        <f t="shared" si="17"/>
        <v>0</v>
      </c>
      <c r="AE17" s="196"/>
      <c r="AF17" s="230">
        <f t="shared" si="18"/>
        <v>0</v>
      </c>
    </row>
    <row r="18" spans="1:32" ht="26.25" customHeight="1">
      <c r="B18" s="166">
        <f t="shared" si="5"/>
        <v>44484</v>
      </c>
      <c r="C18" s="218"/>
      <c r="D18" s="220"/>
      <c r="E18" s="221"/>
      <c r="F18" s="168">
        <f t="shared" si="6"/>
        <v>0</v>
      </c>
      <c r="G18" s="137"/>
      <c r="H18" s="137"/>
      <c r="I18" s="256">
        <f t="shared" si="1"/>
        <v>0</v>
      </c>
      <c r="J18" s="136"/>
      <c r="K18" s="256">
        <f t="shared" si="21"/>
        <v>0</v>
      </c>
      <c r="L18" s="159">
        <f t="shared" si="20"/>
        <v>0</v>
      </c>
      <c r="M18" s="159">
        <f t="shared" si="22"/>
        <v>0</v>
      </c>
      <c r="N18" s="135"/>
      <c r="O18" s="211">
        <f t="shared" si="19"/>
        <v>0</v>
      </c>
      <c r="P18" s="135"/>
      <c r="Q18" s="159">
        <f t="shared" si="7"/>
        <v>0</v>
      </c>
      <c r="R18" s="159">
        <f t="shared" si="8"/>
        <v>0</v>
      </c>
      <c r="S18" s="159">
        <f t="shared" si="9"/>
        <v>0</v>
      </c>
      <c r="T18" s="159">
        <f t="shared" si="10"/>
        <v>0</v>
      </c>
      <c r="U18" s="159">
        <f t="shared" si="11"/>
        <v>0</v>
      </c>
      <c r="V18" s="162">
        <f t="shared" si="12"/>
        <v>0</v>
      </c>
      <c r="Y18" s="164">
        <f t="shared" si="4"/>
        <v>0</v>
      </c>
      <c r="Z18" s="165">
        <f t="shared" si="13"/>
        <v>0</v>
      </c>
      <c r="AA18" s="165">
        <f t="shared" si="14"/>
        <v>0</v>
      </c>
      <c r="AB18" s="165">
        <f t="shared" si="15"/>
        <v>0</v>
      </c>
      <c r="AC18" s="165">
        <f t="shared" si="16"/>
        <v>0</v>
      </c>
      <c r="AD18" s="165">
        <f t="shared" si="17"/>
        <v>0</v>
      </c>
      <c r="AE18" s="165"/>
      <c r="AF18" s="230">
        <f t="shared" si="18"/>
        <v>0</v>
      </c>
    </row>
    <row r="19" spans="1:32" ht="26.25" customHeight="1">
      <c r="B19" s="166">
        <f t="shared" si="5"/>
        <v>44485</v>
      </c>
      <c r="C19" s="218"/>
      <c r="D19" s="220"/>
      <c r="E19" s="221"/>
      <c r="F19" s="168">
        <f t="shared" si="6"/>
        <v>0</v>
      </c>
      <c r="G19" s="137"/>
      <c r="H19" s="137"/>
      <c r="I19" s="256">
        <f t="shared" si="1"/>
        <v>0</v>
      </c>
      <c r="J19" s="136"/>
      <c r="K19" s="256">
        <f t="shared" si="21"/>
        <v>0</v>
      </c>
      <c r="L19" s="159">
        <f t="shared" si="20"/>
        <v>0</v>
      </c>
      <c r="M19" s="159">
        <f t="shared" si="22"/>
        <v>0</v>
      </c>
      <c r="N19" s="135"/>
      <c r="O19" s="211">
        <f t="shared" si="19"/>
        <v>0</v>
      </c>
      <c r="P19" s="135"/>
      <c r="Q19" s="159">
        <f t="shared" si="7"/>
        <v>0</v>
      </c>
      <c r="R19" s="159">
        <f t="shared" si="8"/>
        <v>0</v>
      </c>
      <c r="S19" s="159">
        <f t="shared" si="9"/>
        <v>0</v>
      </c>
      <c r="T19" s="159">
        <f t="shared" si="10"/>
        <v>0</v>
      </c>
      <c r="U19" s="159">
        <f t="shared" si="11"/>
        <v>0</v>
      </c>
      <c r="V19" s="162">
        <f t="shared" si="12"/>
        <v>0</v>
      </c>
      <c r="Y19" s="164">
        <f t="shared" si="4"/>
        <v>0</v>
      </c>
      <c r="Z19" s="165">
        <f t="shared" si="13"/>
        <v>0</v>
      </c>
      <c r="AA19" s="165">
        <f t="shared" si="14"/>
        <v>0</v>
      </c>
      <c r="AB19" s="165">
        <f t="shared" si="15"/>
        <v>0</v>
      </c>
      <c r="AC19" s="165">
        <f t="shared" si="16"/>
        <v>0</v>
      </c>
      <c r="AD19" s="165">
        <f t="shared" si="17"/>
        <v>0</v>
      </c>
      <c r="AE19" s="165"/>
      <c r="AF19" s="230">
        <f t="shared" si="18"/>
        <v>0</v>
      </c>
    </row>
    <row r="20" spans="1:32" ht="26.25" customHeight="1">
      <c r="B20" s="166">
        <f t="shared" si="5"/>
        <v>44486</v>
      </c>
      <c r="C20" s="218"/>
      <c r="D20" s="220"/>
      <c r="E20" s="221"/>
      <c r="F20" s="168">
        <f t="shared" si="6"/>
        <v>0</v>
      </c>
      <c r="G20" s="137"/>
      <c r="H20" s="137"/>
      <c r="I20" s="256">
        <f t="shared" si="1"/>
        <v>0</v>
      </c>
      <c r="J20" s="136"/>
      <c r="K20" s="256">
        <f t="shared" si="21"/>
        <v>0</v>
      </c>
      <c r="L20" s="159">
        <f t="shared" si="20"/>
        <v>0</v>
      </c>
      <c r="M20" s="159">
        <f t="shared" si="22"/>
        <v>0</v>
      </c>
      <c r="N20" s="135"/>
      <c r="O20" s="211">
        <f t="shared" si="19"/>
        <v>0</v>
      </c>
      <c r="P20" s="135"/>
      <c r="Q20" s="159">
        <f t="shared" si="7"/>
        <v>0</v>
      </c>
      <c r="R20" s="159">
        <f t="shared" si="8"/>
        <v>0</v>
      </c>
      <c r="S20" s="159">
        <f t="shared" si="9"/>
        <v>0</v>
      </c>
      <c r="T20" s="159">
        <f t="shared" si="10"/>
        <v>0</v>
      </c>
      <c r="U20" s="159">
        <f t="shared" si="11"/>
        <v>0</v>
      </c>
      <c r="V20" s="162">
        <f t="shared" si="12"/>
        <v>0</v>
      </c>
      <c r="Y20" s="164">
        <f t="shared" si="4"/>
        <v>0</v>
      </c>
      <c r="Z20" s="165">
        <f t="shared" si="13"/>
        <v>0</v>
      </c>
      <c r="AA20" s="165">
        <f t="shared" si="14"/>
        <v>0</v>
      </c>
      <c r="AB20" s="165">
        <f t="shared" si="15"/>
        <v>0</v>
      </c>
      <c r="AC20" s="165">
        <f t="shared" si="16"/>
        <v>0</v>
      </c>
      <c r="AD20" s="165">
        <f t="shared" si="17"/>
        <v>0</v>
      </c>
      <c r="AE20" s="165"/>
      <c r="AF20" s="230">
        <f t="shared" si="18"/>
        <v>0</v>
      </c>
    </row>
    <row r="21" spans="1:32" ht="26.25" customHeight="1">
      <c r="B21" s="166">
        <f t="shared" si="5"/>
        <v>44487</v>
      </c>
      <c r="C21" s="218"/>
      <c r="D21" s="220"/>
      <c r="E21" s="221"/>
      <c r="F21" s="168">
        <f t="shared" si="6"/>
        <v>0</v>
      </c>
      <c r="G21" s="137"/>
      <c r="H21" s="137"/>
      <c r="I21" s="256">
        <f t="shared" si="1"/>
        <v>0</v>
      </c>
      <c r="J21" s="136"/>
      <c r="K21" s="256">
        <f t="shared" si="21"/>
        <v>0</v>
      </c>
      <c r="L21" s="159">
        <f t="shared" si="20"/>
        <v>0</v>
      </c>
      <c r="M21" s="159">
        <f t="shared" si="22"/>
        <v>0</v>
      </c>
      <c r="N21" s="135"/>
      <c r="O21" s="211">
        <f t="shared" si="19"/>
        <v>0</v>
      </c>
      <c r="P21" s="135"/>
      <c r="Q21" s="159">
        <f t="shared" si="7"/>
        <v>0</v>
      </c>
      <c r="R21" s="159">
        <f t="shared" si="8"/>
        <v>0</v>
      </c>
      <c r="S21" s="159">
        <f t="shared" si="9"/>
        <v>0</v>
      </c>
      <c r="T21" s="159">
        <f t="shared" si="10"/>
        <v>0</v>
      </c>
      <c r="U21" s="159">
        <f t="shared" si="11"/>
        <v>0</v>
      </c>
      <c r="V21" s="162">
        <f t="shared" si="12"/>
        <v>0</v>
      </c>
      <c r="Y21" s="164">
        <f t="shared" si="4"/>
        <v>0</v>
      </c>
      <c r="Z21" s="165">
        <f t="shared" si="13"/>
        <v>0</v>
      </c>
      <c r="AA21" s="165">
        <f t="shared" si="14"/>
        <v>0</v>
      </c>
      <c r="AB21" s="165">
        <f t="shared" si="15"/>
        <v>0</v>
      </c>
      <c r="AC21" s="165">
        <f t="shared" si="16"/>
        <v>0</v>
      </c>
      <c r="AD21" s="165">
        <f t="shared" si="17"/>
        <v>0</v>
      </c>
      <c r="AE21" s="165"/>
      <c r="AF21" s="230">
        <f t="shared" si="18"/>
        <v>0</v>
      </c>
    </row>
    <row r="22" spans="1:32" ht="26.25" customHeight="1">
      <c r="B22" s="166">
        <f t="shared" si="5"/>
        <v>44488</v>
      </c>
      <c r="C22" s="218"/>
      <c r="D22" s="220"/>
      <c r="E22" s="221"/>
      <c r="F22" s="168">
        <f t="shared" si="6"/>
        <v>0</v>
      </c>
      <c r="G22" s="137"/>
      <c r="H22" s="137"/>
      <c r="I22" s="256">
        <f t="shared" si="1"/>
        <v>0</v>
      </c>
      <c r="J22" s="136"/>
      <c r="K22" s="256">
        <f t="shared" si="21"/>
        <v>0</v>
      </c>
      <c r="L22" s="159">
        <f t="shared" si="20"/>
        <v>0</v>
      </c>
      <c r="M22" s="159">
        <f t="shared" si="22"/>
        <v>0</v>
      </c>
      <c r="N22" s="135"/>
      <c r="O22" s="211">
        <f t="shared" si="19"/>
        <v>0</v>
      </c>
      <c r="P22" s="135"/>
      <c r="Q22" s="159">
        <f t="shared" si="7"/>
        <v>0</v>
      </c>
      <c r="R22" s="159">
        <f t="shared" si="8"/>
        <v>0</v>
      </c>
      <c r="S22" s="159">
        <f t="shared" si="9"/>
        <v>0</v>
      </c>
      <c r="T22" s="159">
        <f t="shared" si="10"/>
        <v>0</v>
      </c>
      <c r="U22" s="159">
        <f t="shared" si="11"/>
        <v>0</v>
      </c>
      <c r="V22" s="162">
        <f t="shared" si="12"/>
        <v>0</v>
      </c>
      <c r="Y22" s="164">
        <f t="shared" si="4"/>
        <v>0</v>
      </c>
      <c r="Z22" s="165">
        <f t="shared" si="13"/>
        <v>0</v>
      </c>
      <c r="AA22" s="165">
        <f t="shared" si="14"/>
        <v>0</v>
      </c>
      <c r="AB22" s="165">
        <f t="shared" si="15"/>
        <v>0</v>
      </c>
      <c r="AC22" s="165">
        <f t="shared" si="16"/>
        <v>0</v>
      </c>
      <c r="AD22" s="165">
        <f t="shared" si="17"/>
        <v>0</v>
      </c>
      <c r="AE22" s="165"/>
      <c r="AF22" s="230">
        <f t="shared" si="18"/>
        <v>0</v>
      </c>
    </row>
    <row r="23" spans="1:32" ht="26.25" customHeight="1">
      <c r="B23" s="166">
        <f t="shared" si="5"/>
        <v>44489</v>
      </c>
      <c r="C23" s="218"/>
      <c r="D23" s="220"/>
      <c r="E23" s="220"/>
      <c r="F23" s="168">
        <f t="shared" si="6"/>
        <v>0</v>
      </c>
      <c r="G23" s="137"/>
      <c r="H23" s="137"/>
      <c r="I23" s="256">
        <f t="shared" si="1"/>
        <v>0</v>
      </c>
      <c r="J23" s="136"/>
      <c r="K23" s="256">
        <f t="shared" si="21"/>
        <v>0</v>
      </c>
      <c r="L23" s="159">
        <f t="shared" si="20"/>
        <v>0</v>
      </c>
      <c r="M23" s="159">
        <f t="shared" si="22"/>
        <v>0</v>
      </c>
      <c r="N23" s="135"/>
      <c r="O23" s="211">
        <f t="shared" si="19"/>
        <v>0</v>
      </c>
      <c r="P23" s="135"/>
      <c r="Q23" s="159">
        <f t="shared" si="7"/>
        <v>0</v>
      </c>
      <c r="R23" s="159">
        <f t="shared" si="8"/>
        <v>0</v>
      </c>
      <c r="S23" s="159">
        <f t="shared" si="9"/>
        <v>0</v>
      </c>
      <c r="T23" s="159">
        <f t="shared" si="10"/>
        <v>0</v>
      </c>
      <c r="U23" s="159">
        <f t="shared" si="11"/>
        <v>0</v>
      </c>
      <c r="V23" s="162">
        <f t="shared" si="12"/>
        <v>0</v>
      </c>
      <c r="Y23" s="164">
        <f t="shared" si="4"/>
        <v>0</v>
      </c>
      <c r="Z23" s="165">
        <f t="shared" si="13"/>
        <v>0</v>
      </c>
      <c r="AA23" s="165">
        <f t="shared" si="14"/>
        <v>0</v>
      </c>
      <c r="AB23" s="165">
        <f t="shared" si="15"/>
        <v>0</v>
      </c>
      <c r="AC23" s="165">
        <f t="shared" si="16"/>
        <v>0</v>
      </c>
      <c r="AD23" s="165">
        <f t="shared" si="17"/>
        <v>0</v>
      </c>
      <c r="AE23" s="165"/>
      <c r="AF23" s="230">
        <f t="shared" si="18"/>
        <v>0</v>
      </c>
    </row>
    <row r="24" spans="1:32" ht="26.25" customHeight="1">
      <c r="B24" s="198">
        <f t="shared" si="5"/>
        <v>44490</v>
      </c>
      <c r="C24" s="219"/>
      <c r="D24" s="220"/>
      <c r="E24" s="220"/>
      <c r="F24" s="168">
        <f t="shared" si="6"/>
        <v>0</v>
      </c>
      <c r="G24" s="137"/>
      <c r="H24" s="137"/>
      <c r="I24" s="256">
        <f t="shared" si="1"/>
        <v>0</v>
      </c>
      <c r="J24" s="136"/>
      <c r="K24" s="256">
        <f t="shared" si="21"/>
        <v>0</v>
      </c>
      <c r="L24" s="159">
        <f t="shared" si="20"/>
        <v>0</v>
      </c>
      <c r="M24" s="159">
        <f t="shared" si="22"/>
        <v>0</v>
      </c>
      <c r="N24" s="135"/>
      <c r="O24" s="211">
        <f t="shared" si="19"/>
        <v>0</v>
      </c>
      <c r="P24" s="135"/>
      <c r="Q24" s="159">
        <f t="shared" si="7"/>
        <v>0</v>
      </c>
      <c r="R24" s="159">
        <f t="shared" si="8"/>
        <v>0</v>
      </c>
      <c r="S24" s="159">
        <f t="shared" si="9"/>
        <v>0</v>
      </c>
      <c r="T24" s="159">
        <f t="shared" si="10"/>
        <v>0</v>
      </c>
      <c r="U24" s="159">
        <f t="shared" si="11"/>
        <v>0</v>
      </c>
      <c r="V24" s="162">
        <f t="shared" si="12"/>
        <v>0</v>
      </c>
      <c r="Y24" s="164">
        <f t="shared" si="4"/>
        <v>0</v>
      </c>
      <c r="Z24" s="165">
        <f t="shared" si="13"/>
        <v>0</v>
      </c>
      <c r="AA24" s="165">
        <f t="shared" si="14"/>
        <v>0</v>
      </c>
      <c r="AB24" s="165">
        <f t="shared" si="15"/>
        <v>0</v>
      </c>
      <c r="AC24" s="165">
        <f t="shared" si="16"/>
        <v>0</v>
      </c>
      <c r="AD24" s="165">
        <f t="shared" si="17"/>
        <v>0</v>
      </c>
      <c r="AE24" s="165"/>
      <c r="AF24" s="230">
        <f t="shared" si="18"/>
        <v>0</v>
      </c>
    </row>
    <row r="25" spans="1:32" ht="26.25" customHeight="1">
      <c r="B25" s="198">
        <f t="shared" si="5"/>
        <v>44491</v>
      </c>
      <c r="C25" s="219"/>
      <c r="D25" s="220"/>
      <c r="E25" s="220"/>
      <c r="F25" s="168">
        <f t="shared" si="6"/>
        <v>0</v>
      </c>
      <c r="G25" s="137"/>
      <c r="H25" s="137"/>
      <c r="I25" s="256">
        <f t="shared" si="1"/>
        <v>0</v>
      </c>
      <c r="J25" s="136"/>
      <c r="K25" s="256">
        <f t="shared" si="21"/>
        <v>0</v>
      </c>
      <c r="L25" s="159">
        <f t="shared" si="20"/>
        <v>0</v>
      </c>
      <c r="M25" s="159">
        <f t="shared" si="22"/>
        <v>0</v>
      </c>
      <c r="N25" s="135"/>
      <c r="O25" s="211">
        <f t="shared" si="19"/>
        <v>0</v>
      </c>
      <c r="P25" s="135"/>
      <c r="Q25" s="159">
        <f t="shared" si="7"/>
        <v>0</v>
      </c>
      <c r="R25" s="159">
        <f t="shared" si="8"/>
        <v>0</v>
      </c>
      <c r="S25" s="159">
        <f t="shared" si="9"/>
        <v>0</v>
      </c>
      <c r="T25" s="159">
        <f t="shared" si="10"/>
        <v>0</v>
      </c>
      <c r="U25" s="159">
        <f t="shared" si="11"/>
        <v>0</v>
      </c>
      <c r="V25" s="162">
        <f t="shared" si="12"/>
        <v>0</v>
      </c>
      <c r="Y25" s="164">
        <f t="shared" si="4"/>
        <v>0</v>
      </c>
      <c r="Z25" s="165">
        <f t="shared" si="13"/>
        <v>0</v>
      </c>
      <c r="AA25" s="165">
        <f t="shared" si="14"/>
        <v>0</v>
      </c>
      <c r="AB25" s="165">
        <f t="shared" si="15"/>
        <v>0</v>
      </c>
      <c r="AC25" s="165">
        <f t="shared" si="16"/>
        <v>0</v>
      </c>
      <c r="AD25" s="165">
        <f t="shared" si="17"/>
        <v>0</v>
      </c>
      <c r="AE25" s="165"/>
      <c r="AF25" s="230">
        <f t="shared" si="18"/>
        <v>0</v>
      </c>
    </row>
    <row r="26" spans="1:32" ht="26.25" customHeight="1">
      <c r="B26" s="166">
        <f t="shared" si="5"/>
        <v>44492</v>
      </c>
      <c r="C26" s="218"/>
      <c r="D26" s="220"/>
      <c r="E26" s="220"/>
      <c r="F26" s="168">
        <f t="shared" si="6"/>
        <v>0</v>
      </c>
      <c r="G26" s="137"/>
      <c r="H26" s="137"/>
      <c r="I26" s="256">
        <f t="shared" si="1"/>
        <v>0</v>
      </c>
      <c r="J26" s="136"/>
      <c r="K26" s="256">
        <f t="shared" si="21"/>
        <v>0</v>
      </c>
      <c r="L26" s="159">
        <f t="shared" si="20"/>
        <v>0</v>
      </c>
      <c r="M26" s="159">
        <f t="shared" si="22"/>
        <v>0</v>
      </c>
      <c r="N26" s="135"/>
      <c r="O26" s="211">
        <f t="shared" si="19"/>
        <v>0</v>
      </c>
      <c r="P26" s="135"/>
      <c r="Q26" s="159">
        <f t="shared" si="7"/>
        <v>0</v>
      </c>
      <c r="R26" s="159">
        <f t="shared" si="8"/>
        <v>0</v>
      </c>
      <c r="S26" s="159">
        <f t="shared" si="9"/>
        <v>0</v>
      </c>
      <c r="T26" s="159">
        <f t="shared" si="10"/>
        <v>0</v>
      </c>
      <c r="U26" s="159">
        <f t="shared" si="11"/>
        <v>0</v>
      </c>
      <c r="V26" s="162">
        <f t="shared" si="12"/>
        <v>0</v>
      </c>
      <c r="Y26" s="164">
        <f t="shared" si="4"/>
        <v>0</v>
      </c>
      <c r="Z26" s="165">
        <f t="shared" si="13"/>
        <v>0</v>
      </c>
      <c r="AA26" s="165">
        <f t="shared" si="14"/>
        <v>0</v>
      </c>
      <c r="AB26" s="165">
        <f t="shared" si="15"/>
        <v>0</v>
      </c>
      <c r="AC26" s="165">
        <f t="shared" si="16"/>
        <v>0</v>
      </c>
      <c r="AD26" s="165">
        <f t="shared" si="17"/>
        <v>0</v>
      </c>
      <c r="AE26" s="165"/>
      <c r="AF26" s="230">
        <f t="shared" si="18"/>
        <v>0</v>
      </c>
    </row>
    <row r="27" spans="1:32" ht="26.25" customHeight="1">
      <c r="B27" s="166">
        <f t="shared" si="5"/>
        <v>44493</v>
      </c>
      <c r="C27" s="218"/>
      <c r="D27" s="220"/>
      <c r="E27" s="220"/>
      <c r="F27" s="168">
        <f t="shared" si="6"/>
        <v>0</v>
      </c>
      <c r="G27" s="137"/>
      <c r="H27" s="137"/>
      <c r="I27" s="256">
        <f t="shared" si="1"/>
        <v>0</v>
      </c>
      <c r="J27" s="136"/>
      <c r="K27" s="256">
        <f t="shared" si="21"/>
        <v>0</v>
      </c>
      <c r="L27" s="159">
        <f t="shared" si="20"/>
        <v>0</v>
      </c>
      <c r="M27" s="159">
        <f t="shared" si="22"/>
        <v>0</v>
      </c>
      <c r="N27" s="135"/>
      <c r="O27" s="211">
        <f t="shared" si="19"/>
        <v>0</v>
      </c>
      <c r="P27" s="135"/>
      <c r="Q27" s="159">
        <f t="shared" si="7"/>
        <v>0</v>
      </c>
      <c r="R27" s="159">
        <f t="shared" si="8"/>
        <v>0</v>
      </c>
      <c r="S27" s="159">
        <f t="shared" si="9"/>
        <v>0</v>
      </c>
      <c r="T27" s="159">
        <f t="shared" si="10"/>
        <v>0</v>
      </c>
      <c r="U27" s="159">
        <f t="shared" si="11"/>
        <v>0</v>
      </c>
      <c r="V27" s="162">
        <f t="shared" si="12"/>
        <v>0</v>
      </c>
      <c r="Y27" s="164">
        <f t="shared" si="4"/>
        <v>0</v>
      </c>
      <c r="Z27" s="165">
        <f t="shared" si="13"/>
        <v>0</v>
      </c>
      <c r="AA27" s="165">
        <f t="shared" si="14"/>
        <v>0</v>
      </c>
      <c r="AB27" s="165">
        <f t="shared" si="15"/>
        <v>0</v>
      </c>
      <c r="AC27" s="165">
        <f t="shared" si="16"/>
        <v>0</v>
      </c>
      <c r="AD27" s="165">
        <f t="shared" si="17"/>
        <v>0</v>
      </c>
      <c r="AE27" s="165"/>
      <c r="AF27" s="230">
        <f t="shared" si="18"/>
        <v>0</v>
      </c>
    </row>
    <row r="28" spans="1:32" ht="26.25" customHeight="1">
      <c r="B28" s="166">
        <f t="shared" si="5"/>
        <v>44494</v>
      </c>
      <c r="C28" s="218"/>
      <c r="D28" s="220"/>
      <c r="E28" s="220"/>
      <c r="F28" s="168">
        <f t="shared" si="6"/>
        <v>0</v>
      </c>
      <c r="G28" s="137"/>
      <c r="H28" s="137"/>
      <c r="I28" s="256">
        <f t="shared" si="1"/>
        <v>0</v>
      </c>
      <c r="J28" s="136"/>
      <c r="K28" s="256">
        <f t="shared" si="21"/>
        <v>0</v>
      </c>
      <c r="L28" s="159">
        <f t="shared" si="20"/>
        <v>0</v>
      </c>
      <c r="M28" s="159">
        <f t="shared" si="22"/>
        <v>0</v>
      </c>
      <c r="N28" s="135"/>
      <c r="O28" s="211">
        <f t="shared" si="19"/>
        <v>0</v>
      </c>
      <c r="P28" s="135"/>
      <c r="Q28" s="159">
        <f t="shared" si="7"/>
        <v>0</v>
      </c>
      <c r="R28" s="159">
        <f t="shared" si="8"/>
        <v>0</v>
      </c>
      <c r="S28" s="159">
        <f t="shared" si="9"/>
        <v>0</v>
      </c>
      <c r="T28" s="159">
        <f t="shared" si="10"/>
        <v>0</v>
      </c>
      <c r="U28" s="159">
        <f t="shared" si="11"/>
        <v>0</v>
      </c>
      <c r="V28" s="162">
        <f t="shared" si="12"/>
        <v>0</v>
      </c>
      <c r="Y28" s="164">
        <f t="shared" si="4"/>
        <v>0</v>
      </c>
      <c r="Z28" s="165">
        <f t="shared" si="13"/>
        <v>0</v>
      </c>
      <c r="AA28" s="165">
        <f t="shared" si="14"/>
        <v>0</v>
      </c>
      <c r="AB28" s="165">
        <f t="shared" si="15"/>
        <v>0</v>
      </c>
      <c r="AC28" s="165">
        <f t="shared" si="16"/>
        <v>0</v>
      </c>
      <c r="AD28" s="165">
        <f t="shared" si="17"/>
        <v>0</v>
      </c>
      <c r="AE28" s="165"/>
      <c r="AF28" s="230">
        <f t="shared" si="18"/>
        <v>0</v>
      </c>
    </row>
    <row r="29" spans="1:32" ht="26.25" customHeight="1">
      <c r="B29" s="166">
        <f t="shared" si="5"/>
        <v>44495</v>
      </c>
      <c r="C29" s="218"/>
      <c r="D29" s="220"/>
      <c r="E29" s="220"/>
      <c r="F29" s="168">
        <f t="shared" si="6"/>
        <v>0</v>
      </c>
      <c r="G29" s="137"/>
      <c r="H29" s="137"/>
      <c r="I29" s="256">
        <f t="shared" si="1"/>
        <v>0</v>
      </c>
      <c r="J29" s="136"/>
      <c r="K29" s="256">
        <f t="shared" si="21"/>
        <v>0</v>
      </c>
      <c r="L29" s="159">
        <f t="shared" si="20"/>
        <v>0</v>
      </c>
      <c r="M29" s="159">
        <f t="shared" si="22"/>
        <v>0</v>
      </c>
      <c r="N29" s="135"/>
      <c r="O29" s="211">
        <f t="shared" si="19"/>
        <v>0</v>
      </c>
      <c r="P29" s="135"/>
      <c r="Q29" s="159">
        <f t="shared" si="7"/>
        <v>0</v>
      </c>
      <c r="R29" s="159">
        <f t="shared" si="8"/>
        <v>0</v>
      </c>
      <c r="S29" s="159">
        <f t="shared" si="9"/>
        <v>0</v>
      </c>
      <c r="T29" s="159">
        <f t="shared" si="10"/>
        <v>0</v>
      </c>
      <c r="U29" s="159">
        <f t="shared" si="11"/>
        <v>0</v>
      </c>
      <c r="V29" s="162">
        <f t="shared" si="12"/>
        <v>0</v>
      </c>
      <c r="Y29" s="164">
        <f t="shared" si="4"/>
        <v>0</v>
      </c>
      <c r="Z29" s="165">
        <f t="shared" si="13"/>
        <v>0</v>
      </c>
      <c r="AA29" s="165">
        <f t="shared" si="14"/>
        <v>0</v>
      </c>
      <c r="AB29" s="165">
        <f t="shared" si="15"/>
        <v>0</v>
      </c>
      <c r="AC29" s="165">
        <f t="shared" si="16"/>
        <v>0</v>
      </c>
      <c r="AD29" s="165">
        <f t="shared" si="17"/>
        <v>0</v>
      </c>
      <c r="AE29" s="165"/>
      <c r="AF29" s="230">
        <f t="shared" si="18"/>
        <v>0</v>
      </c>
    </row>
    <row r="30" spans="1:32" ht="26.25" customHeight="1">
      <c r="B30" s="166">
        <f t="shared" si="5"/>
        <v>44496</v>
      </c>
      <c r="C30" s="218"/>
      <c r="D30" s="220"/>
      <c r="E30" s="220"/>
      <c r="F30" s="168">
        <f t="shared" si="6"/>
        <v>0</v>
      </c>
      <c r="G30" s="137"/>
      <c r="H30" s="137"/>
      <c r="I30" s="256">
        <f t="shared" si="1"/>
        <v>0</v>
      </c>
      <c r="J30" s="136"/>
      <c r="K30" s="256">
        <f t="shared" si="21"/>
        <v>0</v>
      </c>
      <c r="L30" s="159">
        <f t="shared" si="20"/>
        <v>0</v>
      </c>
      <c r="M30" s="159">
        <f t="shared" si="22"/>
        <v>0</v>
      </c>
      <c r="N30" s="135"/>
      <c r="O30" s="211">
        <f t="shared" si="19"/>
        <v>0</v>
      </c>
      <c r="P30" s="135"/>
      <c r="Q30" s="159">
        <f t="shared" si="7"/>
        <v>0</v>
      </c>
      <c r="R30" s="159">
        <f t="shared" si="8"/>
        <v>0</v>
      </c>
      <c r="S30" s="159">
        <f t="shared" si="9"/>
        <v>0</v>
      </c>
      <c r="T30" s="159">
        <f t="shared" si="10"/>
        <v>0</v>
      </c>
      <c r="U30" s="159">
        <f t="shared" si="11"/>
        <v>0</v>
      </c>
      <c r="V30" s="162">
        <f t="shared" si="12"/>
        <v>0</v>
      </c>
      <c r="Y30" s="164">
        <f t="shared" si="4"/>
        <v>0</v>
      </c>
      <c r="Z30" s="165">
        <f t="shared" si="13"/>
        <v>0</v>
      </c>
      <c r="AA30" s="165">
        <f t="shared" si="14"/>
        <v>0</v>
      </c>
      <c r="AB30" s="165">
        <f t="shared" si="15"/>
        <v>0</v>
      </c>
      <c r="AC30" s="165">
        <f t="shared" si="16"/>
        <v>0</v>
      </c>
      <c r="AD30" s="165">
        <f t="shared" si="17"/>
        <v>0</v>
      </c>
      <c r="AE30" s="165"/>
      <c r="AF30" s="230">
        <f t="shared" si="18"/>
        <v>0</v>
      </c>
    </row>
    <row r="31" spans="1:32" ht="26.25" customHeight="1">
      <c r="B31" s="166">
        <f t="shared" si="5"/>
        <v>44497</v>
      </c>
      <c r="C31" s="218"/>
      <c r="D31" s="220"/>
      <c r="E31" s="220"/>
      <c r="F31" s="168">
        <f t="shared" si="6"/>
        <v>0</v>
      </c>
      <c r="G31" s="137"/>
      <c r="H31" s="137"/>
      <c r="I31" s="256">
        <f t="shared" si="1"/>
        <v>0</v>
      </c>
      <c r="J31" s="136"/>
      <c r="K31" s="256">
        <f t="shared" si="21"/>
        <v>0</v>
      </c>
      <c r="L31" s="159">
        <f t="shared" si="20"/>
        <v>0</v>
      </c>
      <c r="M31" s="159">
        <f t="shared" si="22"/>
        <v>0</v>
      </c>
      <c r="N31" s="135"/>
      <c r="O31" s="211">
        <f t="shared" si="19"/>
        <v>0</v>
      </c>
      <c r="P31" s="135"/>
      <c r="Q31" s="159">
        <f t="shared" si="7"/>
        <v>0</v>
      </c>
      <c r="R31" s="159">
        <f t="shared" si="8"/>
        <v>0</v>
      </c>
      <c r="S31" s="159">
        <f t="shared" si="9"/>
        <v>0</v>
      </c>
      <c r="T31" s="159">
        <f t="shared" si="10"/>
        <v>0</v>
      </c>
      <c r="U31" s="159">
        <f t="shared" si="11"/>
        <v>0</v>
      </c>
      <c r="V31" s="162">
        <f t="shared" si="12"/>
        <v>0</v>
      </c>
      <c r="Y31" s="164">
        <f t="shared" si="4"/>
        <v>0</v>
      </c>
      <c r="Z31" s="165">
        <f t="shared" si="13"/>
        <v>0</v>
      </c>
      <c r="AA31" s="165">
        <f t="shared" si="14"/>
        <v>0</v>
      </c>
      <c r="AB31" s="165">
        <f t="shared" si="15"/>
        <v>0</v>
      </c>
      <c r="AC31" s="165">
        <f t="shared" si="16"/>
        <v>0</v>
      </c>
      <c r="AD31" s="165">
        <f t="shared" si="17"/>
        <v>0</v>
      </c>
      <c r="AE31" s="165"/>
      <c r="AF31" s="230">
        <f t="shared" si="18"/>
        <v>0</v>
      </c>
    </row>
    <row r="32" spans="1:32" ht="26.25" customHeight="1">
      <c r="B32" s="166">
        <f t="shared" si="5"/>
        <v>44498</v>
      </c>
      <c r="C32" s="218"/>
      <c r="D32" s="220"/>
      <c r="E32" s="220"/>
      <c r="F32" s="168">
        <f t="shared" si="6"/>
        <v>0</v>
      </c>
      <c r="G32" s="137"/>
      <c r="H32" s="137"/>
      <c r="I32" s="256">
        <f t="shared" si="1"/>
        <v>0</v>
      </c>
      <c r="J32" s="136"/>
      <c r="K32" s="256">
        <f t="shared" si="21"/>
        <v>0</v>
      </c>
      <c r="L32" s="159">
        <f t="shared" si="20"/>
        <v>0</v>
      </c>
      <c r="M32" s="159">
        <f t="shared" si="22"/>
        <v>0</v>
      </c>
      <c r="N32" s="135"/>
      <c r="O32" s="211">
        <f t="shared" si="19"/>
        <v>0</v>
      </c>
      <c r="P32" s="135"/>
      <c r="Q32" s="159">
        <f t="shared" si="7"/>
        <v>0</v>
      </c>
      <c r="R32" s="159">
        <f t="shared" si="8"/>
        <v>0</v>
      </c>
      <c r="S32" s="159">
        <f t="shared" si="9"/>
        <v>0</v>
      </c>
      <c r="T32" s="159">
        <f t="shared" si="10"/>
        <v>0</v>
      </c>
      <c r="U32" s="159">
        <f t="shared" si="11"/>
        <v>0</v>
      </c>
      <c r="V32" s="162">
        <f t="shared" si="12"/>
        <v>0</v>
      </c>
      <c r="Y32" s="164">
        <f t="shared" si="4"/>
        <v>0</v>
      </c>
      <c r="Z32" s="165">
        <f t="shared" si="13"/>
        <v>0</v>
      </c>
      <c r="AA32" s="165">
        <f t="shared" si="14"/>
        <v>0</v>
      </c>
      <c r="AB32" s="165">
        <f t="shared" si="15"/>
        <v>0</v>
      </c>
      <c r="AC32" s="165">
        <f t="shared" si="16"/>
        <v>0</v>
      </c>
      <c r="AD32" s="165">
        <f t="shared" si="17"/>
        <v>0</v>
      </c>
      <c r="AE32" s="165"/>
      <c r="AF32" s="230">
        <f t="shared" si="18"/>
        <v>0</v>
      </c>
    </row>
    <row r="33" spans="2:32" ht="26.25" customHeight="1">
      <c r="B33" s="166">
        <f t="shared" si="5"/>
        <v>44499</v>
      </c>
      <c r="C33" s="218"/>
      <c r="D33" s="220"/>
      <c r="E33" s="220"/>
      <c r="F33" s="168">
        <f t="shared" si="6"/>
        <v>0</v>
      </c>
      <c r="G33" s="137"/>
      <c r="H33" s="137"/>
      <c r="I33" s="256">
        <f t="shared" si="1"/>
        <v>0</v>
      </c>
      <c r="J33" s="136"/>
      <c r="K33" s="256">
        <f t="shared" si="21"/>
        <v>0</v>
      </c>
      <c r="L33" s="159">
        <f t="shared" si="20"/>
        <v>0</v>
      </c>
      <c r="M33" s="159">
        <f t="shared" si="22"/>
        <v>0</v>
      </c>
      <c r="N33" s="135"/>
      <c r="O33" s="211">
        <f t="shared" si="19"/>
        <v>0</v>
      </c>
      <c r="P33" s="135"/>
      <c r="Q33" s="159">
        <f t="shared" si="7"/>
        <v>0</v>
      </c>
      <c r="R33" s="159">
        <f t="shared" si="8"/>
        <v>0</v>
      </c>
      <c r="S33" s="159">
        <f t="shared" si="9"/>
        <v>0</v>
      </c>
      <c r="T33" s="159">
        <f t="shared" si="10"/>
        <v>0</v>
      </c>
      <c r="U33" s="159">
        <f t="shared" si="11"/>
        <v>0</v>
      </c>
      <c r="V33" s="162">
        <f t="shared" si="12"/>
        <v>0</v>
      </c>
      <c r="Y33" s="164">
        <f t="shared" si="4"/>
        <v>0</v>
      </c>
      <c r="Z33" s="165">
        <f t="shared" si="13"/>
        <v>0</v>
      </c>
      <c r="AA33" s="165">
        <f t="shared" si="14"/>
        <v>0</v>
      </c>
      <c r="AB33" s="165">
        <f t="shared" si="15"/>
        <v>0</v>
      </c>
      <c r="AC33" s="165">
        <f t="shared" si="16"/>
        <v>0</v>
      </c>
      <c r="AD33" s="165">
        <f t="shared" si="17"/>
        <v>0</v>
      </c>
      <c r="AE33" s="165"/>
      <c r="AF33" s="230">
        <f t="shared" si="18"/>
        <v>0</v>
      </c>
    </row>
    <row r="34" spans="2:32" ht="26.25" customHeight="1">
      <c r="B34" s="166">
        <f t="shared" si="5"/>
        <v>44500</v>
      </c>
      <c r="C34" s="218"/>
      <c r="D34" s="220"/>
      <c r="E34" s="220"/>
      <c r="F34" s="168">
        <f>SUM(C34:E34)</f>
        <v>0</v>
      </c>
      <c r="G34" s="137"/>
      <c r="H34" s="137"/>
      <c r="I34" s="256">
        <f>-D34-E34-G34-H34</f>
        <v>0</v>
      </c>
      <c r="J34" s="136"/>
      <c r="K34" s="256">
        <f>I34+J34</f>
        <v>0</v>
      </c>
      <c r="L34" s="159">
        <f t="shared" si="20"/>
        <v>0</v>
      </c>
      <c r="M34" s="159">
        <f>K34*$M$3</f>
        <v>0</v>
      </c>
      <c r="N34" s="135"/>
      <c r="O34" s="211">
        <f>N34-P34</f>
        <v>0</v>
      </c>
      <c r="P34" s="135"/>
      <c r="Q34" s="159">
        <f>P34*1.7%</f>
        <v>0</v>
      </c>
      <c r="R34" s="159">
        <f>O34*1.7%</f>
        <v>0</v>
      </c>
      <c r="S34" s="159">
        <f>SUM(Q34:R34)</f>
        <v>0</v>
      </c>
      <c r="T34" s="159">
        <f>S34*50%</f>
        <v>0</v>
      </c>
      <c r="U34" s="159">
        <f>S34*50%</f>
        <v>0</v>
      </c>
      <c r="V34" s="162">
        <f>L34-T34</f>
        <v>0</v>
      </c>
      <c r="Y34" s="164"/>
      <c r="Z34" s="165"/>
      <c r="AA34" s="165"/>
      <c r="AB34" s="165"/>
      <c r="AC34" s="165"/>
      <c r="AD34" s="165"/>
      <c r="AE34" s="165"/>
      <c r="AF34" s="230"/>
    </row>
    <row r="35" spans="2:32" ht="26.25" customHeight="1" thickBot="1">
      <c r="B35" s="138"/>
      <c r="C35" s="218"/>
      <c r="D35" s="220"/>
      <c r="E35" s="220"/>
      <c r="F35" s="168"/>
      <c r="G35" s="137"/>
      <c r="H35" s="137"/>
      <c r="I35" s="256"/>
      <c r="J35" s="136"/>
      <c r="K35" s="256"/>
      <c r="L35" s="159"/>
      <c r="M35" s="159"/>
      <c r="N35" s="135"/>
      <c r="O35" s="211"/>
      <c r="P35" s="135"/>
      <c r="Q35" s="159"/>
      <c r="R35" s="159"/>
      <c r="S35" s="159"/>
      <c r="T35" s="159"/>
      <c r="U35" s="159"/>
      <c r="V35" s="162"/>
      <c r="Y35" s="164">
        <f>Y33+F35</f>
        <v>0</v>
      </c>
      <c r="Z35" s="165">
        <f>Z33+G35+H35</f>
        <v>0</v>
      </c>
      <c r="AA35" s="165">
        <f>O35+AA33</f>
        <v>0</v>
      </c>
      <c r="AB35" s="165">
        <f>AB33+S35</f>
        <v>0</v>
      </c>
      <c r="AC35" s="165">
        <f>AC33+K35</f>
        <v>0</v>
      </c>
      <c r="AD35" s="165">
        <f>P35+AD33</f>
        <v>0</v>
      </c>
      <c r="AE35" s="165"/>
      <c r="AF35" s="230">
        <f>C35+AF33</f>
        <v>0</v>
      </c>
    </row>
    <row r="36" spans="2:32" ht="6.75" customHeight="1" thickBot="1">
      <c r="Z36" s="165">
        <f t="shared" si="13"/>
        <v>0</v>
      </c>
    </row>
    <row r="37" spans="2:32" ht="23.25" customHeight="1" thickBot="1">
      <c r="B37" s="145" t="s">
        <v>99</v>
      </c>
      <c r="C37" s="175">
        <f>SUM(C4:C33)</f>
        <v>0</v>
      </c>
      <c r="D37" s="175">
        <f>SUM(D4:D35)</f>
        <v>0</v>
      </c>
      <c r="E37" s="175">
        <f t="shared" ref="E37:U37" si="23">SUM(E4:E35)</f>
        <v>0</v>
      </c>
      <c r="F37" s="175">
        <f t="shared" si="23"/>
        <v>0</v>
      </c>
      <c r="G37" s="250">
        <f t="shared" si="23"/>
        <v>0</v>
      </c>
      <c r="H37" s="250">
        <f t="shared" si="23"/>
        <v>0</v>
      </c>
      <c r="I37" s="169">
        <f t="shared" si="23"/>
        <v>0</v>
      </c>
      <c r="J37" s="169">
        <f t="shared" si="23"/>
        <v>0</v>
      </c>
      <c r="K37" s="169">
        <f t="shared" si="23"/>
        <v>0</v>
      </c>
      <c r="L37" s="169">
        <f t="shared" si="23"/>
        <v>0</v>
      </c>
      <c r="M37" s="169">
        <f t="shared" si="23"/>
        <v>0</v>
      </c>
      <c r="N37" s="169">
        <f t="shared" si="23"/>
        <v>0</v>
      </c>
      <c r="O37" s="169">
        <f t="shared" si="23"/>
        <v>0</v>
      </c>
      <c r="P37" s="169">
        <f t="shared" si="23"/>
        <v>0</v>
      </c>
      <c r="Q37" s="169">
        <f t="shared" si="23"/>
        <v>0</v>
      </c>
      <c r="R37" s="169">
        <f t="shared" si="23"/>
        <v>0</v>
      </c>
      <c r="S37" s="169">
        <f t="shared" si="23"/>
        <v>0</v>
      </c>
      <c r="T37" s="169">
        <f t="shared" si="23"/>
        <v>0</v>
      </c>
      <c r="U37" s="170">
        <f t="shared" si="23"/>
        <v>0</v>
      </c>
      <c r="V37" s="171">
        <f>SUM(V4:V35)</f>
        <v>0</v>
      </c>
    </row>
    <row r="38" spans="2:32" ht="11.25" customHeight="1">
      <c r="G38" s="146"/>
      <c r="H38" s="146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2:32" ht="24" customHeight="1">
      <c r="D39" s="173"/>
      <c r="E39" s="173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</row>
    <row r="40" spans="2:32" ht="24" customHeight="1">
      <c r="C40" s="242" t="s">
        <v>178</v>
      </c>
      <c r="D40" s="150"/>
      <c r="E40" s="150"/>
      <c r="F40" s="173"/>
      <c r="G40" s="432">
        <f>K37</f>
        <v>0</v>
      </c>
      <c r="H40" s="432"/>
      <c r="I40" s="173"/>
      <c r="J40" s="253"/>
      <c r="K40" s="253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</row>
    <row r="41" spans="2:32" ht="24" customHeight="1" thickBot="1">
      <c r="C41" s="242" t="s">
        <v>176</v>
      </c>
      <c r="D41" s="150"/>
      <c r="E41" s="150"/>
      <c r="F41" s="173"/>
      <c r="G41" s="433">
        <f>L37</f>
        <v>0</v>
      </c>
      <c r="H41" s="433"/>
      <c r="I41" s="173"/>
      <c r="J41" s="253"/>
      <c r="K41" s="253"/>
      <c r="L41" s="173"/>
      <c r="M41" s="173"/>
      <c r="O41" s="173"/>
      <c r="P41" s="173"/>
      <c r="Q41" s="173"/>
      <c r="R41" s="173"/>
      <c r="S41" s="173"/>
      <c r="T41" s="173"/>
      <c r="U41" s="173"/>
      <c r="V41" s="173"/>
      <c r="W41" s="173"/>
    </row>
    <row r="42" spans="2:32" ht="8.25" customHeight="1" thickTop="1">
      <c r="C42" s="242"/>
      <c r="D42" s="150"/>
      <c r="E42" s="150"/>
      <c r="F42" s="173"/>
      <c r="G42" s="244"/>
      <c r="H42" s="244"/>
      <c r="I42" s="173"/>
      <c r="J42" s="245"/>
      <c r="K42" s="245"/>
      <c r="L42" s="173"/>
      <c r="M42" s="173"/>
      <c r="N42" s="148"/>
      <c r="O42" s="173"/>
      <c r="P42" s="173"/>
      <c r="Q42" s="173"/>
      <c r="R42" s="173"/>
      <c r="S42" s="173"/>
      <c r="T42" s="173"/>
      <c r="U42" s="173"/>
      <c r="V42" s="173"/>
      <c r="W42" s="173"/>
    </row>
    <row r="43" spans="2:32" ht="24" customHeight="1">
      <c r="C43" s="242" t="s">
        <v>164</v>
      </c>
      <c r="D43" s="150"/>
      <c r="E43" s="150"/>
      <c r="F43" s="173"/>
      <c r="G43" s="424">
        <f>N37</f>
        <v>0</v>
      </c>
      <c r="H43" s="424"/>
      <c r="I43" s="173"/>
      <c r="J43" s="253"/>
      <c r="K43" s="257" t="s">
        <v>167</v>
      </c>
      <c r="L43" s="173"/>
      <c r="M43" s="173"/>
      <c r="N43" s="173"/>
      <c r="Q43" s="257" t="s">
        <v>171</v>
      </c>
      <c r="R43" s="173"/>
      <c r="S43" s="173"/>
      <c r="V43" s="173"/>
      <c r="W43" s="173"/>
    </row>
    <row r="44" spans="2:32" ht="24" customHeight="1">
      <c r="C44" s="242" t="s">
        <v>165</v>
      </c>
      <c r="D44" s="150"/>
      <c r="E44" s="150"/>
      <c r="F44" s="173"/>
      <c r="G44" s="424">
        <f>G43*1.7%</f>
        <v>0</v>
      </c>
      <c r="H44" s="424"/>
      <c r="I44" s="173"/>
      <c r="J44" s="253"/>
      <c r="K44" s="148" t="s">
        <v>168</v>
      </c>
      <c r="L44" s="246"/>
      <c r="M44" s="246"/>
      <c r="N44" s="246"/>
      <c r="Q44" s="148" t="s">
        <v>189</v>
      </c>
      <c r="R44" s="173"/>
      <c r="S44" s="173"/>
      <c r="V44" s="173"/>
      <c r="W44" s="173"/>
    </row>
    <row r="45" spans="2:32" ht="24" customHeight="1">
      <c r="C45" s="242" t="s">
        <v>174</v>
      </c>
      <c r="D45" s="150"/>
      <c r="E45" s="150"/>
      <c r="F45" s="173"/>
      <c r="G45" s="424">
        <f>G44*50%</f>
        <v>0</v>
      </c>
      <c r="H45" s="424"/>
      <c r="I45" s="173"/>
      <c r="J45" s="253"/>
      <c r="K45" s="148"/>
      <c r="L45" s="173"/>
      <c r="M45" s="173"/>
      <c r="N45" s="173"/>
      <c r="Q45" s="148"/>
      <c r="R45" s="173"/>
      <c r="S45" s="173"/>
      <c r="V45" s="173"/>
      <c r="W45" s="173"/>
    </row>
    <row r="46" spans="2:32" ht="24" customHeight="1">
      <c r="B46" s="149"/>
      <c r="C46" s="242" t="s">
        <v>166</v>
      </c>
      <c r="D46" s="150"/>
      <c r="E46" s="150"/>
      <c r="F46" s="173"/>
      <c r="G46" s="432">
        <f>-Q37</f>
        <v>0</v>
      </c>
      <c r="H46" s="432"/>
      <c r="I46" s="173"/>
      <c r="J46" s="253"/>
      <c r="K46" s="257" t="s">
        <v>169</v>
      </c>
      <c r="L46" s="173"/>
      <c r="M46" s="173"/>
      <c r="N46" s="173"/>
      <c r="Q46" s="257" t="s">
        <v>169</v>
      </c>
      <c r="R46" s="173"/>
      <c r="S46" s="173"/>
      <c r="V46" s="173"/>
      <c r="W46" s="173"/>
    </row>
    <row r="47" spans="2:32" ht="24" customHeight="1" thickBot="1">
      <c r="B47" s="149"/>
      <c r="C47" s="242"/>
      <c r="D47" s="173"/>
      <c r="E47" s="173"/>
      <c r="F47" s="173"/>
      <c r="G47" s="425">
        <f>SUM(G45:I46)</f>
        <v>0</v>
      </c>
      <c r="H47" s="425"/>
      <c r="I47" s="173"/>
      <c r="J47" s="252"/>
      <c r="K47" s="148" t="s">
        <v>170</v>
      </c>
      <c r="L47" s="246"/>
      <c r="M47" s="246"/>
      <c r="N47" s="246"/>
      <c r="Q47" s="148" t="s">
        <v>190</v>
      </c>
      <c r="R47" s="173"/>
      <c r="S47" s="173"/>
      <c r="V47" s="173"/>
      <c r="W47" s="173"/>
    </row>
    <row r="48" spans="2:32" ht="10.5" customHeight="1" thickTop="1">
      <c r="B48" s="149"/>
      <c r="C48" s="242"/>
      <c r="D48" s="173"/>
      <c r="E48" s="173"/>
      <c r="F48" s="173"/>
      <c r="G48" s="243"/>
      <c r="H48" s="243"/>
      <c r="I48" s="173"/>
      <c r="J48" s="173"/>
      <c r="K48" s="148"/>
      <c r="L48" s="173"/>
      <c r="M48" s="173"/>
      <c r="N48" s="173"/>
      <c r="Q48" s="148"/>
      <c r="R48" s="173"/>
      <c r="S48" s="173"/>
      <c r="V48" s="173"/>
      <c r="W48" s="173"/>
    </row>
    <row r="49" spans="2:23" ht="26.25" customHeight="1">
      <c r="B49" s="255"/>
      <c r="C49" s="242" t="s">
        <v>163</v>
      </c>
      <c r="D49" s="173"/>
      <c r="E49" s="173"/>
      <c r="F49" s="173"/>
      <c r="G49" s="424">
        <f>-F37</f>
        <v>0</v>
      </c>
      <c r="H49" s="424"/>
      <c r="I49" s="173"/>
      <c r="J49" s="253"/>
      <c r="K49" s="148"/>
      <c r="L49" s="173"/>
      <c r="M49" s="173"/>
      <c r="N49" s="173"/>
      <c r="Q49" s="148"/>
      <c r="R49" s="173"/>
      <c r="S49" s="173"/>
      <c r="V49" s="173"/>
      <c r="W49" s="173"/>
    </row>
    <row r="50" spans="2:23" ht="18.75" customHeight="1">
      <c r="B50" s="254"/>
      <c r="C50" s="242" t="s">
        <v>177</v>
      </c>
      <c r="D50" s="173"/>
      <c r="E50" s="173"/>
      <c r="F50" s="173"/>
      <c r="G50" s="244"/>
      <c r="H50" s="244"/>
      <c r="I50" s="173"/>
      <c r="J50" s="253"/>
      <c r="K50" s="148"/>
      <c r="L50" s="173"/>
      <c r="M50" s="173"/>
      <c r="N50" s="173"/>
      <c r="Q50" s="148"/>
      <c r="R50" s="173"/>
      <c r="S50" s="173"/>
      <c r="V50" s="173"/>
      <c r="W50" s="173"/>
    </row>
    <row r="51" spans="2:23" ht="18" customHeight="1">
      <c r="C51" s="242"/>
      <c r="E51" s="254"/>
      <c r="F51" s="254"/>
      <c r="I51" s="173"/>
      <c r="J51" s="148"/>
      <c r="K51" s="148"/>
      <c r="L51" s="173"/>
      <c r="M51" s="173"/>
      <c r="N51" s="173"/>
      <c r="Q51" s="148"/>
      <c r="R51" s="173"/>
      <c r="S51" s="173"/>
      <c r="V51" s="150"/>
      <c r="W51" s="150"/>
    </row>
    <row r="52" spans="2:23" ht="21" customHeight="1" thickBot="1">
      <c r="C52" s="242" t="s">
        <v>175</v>
      </c>
      <c r="G52" s="425">
        <f>G49+G50+G41+G47</f>
        <v>0</v>
      </c>
      <c r="H52" s="425"/>
      <c r="I52" s="173"/>
      <c r="J52" s="252"/>
      <c r="K52" s="148"/>
      <c r="L52" s="173"/>
      <c r="M52" s="173"/>
      <c r="N52" s="173"/>
      <c r="Q52" s="148"/>
      <c r="R52" s="173"/>
      <c r="S52" s="173"/>
      <c r="V52" s="150"/>
      <c r="W52" s="150"/>
    </row>
    <row r="53" spans="2:23" ht="29.25" thickTop="1">
      <c r="B53" s="124"/>
      <c r="C53" s="124"/>
      <c r="D53" s="124"/>
      <c r="G53" s="151"/>
      <c r="H53" s="151"/>
      <c r="I53" s="173"/>
      <c r="K53" s="257" t="s">
        <v>173</v>
      </c>
      <c r="L53" s="173"/>
      <c r="M53" s="173"/>
      <c r="N53" s="173"/>
      <c r="Q53" s="257" t="s">
        <v>45</v>
      </c>
      <c r="R53" s="173"/>
      <c r="S53" s="173"/>
      <c r="V53" s="150"/>
      <c r="W53" s="150"/>
    </row>
    <row r="54" spans="2:23" ht="28.5">
      <c r="B54" s="124"/>
      <c r="C54" s="124"/>
      <c r="D54" s="124"/>
      <c r="E54" s="124"/>
      <c r="F54" s="124"/>
      <c r="I54" s="173"/>
      <c r="K54" s="148" t="s">
        <v>172</v>
      </c>
      <c r="L54" s="246"/>
      <c r="M54" s="246"/>
      <c r="N54" s="246"/>
      <c r="Q54" s="148" t="s">
        <v>191</v>
      </c>
      <c r="R54" s="173"/>
      <c r="S54" s="173"/>
      <c r="U54" s="150"/>
      <c r="V54" s="150"/>
      <c r="W54" s="150"/>
    </row>
    <row r="55" spans="2:23" ht="28.5">
      <c r="B55" s="124"/>
      <c r="C55" s="124"/>
      <c r="D55" s="124"/>
      <c r="E55" s="124"/>
      <c r="F55" s="124"/>
      <c r="I55" s="153"/>
      <c r="J55" s="153"/>
      <c r="K55" s="148"/>
      <c r="L55" s="173"/>
      <c r="M55" s="173"/>
      <c r="N55" s="173"/>
      <c r="Q55" s="148"/>
      <c r="R55" s="173"/>
      <c r="S55" s="173"/>
      <c r="U55" s="150"/>
      <c r="W55" s="150"/>
    </row>
    <row r="56" spans="2:23" ht="23.25">
      <c r="E56" s="124"/>
      <c r="F56" s="124"/>
      <c r="I56" s="154"/>
      <c r="J56" s="154"/>
      <c r="K56" s="257" t="s">
        <v>169</v>
      </c>
      <c r="Q56" s="257" t="s">
        <v>169</v>
      </c>
      <c r="R56" s="150"/>
      <c r="S56" s="150"/>
      <c r="W56" s="150"/>
    </row>
    <row r="57" spans="2:23" ht="18.75">
      <c r="I57" s="155"/>
      <c r="J57" s="155"/>
      <c r="K57" s="148" t="s">
        <v>170</v>
      </c>
      <c r="L57" s="248"/>
      <c r="M57" s="248"/>
      <c r="N57" s="248"/>
      <c r="Q57" s="148" t="s">
        <v>192</v>
      </c>
      <c r="R57" s="150"/>
      <c r="S57" s="150"/>
    </row>
    <row r="58" spans="2:23" ht="18.75">
      <c r="I58" s="156"/>
      <c r="J58" s="156"/>
      <c r="K58" s="247"/>
      <c r="L58" s="152"/>
      <c r="M58" s="152"/>
      <c r="Q58" s="150"/>
      <c r="R58" s="150"/>
    </row>
    <row r="59" spans="2:23" ht="18.75">
      <c r="I59" s="156"/>
      <c r="J59" s="156"/>
      <c r="N59" s="247"/>
      <c r="T59" s="150"/>
    </row>
    <row r="60" spans="2:23">
      <c r="I60" s="156"/>
      <c r="J60" s="156"/>
      <c r="K60" s="156"/>
    </row>
    <row r="61" spans="2:23">
      <c r="I61" s="156"/>
      <c r="J61" s="156"/>
      <c r="K61" s="156"/>
    </row>
    <row r="62" spans="2:23">
      <c r="I62" s="156"/>
      <c r="J62" s="156"/>
      <c r="K62" s="156"/>
    </row>
    <row r="63" spans="2:23">
      <c r="I63" s="156"/>
      <c r="J63" s="156"/>
      <c r="K63" s="156"/>
    </row>
    <row r="64" spans="2:23">
      <c r="I64" s="156"/>
      <c r="J64" s="156"/>
      <c r="K64" s="156"/>
    </row>
    <row r="65" spans="7:22" s="123" customFormat="1">
      <c r="G65" s="124"/>
      <c r="H65" s="124"/>
      <c r="I65" s="156"/>
      <c r="J65" s="156"/>
      <c r="K65" s="156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</row>
    <row r="66" spans="7:22">
      <c r="I66" s="156"/>
      <c r="J66" s="156"/>
      <c r="K66" s="156"/>
    </row>
    <row r="67" spans="7:22">
      <c r="I67" s="156"/>
      <c r="J67" s="156"/>
      <c r="K67" s="156"/>
    </row>
  </sheetData>
  <mergeCells count="10">
    <mergeCell ref="G46:H46"/>
    <mergeCell ref="G47:H47"/>
    <mergeCell ref="G49:H49"/>
    <mergeCell ref="G52:H52"/>
    <mergeCell ref="B2:V2"/>
    <mergeCell ref="G40:H40"/>
    <mergeCell ref="G41:H41"/>
    <mergeCell ref="G43:H43"/>
    <mergeCell ref="G44:H44"/>
    <mergeCell ref="G45:H45"/>
  </mergeCells>
  <conditionalFormatting sqref="B5:C5 B4 B6:B14 B15:C35">
    <cfRule type="duplicateValues" dxfId="2" priority="1"/>
    <cfRule type="duplicateValues" dxfId="1" priority="2"/>
  </conditionalFormatting>
  <printOptions horizontalCentered="1"/>
  <pageMargins left="0" right="0" top="0" bottom="0" header="0" footer="0"/>
  <pageSetup scale="40" orientation="landscape" horizontalDpi="360" verticalDpi="360" r:id="rId1"/>
  <ignoredErrors>
    <ignoredError sqref="F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16</vt:i4>
      </vt:variant>
    </vt:vector>
  </HeadingPairs>
  <TitlesOfParts>
    <vt:vector size="38" baseType="lpstr">
      <vt:lpstr>Sheet1</vt:lpstr>
      <vt:lpstr>Summary</vt:lpstr>
      <vt:lpstr>AE黄兰芳（0.3%）</vt:lpstr>
      <vt:lpstr>MK2(0.1%)</vt:lpstr>
      <vt:lpstr>REPORT MTD</vt:lpstr>
      <vt:lpstr>PZ50%</vt:lpstr>
      <vt:lpstr>TG50%</vt:lpstr>
      <vt:lpstr>KK50%</vt:lpstr>
      <vt:lpstr>AA50%</vt:lpstr>
      <vt:lpstr>DS50%</vt:lpstr>
      <vt:lpstr>XU80%</vt:lpstr>
      <vt:lpstr>QI50%</vt:lpstr>
      <vt:lpstr>EO50%</vt:lpstr>
      <vt:lpstr>ZZ50% </vt:lpstr>
      <vt:lpstr>DG50%</vt:lpstr>
      <vt:lpstr>AD100%</vt:lpstr>
      <vt:lpstr>DH80% </vt:lpstr>
      <vt:lpstr>ZG50%</vt:lpstr>
      <vt:lpstr>AL50%</vt:lpstr>
      <vt:lpstr>SS50%</vt:lpstr>
      <vt:lpstr>LH</vt:lpstr>
      <vt:lpstr>MK</vt:lpstr>
      <vt:lpstr>'AA50%'!Print_Area</vt:lpstr>
      <vt:lpstr>'AD100%'!Print_Area</vt:lpstr>
      <vt:lpstr>'AL50%'!Print_Area</vt:lpstr>
      <vt:lpstr>'DG50%'!Print_Area</vt:lpstr>
      <vt:lpstr>'DH80% '!Print_Area</vt:lpstr>
      <vt:lpstr>'DS50%'!Print_Area</vt:lpstr>
      <vt:lpstr>'EO50%'!Print_Area</vt:lpstr>
      <vt:lpstr>'KK50%'!Print_Area</vt:lpstr>
      <vt:lpstr>'PZ50%'!Print_Area</vt:lpstr>
      <vt:lpstr>'QI50%'!Print_Area</vt:lpstr>
      <vt:lpstr>'REPORT MTD'!Print_Area</vt:lpstr>
      <vt:lpstr>'SS50%'!Print_Area</vt:lpstr>
      <vt:lpstr>'TG50%'!Print_Area</vt:lpstr>
      <vt:lpstr>'XU80%'!Print_Area</vt:lpstr>
      <vt:lpstr>'ZG50%'!Print_Area</vt:lpstr>
      <vt:lpstr>'ZZ50%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Cage</dc:creator>
  <cp:lastModifiedBy>Ivy Cage</cp:lastModifiedBy>
  <cp:lastPrinted>2022-02-04T17:05:45Z</cp:lastPrinted>
  <dcterms:created xsi:type="dcterms:W3CDTF">2020-11-07T05:37:14Z</dcterms:created>
  <dcterms:modified xsi:type="dcterms:W3CDTF">2022-02-18T21:55:11Z</dcterms:modified>
</cp:coreProperties>
</file>