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MONTHLY REPORT" sheetId="7" r:id="rId1"/>
    <sheet name="股东线报表" sheetId="10" r:id="rId2"/>
    <sheet name="PZ002" sheetId="8" r:id="rId3"/>
    <sheet name="PZ001" sheetId="9" state="hidden" r:id="rId4"/>
  </sheets>
  <definedNames>
    <definedName name="PLAYER">#REF!</definedName>
    <definedName name="_xlnm.Print_Area" localSheetId="0">'MONTHLY REPORT'!$A$1:$T$47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7" l="1"/>
  <c r="S4" i="7"/>
  <c r="E47" i="7"/>
  <c r="E44" i="7"/>
  <c r="E43" i="7"/>
  <c r="E42" i="7"/>
  <c r="E41" i="7"/>
  <c r="F31" i="7"/>
  <c r="F35" i="7"/>
  <c r="E38" i="7" l="1"/>
  <c r="Q4" i="7" l="1"/>
  <c r="M4" i="7"/>
  <c r="J4" i="7"/>
  <c r="I4" i="7"/>
  <c r="M17" i="7" l="1"/>
  <c r="H5" i="10" l="1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4" i="10"/>
  <c r="E16" i="10"/>
  <c r="I6" i="10" l="1"/>
  <c r="E34" i="10"/>
  <c r="E28" i="10"/>
  <c r="I31" i="10"/>
  <c r="I27" i="10"/>
  <c r="I19" i="10"/>
  <c r="I15" i="10"/>
  <c r="I7" i="10"/>
  <c r="I14" i="10"/>
  <c r="I28" i="10"/>
  <c r="I16" i="10"/>
  <c r="J16" i="10" s="1"/>
  <c r="E12" i="10"/>
  <c r="I29" i="10"/>
  <c r="I21" i="10"/>
  <c r="I26" i="10"/>
  <c r="E24" i="10"/>
  <c r="E33" i="10"/>
  <c r="I10" i="10"/>
  <c r="E4" i="10"/>
  <c r="I33" i="10"/>
  <c r="I25" i="10"/>
  <c r="I13" i="10"/>
  <c r="I9" i="10"/>
  <c r="I32" i="10"/>
  <c r="I8" i="10"/>
  <c r="I34" i="10"/>
  <c r="J34" i="10" s="1"/>
  <c r="E15" i="10"/>
  <c r="J15" i="10" s="1"/>
  <c r="E9" i="10"/>
  <c r="J9" i="10" s="1"/>
  <c r="I22" i="10"/>
  <c r="E22" i="10"/>
  <c r="E27" i="10"/>
  <c r="E21" i="10"/>
  <c r="J21" i="10" s="1"/>
  <c r="E29" i="10"/>
  <c r="J29" i="10" s="1"/>
  <c r="E23" i="10"/>
  <c r="E17" i="10"/>
  <c r="E11" i="10"/>
  <c r="J11" i="10" s="1"/>
  <c r="E5" i="10"/>
  <c r="E30" i="10"/>
  <c r="E18" i="10"/>
  <c r="E6" i="10"/>
  <c r="J6" i="10" s="1"/>
  <c r="E10" i="10"/>
  <c r="G35" i="10"/>
  <c r="I23" i="10"/>
  <c r="I17" i="10"/>
  <c r="I11" i="10"/>
  <c r="I5" i="10"/>
  <c r="I30" i="10"/>
  <c r="I24" i="10"/>
  <c r="I18" i="10"/>
  <c r="I12" i="10"/>
  <c r="H35" i="10"/>
  <c r="I20" i="10"/>
  <c r="J10" i="10"/>
  <c r="I4" i="10"/>
  <c r="D35" i="10"/>
  <c r="E31" i="10"/>
  <c r="E25" i="10"/>
  <c r="E19" i="10"/>
  <c r="J19" i="10" s="1"/>
  <c r="E13" i="10"/>
  <c r="J13" i="10" s="1"/>
  <c r="E7" i="10"/>
  <c r="E32" i="10"/>
  <c r="E26" i="10"/>
  <c r="E20" i="10"/>
  <c r="E14" i="10"/>
  <c r="E8" i="10"/>
  <c r="J8" i="10" s="1"/>
  <c r="C35" i="10"/>
  <c r="B35" i="10"/>
  <c r="J28" i="10" l="1"/>
  <c r="J31" i="10"/>
  <c r="J7" i="10"/>
  <c r="J33" i="10"/>
  <c r="J20" i="10"/>
  <c r="J12" i="10"/>
  <c r="J5" i="10"/>
  <c r="J27" i="10"/>
  <c r="J14" i="10"/>
  <c r="J26" i="10"/>
  <c r="J25" i="10"/>
  <c r="J24" i="10"/>
  <c r="J32" i="10"/>
  <c r="J30" i="10"/>
  <c r="J22" i="10"/>
  <c r="J23" i="10"/>
  <c r="J18" i="10"/>
  <c r="J17" i="10"/>
  <c r="I35" i="10"/>
  <c r="J4" i="10"/>
  <c r="E35" i="10"/>
  <c r="M10" i="7"/>
  <c r="J35" i="10" l="1"/>
  <c r="J8" i="7"/>
  <c r="J7" i="7"/>
  <c r="E7" i="7"/>
  <c r="F7" i="7" s="1"/>
  <c r="E6" i="7"/>
  <c r="B8" i="7" l="1"/>
  <c r="E8" i="7" s="1"/>
  <c r="F8" i="7" s="1"/>
  <c r="Q7" i="7" l="1"/>
  <c r="Q33" i="7" l="1"/>
  <c r="M33" i="7"/>
  <c r="R33" i="7" s="1"/>
  <c r="J33" i="7"/>
  <c r="S33" i="7" s="1"/>
  <c r="I33" i="7"/>
  <c r="E33" i="7"/>
  <c r="D33" i="7"/>
  <c r="C33" i="7"/>
  <c r="F33" i="7" l="1"/>
  <c r="G13" i="9"/>
  <c r="G14" i="9"/>
  <c r="F15" i="9"/>
  <c r="D15" i="9"/>
  <c r="C15" i="9"/>
  <c r="G12" i="9"/>
  <c r="G11" i="9"/>
  <c r="G10" i="9"/>
  <c r="G9" i="9"/>
  <c r="G8" i="9"/>
  <c r="G7" i="9"/>
  <c r="G6" i="9"/>
  <c r="G5" i="9"/>
  <c r="G4" i="9"/>
  <c r="I3" i="9"/>
  <c r="E3" i="9"/>
  <c r="E11" i="9" s="1"/>
  <c r="G14" i="8"/>
  <c r="E14" i="8"/>
  <c r="E7" i="8"/>
  <c r="E8" i="8"/>
  <c r="E9" i="8"/>
  <c r="E10" i="8"/>
  <c r="E11" i="8"/>
  <c r="E12" i="8"/>
  <c r="E13" i="8"/>
  <c r="G7" i="8"/>
  <c r="G8" i="8"/>
  <c r="G9" i="8"/>
  <c r="G10" i="8"/>
  <c r="G11" i="8"/>
  <c r="G12" i="8"/>
  <c r="G13" i="8"/>
  <c r="F15" i="8"/>
  <c r="D15" i="8"/>
  <c r="C15" i="8"/>
  <c r="G6" i="8"/>
  <c r="E6" i="8"/>
  <c r="G5" i="8"/>
  <c r="E5" i="8"/>
  <c r="H5" i="8" s="1"/>
  <c r="I5" i="8" s="1"/>
  <c r="G4" i="8"/>
  <c r="E4" i="8"/>
  <c r="I3" i="8"/>
  <c r="E9" i="9" l="1"/>
  <c r="H9" i="9" s="1"/>
  <c r="I9" i="9" s="1"/>
  <c r="E14" i="9"/>
  <c r="H14" i="9" s="1"/>
  <c r="I14" i="9" s="1"/>
  <c r="E13" i="9"/>
  <c r="H13" i="9" s="1"/>
  <c r="I13" i="9" s="1"/>
  <c r="E6" i="9"/>
  <c r="H6" i="9" s="1"/>
  <c r="I6" i="9" s="1"/>
  <c r="H11" i="9"/>
  <c r="I11" i="9" s="1"/>
  <c r="E7" i="9"/>
  <c r="H7" i="9" s="1"/>
  <c r="I7" i="9" s="1"/>
  <c r="E4" i="9"/>
  <c r="H4" i="9" s="1"/>
  <c r="E12" i="9"/>
  <c r="H12" i="9" s="1"/>
  <c r="I12" i="9" s="1"/>
  <c r="G15" i="9"/>
  <c r="E10" i="9"/>
  <c r="H10" i="9" s="1"/>
  <c r="I10" i="9" s="1"/>
  <c r="E5" i="9"/>
  <c r="H5" i="9" s="1"/>
  <c r="I5" i="9" s="1"/>
  <c r="E8" i="9"/>
  <c r="H8" i="9" s="1"/>
  <c r="I8" i="9" s="1"/>
  <c r="H9" i="8"/>
  <c r="I9" i="8" s="1"/>
  <c r="H8" i="8"/>
  <c r="I8" i="8" s="1"/>
  <c r="H7" i="8"/>
  <c r="I7" i="8" s="1"/>
  <c r="H12" i="8"/>
  <c r="I12" i="8" s="1"/>
  <c r="H14" i="8"/>
  <c r="I14" i="8" s="1"/>
  <c r="H13" i="8"/>
  <c r="I13" i="8" s="1"/>
  <c r="H11" i="8"/>
  <c r="I11" i="8" s="1"/>
  <c r="H10" i="8"/>
  <c r="I10" i="8" s="1"/>
  <c r="G15" i="8"/>
  <c r="H6" i="8"/>
  <c r="I6" i="8" s="1"/>
  <c r="H4" i="8"/>
  <c r="I4" i="8" s="1"/>
  <c r="E15" i="8"/>
  <c r="H15" i="9" l="1"/>
  <c r="I4" i="9"/>
  <c r="I15" i="9" s="1"/>
  <c r="E15" i="9"/>
  <c r="I15" i="8"/>
  <c r="H15" i="8"/>
  <c r="C14" i="7" l="1"/>
  <c r="I7" i="7" l="1"/>
  <c r="M7" i="7"/>
  <c r="M6" i="7" l="1"/>
  <c r="M26" i="7" l="1"/>
  <c r="N35" i="7"/>
  <c r="K35" i="7" l="1"/>
  <c r="L35" i="7"/>
  <c r="O35" i="7"/>
  <c r="P35" i="7"/>
  <c r="H35" i="7"/>
  <c r="C31" i="7" l="1"/>
  <c r="C28" i="7" l="1"/>
  <c r="C24" i="7" l="1"/>
  <c r="C23" i="7" l="1"/>
  <c r="D23" i="7"/>
  <c r="D24" i="7"/>
  <c r="D25" i="7"/>
  <c r="D26" i="7"/>
  <c r="D27" i="7"/>
  <c r="D28" i="7"/>
  <c r="D29" i="7"/>
  <c r="D30" i="7"/>
  <c r="D31" i="7"/>
  <c r="D32" i="7"/>
  <c r="D34" i="7"/>
  <c r="E23" i="7"/>
  <c r="Q5" i="7" l="1"/>
  <c r="Q6" i="7"/>
  <c r="R6" i="7" s="1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R26" i="7" s="1"/>
  <c r="Q27" i="7"/>
  <c r="Q28" i="7"/>
  <c r="Q29" i="7"/>
  <c r="Q30" i="7"/>
  <c r="Q31" i="7"/>
  <c r="Q32" i="7"/>
  <c r="Q34" i="7"/>
  <c r="Q35" i="7" l="1"/>
  <c r="M25" i="7"/>
  <c r="R25" i="7" s="1"/>
  <c r="B35" i="7"/>
  <c r="M5" i="7" l="1"/>
  <c r="M8" i="7"/>
  <c r="M9" i="7"/>
  <c r="M11" i="7"/>
  <c r="M12" i="7"/>
  <c r="R12" i="7" s="1"/>
  <c r="M13" i="7"/>
  <c r="M14" i="7"/>
  <c r="M15" i="7"/>
  <c r="M16" i="7"/>
  <c r="M18" i="7"/>
  <c r="M19" i="7"/>
  <c r="M20" i="7"/>
  <c r="M21" i="7"/>
  <c r="M22" i="7"/>
  <c r="M23" i="7"/>
  <c r="M24" i="7"/>
  <c r="R24" i="7" s="1"/>
  <c r="M27" i="7"/>
  <c r="R27" i="7" s="1"/>
  <c r="M28" i="7"/>
  <c r="M29" i="7"/>
  <c r="M30" i="7"/>
  <c r="M31" i="7"/>
  <c r="M32" i="7"/>
  <c r="M34" i="7"/>
  <c r="R34" i="7" s="1"/>
  <c r="E15" i="7"/>
  <c r="D15" i="7"/>
  <c r="C15" i="7"/>
  <c r="E14" i="7"/>
  <c r="D14" i="7"/>
  <c r="E13" i="7"/>
  <c r="D13" i="7"/>
  <c r="C13" i="7"/>
  <c r="E20" i="7"/>
  <c r="D20" i="7"/>
  <c r="C20" i="7"/>
  <c r="E19" i="7"/>
  <c r="D19" i="7"/>
  <c r="C19" i="7"/>
  <c r="E18" i="7"/>
  <c r="D18" i="7"/>
  <c r="C18" i="7"/>
  <c r="E17" i="7"/>
  <c r="D17" i="7"/>
  <c r="C17" i="7"/>
  <c r="E16" i="7"/>
  <c r="D16" i="7"/>
  <c r="C16" i="7"/>
  <c r="E12" i="7"/>
  <c r="D12" i="7"/>
  <c r="C12" i="7"/>
  <c r="E11" i="7"/>
  <c r="D11" i="7"/>
  <c r="C11" i="7"/>
  <c r="E10" i="7"/>
  <c r="D10" i="7"/>
  <c r="C10" i="7"/>
  <c r="E9" i="7"/>
  <c r="D9" i="7"/>
  <c r="C9" i="7"/>
  <c r="D8" i="7"/>
  <c r="C8" i="7"/>
  <c r="D7" i="7"/>
  <c r="C7" i="7"/>
  <c r="D6" i="7"/>
  <c r="C6" i="7"/>
  <c r="E5" i="7"/>
  <c r="D5" i="7"/>
  <c r="C5" i="7"/>
  <c r="E4" i="7"/>
  <c r="D4" i="7"/>
  <c r="C4" i="7"/>
  <c r="J34" i="7"/>
  <c r="I34" i="7"/>
  <c r="J28" i="7"/>
  <c r="I28" i="7"/>
  <c r="J27" i="7"/>
  <c r="I27" i="7"/>
  <c r="J26" i="7"/>
  <c r="I26" i="7"/>
  <c r="J25" i="7"/>
  <c r="S25" i="7" s="1"/>
  <c r="I25" i="7"/>
  <c r="J24" i="7"/>
  <c r="I24" i="7"/>
  <c r="J14" i="7"/>
  <c r="I14" i="7"/>
  <c r="J13" i="7"/>
  <c r="I13" i="7"/>
  <c r="J12" i="7"/>
  <c r="I12" i="7"/>
  <c r="J11" i="7"/>
  <c r="I11" i="7"/>
  <c r="J10" i="7"/>
  <c r="I10" i="7"/>
  <c r="J9" i="7"/>
  <c r="I9" i="7"/>
  <c r="I8" i="7"/>
  <c r="J6" i="7"/>
  <c r="I6" i="7"/>
  <c r="J5" i="7"/>
  <c r="I5" i="7"/>
  <c r="I16" i="7"/>
  <c r="J16" i="7"/>
  <c r="I17" i="7"/>
  <c r="J17" i="7"/>
  <c r="I18" i="7"/>
  <c r="J18" i="7"/>
  <c r="I19" i="7"/>
  <c r="J19" i="7"/>
  <c r="I20" i="7"/>
  <c r="J20" i="7"/>
  <c r="I21" i="7"/>
  <c r="J21" i="7"/>
  <c r="I22" i="7"/>
  <c r="J22" i="7"/>
  <c r="I23" i="7"/>
  <c r="J23" i="7"/>
  <c r="F23" i="7" s="1"/>
  <c r="I29" i="7"/>
  <c r="J29" i="7"/>
  <c r="I30" i="7"/>
  <c r="J30" i="7"/>
  <c r="I31" i="7"/>
  <c r="J31" i="7"/>
  <c r="I32" i="7"/>
  <c r="J32" i="7"/>
  <c r="J15" i="7"/>
  <c r="I15" i="7"/>
  <c r="F5" i="7" l="1"/>
  <c r="S6" i="7"/>
  <c r="F6" i="7"/>
  <c r="F4" i="7"/>
  <c r="F19" i="7"/>
  <c r="F18" i="7"/>
  <c r="F17" i="7"/>
  <c r="F13" i="7"/>
  <c r="F9" i="7"/>
  <c r="F16" i="7"/>
  <c r="F20" i="7"/>
  <c r="F15" i="7"/>
  <c r="F14" i="7"/>
  <c r="F12" i="7"/>
  <c r="F11" i="7"/>
  <c r="F10" i="7"/>
  <c r="S28" i="7"/>
  <c r="S24" i="7"/>
  <c r="M35" i="7"/>
  <c r="I35" i="7"/>
  <c r="J35" i="7"/>
  <c r="S10" i="7"/>
  <c r="S26" i="7"/>
  <c r="S32" i="7"/>
  <c r="S31" i="7"/>
  <c r="S30" i="7"/>
  <c r="S34" i="7"/>
  <c r="S29" i="7"/>
  <c r="R7" i="7"/>
  <c r="S7" i="7"/>
  <c r="R22" i="7"/>
  <c r="S22" i="7"/>
  <c r="R18" i="7"/>
  <c r="S18" i="7"/>
  <c r="R14" i="7"/>
  <c r="S14" i="7"/>
  <c r="R10" i="7"/>
  <c r="R23" i="7"/>
  <c r="S23" i="7"/>
  <c r="R11" i="7"/>
  <c r="S11" i="7"/>
  <c r="R21" i="7"/>
  <c r="S21" i="7"/>
  <c r="R17" i="7"/>
  <c r="S17" i="7"/>
  <c r="R13" i="7"/>
  <c r="S13" i="7"/>
  <c r="R9" i="7"/>
  <c r="S9" i="7"/>
  <c r="R5" i="7"/>
  <c r="S5" i="7"/>
  <c r="R19" i="7"/>
  <c r="S19" i="7"/>
  <c r="R15" i="7"/>
  <c r="S15" i="7"/>
  <c r="R20" i="7"/>
  <c r="S20" i="7"/>
  <c r="R16" i="7"/>
  <c r="S16" i="7"/>
  <c r="S12" i="7"/>
  <c r="R8" i="7"/>
  <c r="S8" i="7"/>
  <c r="S27" i="7"/>
  <c r="R29" i="7"/>
  <c r="R30" i="7"/>
  <c r="R32" i="7"/>
  <c r="R31" i="7"/>
  <c r="R28" i="7"/>
  <c r="R35" i="7" l="1"/>
  <c r="S35" i="7"/>
  <c r="E22" i="7"/>
  <c r="F22" i="7" s="1"/>
  <c r="E24" i="7"/>
  <c r="F24" i="7" s="1"/>
  <c r="E25" i="7"/>
  <c r="F25" i="7" s="1"/>
  <c r="E26" i="7"/>
  <c r="F26" i="7" s="1"/>
  <c r="E27" i="7"/>
  <c r="F27" i="7" s="1"/>
  <c r="E28" i="7"/>
  <c r="F28" i="7" s="1"/>
  <c r="E29" i="7"/>
  <c r="F29" i="7" s="1"/>
  <c r="E30" i="7"/>
  <c r="F30" i="7" s="1"/>
  <c r="E31" i="7"/>
  <c r="E32" i="7"/>
  <c r="F32" i="7" s="1"/>
  <c r="E34" i="7"/>
  <c r="F34" i="7" s="1"/>
  <c r="E21" i="7"/>
  <c r="F21" i="7" s="1"/>
  <c r="D22" i="7"/>
  <c r="D21" i="7"/>
  <c r="C22" i="7"/>
  <c r="C25" i="7"/>
  <c r="C26" i="7"/>
  <c r="C27" i="7"/>
  <c r="C29" i="7"/>
  <c r="C30" i="7"/>
  <c r="C32" i="7"/>
  <c r="C34" i="7"/>
  <c r="C21" i="7"/>
  <c r="E35" i="7" l="1"/>
  <c r="E37" i="7" s="1"/>
  <c r="E39" i="7" s="1"/>
  <c r="D35" i="7"/>
  <c r="C35" i="7" l="1"/>
</calcChain>
</file>

<file path=xl/comments1.xml><?xml version="1.0" encoding="utf-8"?>
<comments xmlns="http://schemas.openxmlformats.org/spreadsheetml/2006/main">
  <authors>
    <author>Author</author>
  </authors>
  <commentList>
    <comment ref="H3" authorId="0" shapeId="0">
      <text>
        <r>
          <rPr>
            <b/>
            <sz val="9"/>
            <color indexed="81"/>
            <rFont val="Tahoma"/>
            <family val="2"/>
          </rPr>
          <t>Earning Day Report - 
User Wins or Loses
收益天报表 -
（用户输赢）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Proxy -
Accounted for Profit
代理 - 
（占成利润）</t>
        </r>
      </text>
    </comment>
    <comment ref="L3" authorId="0" shapeId="0">
      <text>
        <r>
          <rPr>
            <b/>
            <sz val="9"/>
            <color indexed="81"/>
            <rFont val="Tahoma"/>
            <family val="2"/>
          </rPr>
          <t xml:space="preserve">Proxy - 
Shuffling Profit
代理 - 
（洗码利润）
</t>
        </r>
      </text>
    </comment>
    <comment ref="N3" authorId="0" shapeId="0">
      <text>
        <r>
          <rPr>
            <b/>
            <sz val="9"/>
            <color indexed="81"/>
            <rFont val="Tahoma"/>
            <family val="2"/>
          </rPr>
          <t>Proxy -
User Wins or Loses
代理 -
（用户输赢）</t>
        </r>
      </text>
    </comment>
    <comment ref="O3" authorId="0" shapeId="0">
      <text>
        <r>
          <rPr>
            <b/>
            <sz val="9"/>
            <color indexed="81"/>
            <rFont val="Tahoma"/>
            <family val="2"/>
          </rPr>
          <t>Member -
Accounted for Profit
会员 -
（用户输赢）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</rPr>
          <t>Member- 
Shuffling Profit
会员 - 
（洗码利润）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Cage paid 100% and now agent need to return 50% to cage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Cage paid 100% and now agent need to return 50% to cage</t>
        </r>
      </text>
    </comment>
  </commentList>
</comments>
</file>

<file path=xl/sharedStrings.xml><?xml version="1.0" encoding="utf-8"?>
<sst xmlns="http://schemas.openxmlformats.org/spreadsheetml/2006/main" count="123" uniqueCount="82">
  <si>
    <t>用户输赢</t>
  </si>
  <si>
    <t>TABLE RESULT</t>
  </si>
  <si>
    <t>PLAYER RESULT</t>
  </si>
  <si>
    <t>TOTAL 总和</t>
  </si>
  <si>
    <t>股东线利润（93%）</t>
  </si>
  <si>
    <t>澳游利润（7%）</t>
  </si>
  <si>
    <t>总代理洗码利润</t>
  </si>
  <si>
    <t>OYO RESULT
7%</t>
  </si>
  <si>
    <t>SALON'S RESULT
93%</t>
  </si>
  <si>
    <t xml:space="preserve">PLAYER RESULT
</t>
  </si>
  <si>
    <t>赌台利润</t>
  </si>
  <si>
    <t>玩家利润</t>
  </si>
  <si>
    <t>OYO 利润（93%）</t>
  </si>
  <si>
    <t>赌场利润（7%）</t>
  </si>
  <si>
    <t>游戏日期</t>
  </si>
  <si>
    <t>GAMING DATE</t>
  </si>
  <si>
    <t>CASINO（7%）</t>
  </si>
  <si>
    <t>OYO（93%）</t>
  </si>
  <si>
    <t>股东线实际利润</t>
  </si>
  <si>
    <t>会员实际利润</t>
  </si>
  <si>
    <t>代理实际利润</t>
  </si>
  <si>
    <t>SALON'S NETT
RESULT</t>
  </si>
  <si>
    <t>总代理/占成利润</t>
  </si>
  <si>
    <t>AGENT JV RESULT</t>
  </si>
  <si>
    <t>AGENT JV ROLLING
RESULT</t>
  </si>
  <si>
    <t>AGENT JV NETT
RESULT</t>
  </si>
  <si>
    <t>代理会员利润</t>
  </si>
  <si>
    <t>AGENT'S GUEST
RESULT</t>
  </si>
  <si>
    <t>澳游~沙龙 - 股东线 OYO~SALONS - BOSS LINE</t>
  </si>
  <si>
    <t>澳游~沙龙 - 线上台面占成  OYO~SALONS - ONLINE TABLE JV</t>
  </si>
  <si>
    <t>沙龙线上合作总利润     OVERALL OYO ONLINE JV PROFIT RMB</t>
  </si>
  <si>
    <t>股东线利润分成     BOSS LINE RESULT - RMB</t>
  </si>
  <si>
    <t>赌场台面利润分成     CASINO TABLE RESULT - RMB</t>
  </si>
  <si>
    <t>线上总利润     ONLINE NETT PROFIT</t>
  </si>
  <si>
    <t>股东线实际利润     BOSS LINE NETT PROFIT</t>
  </si>
  <si>
    <t>股东线应付码佣     BOSS LINE PAYABLE ROLLING COMMISSION</t>
  </si>
  <si>
    <t>直属会员利润</t>
  </si>
  <si>
    <t>直属会员洗码利润</t>
  </si>
  <si>
    <t>DIRECT MEMBER
RESULT</t>
  </si>
  <si>
    <t>DIRECT MEMBER
ROLLING RESULT</t>
  </si>
  <si>
    <t>DIRECT MEMBER
NETT RESULT</t>
  </si>
  <si>
    <t>SALON'S NETT
93% RESULT</t>
  </si>
  <si>
    <t>经手人/备注</t>
  </si>
  <si>
    <t>FOLLOW UP
REMARKS</t>
  </si>
  <si>
    <t>股东线输赢     BOSS LINE WINS LOSES</t>
  </si>
  <si>
    <t>实际利润（7%）</t>
  </si>
  <si>
    <t>NET RESULT（7%）</t>
  </si>
  <si>
    <t>DONG</t>
  </si>
  <si>
    <t>PZ001余佩志 --- 占成50%</t>
  </si>
  <si>
    <t>DATE 日期</t>
  </si>
  <si>
    <t>TOTAL BETS总投</t>
  </si>
  <si>
    <t>ROLLING 有效投注</t>
  </si>
  <si>
    <t>WIN/LOSS 用户输赢</t>
  </si>
  <si>
    <t>AGENT PROFIT 代理利润总计</t>
  </si>
  <si>
    <t>TOTAL 总计</t>
  </si>
  <si>
    <t>代理确认签字：</t>
  </si>
  <si>
    <t>账房签字：</t>
  </si>
  <si>
    <t>日期：</t>
  </si>
  <si>
    <t>PZ002余佩志 --- 占成90%</t>
  </si>
  <si>
    <t>TOTAL BETS 总投</t>
  </si>
  <si>
    <t>julian</t>
  </si>
  <si>
    <t>ALEX</t>
  </si>
  <si>
    <t>thona</t>
  </si>
  <si>
    <t>沙龙 - 股东线 SALONS - BOSS LINE</t>
  </si>
  <si>
    <t>代理玩家输赢明细</t>
  </si>
  <si>
    <t>直属会员输赢明细</t>
  </si>
  <si>
    <t>赌场总利润</t>
  </si>
  <si>
    <t>代理玩家输赢</t>
  </si>
  <si>
    <t>代理/占成利润</t>
  </si>
  <si>
    <t>代理洗码利润</t>
  </si>
  <si>
    <t>赌场实际利润</t>
  </si>
  <si>
    <t>直属会员输赢</t>
  </si>
  <si>
    <t>会员洗码利润</t>
  </si>
  <si>
    <t xml:space="preserve">XIAOFEI </t>
  </si>
  <si>
    <t>15/7/2021</t>
  </si>
  <si>
    <t>16/7/2021</t>
  </si>
  <si>
    <t>20/7/2021</t>
  </si>
  <si>
    <t>21/7/2021</t>
  </si>
  <si>
    <t>23/07/2021</t>
  </si>
  <si>
    <t>26/07/2021</t>
  </si>
  <si>
    <t>27/07/2021</t>
  </si>
  <si>
    <t>31/07/2021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</si>
</sst>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_-;\-* #,##0.00_-;_-* &quot;-&quot;??_-;_-@_-"/>
    <numFmt numFmtId="165" formatCode="&quot;洗&quot;&quot;码&quot;&quot;利&quot;&quot;润&quot;\ \ 0.0%"/>
    <numFmt numFmtId="166" formatCode="&quot;代&quot;&quot;理&quot;&quot;占&quot;&quot;成&quot;&quot;利&quot;&quot;润&quot;\ \ 0.0%"/>
    <numFmt numFmtId="167" formatCode="&quot;股&quot;&quot;东&quot;&quot;利&quot;&quot;润&quot;\ \ 0.0%"/>
    <numFmt numFmtId="168" formatCode="#,##0.00_ ;[Red]\-#,##0.00\ "/>
    <numFmt numFmtId="169" formatCode="&quot;代&quot;&quot;理&quot;&quot;承&quot;&quot;担&quot;&quot;佣&quot;&quot;金&quot;\ 0.0%"/>
    <numFmt numFmtId="170" formatCode="0.00_ ;[Red]\-0.00\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5" fillId="0" borderId="0" xfId="0" applyFont="1" applyAlignment="1" applyProtection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0" fontId="7" fillId="2" borderId="1" xfId="0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center"/>
    </xf>
    <xf numFmtId="0" fontId="3" fillId="5" borderId="7" xfId="0" applyFont="1" applyFill="1" applyBorder="1" applyAlignment="1" applyProtection="1">
      <alignment horizontal="center" vertical="top"/>
    </xf>
    <xf numFmtId="0" fontId="3" fillId="3" borderId="3" xfId="0" applyFont="1" applyFill="1" applyBorder="1" applyAlignment="1" applyProtection="1">
      <alignment horizontal="center" vertical="top" wrapText="1"/>
    </xf>
    <xf numFmtId="0" fontId="3" fillId="3" borderId="5" xfId="0" applyFont="1" applyFill="1" applyBorder="1" applyAlignment="1" applyProtection="1">
      <alignment horizontal="center" vertical="top" wrapText="1"/>
    </xf>
    <xf numFmtId="0" fontId="3" fillId="5" borderId="3" xfId="0" applyFont="1" applyFill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center"/>
    </xf>
    <xf numFmtId="0" fontId="7" fillId="0" borderId="0" xfId="0" applyFont="1" applyAlignment="1" applyProtection="1">
      <alignment vertical="center"/>
    </xf>
    <xf numFmtId="40" fontId="7" fillId="0" borderId="0" xfId="0" applyNumberFormat="1" applyFont="1" applyFill="1" applyAlignment="1" applyProtection="1">
      <alignment vertical="center"/>
    </xf>
    <xf numFmtId="40" fontId="8" fillId="0" borderId="8" xfId="0" applyNumberFormat="1" applyFont="1" applyFill="1" applyBorder="1" applyAlignment="1" applyProtection="1">
      <alignment vertical="center"/>
    </xf>
    <xf numFmtId="0" fontId="7" fillId="0" borderId="6" xfId="0" applyFont="1" applyBorder="1" applyAlignment="1" applyProtection="1">
      <alignment vertical="center"/>
    </xf>
    <xf numFmtId="0" fontId="6" fillId="0" borderId="6" xfId="0" applyFont="1" applyBorder="1" applyAlignment="1" applyProtection="1">
      <alignment vertical="center"/>
    </xf>
    <xf numFmtId="40" fontId="8" fillId="6" borderId="0" xfId="0" applyNumberFormat="1" applyFont="1" applyFill="1" applyAlignment="1" applyProtection="1">
      <alignment vertical="center"/>
    </xf>
    <xf numFmtId="0" fontId="6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left" vertical="center"/>
    </xf>
    <xf numFmtId="40" fontId="6" fillId="0" borderId="0" xfId="0" applyNumberFormat="1" applyFont="1" applyAlignment="1" applyProtection="1">
      <alignment vertical="center"/>
    </xf>
    <xf numFmtId="40" fontId="6" fillId="0" borderId="0" xfId="0" applyNumberFormat="1" applyFont="1" applyFill="1" applyAlignment="1" applyProtection="1">
      <alignment vertical="center"/>
    </xf>
    <xf numFmtId="0" fontId="7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</xf>
    <xf numFmtId="40" fontId="10" fillId="0" borderId="1" xfId="0" applyNumberFormat="1" applyFont="1" applyBorder="1" applyAlignment="1" applyProtection="1">
      <alignment vertical="center"/>
      <protection locked="0"/>
    </xf>
    <xf numFmtId="40" fontId="10" fillId="2" borderId="1" xfId="0" applyNumberFormat="1" applyFont="1" applyFill="1" applyBorder="1" applyAlignment="1" applyProtection="1">
      <alignment vertical="center"/>
    </xf>
    <xf numFmtId="0" fontId="10" fillId="0" borderId="0" xfId="0" applyFont="1" applyAlignment="1" applyProtection="1">
      <alignment vertical="center"/>
    </xf>
    <xf numFmtId="40" fontId="10" fillId="0" borderId="3" xfId="0" applyNumberFormat="1" applyFont="1" applyBorder="1" applyAlignment="1" applyProtection="1">
      <alignment vertical="center"/>
      <protection locked="0"/>
    </xf>
    <xf numFmtId="40" fontId="10" fillId="3" borderId="3" xfId="0" applyNumberFormat="1" applyFont="1" applyFill="1" applyBorder="1" applyAlignment="1" applyProtection="1">
      <alignment vertical="center"/>
    </xf>
    <xf numFmtId="40" fontId="10" fillId="0" borderId="1" xfId="0" applyNumberFormat="1" applyFont="1" applyFill="1" applyBorder="1" applyAlignment="1" applyProtection="1">
      <alignment vertical="center"/>
      <protection locked="0"/>
    </xf>
    <xf numFmtId="40" fontId="10" fillId="5" borderId="3" xfId="0" applyNumberFormat="1" applyFont="1" applyFill="1" applyBorder="1" applyAlignment="1" applyProtection="1">
      <alignment vertical="center"/>
    </xf>
    <xf numFmtId="40" fontId="10" fillId="5" borderId="1" xfId="0" applyNumberFormat="1" applyFont="1" applyFill="1" applyBorder="1" applyAlignment="1" applyProtection="1">
      <alignment horizontal="center" vertical="center"/>
    </xf>
    <xf numFmtId="40" fontId="10" fillId="3" borderId="1" xfId="0" applyNumberFormat="1" applyFont="1" applyFill="1" applyBorder="1" applyAlignment="1" applyProtection="1">
      <alignment vertical="center"/>
    </xf>
    <xf numFmtId="40" fontId="10" fillId="4" borderId="0" xfId="0" applyNumberFormat="1" applyFont="1" applyFill="1" applyAlignment="1" applyProtection="1">
      <alignment vertical="center"/>
    </xf>
    <xf numFmtId="40" fontId="10" fillId="0" borderId="0" xfId="0" applyNumberFormat="1" applyFont="1" applyFill="1" applyAlignment="1" applyProtection="1">
      <alignment vertical="center"/>
    </xf>
    <xf numFmtId="40" fontId="10" fillId="7" borderId="0" xfId="0" applyNumberFormat="1" applyFont="1" applyFill="1" applyAlignment="1" applyProtection="1">
      <alignment vertical="center"/>
    </xf>
    <xf numFmtId="14" fontId="6" fillId="0" borderId="1" xfId="0" applyNumberFormat="1" applyFont="1" applyBorder="1" applyAlignment="1" applyProtection="1">
      <alignment horizontal="center" vertical="center"/>
    </xf>
    <xf numFmtId="40" fontId="10" fillId="0" borderId="1" xfId="0" applyNumberFormat="1" applyFont="1" applyFill="1" applyBorder="1" applyAlignment="1" applyProtection="1">
      <alignment vertical="center"/>
    </xf>
    <xf numFmtId="40" fontId="10" fillId="0" borderId="3" xfId="0" applyNumberFormat="1" applyFont="1" applyFill="1" applyBorder="1" applyAlignment="1" applyProtection="1">
      <alignment vertical="center"/>
    </xf>
    <xf numFmtId="40" fontId="10" fillId="8" borderId="1" xfId="0" applyNumberFormat="1" applyFont="1" applyFill="1" applyBorder="1" applyAlignment="1" applyProtection="1">
      <alignment vertical="center"/>
    </xf>
    <xf numFmtId="40" fontId="10" fillId="8" borderId="0" xfId="0" applyNumberFormat="1" applyFont="1" applyFill="1" applyAlignment="1" applyProtection="1">
      <alignment vertical="center"/>
    </xf>
    <xf numFmtId="40" fontId="7" fillId="8" borderId="0" xfId="0" applyNumberFormat="1" applyFont="1" applyFill="1" applyAlignment="1" applyProtection="1">
      <alignment vertical="center"/>
    </xf>
    <xf numFmtId="40" fontId="0" fillId="0" borderId="0" xfId="0" applyNumberFormat="1" applyAlignment="1" applyProtection="1">
      <alignment vertical="center"/>
    </xf>
    <xf numFmtId="0" fontId="3" fillId="0" borderId="3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6" fontId="3" fillId="6" borderId="3" xfId="0" applyNumberFormat="1" applyFont="1" applyFill="1" applyBorder="1" applyAlignment="1">
      <alignment horizontal="center" vertical="center"/>
    </xf>
    <xf numFmtId="167" fontId="3" fillId="6" borderId="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68" fontId="0" fillId="0" borderId="0" xfId="0" applyNumberFormat="1"/>
    <xf numFmtId="0" fontId="9" fillId="0" borderId="0" xfId="0" applyFont="1" applyAlignment="1">
      <alignment horizontal="center" vertical="center"/>
    </xf>
    <xf numFmtId="168" fontId="0" fillId="0" borderId="0" xfId="0" applyNumberFormat="1" applyAlignment="1">
      <alignment vertical="center"/>
    </xf>
    <xf numFmtId="168" fontId="9" fillId="9" borderId="0" xfId="0" applyNumberFormat="1" applyFont="1" applyFill="1" applyAlignment="1">
      <alignment vertical="center"/>
    </xf>
    <xf numFmtId="4" fontId="0" fillId="0" borderId="0" xfId="0" applyNumberFormat="1"/>
    <xf numFmtId="0" fontId="0" fillId="0" borderId="0" xfId="0" applyFont="1" applyFill="1" applyBorder="1" applyAlignment="1">
      <alignment horizontal="right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/>
    <xf numFmtId="0" fontId="0" fillId="0" borderId="8" xfId="0" applyBorder="1"/>
    <xf numFmtId="0" fontId="12" fillId="0" borderId="0" xfId="0" applyFont="1" applyFill="1" applyBorder="1" applyAlignment="1">
      <alignment horizontal="left" vertical="center"/>
    </xf>
    <xf numFmtId="40" fontId="0" fillId="0" borderId="0" xfId="0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169" fontId="12" fillId="0" borderId="0" xfId="0" applyNumberFormat="1" applyFont="1" applyFill="1" applyBorder="1" applyAlignment="1">
      <alignment horizontal="left" vertical="center"/>
    </xf>
    <xf numFmtId="170" fontId="0" fillId="0" borderId="0" xfId="0" applyNumberFormat="1"/>
    <xf numFmtId="170" fontId="0" fillId="0" borderId="0" xfId="0" applyNumberFormat="1" applyAlignment="1">
      <alignment vertical="center"/>
    </xf>
    <xf numFmtId="170" fontId="9" fillId="9" borderId="0" xfId="0" applyNumberFormat="1" applyFont="1" applyFill="1" applyAlignment="1">
      <alignment vertical="center"/>
    </xf>
    <xf numFmtId="0" fontId="3" fillId="10" borderId="7" xfId="0" applyFont="1" applyFill="1" applyBorder="1" applyAlignment="1" applyProtection="1">
      <alignment horizontal="center" vertical="top" wrapText="1"/>
    </xf>
    <xf numFmtId="0" fontId="3" fillId="3" borderId="3" xfId="0" applyFont="1" applyFill="1" applyBorder="1" applyAlignment="1" applyProtection="1">
      <alignment horizontal="center" vertical="center"/>
    </xf>
    <xf numFmtId="0" fontId="3" fillId="10" borderId="13" xfId="0" applyFont="1" applyFill="1" applyBorder="1" applyAlignment="1" applyProtection="1">
      <alignment horizontal="center" vertical="top" wrapText="1"/>
    </xf>
    <xf numFmtId="40" fontId="10" fillId="0" borderId="1" xfId="0" applyNumberFormat="1" applyFont="1" applyBorder="1" applyAlignment="1" applyProtection="1">
      <alignment horizontal="center" vertical="center"/>
      <protection locked="0"/>
    </xf>
    <xf numFmtId="40" fontId="10" fillId="0" borderId="1" xfId="0" applyNumberFormat="1" applyFont="1" applyFill="1" applyBorder="1" applyAlignment="1" applyProtection="1">
      <alignment horizontal="center" vertical="center"/>
      <protection locked="0"/>
    </xf>
    <xf numFmtId="40" fontId="10" fillId="0" borderId="1" xfId="0" applyNumberFormat="1" applyFont="1" applyFill="1" applyBorder="1" applyAlignment="1" applyProtection="1">
      <alignment horizontal="center" vertical="center"/>
    </xf>
    <xf numFmtId="40" fontId="15" fillId="11" borderId="1" xfId="0" applyNumberFormat="1" applyFont="1" applyFill="1" applyBorder="1" applyAlignment="1" applyProtection="1">
      <alignment horizontal="center" vertical="center"/>
    </xf>
    <xf numFmtId="0" fontId="3" fillId="10" borderId="3" xfId="0" applyFont="1" applyFill="1" applyBorder="1" applyAlignment="1" applyProtection="1">
      <alignment horizontal="center" vertical="top" wrapText="1"/>
    </xf>
    <xf numFmtId="40" fontId="10" fillId="4" borderId="1" xfId="0" applyNumberFormat="1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40" fontId="10" fillId="11" borderId="1" xfId="0" applyNumberFormat="1" applyFont="1" applyFill="1" applyBorder="1" applyAlignment="1" applyProtection="1">
      <alignment horizontal="center" vertical="center"/>
    </xf>
    <xf numFmtId="14" fontId="0" fillId="0" borderId="8" xfId="0" applyNumberFormat="1" applyBorder="1" applyAlignment="1">
      <alignment horizontal="center"/>
    </xf>
    <xf numFmtId="168" fontId="0" fillId="0" borderId="8" xfId="0" applyNumberFormat="1" applyBorder="1"/>
    <xf numFmtId="170" fontId="0" fillId="0" borderId="8" xfId="0" applyNumberFormat="1" applyBorder="1"/>
    <xf numFmtId="0" fontId="7" fillId="0" borderId="2" xfId="0" applyFont="1" applyBorder="1" applyAlignment="1" applyProtection="1">
      <alignment horizontal="center" vertical="center"/>
    </xf>
    <xf numFmtId="0" fontId="14" fillId="0" borderId="2" xfId="0" applyFont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center" vertical="center"/>
    </xf>
    <xf numFmtId="0" fontId="3" fillId="11" borderId="7" xfId="0" applyFont="1" applyFill="1" applyBorder="1" applyAlignment="1" applyProtection="1">
      <alignment horizontal="center" vertical="center"/>
    </xf>
    <xf numFmtId="0" fontId="3" fillId="11" borderId="3" xfId="0" applyFont="1" applyFill="1" applyBorder="1" applyAlignment="1" applyProtection="1">
      <alignment horizontal="center" vertical="center"/>
    </xf>
    <xf numFmtId="0" fontId="11" fillId="0" borderId="9" xfId="0" applyFont="1" applyFill="1" applyBorder="1" applyAlignment="1">
      <alignment horizontal="center"/>
    </xf>
  </cellXfs>
  <cellStyles count="2">
    <cellStyle name="Comma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s://www.oyoagents.com/report/agent/detail_agent?agent_id=251&amp;agent_path=251&amp;time_range=2021/06/24%2000%20-%202021/06/24%2023&amp;group_by=1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s://www.oyoagents.com/report/agent/detail_agent?agent_id=251&amp;agent_path=251&amp;time_range=2021/06/29%2000%20-%202021/06/29%2023&amp;group_by=1" TargetMode="External"/><Relationship Id="rId1" Type="http://schemas.openxmlformats.org/officeDocument/2006/relationships/hyperlink" Target="https://www.oyoagents.com/report/agent/detail_agent?agent_id=251&amp;agent_path=251&amp;time_range=2021/06/30%2000%20-%202021/06/30%2023&amp;group_by=1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oyoagents.com/report/agent/detail_agent?agent_id=251&amp;agent_path=251&amp;time_range=2021/06/22%2000%20-%202021/06/22%2023&amp;group_by=1" TargetMode="External"/><Relationship Id="rId4" Type="http://schemas.openxmlformats.org/officeDocument/2006/relationships/hyperlink" Target="https://www.oyoagents.com/report/agent/detail_agent?agent_id=251&amp;agent_path=251&amp;time_range=2021/06/23%2000%20-%202021/06/23%2023&amp;group_by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67"/>
  <sheetViews>
    <sheetView tabSelected="1" zoomScale="70" zoomScaleNormal="70" zoomScaleSheetLayoutView="70" workbookViewId="0">
      <pane xSplit="1" ySplit="3" topLeftCell="B9" activePane="bottomRight" state="frozen"/>
      <selection pane="topRight" activeCell="B1" sqref="B1"/>
      <selection pane="bottomLeft" activeCell="A4" sqref="A4"/>
      <selection pane="bottomRight" activeCell="K40" sqref="K40"/>
    </sheetView>
  </sheetViews>
  <sheetFormatPr defaultRowHeight="15"/>
  <cols>
    <col min="1" max="1" width="20.7109375" style="2" customWidth="1"/>
    <col min="2" max="2" width="19" style="1" bestFit="1" customWidth="1"/>
    <col min="3" max="3" width="20" style="1" bestFit="1" customWidth="1"/>
    <col min="4" max="6" width="18.7109375" style="1" customWidth="1"/>
    <col min="7" max="7" width="3.7109375" style="1" customWidth="1"/>
    <col min="8" max="11" width="18.7109375" style="1" customWidth="1"/>
    <col min="12" max="12" width="18.7109375" style="2" customWidth="1"/>
    <col min="13" max="15" width="18.7109375" style="1" customWidth="1"/>
    <col min="16" max="16" width="20.5703125" style="1" customWidth="1"/>
    <col min="17" max="19" width="18.7109375" style="1" customWidth="1"/>
    <col min="20" max="20" width="18.7109375" style="26" customWidth="1"/>
    <col min="21" max="16384" width="9.140625" style="1"/>
  </cols>
  <sheetData>
    <row r="1" spans="1:20" s="5" customFormat="1" ht="20.100000000000001" customHeight="1">
      <c r="A1" s="86" t="s">
        <v>29</v>
      </c>
      <c r="B1" s="86"/>
      <c r="C1" s="86"/>
      <c r="D1" s="86"/>
      <c r="E1" s="86"/>
      <c r="H1" s="86" t="s">
        <v>28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14"/>
      <c r="T1" s="25"/>
    </row>
    <row r="2" spans="1:20" s="3" customFormat="1" ht="20.100000000000001" customHeight="1">
      <c r="A2" s="4" t="s">
        <v>14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45</v>
      </c>
      <c r="H2" s="7" t="s">
        <v>0</v>
      </c>
      <c r="I2" s="7" t="s">
        <v>4</v>
      </c>
      <c r="J2" s="8" t="s">
        <v>13</v>
      </c>
      <c r="K2" s="9" t="s">
        <v>22</v>
      </c>
      <c r="L2" s="9" t="s">
        <v>6</v>
      </c>
      <c r="M2" s="9" t="s">
        <v>20</v>
      </c>
      <c r="N2" s="9" t="s">
        <v>26</v>
      </c>
      <c r="O2" s="7" t="s">
        <v>36</v>
      </c>
      <c r="P2" s="7" t="s">
        <v>37</v>
      </c>
      <c r="Q2" s="7" t="s">
        <v>19</v>
      </c>
      <c r="R2" s="10" t="s">
        <v>18</v>
      </c>
      <c r="S2" s="10" t="s">
        <v>18</v>
      </c>
      <c r="T2" s="27" t="s">
        <v>42</v>
      </c>
    </row>
    <row r="3" spans="1:20" s="3" customFormat="1" ht="35.1" customHeight="1">
      <c r="A3" s="4" t="s">
        <v>15</v>
      </c>
      <c r="B3" s="4" t="s">
        <v>1</v>
      </c>
      <c r="C3" s="4" t="s">
        <v>2</v>
      </c>
      <c r="D3" s="4" t="s">
        <v>17</v>
      </c>
      <c r="E3" s="4" t="s">
        <v>16</v>
      </c>
      <c r="F3" s="4" t="s">
        <v>46</v>
      </c>
      <c r="H3" s="11" t="s">
        <v>9</v>
      </c>
      <c r="I3" s="11" t="s">
        <v>8</v>
      </c>
      <c r="J3" s="12" t="s">
        <v>7</v>
      </c>
      <c r="K3" s="13" t="s">
        <v>23</v>
      </c>
      <c r="L3" s="13" t="s">
        <v>24</v>
      </c>
      <c r="M3" s="13" t="s">
        <v>25</v>
      </c>
      <c r="N3" s="13" t="s">
        <v>27</v>
      </c>
      <c r="O3" s="11" t="s">
        <v>38</v>
      </c>
      <c r="P3" s="11" t="s">
        <v>39</v>
      </c>
      <c r="Q3" s="11" t="s">
        <v>40</v>
      </c>
      <c r="R3" s="13" t="s">
        <v>21</v>
      </c>
      <c r="S3" s="13" t="s">
        <v>41</v>
      </c>
      <c r="T3" s="28" t="s">
        <v>43</v>
      </c>
    </row>
    <row r="4" spans="1:20" s="5" customFormat="1" ht="20.100000000000001" customHeight="1">
      <c r="A4" s="42">
        <v>44378</v>
      </c>
      <c r="B4" s="30">
        <v>519515</v>
      </c>
      <c r="C4" s="31">
        <f t="shared" ref="C4:C34" si="0">B4*-1</f>
        <v>-519515</v>
      </c>
      <c r="D4" s="31">
        <f t="shared" ref="D4:D34" si="1">B4*93%</f>
        <v>483148.95</v>
      </c>
      <c r="E4" s="31">
        <f t="shared" ref="E4:E34" si="2">B4*7%</f>
        <v>36366.050000000003</v>
      </c>
      <c r="F4" s="31">
        <f>E4-J4</f>
        <v>33496.575000000004</v>
      </c>
      <c r="G4" s="32"/>
      <c r="H4" s="33">
        <v>-40992.5</v>
      </c>
      <c r="I4" s="34">
        <f>-$H4*93%</f>
        <v>38123.025000000001</v>
      </c>
      <c r="J4" s="34">
        <f>-$H4*7%</f>
        <v>2869.4750000000004</v>
      </c>
      <c r="K4" s="35">
        <v>32393.25</v>
      </c>
      <c r="L4" s="35">
        <v>0</v>
      </c>
      <c r="M4" s="36">
        <f>SUM(K4:L4)</f>
        <v>32393.25</v>
      </c>
      <c r="N4" s="44">
        <v>-35992.5</v>
      </c>
      <c r="O4" s="43">
        <v>-5000</v>
      </c>
      <c r="P4" s="43">
        <v>137.37</v>
      </c>
      <c r="Q4" s="34">
        <f>SUM(O4:P4)</f>
        <v>-4862.63</v>
      </c>
      <c r="R4" s="37">
        <f>-SUM(M4,N4,Q4)</f>
        <v>8461.880000000001</v>
      </c>
      <c r="S4" s="37">
        <f>-SUM(M4,N4,Q4)-J4</f>
        <v>5592.4050000000007</v>
      </c>
      <c r="T4" s="29" t="s">
        <v>47</v>
      </c>
    </row>
    <row r="5" spans="1:20" s="5" customFormat="1" ht="20.100000000000001" customHeight="1">
      <c r="A5" s="42">
        <v>44379</v>
      </c>
      <c r="B5" s="30">
        <v>-59600</v>
      </c>
      <c r="C5" s="31">
        <f t="shared" si="0"/>
        <v>59600</v>
      </c>
      <c r="D5" s="31">
        <f t="shared" si="1"/>
        <v>-55428</v>
      </c>
      <c r="E5" s="31">
        <f t="shared" si="2"/>
        <v>-4172</v>
      </c>
      <c r="F5" s="31">
        <f>E5-J5</f>
        <v>-3821.4749999999999</v>
      </c>
      <c r="G5" s="32"/>
      <c r="H5" s="30">
        <v>5007.5</v>
      </c>
      <c r="I5" s="38">
        <f t="shared" ref="I5:I34" si="3">-$H5*93%</f>
        <v>-4656.9750000000004</v>
      </c>
      <c r="J5" s="38">
        <f t="shared" ref="J5:J34" si="4">-$H5*7%</f>
        <v>-350.52500000000003</v>
      </c>
      <c r="K5" s="35">
        <v>0</v>
      </c>
      <c r="L5" s="35">
        <v>0</v>
      </c>
      <c r="M5" s="36">
        <f t="shared" ref="M5:M34" si="5">SUM(K5:L5)</f>
        <v>0</v>
      </c>
      <c r="N5" s="44">
        <v>0</v>
      </c>
      <c r="O5" s="43">
        <v>5007.5</v>
      </c>
      <c r="P5" s="43">
        <v>342.18</v>
      </c>
      <c r="Q5" s="34">
        <f t="shared" ref="Q5:Q34" si="6">SUM(O5:P5)</f>
        <v>5349.68</v>
      </c>
      <c r="R5" s="37">
        <f t="shared" ref="R5:R18" si="7">-SUM(M5,N5,Q5)</f>
        <v>-5349.68</v>
      </c>
      <c r="S5" s="37">
        <f t="shared" ref="S5:S34" si="8">-SUM(M5,N5,Q5)-J5</f>
        <v>-4999.1550000000007</v>
      </c>
      <c r="T5" s="29" t="s">
        <v>47</v>
      </c>
    </row>
    <row r="6" spans="1:20" s="5" customFormat="1" ht="20.100000000000001" customHeight="1">
      <c r="A6" s="42">
        <v>44380</v>
      </c>
      <c r="B6" s="30">
        <v>232780</v>
      </c>
      <c r="C6" s="31">
        <f t="shared" si="0"/>
        <v>-232780</v>
      </c>
      <c r="D6" s="31">
        <f t="shared" si="1"/>
        <v>216485.40000000002</v>
      </c>
      <c r="E6" s="31">
        <f t="shared" si="2"/>
        <v>16294.600000000002</v>
      </c>
      <c r="F6" s="31">
        <f t="shared" ref="F6:F34" si="9">E6-J6</f>
        <v>17605.525000000001</v>
      </c>
      <c r="G6" s="32"/>
      <c r="H6" s="30">
        <v>18727.5</v>
      </c>
      <c r="I6" s="38">
        <f t="shared" si="3"/>
        <v>-17416.575000000001</v>
      </c>
      <c r="J6" s="38">
        <f t="shared" si="4"/>
        <v>-1310.9250000000002</v>
      </c>
      <c r="K6" s="35">
        <v>9090</v>
      </c>
      <c r="L6" s="35">
        <v>0</v>
      </c>
      <c r="M6" s="36">
        <f>SUM(K6:L6)</f>
        <v>9090</v>
      </c>
      <c r="N6" s="44">
        <v>-10100</v>
      </c>
      <c r="O6" s="43">
        <v>28827.5</v>
      </c>
      <c r="P6" s="43">
        <v>800.1</v>
      </c>
      <c r="Q6" s="34">
        <f t="shared" si="6"/>
        <v>29627.599999999999</v>
      </c>
      <c r="R6" s="37">
        <f>-SUM(M6,N6,Q6)</f>
        <v>-28617.599999999999</v>
      </c>
      <c r="S6" s="37">
        <f>-SUM(M6,N6,Q6)-J6</f>
        <v>-27306.674999999999</v>
      </c>
      <c r="T6" s="29" t="s">
        <v>60</v>
      </c>
    </row>
    <row r="7" spans="1:20" s="5" customFormat="1" ht="20.100000000000001" customHeight="1">
      <c r="A7" s="42">
        <v>44381</v>
      </c>
      <c r="B7" s="30">
        <v>-63565</v>
      </c>
      <c r="C7" s="31">
        <f t="shared" si="0"/>
        <v>63565</v>
      </c>
      <c r="D7" s="31">
        <f t="shared" si="1"/>
        <v>-59115.450000000004</v>
      </c>
      <c r="E7" s="31">
        <f>B7*7%</f>
        <v>-4449.55</v>
      </c>
      <c r="F7" s="31">
        <f>E7-J7</f>
        <v>-5561.1500000000005</v>
      </c>
      <c r="G7" s="32"/>
      <c r="H7" s="30">
        <v>-15880</v>
      </c>
      <c r="I7" s="38">
        <f t="shared" si="3"/>
        <v>14768.400000000001</v>
      </c>
      <c r="J7" s="38">
        <f t="shared" si="4"/>
        <v>1111.6000000000001</v>
      </c>
      <c r="K7" s="35">
        <v>0</v>
      </c>
      <c r="L7" s="35">
        <v>0</v>
      </c>
      <c r="M7" s="36">
        <f t="shared" si="5"/>
        <v>0</v>
      </c>
      <c r="N7" s="44">
        <v>0</v>
      </c>
      <c r="O7" s="43">
        <v>-15880</v>
      </c>
      <c r="P7" s="43">
        <v>950.04</v>
      </c>
      <c r="Q7" s="34">
        <f t="shared" si="6"/>
        <v>-14929.96</v>
      </c>
      <c r="R7" s="37">
        <f t="shared" si="7"/>
        <v>14929.96</v>
      </c>
      <c r="S7" s="37">
        <f t="shared" si="8"/>
        <v>13818.359999999999</v>
      </c>
      <c r="T7" s="29" t="s">
        <v>61</v>
      </c>
    </row>
    <row r="8" spans="1:20" s="5" customFormat="1" ht="20.100000000000001" customHeight="1">
      <c r="A8" s="42">
        <v>44382</v>
      </c>
      <c r="B8" s="30">
        <f>236315+7995</f>
        <v>244310</v>
      </c>
      <c r="C8" s="31">
        <f t="shared" si="0"/>
        <v>-244310</v>
      </c>
      <c r="D8" s="31">
        <f t="shared" si="1"/>
        <v>227208.30000000002</v>
      </c>
      <c r="E8" s="31">
        <f>B8*7%</f>
        <v>17101.7</v>
      </c>
      <c r="F8" s="31">
        <f t="shared" si="9"/>
        <v>16964.850000000002</v>
      </c>
      <c r="G8" s="32"/>
      <c r="H8" s="30">
        <v>-1955</v>
      </c>
      <c r="I8" s="38">
        <f t="shared" si="3"/>
        <v>1818.15</v>
      </c>
      <c r="J8" s="38">
        <f>-$H8*7%</f>
        <v>136.85000000000002</v>
      </c>
      <c r="K8" s="35">
        <v>0</v>
      </c>
      <c r="L8" s="35">
        <v>0</v>
      </c>
      <c r="M8" s="36">
        <f t="shared" si="5"/>
        <v>0</v>
      </c>
      <c r="N8" s="35">
        <v>0</v>
      </c>
      <c r="O8" s="43">
        <v>-1955</v>
      </c>
      <c r="P8" s="43">
        <v>76.59</v>
      </c>
      <c r="Q8" s="34">
        <f t="shared" si="6"/>
        <v>-1878.41</v>
      </c>
      <c r="R8" s="37">
        <f t="shared" si="7"/>
        <v>1878.41</v>
      </c>
      <c r="S8" s="37">
        <f t="shared" si="8"/>
        <v>1741.56</v>
      </c>
      <c r="T8" s="29" t="s">
        <v>60</v>
      </c>
    </row>
    <row r="9" spans="1:20" s="5" customFormat="1" ht="20.100000000000001" customHeight="1">
      <c r="A9" s="42">
        <v>44383</v>
      </c>
      <c r="B9" s="30">
        <v>-54240</v>
      </c>
      <c r="C9" s="31">
        <f t="shared" si="0"/>
        <v>54240</v>
      </c>
      <c r="D9" s="31">
        <f t="shared" si="1"/>
        <v>-50443.200000000004</v>
      </c>
      <c r="E9" s="31">
        <f t="shared" si="2"/>
        <v>-3796.8</v>
      </c>
      <c r="F9" s="31">
        <f t="shared" si="9"/>
        <v>-4048.94</v>
      </c>
      <c r="G9" s="32"/>
      <c r="H9" s="30">
        <v>-3602</v>
      </c>
      <c r="I9" s="38">
        <f t="shared" si="3"/>
        <v>3349.86</v>
      </c>
      <c r="J9" s="38">
        <f t="shared" si="4"/>
        <v>252.14000000000001</v>
      </c>
      <c r="K9" s="35">
        <v>0</v>
      </c>
      <c r="L9" s="35">
        <v>0</v>
      </c>
      <c r="M9" s="36">
        <f t="shared" si="5"/>
        <v>0</v>
      </c>
      <c r="N9" s="35">
        <v>0</v>
      </c>
      <c r="O9" s="43">
        <v>-3602</v>
      </c>
      <c r="P9" s="43">
        <v>147.41999999999999</v>
      </c>
      <c r="Q9" s="34">
        <f t="shared" si="6"/>
        <v>-3454.58</v>
      </c>
      <c r="R9" s="37">
        <f t="shared" si="7"/>
        <v>3454.58</v>
      </c>
      <c r="S9" s="37">
        <f t="shared" si="8"/>
        <v>3202.44</v>
      </c>
      <c r="T9" s="29" t="s">
        <v>62</v>
      </c>
    </row>
    <row r="10" spans="1:20" s="5" customFormat="1" ht="20.100000000000001" customHeight="1">
      <c r="A10" s="42">
        <v>44384</v>
      </c>
      <c r="B10" s="30">
        <v>893280</v>
      </c>
      <c r="C10" s="31">
        <f t="shared" si="0"/>
        <v>-893280</v>
      </c>
      <c r="D10" s="31">
        <f t="shared" si="1"/>
        <v>830750.4</v>
      </c>
      <c r="E10" s="31">
        <f t="shared" si="2"/>
        <v>62529.600000000006</v>
      </c>
      <c r="F10" s="31">
        <f t="shared" si="9"/>
        <v>64272.250000000007</v>
      </c>
      <c r="G10" s="32"/>
      <c r="H10" s="30">
        <v>24895</v>
      </c>
      <c r="I10" s="38">
        <f t="shared" si="3"/>
        <v>-23152.350000000002</v>
      </c>
      <c r="J10" s="38">
        <f t="shared" si="4"/>
        <v>-1742.65</v>
      </c>
      <c r="K10" s="35">
        <v>8100</v>
      </c>
      <c r="L10" s="35">
        <v>0</v>
      </c>
      <c r="M10" s="36">
        <f>SUM(K10:L10)</f>
        <v>8100</v>
      </c>
      <c r="N10" s="44">
        <v>-9000</v>
      </c>
      <c r="O10" s="43">
        <v>33895</v>
      </c>
      <c r="P10" s="43">
        <v>982.8</v>
      </c>
      <c r="Q10" s="34">
        <f t="shared" si="6"/>
        <v>34877.800000000003</v>
      </c>
      <c r="R10" s="37">
        <f t="shared" si="7"/>
        <v>-33977.800000000003</v>
      </c>
      <c r="S10" s="37">
        <f>-SUM(M10,N10,Q10)-J10</f>
        <v>-32235.15</v>
      </c>
      <c r="T10" s="29" t="s">
        <v>60</v>
      </c>
    </row>
    <row r="11" spans="1:20" s="5" customFormat="1" ht="20.100000000000001" customHeight="1">
      <c r="A11" s="42">
        <v>44385</v>
      </c>
      <c r="B11" s="30">
        <v>293780</v>
      </c>
      <c r="C11" s="31">
        <f t="shared" si="0"/>
        <v>-293780</v>
      </c>
      <c r="D11" s="31">
        <f t="shared" si="1"/>
        <v>273215.40000000002</v>
      </c>
      <c r="E11" s="31">
        <f t="shared" si="2"/>
        <v>20564.600000000002</v>
      </c>
      <c r="F11" s="31">
        <f t="shared" si="9"/>
        <v>20090.310800000003</v>
      </c>
      <c r="G11" s="32"/>
      <c r="H11" s="30">
        <v>-6775.56</v>
      </c>
      <c r="I11" s="38">
        <f t="shared" si="3"/>
        <v>6301.2708000000011</v>
      </c>
      <c r="J11" s="38">
        <f t="shared" si="4"/>
        <v>474.28920000000005</v>
      </c>
      <c r="K11" s="35">
        <v>0</v>
      </c>
      <c r="L11" s="35">
        <v>0</v>
      </c>
      <c r="M11" s="36">
        <f t="shared" si="5"/>
        <v>0</v>
      </c>
      <c r="N11" s="44"/>
      <c r="O11" s="43">
        <v>-6775.56</v>
      </c>
      <c r="P11" s="43">
        <v>935.43</v>
      </c>
      <c r="Q11" s="34">
        <f t="shared" si="6"/>
        <v>-5840.13</v>
      </c>
      <c r="R11" s="37">
        <f t="shared" si="7"/>
        <v>5840.13</v>
      </c>
      <c r="S11" s="37">
        <f t="shared" si="8"/>
        <v>5365.8407999999999</v>
      </c>
      <c r="T11" s="29" t="s">
        <v>62</v>
      </c>
    </row>
    <row r="12" spans="1:20" s="5" customFormat="1" ht="20.100000000000001" customHeight="1">
      <c r="A12" s="42">
        <v>44386</v>
      </c>
      <c r="B12" s="30">
        <v>678325</v>
      </c>
      <c r="C12" s="31">
        <f t="shared" si="0"/>
        <v>-678325</v>
      </c>
      <c r="D12" s="31">
        <f t="shared" si="1"/>
        <v>630842.25</v>
      </c>
      <c r="E12" s="31">
        <f t="shared" si="2"/>
        <v>47482.750000000007</v>
      </c>
      <c r="F12" s="31">
        <f t="shared" si="9"/>
        <v>46663.680000000008</v>
      </c>
      <c r="G12" s="32"/>
      <c r="H12" s="30">
        <v>-11701</v>
      </c>
      <c r="I12" s="38">
        <f t="shared" si="3"/>
        <v>10881.93</v>
      </c>
      <c r="J12" s="38">
        <f t="shared" si="4"/>
        <v>819.07</v>
      </c>
      <c r="K12" s="35">
        <v>0</v>
      </c>
      <c r="L12" s="35">
        <v>0</v>
      </c>
      <c r="M12" s="36">
        <f t="shared" si="5"/>
        <v>0</v>
      </c>
      <c r="N12" s="44">
        <v>0</v>
      </c>
      <c r="O12" s="43">
        <v>-11701</v>
      </c>
      <c r="P12" s="43">
        <v>1772.01</v>
      </c>
      <c r="Q12" s="34">
        <f t="shared" si="6"/>
        <v>-9928.99</v>
      </c>
      <c r="R12" s="37">
        <f>-SUM(M12,N12,Q12)</f>
        <v>9928.99</v>
      </c>
      <c r="S12" s="37">
        <f t="shared" si="8"/>
        <v>9109.92</v>
      </c>
      <c r="T12" s="29" t="s">
        <v>62</v>
      </c>
    </row>
    <row r="13" spans="1:20" s="5" customFormat="1" ht="20.100000000000001" customHeight="1">
      <c r="A13" s="42">
        <v>44387</v>
      </c>
      <c r="B13" s="30">
        <v>-87095</v>
      </c>
      <c r="C13" s="31">
        <f t="shared" si="0"/>
        <v>87095</v>
      </c>
      <c r="D13" s="31">
        <f t="shared" si="1"/>
        <v>-80998.350000000006</v>
      </c>
      <c r="E13" s="31">
        <f t="shared" si="2"/>
        <v>-6096.6500000000005</v>
      </c>
      <c r="F13" s="31">
        <f t="shared" si="9"/>
        <v>-1829.6424999999999</v>
      </c>
      <c r="G13" s="32"/>
      <c r="H13" s="30">
        <v>60957.25</v>
      </c>
      <c r="I13" s="38">
        <f t="shared" si="3"/>
        <v>-56690.2425</v>
      </c>
      <c r="J13" s="38">
        <f t="shared" si="4"/>
        <v>-4267.0075000000006</v>
      </c>
      <c r="K13" s="35">
        <v>0</v>
      </c>
      <c r="L13" s="35">
        <v>0</v>
      </c>
      <c r="M13" s="36">
        <f t="shared" si="5"/>
        <v>0</v>
      </c>
      <c r="N13" s="44">
        <v>0</v>
      </c>
      <c r="O13" s="43">
        <v>60957.25</v>
      </c>
      <c r="P13" s="43">
        <v>6084.28</v>
      </c>
      <c r="Q13" s="34">
        <f t="shared" si="6"/>
        <v>67041.53</v>
      </c>
      <c r="R13" s="37">
        <f t="shared" si="7"/>
        <v>-67041.53</v>
      </c>
      <c r="S13" s="37">
        <f t="shared" si="8"/>
        <v>-62774.522499999999</v>
      </c>
      <c r="T13" s="29" t="s">
        <v>62</v>
      </c>
    </row>
    <row r="14" spans="1:20" s="5" customFormat="1" ht="20.100000000000001" customHeight="1">
      <c r="A14" s="42">
        <v>44388</v>
      </c>
      <c r="B14" s="30">
        <v>-127030</v>
      </c>
      <c r="C14" s="31">
        <f>B14*-1</f>
        <v>127030</v>
      </c>
      <c r="D14" s="31">
        <f t="shared" si="1"/>
        <v>-118137.90000000001</v>
      </c>
      <c r="E14" s="31">
        <f t="shared" si="2"/>
        <v>-8892.1</v>
      </c>
      <c r="F14" s="31">
        <f>E14-J14</f>
        <v>-8877.6450000000004</v>
      </c>
      <c r="G14" s="32"/>
      <c r="H14" s="30">
        <v>206.5</v>
      </c>
      <c r="I14" s="38">
        <f t="shared" si="3"/>
        <v>-192.04500000000002</v>
      </c>
      <c r="J14" s="38">
        <f t="shared" si="4"/>
        <v>-14.455000000000002</v>
      </c>
      <c r="K14" s="35">
        <v>0</v>
      </c>
      <c r="L14" s="35">
        <v>0</v>
      </c>
      <c r="M14" s="36">
        <f t="shared" si="5"/>
        <v>0</v>
      </c>
      <c r="N14" s="44">
        <v>0</v>
      </c>
      <c r="O14" s="43">
        <v>206.5</v>
      </c>
      <c r="P14" s="43">
        <v>2403</v>
      </c>
      <c r="Q14" s="34">
        <f t="shared" si="6"/>
        <v>2609.5</v>
      </c>
      <c r="R14" s="37">
        <f t="shared" si="7"/>
        <v>-2609.5</v>
      </c>
      <c r="S14" s="37">
        <f t="shared" si="8"/>
        <v>-2595.0450000000001</v>
      </c>
      <c r="T14" s="29" t="s">
        <v>62</v>
      </c>
    </row>
    <row r="15" spans="1:20" s="5" customFormat="1" ht="20.100000000000001" customHeight="1">
      <c r="A15" s="42">
        <v>44389</v>
      </c>
      <c r="B15" s="30">
        <v>330330</v>
      </c>
      <c r="C15" s="31">
        <f t="shared" si="0"/>
        <v>-330330</v>
      </c>
      <c r="D15" s="31">
        <f t="shared" si="1"/>
        <v>307206.90000000002</v>
      </c>
      <c r="E15" s="31">
        <f t="shared" si="2"/>
        <v>23123.100000000002</v>
      </c>
      <c r="F15" s="31">
        <f t="shared" si="9"/>
        <v>25980.22</v>
      </c>
      <c r="G15" s="32"/>
      <c r="H15" s="33">
        <v>40816</v>
      </c>
      <c r="I15" s="34">
        <f t="shared" si="3"/>
        <v>-37958.880000000005</v>
      </c>
      <c r="J15" s="34">
        <f t="shared" si="4"/>
        <v>-2857.1200000000003</v>
      </c>
      <c r="K15" s="35">
        <v>0</v>
      </c>
      <c r="L15" s="35">
        <v>0</v>
      </c>
      <c r="M15" s="36">
        <f t="shared" si="5"/>
        <v>0</v>
      </c>
      <c r="N15" s="44">
        <v>0</v>
      </c>
      <c r="O15" s="43">
        <v>40816</v>
      </c>
      <c r="P15" s="43">
        <v>3425.85</v>
      </c>
      <c r="Q15" s="34">
        <f t="shared" si="6"/>
        <v>44241.85</v>
      </c>
      <c r="R15" s="37">
        <f t="shared" si="7"/>
        <v>-44241.85</v>
      </c>
      <c r="S15" s="37">
        <f t="shared" si="8"/>
        <v>-41384.729999999996</v>
      </c>
      <c r="T15" s="29" t="s">
        <v>62</v>
      </c>
    </row>
    <row r="16" spans="1:20" s="5" customFormat="1" ht="20.100000000000001" customHeight="1">
      <c r="A16" s="42">
        <v>44390</v>
      </c>
      <c r="B16" s="30">
        <v>95435</v>
      </c>
      <c r="C16" s="31">
        <f t="shared" si="0"/>
        <v>-95435</v>
      </c>
      <c r="D16" s="31">
        <f t="shared" si="1"/>
        <v>88754.55</v>
      </c>
      <c r="E16" s="31">
        <f t="shared" si="2"/>
        <v>6680.4500000000007</v>
      </c>
      <c r="F16" s="31">
        <f t="shared" si="9"/>
        <v>7689.6400000000012</v>
      </c>
      <c r="G16" s="32"/>
      <c r="H16" s="30">
        <v>14417</v>
      </c>
      <c r="I16" s="38">
        <f t="shared" si="3"/>
        <v>-13407.810000000001</v>
      </c>
      <c r="J16" s="38">
        <f t="shared" si="4"/>
        <v>-1009.19</v>
      </c>
      <c r="K16" s="35">
        <v>0</v>
      </c>
      <c r="L16" s="35">
        <v>0</v>
      </c>
      <c r="M16" s="36">
        <f t="shared" si="5"/>
        <v>0</v>
      </c>
      <c r="N16" s="44">
        <v>0</v>
      </c>
      <c r="O16" s="43">
        <v>14417</v>
      </c>
      <c r="P16" s="43">
        <v>1463.58</v>
      </c>
      <c r="Q16" s="34">
        <f t="shared" si="6"/>
        <v>15880.58</v>
      </c>
      <c r="R16" s="37">
        <f t="shared" si="7"/>
        <v>-15880.58</v>
      </c>
      <c r="S16" s="37">
        <f t="shared" si="8"/>
        <v>-14871.39</v>
      </c>
      <c r="T16" s="29" t="s">
        <v>60</v>
      </c>
    </row>
    <row r="17" spans="1:20" s="5" customFormat="1" ht="20.100000000000001" customHeight="1">
      <c r="A17" s="42">
        <v>44391</v>
      </c>
      <c r="B17" s="30">
        <v>243330</v>
      </c>
      <c r="C17" s="31">
        <f t="shared" si="0"/>
        <v>-243330</v>
      </c>
      <c r="D17" s="31">
        <f t="shared" si="1"/>
        <v>226296.90000000002</v>
      </c>
      <c r="E17" s="31">
        <f t="shared" si="2"/>
        <v>17033.100000000002</v>
      </c>
      <c r="F17" s="31">
        <f t="shared" si="9"/>
        <v>17228.61</v>
      </c>
      <c r="G17" s="32"/>
      <c r="H17" s="30">
        <v>2793</v>
      </c>
      <c r="I17" s="38">
        <f t="shared" si="3"/>
        <v>-2597.4900000000002</v>
      </c>
      <c r="J17" s="38">
        <f t="shared" si="4"/>
        <v>-195.51000000000002</v>
      </c>
      <c r="K17" s="35">
        <v>0</v>
      </c>
      <c r="L17" s="35">
        <v>0</v>
      </c>
      <c r="M17" s="36">
        <f>SUM(K17:L17)</f>
        <v>0</v>
      </c>
      <c r="N17" s="44">
        <v>0</v>
      </c>
      <c r="O17" s="43">
        <v>2793</v>
      </c>
      <c r="P17" s="43">
        <v>2426.62</v>
      </c>
      <c r="Q17" s="34">
        <f t="shared" si="6"/>
        <v>5219.62</v>
      </c>
      <c r="R17" s="37">
        <f t="shared" si="7"/>
        <v>-5219.62</v>
      </c>
      <c r="S17" s="37">
        <f t="shared" si="8"/>
        <v>-5024.1099999999997</v>
      </c>
      <c r="T17" s="29" t="s">
        <v>60</v>
      </c>
    </row>
    <row r="18" spans="1:20" s="5" customFormat="1" ht="20.100000000000001" customHeight="1">
      <c r="A18" s="42">
        <v>44392</v>
      </c>
      <c r="B18" s="30">
        <v>168185</v>
      </c>
      <c r="C18" s="31">
        <f t="shared" si="0"/>
        <v>-168185</v>
      </c>
      <c r="D18" s="31">
        <f t="shared" si="1"/>
        <v>156412.05000000002</v>
      </c>
      <c r="E18" s="31">
        <f t="shared" si="2"/>
        <v>11772.95</v>
      </c>
      <c r="F18" s="31">
        <f t="shared" si="9"/>
        <v>11670.715</v>
      </c>
      <c r="G18" s="32"/>
      <c r="H18" s="30">
        <v>-1460.5</v>
      </c>
      <c r="I18" s="38">
        <f t="shared" si="3"/>
        <v>1358.2650000000001</v>
      </c>
      <c r="J18" s="38">
        <f t="shared" si="4"/>
        <v>102.23500000000001</v>
      </c>
      <c r="K18" s="35">
        <v>-981.9</v>
      </c>
      <c r="L18" s="35">
        <v>0</v>
      </c>
      <c r="M18" s="36">
        <f t="shared" si="5"/>
        <v>-981.9</v>
      </c>
      <c r="N18" s="44">
        <v>1091</v>
      </c>
      <c r="O18" s="43">
        <v>-2551.5</v>
      </c>
      <c r="P18" s="43">
        <v>145.35</v>
      </c>
      <c r="Q18" s="34">
        <f t="shared" si="6"/>
        <v>-2406.15</v>
      </c>
      <c r="R18" s="37">
        <f t="shared" si="7"/>
        <v>2297.0500000000002</v>
      </c>
      <c r="S18" s="37">
        <f t="shared" si="8"/>
        <v>2194.8150000000001</v>
      </c>
      <c r="T18" s="29" t="s">
        <v>60</v>
      </c>
    </row>
    <row r="19" spans="1:20" s="5" customFormat="1" ht="20.100000000000001" customHeight="1">
      <c r="A19" s="42">
        <v>44393</v>
      </c>
      <c r="B19" s="30">
        <v>-9770</v>
      </c>
      <c r="C19" s="31">
        <f t="shared" si="0"/>
        <v>9770</v>
      </c>
      <c r="D19" s="31">
        <f t="shared" si="1"/>
        <v>-9086.1</v>
      </c>
      <c r="E19" s="31">
        <f t="shared" si="2"/>
        <v>-683.90000000000009</v>
      </c>
      <c r="F19" s="31">
        <f t="shared" si="9"/>
        <v>-613.90000000000009</v>
      </c>
      <c r="G19" s="32"/>
      <c r="H19" s="30">
        <v>1000</v>
      </c>
      <c r="I19" s="38">
        <f t="shared" si="3"/>
        <v>-930</v>
      </c>
      <c r="J19" s="38">
        <f t="shared" si="4"/>
        <v>-70</v>
      </c>
      <c r="K19" s="35">
        <v>-900</v>
      </c>
      <c r="L19" s="35">
        <v>0</v>
      </c>
      <c r="M19" s="36">
        <f t="shared" si="5"/>
        <v>-900</v>
      </c>
      <c r="N19" s="44">
        <v>1000</v>
      </c>
      <c r="O19" s="43">
        <v>0</v>
      </c>
      <c r="P19" s="43">
        <v>0</v>
      </c>
      <c r="Q19" s="34">
        <f t="shared" si="6"/>
        <v>0</v>
      </c>
      <c r="R19" s="37">
        <f t="shared" ref="R19:R27" si="10">-SUM(M19,N19,Q19)</f>
        <v>-100</v>
      </c>
      <c r="S19" s="37">
        <f t="shared" si="8"/>
        <v>-30</v>
      </c>
      <c r="T19" s="29" t="s">
        <v>60</v>
      </c>
    </row>
    <row r="20" spans="1:20" s="5" customFormat="1" ht="20.100000000000001" customHeight="1">
      <c r="A20" s="42">
        <v>44394</v>
      </c>
      <c r="B20" s="30">
        <v>133115</v>
      </c>
      <c r="C20" s="31">
        <f t="shared" si="0"/>
        <v>-133115</v>
      </c>
      <c r="D20" s="31">
        <f t="shared" si="1"/>
        <v>123796.95000000001</v>
      </c>
      <c r="E20" s="31">
        <f t="shared" si="2"/>
        <v>9318.0500000000011</v>
      </c>
      <c r="F20" s="31">
        <f t="shared" si="9"/>
        <v>9318.0500000000011</v>
      </c>
      <c r="G20" s="32"/>
      <c r="H20" s="30">
        <v>0</v>
      </c>
      <c r="I20" s="38">
        <f t="shared" si="3"/>
        <v>0</v>
      </c>
      <c r="J20" s="38">
        <f t="shared" si="4"/>
        <v>0</v>
      </c>
      <c r="K20" s="35">
        <v>0</v>
      </c>
      <c r="L20" s="35">
        <v>0</v>
      </c>
      <c r="M20" s="36">
        <f t="shared" si="5"/>
        <v>0</v>
      </c>
      <c r="N20" s="44">
        <v>0</v>
      </c>
      <c r="O20" s="43">
        <v>0</v>
      </c>
      <c r="P20" s="43">
        <v>0</v>
      </c>
      <c r="Q20" s="34">
        <f t="shared" si="6"/>
        <v>0</v>
      </c>
      <c r="R20" s="37">
        <f t="shared" si="10"/>
        <v>0</v>
      </c>
      <c r="S20" s="37">
        <f t="shared" si="8"/>
        <v>0</v>
      </c>
      <c r="T20" s="29" t="s">
        <v>60</v>
      </c>
    </row>
    <row r="21" spans="1:20" s="5" customFormat="1" ht="20.100000000000001" customHeight="1">
      <c r="A21" s="42">
        <v>44395</v>
      </c>
      <c r="B21" s="30">
        <v>169560</v>
      </c>
      <c r="C21" s="31">
        <f t="shared" si="0"/>
        <v>-169560</v>
      </c>
      <c r="D21" s="31">
        <f t="shared" si="1"/>
        <v>157690.80000000002</v>
      </c>
      <c r="E21" s="31">
        <f t="shared" si="2"/>
        <v>11869.2</v>
      </c>
      <c r="F21" s="31">
        <f t="shared" si="9"/>
        <v>11905.092500000001</v>
      </c>
      <c r="G21" s="32"/>
      <c r="H21" s="30">
        <v>512.75</v>
      </c>
      <c r="I21" s="38">
        <f t="shared" si="3"/>
        <v>-476.85750000000002</v>
      </c>
      <c r="J21" s="38">
        <f t="shared" si="4"/>
        <v>-35.892500000000005</v>
      </c>
      <c r="K21" s="35">
        <v>0</v>
      </c>
      <c r="L21" s="43">
        <v>24.03</v>
      </c>
      <c r="M21" s="36">
        <f t="shared" si="5"/>
        <v>24.03</v>
      </c>
      <c r="N21" s="44">
        <v>512.75</v>
      </c>
      <c r="O21" s="43">
        <v>0</v>
      </c>
      <c r="P21" s="43">
        <v>0</v>
      </c>
      <c r="Q21" s="34">
        <f t="shared" si="6"/>
        <v>0</v>
      </c>
      <c r="R21" s="37">
        <f t="shared" si="10"/>
        <v>-536.78</v>
      </c>
      <c r="S21" s="37">
        <f t="shared" si="8"/>
        <v>-500.88749999999999</v>
      </c>
      <c r="T21" s="29" t="s">
        <v>60</v>
      </c>
    </row>
    <row r="22" spans="1:20" s="5" customFormat="1" ht="20.100000000000001" customHeight="1">
      <c r="A22" s="42">
        <v>44396</v>
      </c>
      <c r="B22" s="30">
        <v>-139445</v>
      </c>
      <c r="C22" s="31">
        <f t="shared" si="0"/>
        <v>139445</v>
      </c>
      <c r="D22" s="31">
        <f t="shared" si="1"/>
        <v>-129683.85</v>
      </c>
      <c r="E22" s="31">
        <f t="shared" si="2"/>
        <v>-9761.1500000000015</v>
      </c>
      <c r="F22" s="31">
        <f t="shared" si="9"/>
        <v>-11414.907000000001</v>
      </c>
      <c r="G22" s="32"/>
      <c r="H22" s="30">
        <v>-23625.1</v>
      </c>
      <c r="I22" s="38">
        <f t="shared" si="3"/>
        <v>21971.343000000001</v>
      </c>
      <c r="J22" s="38">
        <f t="shared" si="4"/>
        <v>1653.7570000000001</v>
      </c>
      <c r="K22" s="35">
        <v>0</v>
      </c>
      <c r="L22" s="43">
        <v>91.84</v>
      </c>
      <c r="M22" s="36">
        <f t="shared" si="5"/>
        <v>91.84</v>
      </c>
      <c r="N22" s="44">
        <v>-1012.3</v>
      </c>
      <c r="O22" s="43">
        <v>-22612.799999999999</v>
      </c>
      <c r="P22" s="43">
        <v>973.02</v>
      </c>
      <c r="Q22" s="34">
        <f t="shared" si="6"/>
        <v>-21639.78</v>
      </c>
      <c r="R22" s="37">
        <f t="shared" si="10"/>
        <v>22560.239999999998</v>
      </c>
      <c r="S22" s="37">
        <f t="shared" si="8"/>
        <v>20906.482999999997</v>
      </c>
      <c r="T22" s="29" t="s">
        <v>73</v>
      </c>
    </row>
    <row r="23" spans="1:20" s="5" customFormat="1" ht="20.100000000000001" customHeight="1">
      <c r="A23" s="42">
        <v>44397</v>
      </c>
      <c r="B23" s="30">
        <v>95795</v>
      </c>
      <c r="C23" s="31">
        <f t="shared" si="0"/>
        <v>-95795</v>
      </c>
      <c r="D23" s="31">
        <f t="shared" si="1"/>
        <v>89089.35</v>
      </c>
      <c r="E23" s="31">
        <f t="shared" si="2"/>
        <v>6705.6500000000005</v>
      </c>
      <c r="F23" s="31">
        <f t="shared" si="9"/>
        <v>7631.295000000001</v>
      </c>
      <c r="G23" s="32"/>
      <c r="H23" s="30">
        <v>13223.5</v>
      </c>
      <c r="I23" s="38">
        <f t="shared" si="3"/>
        <v>-12297.855000000001</v>
      </c>
      <c r="J23" s="38">
        <f t="shared" si="4"/>
        <v>-925.6450000000001</v>
      </c>
      <c r="K23" s="35">
        <v>-9675</v>
      </c>
      <c r="L23" s="43">
        <v>0</v>
      </c>
      <c r="M23" s="36">
        <f t="shared" si="5"/>
        <v>-9675</v>
      </c>
      <c r="N23" s="44">
        <v>10750</v>
      </c>
      <c r="O23" s="43">
        <v>2473.5</v>
      </c>
      <c r="P23" s="43">
        <v>432</v>
      </c>
      <c r="Q23" s="34">
        <f t="shared" si="6"/>
        <v>2905.5</v>
      </c>
      <c r="R23" s="37">
        <f t="shared" si="10"/>
        <v>-3980.5</v>
      </c>
      <c r="S23" s="37">
        <f>-SUM(M23,N23,Q23)-J23</f>
        <v>-3054.855</v>
      </c>
      <c r="T23" s="29" t="s">
        <v>73</v>
      </c>
    </row>
    <row r="24" spans="1:20" s="5" customFormat="1" ht="20.100000000000001" customHeight="1">
      <c r="A24" s="42">
        <v>44398</v>
      </c>
      <c r="B24" s="30">
        <v>134195</v>
      </c>
      <c r="C24" s="31">
        <f t="shared" si="0"/>
        <v>-134195</v>
      </c>
      <c r="D24" s="31">
        <f t="shared" si="1"/>
        <v>124801.35</v>
      </c>
      <c r="E24" s="31">
        <f t="shared" si="2"/>
        <v>9393.6500000000015</v>
      </c>
      <c r="F24" s="31">
        <f t="shared" si="9"/>
        <v>9658.4075000000012</v>
      </c>
      <c r="G24" s="32"/>
      <c r="H24" s="30">
        <v>3782.25</v>
      </c>
      <c r="I24" s="38">
        <f t="shared" si="3"/>
        <v>-3517.4925000000003</v>
      </c>
      <c r="J24" s="38">
        <f t="shared" si="4"/>
        <v>-264.75750000000005</v>
      </c>
      <c r="K24" s="35">
        <v>-2146.9499999999998</v>
      </c>
      <c r="L24" s="43">
        <v>0</v>
      </c>
      <c r="M24" s="36">
        <f t="shared" si="5"/>
        <v>-2146.9499999999998</v>
      </c>
      <c r="N24" s="44">
        <v>2385.5</v>
      </c>
      <c r="O24" s="43">
        <v>1396.75</v>
      </c>
      <c r="P24" s="43">
        <v>767.61</v>
      </c>
      <c r="Q24" s="34">
        <f t="shared" si="6"/>
        <v>2164.36</v>
      </c>
      <c r="R24" s="37">
        <f t="shared" si="10"/>
        <v>-2402.9100000000003</v>
      </c>
      <c r="S24" s="37">
        <f>-SUM(M24,N24,Q24)-J24</f>
        <v>-2138.1525000000001</v>
      </c>
      <c r="T24" s="29" t="s">
        <v>73</v>
      </c>
    </row>
    <row r="25" spans="1:20" s="5" customFormat="1" ht="20.100000000000001" customHeight="1">
      <c r="A25" s="42">
        <v>44399</v>
      </c>
      <c r="B25" s="30">
        <v>18085</v>
      </c>
      <c r="C25" s="31">
        <f t="shared" si="0"/>
        <v>-18085</v>
      </c>
      <c r="D25" s="31">
        <f t="shared" si="1"/>
        <v>16819.05</v>
      </c>
      <c r="E25" s="31">
        <f t="shared" si="2"/>
        <v>1265.95</v>
      </c>
      <c r="F25" s="31">
        <f t="shared" si="9"/>
        <v>2114.3500000000004</v>
      </c>
      <c r="G25" s="32"/>
      <c r="H25" s="30">
        <v>12120</v>
      </c>
      <c r="I25" s="38">
        <f t="shared" si="3"/>
        <v>-11271.6</v>
      </c>
      <c r="J25" s="38">
        <f t="shared" si="4"/>
        <v>-848.40000000000009</v>
      </c>
      <c r="K25" s="35">
        <v>0</v>
      </c>
      <c r="L25" s="43">
        <v>0</v>
      </c>
      <c r="M25" s="36">
        <f t="shared" si="5"/>
        <v>0</v>
      </c>
      <c r="N25" s="44">
        <v>0</v>
      </c>
      <c r="O25" s="43">
        <v>12120</v>
      </c>
      <c r="P25" s="43">
        <v>689.4</v>
      </c>
      <c r="Q25" s="34">
        <f t="shared" si="6"/>
        <v>12809.4</v>
      </c>
      <c r="R25" s="37">
        <f t="shared" si="10"/>
        <v>-12809.4</v>
      </c>
      <c r="S25" s="37">
        <f t="shared" si="8"/>
        <v>-11961</v>
      </c>
      <c r="T25" s="29" t="s">
        <v>60</v>
      </c>
    </row>
    <row r="26" spans="1:20" s="5" customFormat="1" ht="20.100000000000001" customHeight="1">
      <c r="A26" s="42">
        <v>44400</v>
      </c>
      <c r="B26" s="30">
        <v>298220</v>
      </c>
      <c r="C26" s="31">
        <f t="shared" si="0"/>
        <v>-298220</v>
      </c>
      <c r="D26" s="31">
        <f t="shared" si="1"/>
        <v>277344.60000000003</v>
      </c>
      <c r="E26" s="31">
        <f t="shared" si="2"/>
        <v>20875.400000000001</v>
      </c>
      <c r="F26" s="31">
        <f t="shared" si="9"/>
        <v>22914.8325</v>
      </c>
      <c r="G26" s="32"/>
      <c r="H26" s="30">
        <v>29134.75</v>
      </c>
      <c r="I26" s="38">
        <f t="shared" si="3"/>
        <v>-27095.317500000001</v>
      </c>
      <c r="J26" s="38">
        <f t="shared" si="4"/>
        <v>-2039.4325000000001</v>
      </c>
      <c r="K26" s="35">
        <v>-328.5</v>
      </c>
      <c r="L26" s="43">
        <v>0</v>
      </c>
      <c r="M26" s="36">
        <f t="shared" si="5"/>
        <v>-328.5</v>
      </c>
      <c r="N26" s="44">
        <v>365</v>
      </c>
      <c r="O26" s="43">
        <v>28769.75</v>
      </c>
      <c r="P26" s="43">
        <v>825.66</v>
      </c>
      <c r="Q26" s="34">
        <f t="shared" si="6"/>
        <v>29595.41</v>
      </c>
      <c r="R26" s="37">
        <f t="shared" si="10"/>
        <v>-29631.91</v>
      </c>
      <c r="S26" s="37">
        <f t="shared" si="8"/>
        <v>-27592.477500000001</v>
      </c>
      <c r="T26" s="29" t="s">
        <v>73</v>
      </c>
    </row>
    <row r="27" spans="1:20" s="5" customFormat="1" ht="20.100000000000001" customHeight="1">
      <c r="A27" s="42">
        <v>44401</v>
      </c>
      <c r="B27" s="30">
        <v>220360</v>
      </c>
      <c r="C27" s="31">
        <f t="shared" si="0"/>
        <v>-220360</v>
      </c>
      <c r="D27" s="31">
        <f t="shared" si="1"/>
        <v>204934.80000000002</v>
      </c>
      <c r="E27" s="31">
        <f t="shared" si="2"/>
        <v>15425.2</v>
      </c>
      <c r="F27" s="31">
        <f>E27-J27</f>
        <v>13234.725</v>
      </c>
      <c r="G27" s="32"/>
      <c r="H27" s="30">
        <v>-31292.5</v>
      </c>
      <c r="I27" s="38">
        <f t="shared" si="3"/>
        <v>29102.025000000001</v>
      </c>
      <c r="J27" s="38">
        <f t="shared" si="4"/>
        <v>2190.4750000000004</v>
      </c>
      <c r="K27" s="35">
        <v>0</v>
      </c>
      <c r="L27" s="35">
        <v>0</v>
      </c>
      <c r="M27" s="36">
        <f t="shared" si="5"/>
        <v>0</v>
      </c>
      <c r="N27" s="44">
        <v>0</v>
      </c>
      <c r="O27" s="43">
        <v>-31292.5</v>
      </c>
      <c r="P27" s="43">
        <v>1540.8</v>
      </c>
      <c r="Q27" s="34">
        <f t="shared" si="6"/>
        <v>-29751.7</v>
      </c>
      <c r="R27" s="37">
        <f t="shared" si="10"/>
        <v>29751.7</v>
      </c>
      <c r="S27" s="37">
        <f t="shared" si="8"/>
        <v>27561.224999999999</v>
      </c>
      <c r="T27" s="29" t="s">
        <v>61</v>
      </c>
    </row>
    <row r="28" spans="1:20" s="5" customFormat="1" ht="20.100000000000001" customHeight="1">
      <c r="A28" s="42">
        <v>44402</v>
      </c>
      <c r="B28" s="30">
        <v>-4205</v>
      </c>
      <c r="C28" s="31">
        <f t="shared" si="0"/>
        <v>4205</v>
      </c>
      <c r="D28" s="31">
        <f t="shared" si="1"/>
        <v>-3910.65</v>
      </c>
      <c r="E28" s="31">
        <f t="shared" si="2"/>
        <v>-294.35000000000002</v>
      </c>
      <c r="F28" s="31">
        <f>E28-J28</f>
        <v>-294.35000000000002</v>
      </c>
      <c r="G28" s="32"/>
      <c r="H28" s="30">
        <v>0</v>
      </c>
      <c r="I28" s="38">
        <f t="shared" si="3"/>
        <v>0</v>
      </c>
      <c r="J28" s="38">
        <f t="shared" si="4"/>
        <v>0</v>
      </c>
      <c r="K28" s="35">
        <v>0</v>
      </c>
      <c r="L28" s="35">
        <v>0</v>
      </c>
      <c r="M28" s="36">
        <f>SUM(K28:L28)</f>
        <v>0</v>
      </c>
      <c r="N28" s="44">
        <v>0</v>
      </c>
      <c r="O28" s="43">
        <v>0</v>
      </c>
      <c r="P28" s="43">
        <v>0</v>
      </c>
      <c r="Q28" s="34">
        <f t="shared" si="6"/>
        <v>0</v>
      </c>
      <c r="R28" s="37">
        <f t="shared" ref="R28:R34" si="11">-SUM(M28,N28,Q28)</f>
        <v>0</v>
      </c>
      <c r="S28" s="37">
        <f t="shared" si="8"/>
        <v>0</v>
      </c>
      <c r="T28" s="29" t="s">
        <v>73</v>
      </c>
    </row>
    <row r="29" spans="1:20" s="5" customFormat="1" ht="20.100000000000001" customHeight="1">
      <c r="A29" s="42">
        <v>44403</v>
      </c>
      <c r="B29" s="30">
        <v>94445</v>
      </c>
      <c r="C29" s="31">
        <f t="shared" si="0"/>
        <v>-94445</v>
      </c>
      <c r="D29" s="31">
        <f t="shared" si="1"/>
        <v>87833.85</v>
      </c>
      <c r="E29" s="31">
        <f t="shared" si="2"/>
        <v>6611.1500000000005</v>
      </c>
      <c r="F29" s="31">
        <f>E29-J29</f>
        <v>1640.87</v>
      </c>
      <c r="G29" s="32"/>
      <c r="H29" s="30">
        <v>-71004</v>
      </c>
      <c r="I29" s="38">
        <f t="shared" si="3"/>
        <v>66033.72</v>
      </c>
      <c r="J29" s="38">
        <f t="shared" si="4"/>
        <v>4970.2800000000007</v>
      </c>
      <c r="K29" s="35">
        <v>63000</v>
      </c>
      <c r="L29" s="35">
        <v>0</v>
      </c>
      <c r="M29" s="36">
        <f t="shared" si="5"/>
        <v>63000</v>
      </c>
      <c r="N29" s="44">
        <v>-70000</v>
      </c>
      <c r="O29" s="43">
        <v>-1004</v>
      </c>
      <c r="P29" s="43">
        <v>676.17</v>
      </c>
      <c r="Q29" s="34">
        <f>SUM(O29:P29)</f>
        <v>-327.83000000000004</v>
      </c>
      <c r="R29" s="37">
        <f t="shared" si="11"/>
        <v>7327.83</v>
      </c>
      <c r="S29" s="37">
        <f t="shared" si="8"/>
        <v>2357.5499999999993</v>
      </c>
      <c r="T29" s="29" t="s">
        <v>61</v>
      </c>
    </row>
    <row r="30" spans="1:20" s="5" customFormat="1" ht="20.100000000000001" customHeight="1">
      <c r="A30" s="42">
        <v>44404</v>
      </c>
      <c r="B30" s="30">
        <v>56950</v>
      </c>
      <c r="C30" s="31">
        <f t="shared" si="0"/>
        <v>-56950</v>
      </c>
      <c r="D30" s="31">
        <f t="shared" si="1"/>
        <v>52963.5</v>
      </c>
      <c r="E30" s="31">
        <f t="shared" si="2"/>
        <v>3986.5000000000005</v>
      </c>
      <c r="F30" s="31">
        <f t="shared" si="9"/>
        <v>3897.6315000000004</v>
      </c>
      <c r="G30" s="32"/>
      <c r="H30" s="30">
        <v>-1269.55</v>
      </c>
      <c r="I30" s="38">
        <f t="shared" si="3"/>
        <v>1180.6814999999999</v>
      </c>
      <c r="J30" s="38">
        <f t="shared" si="4"/>
        <v>88.868500000000012</v>
      </c>
      <c r="K30" s="35">
        <v>-4891.5</v>
      </c>
      <c r="L30" s="35">
        <v>0</v>
      </c>
      <c r="M30" s="36">
        <f t="shared" si="5"/>
        <v>-4891.5</v>
      </c>
      <c r="N30" s="44">
        <v>5435</v>
      </c>
      <c r="O30" s="43">
        <v>-6704.55</v>
      </c>
      <c r="P30" s="43">
        <v>185.54</v>
      </c>
      <c r="Q30" s="34">
        <f t="shared" si="6"/>
        <v>-6519.01</v>
      </c>
      <c r="R30" s="37">
        <f t="shared" si="11"/>
        <v>5975.51</v>
      </c>
      <c r="S30" s="37">
        <f t="shared" si="8"/>
        <v>5886.6415000000006</v>
      </c>
      <c r="T30" s="29" t="s">
        <v>73</v>
      </c>
    </row>
    <row r="31" spans="1:20" s="5" customFormat="1" ht="20.100000000000001" customHeight="1">
      <c r="A31" s="42">
        <v>44405</v>
      </c>
      <c r="B31" s="30">
        <v>-493480</v>
      </c>
      <c r="C31" s="31">
        <f t="shared" si="0"/>
        <v>493480</v>
      </c>
      <c r="D31" s="31">
        <f t="shared" si="1"/>
        <v>-458936.4</v>
      </c>
      <c r="E31" s="31">
        <f t="shared" si="2"/>
        <v>-34543.600000000006</v>
      </c>
      <c r="F31" s="31">
        <f>E31-J31</f>
        <v>-34558.752200000003</v>
      </c>
      <c r="G31" s="32"/>
      <c r="H31" s="30">
        <v>-216.46</v>
      </c>
      <c r="I31" s="38">
        <f t="shared" si="3"/>
        <v>201.30780000000001</v>
      </c>
      <c r="J31" s="38">
        <f t="shared" si="4"/>
        <v>15.152200000000002</v>
      </c>
      <c r="K31" s="35">
        <v>0</v>
      </c>
      <c r="L31" s="35">
        <v>0</v>
      </c>
      <c r="M31" s="36">
        <f t="shared" si="5"/>
        <v>0</v>
      </c>
      <c r="N31" s="44">
        <v>0</v>
      </c>
      <c r="O31" s="43">
        <v>-216.46</v>
      </c>
      <c r="P31" s="43">
        <v>210.64</v>
      </c>
      <c r="Q31" s="34">
        <f t="shared" si="6"/>
        <v>-5.8200000000000216</v>
      </c>
      <c r="R31" s="37">
        <f>-SUM(M31,N31,Q31)</f>
        <v>5.8200000000000216</v>
      </c>
      <c r="S31" s="37">
        <f t="shared" si="8"/>
        <v>-9.3321999999999807</v>
      </c>
      <c r="T31" s="29" t="s">
        <v>73</v>
      </c>
    </row>
    <row r="32" spans="1:20" s="5" customFormat="1" ht="20.100000000000001" customHeight="1">
      <c r="A32" s="42">
        <v>44406</v>
      </c>
      <c r="B32" s="30">
        <v>187875</v>
      </c>
      <c r="C32" s="31">
        <f t="shared" si="0"/>
        <v>-187875</v>
      </c>
      <c r="D32" s="31">
        <f t="shared" si="1"/>
        <v>174723.75</v>
      </c>
      <c r="E32" s="31">
        <f t="shared" si="2"/>
        <v>13151.250000000002</v>
      </c>
      <c r="F32" s="31">
        <f t="shared" si="9"/>
        <v>13077.722000000002</v>
      </c>
      <c r="G32" s="32"/>
      <c r="H32" s="30">
        <v>-1050.4000000000001</v>
      </c>
      <c r="I32" s="38">
        <f t="shared" si="3"/>
        <v>976.87200000000018</v>
      </c>
      <c r="J32" s="38">
        <f t="shared" si="4"/>
        <v>73.52800000000002</v>
      </c>
      <c r="K32" s="35">
        <v>0</v>
      </c>
      <c r="L32" s="35">
        <v>0</v>
      </c>
      <c r="M32" s="36">
        <f t="shared" si="5"/>
        <v>0</v>
      </c>
      <c r="N32" s="44">
        <v>0</v>
      </c>
      <c r="O32" s="43">
        <v>-1050.4000000000001</v>
      </c>
      <c r="P32" s="43">
        <v>30.51</v>
      </c>
      <c r="Q32" s="34">
        <f t="shared" si="6"/>
        <v>-1019.8900000000001</v>
      </c>
      <c r="R32" s="37">
        <f t="shared" si="11"/>
        <v>1019.8900000000001</v>
      </c>
      <c r="S32" s="37">
        <f t="shared" si="8"/>
        <v>946.36200000000008</v>
      </c>
      <c r="T32" s="29" t="s">
        <v>61</v>
      </c>
    </row>
    <row r="33" spans="1:20" s="5" customFormat="1" ht="20.100000000000001" customHeight="1">
      <c r="A33" s="42">
        <v>44407</v>
      </c>
      <c r="B33" s="30">
        <v>17375</v>
      </c>
      <c r="C33" s="31">
        <f t="shared" si="0"/>
        <v>-17375</v>
      </c>
      <c r="D33" s="31">
        <f t="shared" si="1"/>
        <v>16158.75</v>
      </c>
      <c r="E33" s="31">
        <f t="shared" si="2"/>
        <v>1216.2500000000002</v>
      </c>
      <c r="F33" s="31">
        <f t="shared" si="9"/>
        <v>1146.2500000000002</v>
      </c>
      <c r="G33" s="32"/>
      <c r="H33" s="30">
        <v>-1000</v>
      </c>
      <c r="I33" s="38">
        <f t="shared" si="3"/>
        <v>930</v>
      </c>
      <c r="J33" s="38">
        <f t="shared" si="4"/>
        <v>70</v>
      </c>
      <c r="K33" s="35">
        <v>0</v>
      </c>
      <c r="L33" s="35">
        <v>0</v>
      </c>
      <c r="M33" s="36">
        <f t="shared" si="5"/>
        <v>0</v>
      </c>
      <c r="N33" s="44">
        <v>0</v>
      </c>
      <c r="O33" s="43">
        <v>-1000</v>
      </c>
      <c r="P33" s="43">
        <v>38.159999999999997</v>
      </c>
      <c r="Q33" s="34">
        <f t="shared" si="6"/>
        <v>-961.84</v>
      </c>
      <c r="R33" s="37">
        <f t="shared" si="11"/>
        <v>961.84</v>
      </c>
      <c r="S33" s="37">
        <f t="shared" si="8"/>
        <v>891.84</v>
      </c>
      <c r="T33" s="29" t="s">
        <v>73</v>
      </c>
    </row>
    <row r="34" spans="1:20" s="5" customFormat="1" ht="20.100000000000001" customHeight="1">
      <c r="A34" s="42">
        <v>44408</v>
      </c>
      <c r="B34" s="30">
        <v>106560</v>
      </c>
      <c r="C34" s="31">
        <f t="shared" si="0"/>
        <v>-106560</v>
      </c>
      <c r="D34" s="31">
        <f t="shared" si="1"/>
        <v>99100.800000000003</v>
      </c>
      <c r="E34" s="31">
        <f t="shared" si="2"/>
        <v>7459.2000000000007</v>
      </c>
      <c r="F34" s="31">
        <f t="shared" si="9"/>
        <v>7453.9500000000007</v>
      </c>
      <c r="G34" s="32"/>
      <c r="H34" s="30">
        <v>-75</v>
      </c>
      <c r="I34" s="38">
        <f t="shared" si="3"/>
        <v>69.75</v>
      </c>
      <c r="J34" s="38">
        <f t="shared" si="4"/>
        <v>5.2500000000000009</v>
      </c>
      <c r="K34" s="35">
        <v>67.5</v>
      </c>
      <c r="L34" s="35">
        <v>0</v>
      </c>
      <c r="M34" s="36">
        <f t="shared" si="5"/>
        <v>67.5</v>
      </c>
      <c r="N34" s="44">
        <v>-75</v>
      </c>
      <c r="O34" s="43">
        <v>0</v>
      </c>
      <c r="P34" s="43">
        <v>0</v>
      </c>
      <c r="Q34" s="34">
        <f t="shared" si="6"/>
        <v>0</v>
      </c>
      <c r="R34" s="37">
        <f t="shared" si="11"/>
        <v>7.5</v>
      </c>
      <c r="S34" s="37">
        <f t="shared" si="8"/>
        <v>2.2499999999999991</v>
      </c>
      <c r="T34" s="29" t="s">
        <v>61</v>
      </c>
    </row>
    <row r="35" spans="1:20" s="5" customFormat="1" ht="20.100000000000001" customHeight="1">
      <c r="A35" s="6" t="s">
        <v>3</v>
      </c>
      <c r="B35" s="31">
        <f>SUM(B4:B34)</f>
        <v>4193375</v>
      </c>
      <c r="C35" s="31">
        <f>SUM(C4:C34)</f>
        <v>-4193375</v>
      </c>
      <c r="D35" s="31">
        <f>SUM(D4:D34)</f>
        <v>3899838.7499999995</v>
      </c>
      <c r="E35" s="31">
        <f>SUM(E4:E34)</f>
        <v>293536.25000000017</v>
      </c>
      <c r="F35" s="45">
        <f>SUM(F4:F34)</f>
        <v>294634.7901000001</v>
      </c>
      <c r="G35" s="32"/>
      <c r="H35" s="39">
        <f t="shared" ref="H35:S35" si="12">SUM(H4:H34)</f>
        <v>15693.429999999997</v>
      </c>
      <c r="I35" s="39">
        <f t="shared" si="12"/>
        <v>-14594.889900000031</v>
      </c>
      <c r="J35" s="39">
        <f t="shared" si="12"/>
        <v>-1098.5401000000013</v>
      </c>
      <c r="K35" s="40">
        <f t="shared" si="12"/>
        <v>93726.9</v>
      </c>
      <c r="L35" s="40">
        <f t="shared" si="12"/>
        <v>115.87</v>
      </c>
      <c r="M35" s="41">
        <f t="shared" si="12"/>
        <v>93842.76999999999</v>
      </c>
      <c r="N35" s="41">
        <f t="shared" si="12"/>
        <v>-104640.55</v>
      </c>
      <c r="O35" s="40">
        <f t="shared" si="12"/>
        <v>120333.98000000001</v>
      </c>
      <c r="P35" s="40">
        <f t="shared" si="12"/>
        <v>28462.129999999997</v>
      </c>
      <c r="Q35" s="41">
        <f t="shared" si="12"/>
        <v>148796.10999999996</v>
      </c>
      <c r="R35" s="46">
        <f t="shared" si="12"/>
        <v>-137998.32999999999</v>
      </c>
      <c r="S35" s="41">
        <f t="shared" si="12"/>
        <v>-136899.7899</v>
      </c>
      <c r="T35" s="25"/>
    </row>
    <row r="37" spans="1:20" ht="20.100000000000001" customHeight="1">
      <c r="A37" s="15" t="s">
        <v>32</v>
      </c>
      <c r="B37" s="15"/>
      <c r="C37" s="5"/>
      <c r="D37" s="5"/>
      <c r="E37" s="16">
        <f>E35</f>
        <v>293536.25000000017</v>
      </c>
    </row>
    <row r="38" spans="1:20" ht="20.100000000000001" customHeight="1" thickBot="1">
      <c r="A38" s="15" t="s">
        <v>31</v>
      </c>
      <c r="B38" s="15"/>
      <c r="C38" s="5"/>
      <c r="D38" s="5"/>
      <c r="E38" s="17">
        <f>-J35</f>
        <v>1098.5401000000013</v>
      </c>
      <c r="J38" s="48"/>
    </row>
    <row r="39" spans="1:20" ht="20.100000000000001" customHeight="1">
      <c r="A39" s="18" t="s">
        <v>30</v>
      </c>
      <c r="B39" s="18"/>
      <c r="C39" s="19"/>
      <c r="D39" s="19"/>
      <c r="E39" s="20">
        <f>SUM(E37:E38)</f>
        <v>294634.79010000016</v>
      </c>
    </row>
    <row r="40" spans="1:20" ht="20.100000000000001" customHeight="1">
      <c r="A40" s="21"/>
      <c r="B40" s="5"/>
      <c r="C40" s="5"/>
      <c r="D40" s="5"/>
      <c r="E40" s="5"/>
      <c r="J40" s="48"/>
    </row>
    <row r="41" spans="1:20" ht="20.100000000000001" customHeight="1">
      <c r="A41" s="22" t="s">
        <v>44</v>
      </c>
      <c r="B41" s="5"/>
      <c r="C41" s="5"/>
      <c r="D41" s="5"/>
      <c r="E41" s="23">
        <f>-SUM(K35,N35,O35)</f>
        <v>-109420.33</v>
      </c>
    </row>
    <row r="42" spans="1:20" ht="20.100000000000001" customHeight="1">
      <c r="A42" s="22" t="s">
        <v>35</v>
      </c>
      <c r="B42" s="5"/>
      <c r="C42" s="5"/>
      <c r="D42" s="5"/>
      <c r="E42" s="24">
        <f>-SUM(L35,P35)</f>
        <v>-28577.999999999996</v>
      </c>
    </row>
    <row r="43" spans="1:20" ht="20.100000000000001" customHeight="1">
      <c r="A43" s="22" t="s">
        <v>5</v>
      </c>
      <c r="B43" s="5"/>
      <c r="C43" s="5"/>
      <c r="D43" s="5"/>
      <c r="E43" s="24">
        <f>-J35</f>
        <v>1098.5401000000013</v>
      </c>
    </row>
    <row r="44" spans="1:20" ht="20.100000000000001" customHeight="1">
      <c r="A44" s="22" t="s">
        <v>34</v>
      </c>
      <c r="B44" s="5"/>
      <c r="C44" s="5"/>
      <c r="D44" s="5"/>
      <c r="E44" s="23">
        <f>SUM(E41:E42)</f>
        <v>-137998.32999999999</v>
      </c>
    </row>
    <row r="45" spans="1:20" ht="20.100000000000001" customHeight="1">
      <c r="A45" s="22"/>
      <c r="B45" s="5"/>
      <c r="C45" s="5"/>
      <c r="D45" s="5"/>
      <c r="E45" s="23"/>
    </row>
    <row r="46" spans="1:20" ht="20.100000000000001" customHeight="1">
      <c r="A46" s="22"/>
      <c r="B46" s="5"/>
      <c r="C46" s="5"/>
      <c r="D46" s="5"/>
      <c r="E46" s="23"/>
    </row>
    <row r="47" spans="1:20" ht="18.75">
      <c r="A47" s="22" t="s">
        <v>33</v>
      </c>
      <c r="B47" s="5"/>
      <c r="C47" s="5"/>
      <c r="D47" s="5"/>
      <c r="E47" s="47">
        <f>SUM(E39,E44)</f>
        <v>156636.46010000017</v>
      </c>
    </row>
    <row r="67" ht="20.100000000000001" customHeight="1"/>
  </sheetData>
  <sheetProtection formatCells="0"/>
  <mergeCells count="2">
    <mergeCell ref="A1:E1"/>
    <mergeCell ref="H1:R1"/>
  </mergeCells>
  <phoneticPr fontId="2" type="noConversion"/>
  <pageMargins left="0.15748031496062992" right="0.15748031496062992" top="0.31496062992125984" bottom="0.15748031496062992" header="0.31496062992125984" footer="0.15748031496062992"/>
  <pageSetup scale="37" orientation="landscape" horizontalDpi="360" verticalDpi="360" r:id="rId1"/>
  <ignoredErrors>
    <ignoredError sqref="Q19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5"/>
  <sheetViews>
    <sheetView topLeftCell="A7" zoomScale="70" zoomScaleNormal="70" workbookViewId="0">
      <selection activeCell="V18" sqref="V18"/>
    </sheetView>
  </sheetViews>
  <sheetFormatPr defaultRowHeight="15"/>
  <cols>
    <col min="1" max="1" width="20.7109375" style="2" customWidth="1"/>
    <col min="2" max="3" width="18.7109375" style="1" customWidth="1"/>
    <col min="4" max="4" width="18.7109375" style="2" customWidth="1"/>
    <col min="5" max="5" width="18.7109375" style="1" customWidth="1"/>
    <col min="6" max="6" width="8.28515625" style="1" customWidth="1"/>
    <col min="7" max="9" width="18.7109375" style="1" customWidth="1"/>
    <col min="10" max="10" width="18.7109375" style="81" customWidth="1"/>
    <col min="11" max="16384" width="9.140625" style="1"/>
  </cols>
  <sheetData>
    <row r="1" spans="1:10" s="5" customFormat="1" ht="54.75" customHeight="1">
      <c r="A1" s="87" t="s">
        <v>63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s="3" customFormat="1" ht="32.25" customHeight="1">
      <c r="A2" s="88" t="s">
        <v>14</v>
      </c>
      <c r="B2" s="90" t="s">
        <v>64</v>
      </c>
      <c r="C2" s="91"/>
      <c r="D2" s="91"/>
      <c r="E2" s="92"/>
      <c r="F2" s="72"/>
      <c r="G2" s="90" t="s">
        <v>65</v>
      </c>
      <c r="H2" s="91"/>
      <c r="I2" s="92"/>
      <c r="J2" s="93" t="s">
        <v>66</v>
      </c>
    </row>
    <row r="3" spans="1:10" s="3" customFormat="1" ht="27.75" customHeight="1">
      <c r="A3" s="89"/>
      <c r="B3" s="73" t="s">
        <v>67</v>
      </c>
      <c r="C3" s="7" t="s">
        <v>68</v>
      </c>
      <c r="D3" s="7" t="s">
        <v>69</v>
      </c>
      <c r="E3" s="9" t="s">
        <v>70</v>
      </c>
      <c r="F3" s="74"/>
      <c r="G3" s="7" t="s">
        <v>71</v>
      </c>
      <c r="H3" s="7" t="s">
        <v>72</v>
      </c>
      <c r="I3" s="9" t="s">
        <v>70</v>
      </c>
      <c r="J3" s="94"/>
    </row>
    <row r="4" spans="1:10" s="5" customFormat="1" ht="21.95" customHeight="1">
      <c r="A4" s="42">
        <v>44378</v>
      </c>
      <c r="B4" s="75">
        <f>'MONTHLY REPORT'!N4</f>
        <v>-35992.5</v>
      </c>
      <c r="C4" s="76">
        <f>'MONTHLY REPORT'!K4</f>
        <v>32393.25</v>
      </c>
      <c r="D4" s="76">
        <f>'MONTHLY REPORT'!L4</f>
        <v>0</v>
      </c>
      <c r="E4" s="37">
        <f>(C4+B4+D4)*-1</f>
        <v>3599.25</v>
      </c>
      <c r="F4" s="74"/>
      <c r="G4" s="77">
        <f>'MONTHLY REPORT'!O4</f>
        <v>-5000</v>
      </c>
      <c r="H4" s="77">
        <f>'MONTHLY REPORT'!P4</f>
        <v>137.37</v>
      </c>
      <c r="I4" s="37">
        <f>(G4+H4)*-1</f>
        <v>4862.63</v>
      </c>
      <c r="J4" s="78">
        <f>+E4+I4</f>
        <v>8461.880000000001</v>
      </c>
    </row>
    <row r="5" spans="1:10" s="5" customFormat="1" ht="21.95" customHeight="1">
      <c r="A5" s="42">
        <v>44379</v>
      </c>
      <c r="B5" s="75">
        <f>'MONTHLY REPORT'!N5</f>
        <v>0</v>
      </c>
      <c r="C5" s="76">
        <f>'MONTHLY REPORT'!K5</f>
        <v>0</v>
      </c>
      <c r="D5" s="76">
        <f>'MONTHLY REPORT'!L5</f>
        <v>0</v>
      </c>
      <c r="E5" s="37">
        <f t="shared" ref="E5:E34" si="0">(C5+B5+D5)*-1</f>
        <v>0</v>
      </c>
      <c r="F5" s="74"/>
      <c r="G5" s="77">
        <f>'MONTHLY REPORT'!O5</f>
        <v>5007.5</v>
      </c>
      <c r="H5" s="77">
        <f>'MONTHLY REPORT'!P5</f>
        <v>342.18</v>
      </c>
      <c r="I5" s="37">
        <f t="shared" ref="I5:I33" si="1">(G5+H5)*-1</f>
        <v>-5349.68</v>
      </c>
      <c r="J5" s="78">
        <f t="shared" ref="J5:J34" si="2">+E5+I5</f>
        <v>-5349.68</v>
      </c>
    </row>
    <row r="6" spans="1:10" s="5" customFormat="1" ht="21.95" customHeight="1">
      <c r="A6" s="42">
        <v>44380</v>
      </c>
      <c r="B6" s="75">
        <f>'MONTHLY REPORT'!N6</f>
        <v>-10100</v>
      </c>
      <c r="C6" s="76">
        <f>'MONTHLY REPORT'!K6</f>
        <v>9090</v>
      </c>
      <c r="D6" s="76">
        <f>'MONTHLY REPORT'!L6</f>
        <v>0</v>
      </c>
      <c r="E6" s="37">
        <f t="shared" si="0"/>
        <v>1010</v>
      </c>
      <c r="F6" s="74"/>
      <c r="G6" s="77">
        <f>'MONTHLY REPORT'!O6</f>
        <v>28827.5</v>
      </c>
      <c r="H6" s="77">
        <f>'MONTHLY REPORT'!P6</f>
        <v>800.1</v>
      </c>
      <c r="I6" s="37">
        <f t="shared" si="1"/>
        <v>-29627.599999999999</v>
      </c>
      <c r="J6" s="78">
        <f t="shared" si="2"/>
        <v>-28617.599999999999</v>
      </c>
    </row>
    <row r="7" spans="1:10" s="5" customFormat="1" ht="21.95" customHeight="1">
      <c r="A7" s="42">
        <v>44381</v>
      </c>
      <c r="B7" s="75">
        <f>'MONTHLY REPORT'!N7</f>
        <v>0</v>
      </c>
      <c r="C7" s="76">
        <f>'MONTHLY REPORT'!K7</f>
        <v>0</v>
      </c>
      <c r="D7" s="76">
        <f>'MONTHLY REPORT'!L7</f>
        <v>0</v>
      </c>
      <c r="E7" s="37">
        <f t="shared" si="0"/>
        <v>0</v>
      </c>
      <c r="F7" s="74"/>
      <c r="G7" s="77">
        <f>'MONTHLY REPORT'!O7</f>
        <v>-15880</v>
      </c>
      <c r="H7" s="77">
        <f>'MONTHLY REPORT'!P7</f>
        <v>950.04</v>
      </c>
      <c r="I7" s="37">
        <f t="shared" si="1"/>
        <v>14929.96</v>
      </c>
      <c r="J7" s="78">
        <f t="shared" si="2"/>
        <v>14929.96</v>
      </c>
    </row>
    <row r="8" spans="1:10" s="5" customFormat="1" ht="21.95" customHeight="1">
      <c r="A8" s="42">
        <v>44382</v>
      </c>
      <c r="B8" s="75">
        <f>'MONTHLY REPORT'!N8</f>
        <v>0</v>
      </c>
      <c r="C8" s="76">
        <f>'MONTHLY REPORT'!K8</f>
        <v>0</v>
      </c>
      <c r="D8" s="76">
        <f>'MONTHLY REPORT'!L8</f>
        <v>0</v>
      </c>
      <c r="E8" s="37">
        <f t="shared" si="0"/>
        <v>0</v>
      </c>
      <c r="F8" s="74"/>
      <c r="G8" s="77">
        <f>'MONTHLY REPORT'!O8</f>
        <v>-1955</v>
      </c>
      <c r="H8" s="77">
        <f>'MONTHLY REPORT'!P8</f>
        <v>76.59</v>
      </c>
      <c r="I8" s="37">
        <f t="shared" si="1"/>
        <v>1878.41</v>
      </c>
      <c r="J8" s="78">
        <f t="shared" si="2"/>
        <v>1878.41</v>
      </c>
    </row>
    <row r="9" spans="1:10" s="5" customFormat="1" ht="21.95" customHeight="1">
      <c r="A9" s="42">
        <v>44383</v>
      </c>
      <c r="B9" s="75">
        <f>'MONTHLY REPORT'!N9</f>
        <v>0</v>
      </c>
      <c r="C9" s="76">
        <f>'MONTHLY REPORT'!K9</f>
        <v>0</v>
      </c>
      <c r="D9" s="76">
        <f>'MONTHLY REPORT'!L9</f>
        <v>0</v>
      </c>
      <c r="E9" s="37">
        <f t="shared" si="0"/>
        <v>0</v>
      </c>
      <c r="F9" s="74"/>
      <c r="G9" s="77">
        <f>'MONTHLY REPORT'!O9</f>
        <v>-3602</v>
      </c>
      <c r="H9" s="77">
        <f>'MONTHLY REPORT'!P9</f>
        <v>147.41999999999999</v>
      </c>
      <c r="I9" s="37">
        <f t="shared" si="1"/>
        <v>3454.58</v>
      </c>
      <c r="J9" s="78">
        <f t="shared" si="2"/>
        <v>3454.58</v>
      </c>
    </row>
    <row r="10" spans="1:10" s="5" customFormat="1" ht="21.95" customHeight="1">
      <c r="A10" s="42">
        <v>44384</v>
      </c>
      <c r="B10" s="75">
        <f>'MONTHLY REPORT'!N10</f>
        <v>-9000</v>
      </c>
      <c r="C10" s="76">
        <f>'MONTHLY REPORT'!K10</f>
        <v>8100</v>
      </c>
      <c r="D10" s="76">
        <f>'MONTHLY REPORT'!L10</f>
        <v>0</v>
      </c>
      <c r="E10" s="37">
        <f t="shared" si="0"/>
        <v>900</v>
      </c>
      <c r="F10" s="74"/>
      <c r="G10" s="77">
        <f>'MONTHLY REPORT'!O10</f>
        <v>33895</v>
      </c>
      <c r="H10" s="77">
        <f>'MONTHLY REPORT'!P10</f>
        <v>982.8</v>
      </c>
      <c r="I10" s="37">
        <f t="shared" si="1"/>
        <v>-34877.800000000003</v>
      </c>
      <c r="J10" s="78">
        <f t="shared" si="2"/>
        <v>-33977.800000000003</v>
      </c>
    </row>
    <row r="11" spans="1:10" s="5" customFormat="1" ht="21.95" customHeight="1">
      <c r="A11" s="42">
        <v>44385</v>
      </c>
      <c r="B11" s="75">
        <f>'MONTHLY REPORT'!N11</f>
        <v>0</v>
      </c>
      <c r="C11" s="76">
        <f>'MONTHLY REPORT'!K11</f>
        <v>0</v>
      </c>
      <c r="D11" s="76">
        <f>'MONTHLY REPORT'!L11</f>
        <v>0</v>
      </c>
      <c r="E11" s="37">
        <f t="shared" si="0"/>
        <v>0</v>
      </c>
      <c r="F11" s="74"/>
      <c r="G11" s="77">
        <f>'MONTHLY REPORT'!O11</f>
        <v>-6775.56</v>
      </c>
      <c r="H11" s="77">
        <f>'MONTHLY REPORT'!P11</f>
        <v>935.43</v>
      </c>
      <c r="I11" s="37">
        <f t="shared" si="1"/>
        <v>5840.13</v>
      </c>
      <c r="J11" s="78">
        <f t="shared" si="2"/>
        <v>5840.13</v>
      </c>
    </row>
    <row r="12" spans="1:10" s="5" customFormat="1" ht="21.95" customHeight="1">
      <c r="A12" s="42">
        <v>44386</v>
      </c>
      <c r="B12" s="75">
        <f>'MONTHLY REPORT'!N12</f>
        <v>0</v>
      </c>
      <c r="C12" s="76">
        <f>'MONTHLY REPORT'!K12</f>
        <v>0</v>
      </c>
      <c r="D12" s="76">
        <f>'MONTHLY REPORT'!L12</f>
        <v>0</v>
      </c>
      <c r="E12" s="37">
        <f t="shared" si="0"/>
        <v>0</v>
      </c>
      <c r="F12" s="74"/>
      <c r="G12" s="77">
        <f>'MONTHLY REPORT'!O12</f>
        <v>-11701</v>
      </c>
      <c r="H12" s="77">
        <f>'MONTHLY REPORT'!P12</f>
        <v>1772.01</v>
      </c>
      <c r="I12" s="37">
        <f t="shared" si="1"/>
        <v>9928.99</v>
      </c>
      <c r="J12" s="78">
        <f t="shared" si="2"/>
        <v>9928.99</v>
      </c>
    </row>
    <row r="13" spans="1:10" s="5" customFormat="1" ht="21.95" customHeight="1">
      <c r="A13" s="42">
        <v>44387</v>
      </c>
      <c r="B13" s="75">
        <f>'MONTHLY REPORT'!N13</f>
        <v>0</v>
      </c>
      <c r="C13" s="76">
        <f>'MONTHLY REPORT'!K13</f>
        <v>0</v>
      </c>
      <c r="D13" s="76">
        <f>'MONTHLY REPORT'!L13</f>
        <v>0</v>
      </c>
      <c r="E13" s="37">
        <f t="shared" si="0"/>
        <v>0</v>
      </c>
      <c r="F13" s="74"/>
      <c r="G13" s="77">
        <f>'MONTHLY REPORT'!O13</f>
        <v>60957.25</v>
      </c>
      <c r="H13" s="77">
        <f>'MONTHLY REPORT'!P13</f>
        <v>6084.28</v>
      </c>
      <c r="I13" s="37">
        <f t="shared" si="1"/>
        <v>-67041.53</v>
      </c>
      <c r="J13" s="78">
        <f t="shared" si="2"/>
        <v>-67041.53</v>
      </c>
    </row>
    <row r="14" spans="1:10" s="5" customFormat="1" ht="21.95" customHeight="1">
      <c r="A14" s="42">
        <v>44388</v>
      </c>
      <c r="B14" s="75">
        <f>'MONTHLY REPORT'!N14</f>
        <v>0</v>
      </c>
      <c r="C14" s="76">
        <f>'MONTHLY REPORT'!K14</f>
        <v>0</v>
      </c>
      <c r="D14" s="76">
        <f>'MONTHLY REPORT'!L14</f>
        <v>0</v>
      </c>
      <c r="E14" s="37">
        <f t="shared" si="0"/>
        <v>0</v>
      </c>
      <c r="F14" s="74"/>
      <c r="G14" s="77">
        <f>'MONTHLY REPORT'!O14</f>
        <v>206.5</v>
      </c>
      <c r="H14" s="77">
        <f>'MONTHLY REPORT'!P14</f>
        <v>2403</v>
      </c>
      <c r="I14" s="37">
        <f t="shared" si="1"/>
        <v>-2609.5</v>
      </c>
      <c r="J14" s="78">
        <f t="shared" si="2"/>
        <v>-2609.5</v>
      </c>
    </row>
    <row r="15" spans="1:10" s="5" customFormat="1" ht="21.95" customHeight="1">
      <c r="A15" s="42">
        <v>44389</v>
      </c>
      <c r="B15" s="75">
        <f>'MONTHLY REPORT'!N15</f>
        <v>0</v>
      </c>
      <c r="C15" s="76">
        <f>'MONTHLY REPORT'!K15</f>
        <v>0</v>
      </c>
      <c r="D15" s="76">
        <f>'MONTHLY REPORT'!L15</f>
        <v>0</v>
      </c>
      <c r="E15" s="37">
        <f t="shared" si="0"/>
        <v>0</v>
      </c>
      <c r="F15" s="74"/>
      <c r="G15" s="77">
        <f>'MONTHLY REPORT'!O15</f>
        <v>40816</v>
      </c>
      <c r="H15" s="77">
        <f>'MONTHLY REPORT'!P15</f>
        <v>3425.85</v>
      </c>
      <c r="I15" s="37">
        <f t="shared" si="1"/>
        <v>-44241.85</v>
      </c>
      <c r="J15" s="78">
        <f t="shared" si="2"/>
        <v>-44241.85</v>
      </c>
    </row>
    <row r="16" spans="1:10" s="5" customFormat="1" ht="21.95" customHeight="1">
      <c r="A16" s="42">
        <v>44390</v>
      </c>
      <c r="B16" s="75">
        <f>'MONTHLY REPORT'!N16</f>
        <v>0</v>
      </c>
      <c r="C16" s="76">
        <f>'MONTHLY REPORT'!K16</f>
        <v>0</v>
      </c>
      <c r="D16" s="76">
        <f>'MONTHLY REPORT'!L16</f>
        <v>0</v>
      </c>
      <c r="E16" s="37">
        <f t="shared" si="0"/>
        <v>0</v>
      </c>
      <c r="F16" s="74"/>
      <c r="G16" s="77">
        <f>'MONTHLY REPORT'!O16</f>
        <v>14417</v>
      </c>
      <c r="H16" s="77">
        <f>'MONTHLY REPORT'!P16</f>
        <v>1463.58</v>
      </c>
      <c r="I16" s="37">
        <f t="shared" si="1"/>
        <v>-15880.58</v>
      </c>
      <c r="J16" s="78">
        <f t="shared" si="2"/>
        <v>-15880.58</v>
      </c>
    </row>
    <row r="17" spans="1:10" s="5" customFormat="1" ht="21.95" customHeight="1">
      <c r="A17" s="42">
        <v>44391</v>
      </c>
      <c r="B17" s="75">
        <f>'MONTHLY REPORT'!N17</f>
        <v>0</v>
      </c>
      <c r="C17" s="76">
        <f>'MONTHLY REPORT'!K17</f>
        <v>0</v>
      </c>
      <c r="D17" s="76">
        <f>'MONTHLY REPORT'!L17</f>
        <v>0</v>
      </c>
      <c r="E17" s="37">
        <f t="shared" si="0"/>
        <v>0</v>
      </c>
      <c r="F17" s="74"/>
      <c r="G17" s="77">
        <f>'MONTHLY REPORT'!O17</f>
        <v>2793</v>
      </c>
      <c r="H17" s="77">
        <f>'MONTHLY REPORT'!P17</f>
        <v>2426.62</v>
      </c>
      <c r="I17" s="37">
        <f t="shared" si="1"/>
        <v>-5219.62</v>
      </c>
      <c r="J17" s="78">
        <f t="shared" si="2"/>
        <v>-5219.62</v>
      </c>
    </row>
    <row r="18" spans="1:10" s="5" customFormat="1" ht="21.95" customHeight="1">
      <c r="A18" s="42">
        <v>44392</v>
      </c>
      <c r="B18" s="75">
        <f>'MONTHLY REPORT'!N18</f>
        <v>1091</v>
      </c>
      <c r="C18" s="76">
        <f>'MONTHLY REPORT'!K18</f>
        <v>-981.9</v>
      </c>
      <c r="D18" s="76">
        <f>'MONTHLY REPORT'!L18</f>
        <v>0</v>
      </c>
      <c r="E18" s="37">
        <f t="shared" si="0"/>
        <v>-109.10000000000002</v>
      </c>
      <c r="F18" s="74"/>
      <c r="G18" s="77">
        <f>'MONTHLY REPORT'!O18</f>
        <v>-2551.5</v>
      </c>
      <c r="H18" s="77">
        <f>'MONTHLY REPORT'!P18</f>
        <v>145.35</v>
      </c>
      <c r="I18" s="37">
        <f t="shared" si="1"/>
        <v>2406.15</v>
      </c>
      <c r="J18" s="78">
        <f t="shared" si="2"/>
        <v>2297.0500000000002</v>
      </c>
    </row>
    <row r="19" spans="1:10" s="5" customFormat="1" ht="21.95" customHeight="1">
      <c r="A19" s="42">
        <v>44393</v>
      </c>
      <c r="B19" s="75">
        <f>'MONTHLY REPORT'!N19</f>
        <v>1000</v>
      </c>
      <c r="C19" s="76">
        <f>'MONTHLY REPORT'!K19</f>
        <v>-900</v>
      </c>
      <c r="D19" s="76">
        <f>'MONTHLY REPORT'!L19</f>
        <v>0</v>
      </c>
      <c r="E19" s="37">
        <f t="shared" si="0"/>
        <v>-100</v>
      </c>
      <c r="F19" s="74"/>
      <c r="G19" s="77">
        <f>'MONTHLY REPORT'!O19</f>
        <v>0</v>
      </c>
      <c r="H19" s="77">
        <f>'MONTHLY REPORT'!P19</f>
        <v>0</v>
      </c>
      <c r="I19" s="37">
        <f t="shared" si="1"/>
        <v>0</v>
      </c>
      <c r="J19" s="78">
        <f t="shared" si="2"/>
        <v>-100</v>
      </c>
    </row>
    <row r="20" spans="1:10" s="5" customFormat="1" ht="21.95" customHeight="1">
      <c r="A20" s="42">
        <v>44394</v>
      </c>
      <c r="B20" s="75">
        <f>'MONTHLY REPORT'!N20</f>
        <v>0</v>
      </c>
      <c r="C20" s="76">
        <f>'MONTHLY REPORT'!K20</f>
        <v>0</v>
      </c>
      <c r="D20" s="76">
        <f>'MONTHLY REPORT'!L20</f>
        <v>0</v>
      </c>
      <c r="E20" s="37">
        <f t="shared" si="0"/>
        <v>0</v>
      </c>
      <c r="F20" s="74"/>
      <c r="G20" s="77">
        <f>'MONTHLY REPORT'!O20</f>
        <v>0</v>
      </c>
      <c r="H20" s="77">
        <f>'MONTHLY REPORT'!P20</f>
        <v>0</v>
      </c>
      <c r="I20" s="37">
        <f t="shared" si="1"/>
        <v>0</v>
      </c>
      <c r="J20" s="78">
        <f t="shared" si="2"/>
        <v>0</v>
      </c>
    </row>
    <row r="21" spans="1:10" s="5" customFormat="1" ht="21.95" customHeight="1">
      <c r="A21" s="42">
        <v>44395</v>
      </c>
      <c r="B21" s="75">
        <f>'MONTHLY REPORT'!N21</f>
        <v>512.75</v>
      </c>
      <c r="C21" s="76">
        <f>'MONTHLY REPORT'!K21</f>
        <v>0</v>
      </c>
      <c r="D21" s="76">
        <f>'MONTHLY REPORT'!L21</f>
        <v>24.03</v>
      </c>
      <c r="E21" s="37">
        <f t="shared" si="0"/>
        <v>-536.78</v>
      </c>
      <c r="F21" s="74"/>
      <c r="G21" s="77">
        <f>'MONTHLY REPORT'!O21</f>
        <v>0</v>
      </c>
      <c r="H21" s="77">
        <f>'MONTHLY REPORT'!P21</f>
        <v>0</v>
      </c>
      <c r="I21" s="37">
        <f t="shared" si="1"/>
        <v>0</v>
      </c>
      <c r="J21" s="78">
        <f t="shared" si="2"/>
        <v>-536.78</v>
      </c>
    </row>
    <row r="22" spans="1:10" s="5" customFormat="1" ht="21.95" customHeight="1">
      <c r="A22" s="42">
        <v>44396</v>
      </c>
      <c r="B22" s="75">
        <f>'MONTHLY REPORT'!N22</f>
        <v>-1012.3</v>
      </c>
      <c r="C22" s="76">
        <f>'MONTHLY REPORT'!K22</f>
        <v>0</v>
      </c>
      <c r="D22" s="76">
        <f>'MONTHLY REPORT'!L22</f>
        <v>91.84</v>
      </c>
      <c r="E22" s="37">
        <f t="shared" si="0"/>
        <v>920.45999999999992</v>
      </c>
      <c r="F22" s="74"/>
      <c r="G22" s="77">
        <f>'MONTHLY REPORT'!O22</f>
        <v>-22612.799999999999</v>
      </c>
      <c r="H22" s="77">
        <f>'MONTHLY REPORT'!P22</f>
        <v>973.02</v>
      </c>
      <c r="I22" s="37">
        <f t="shared" si="1"/>
        <v>21639.78</v>
      </c>
      <c r="J22" s="78">
        <f t="shared" si="2"/>
        <v>22560.239999999998</v>
      </c>
    </row>
    <row r="23" spans="1:10" s="5" customFormat="1" ht="21.95" customHeight="1">
      <c r="A23" s="42">
        <v>44397</v>
      </c>
      <c r="B23" s="75">
        <f>'MONTHLY REPORT'!N23</f>
        <v>10750</v>
      </c>
      <c r="C23" s="76">
        <f>'MONTHLY REPORT'!K23</f>
        <v>-9675</v>
      </c>
      <c r="D23" s="76">
        <f>'MONTHLY REPORT'!L23</f>
        <v>0</v>
      </c>
      <c r="E23" s="37">
        <f t="shared" si="0"/>
        <v>-1075</v>
      </c>
      <c r="F23" s="74"/>
      <c r="G23" s="77">
        <f>'MONTHLY REPORT'!O23</f>
        <v>2473.5</v>
      </c>
      <c r="H23" s="77">
        <f>'MONTHLY REPORT'!P23</f>
        <v>432</v>
      </c>
      <c r="I23" s="37">
        <f t="shared" si="1"/>
        <v>-2905.5</v>
      </c>
      <c r="J23" s="78">
        <f t="shared" si="2"/>
        <v>-3980.5</v>
      </c>
    </row>
    <row r="24" spans="1:10" s="5" customFormat="1" ht="21.95" customHeight="1">
      <c r="A24" s="42">
        <v>44398</v>
      </c>
      <c r="B24" s="75">
        <f>'MONTHLY REPORT'!N24</f>
        <v>2385.5</v>
      </c>
      <c r="C24" s="76">
        <f>'MONTHLY REPORT'!K24</f>
        <v>-2146.9499999999998</v>
      </c>
      <c r="D24" s="76">
        <f>'MONTHLY REPORT'!L24</f>
        <v>0</v>
      </c>
      <c r="E24" s="37">
        <f t="shared" si="0"/>
        <v>-238.55000000000018</v>
      </c>
      <c r="F24" s="74"/>
      <c r="G24" s="77">
        <f>'MONTHLY REPORT'!O24</f>
        <v>1396.75</v>
      </c>
      <c r="H24" s="77">
        <f>'MONTHLY REPORT'!P24</f>
        <v>767.61</v>
      </c>
      <c r="I24" s="37">
        <f t="shared" si="1"/>
        <v>-2164.36</v>
      </c>
      <c r="J24" s="78">
        <f t="shared" si="2"/>
        <v>-2402.9100000000003</v>
      </c>
    </row>
    <row r="25" spans="1:10" s="5" customFormat="1" ht="21.95" customHeight="1">
      <c r="A25" s="42">
        <v>44399</v>
      </c>
      <c r="B25" s="75">
        <f>'MONTHLY REPORT'!N25</f>
        <v>0</v>
      </c>
      <c r="C25" s="76">
        <f>'MONTHLY REPORT'!K25</f>
        <v>0</v>
      </c>
      <c r="D25" s="76">
        <f>'MONTHLY REPORT'!L25</f>
        <v>0</v>
      </c>
      <c r="E25" s="37">
        <f t="shared" si="0"/>
        <v>0</v>
      </c>
      <c r="F25" s="74"/>
      <c r="G25" s="77">
        <f>'MONTHLY REPORT'!O25</f>
        <v>12120</v>
      </c>
      <c r="H25" s="77">
        <f>'MONTHLY REPORT'!P25</f>
        <v>689.4</v>
      </c>
      <c r="I25" s="37">
        <f t="shared" si="1"/>
        <v>-12809.4</v>
      </c>
      <c r="J25" s="78">
        <f t="shared" si="2"/>
        <v>-12809.4</v>
      </c>
    </row>
    <row r="26" spans="1:10" s="5" customFormat="1" ht="21.95" customHeight="1">
      <c r="A26" s="42">
        <v>44400</v>
      </c>
      <c r="B26" s="75">
        <f>'MONTHLY REPORT'!N26</f>
        <v>365</v>
      </c>
      <c r="C26" s="76">
        <f>'MONTHLY REPORT'!K26</f>
        <v>-328.5</v>
      </c>
      <c r="D26" s="76">
        <f>'MONTHLY REPORT'!L26</f>
        <v>0</v>
      </c>
      <c r="E26" s="37">
        <f t="shared" si="0"/>
        <v>-36.5</v>
      </c>
      <c r="F26" s="74"/>
      <c r="G26" s="77">
        <f>'MONTHLY REPORT'!O26</f>
        <v>28769.75</v>
      </c>
      <c r="H26" s="77">
        <f>'MONTHLY REPORT'!P26</f>
        <v>825.66</v>
      </c>
      <c r="I26" s="37">
        <f t="shared" si="1"/>
        <v>-29595.41</v>
      </c>
      <c r="J26" s="78">
        <f t="shared" si="2"/>
        <v>-29631.91</v>
      </c>
    </row>
    <row r="27" spans="1:10" s="5" customFormat="1" ht="21.95" customHeight="1">
      <c r="A27" s="42">
        <v>44401</v>
      </c>
      <c r="B27" s="75">
        <f>'MONTHLY REPORT'!N27</f>
        <v>0</v>
      </c>
      <c r="C27" s="76">
        <f>'MONTHLY REPORT'!K27</f>
        <v>0</v>
      </c>
      <c r="D27" s="76">
        <f>'MONTHLY REPORT'!L27</f>
        <v>0</v>
      </c>
      <c r="E27" s="37">
        <f t="shared" si="0"/>
        <v>0</v>
      </c>
      <c r="F27" s="74"/>
      <c r="G27" s="77">
        <f>'MONTHLY REPORT'!O27</f>
        <v>-31292.5</v>
      </c>
      <c r="H27" s="77">
        <f>'MONTHLY REPORT'!P27</f>
        <v>1540.8</v>
      </c>
      <c r="I27" s="37">
        <f t="shared" si="1"/>
        <v>29751.7</v>
      </c>
      <c r="J27" s="78">
        <f t="shared" si="2"/>
        <v>29751.7</v>
      </c>
    </row>
    <row r="28" spans="1:10" s="5" customFormat="1" ht="21.95" customHeight="1">
      <c r="A28" s="42">
        <v>44402</v>
      </c>
      <c r="B28" s="75">
        <f>'MONTHLY REPORT'!N28</f>
        <v>0</v>
      </c>
      <c r="C28" s="76">
        <f>'MONTHLY REPORT'!K28</f>
        <v>0</v>
      </c>
      <c r="D28" s="76">
        <f>'MONTHLY REPORT'!L28</f>
        <v>0</v>
      </c>
      <c r="E28" s="37">
        <f t="shared" si="0"/>
        <v>0</v>
      </c>
      <c r="F28" s="74"/>
      <c r="G28" s="77">
        <f>'MONTHLY REPORT'!O28</f>
        <v>0</v>
      </c>
      <c r="H28" s="77">
        <f>'MONTHLY REPORT'!P28</f>
        <v>0</v>
      </c>
      <c r="I28" s="37">
        <f t="shared" si="1"/>
        <v>0</v>
      </c>
      <c r="J28" s="78">
        <f t="shared" si="2"/>
        <v>0</v>
      </c>
    </row>
    <row r="29" spans="1:10" s="5" customFormat="1" ht="21.95" customHeight="1">
      <c r="A29" s="42">
        <v>44403</v>
      </c>
      <c r="B29" s="75">
        <f>'MONTHLY REPORT'!N29</f>
        <v>-70000</v>
      </c>
      <c r="C29" s="76">
        <f>'MONTHLY REPORT'!K29</f>
        <v>63000</v>
      </c>
      <c r="D29" s="76">
        <f>'MONTHLY REPORT'!L29</f>
        <v>0</v>
      </c>
      <c r="E29" s="37">
        <f t="shared" si="0"/>
        <v>7000</v>
      </c>
      <c r="F29" s="74"/>
      <c r="G29" s="77">
        <f>'MONTHLY REPORT'!O29</f>
        <v>-1004</v>
      </c>
      <c r="H29" s="77">
        <f>'MONTHLY REPORT'!P29</f>
        <v>676.17</v>
      </c>
      <c r="I29" s="37">
        <f t="shared" si="1"/>
        <v>327.83000000000004</v>
      </c>
      <c r="J29" s="78">
        <f t="shared" si="2"/>
        <v>7327.83</v>
      </c>
    </row>
    <row r="30" spans="1:10" s="5" customFormat="1" ht="21.95" customHeight="1">
      <c r="A30" s="42">
        <v>44404</v>
      </c>
      <c r="B30" s="75">
        <f>'MONTHLY REPORT'!N30</f>
        <v>5435</v>
      </c>
      <c r="C30" s="76">
        <f>'MONTHLY REPORT'!K30</f>
        <v>-4891.5</v>
      </c>
      <c r="D30" s="76">
        <f>'MONTHLY REPORT'!L30</f>
        <v>0</v>
      </c>
      <c r="E30" s="37">
        <f t="shared" si="0"/>
        <v>-543.5</v>
      </c>
      <c r="F30" s="74"/>
      <c r="G30" s="77">
        <f>'MONTHLY REPORT'!O30</f>
        <v>-6704.55</v>
      </c>
      <c r="H30" s="77">
        <f>'MONTHLY REPORT'!P30</f>
        <v>185.54</v>
      </c>
      <c r="I30" s="37">
        <f t="shared" si="1"/>
        <v>6519.01</v>
      </c>
      <c r="J30" s="78">
        <f t="shared" si="2"/>
        <v>5975.51</v>
      </c>
    </row>
    <row r="31" spans="1:10" s="5" customFormat="1" ht="21.95" customHeight="1">
      <c r="A31" s="42">
        <v>44405</v>
      </c>
      <c r="B31" s="75">
        <f>'MONTHLY REPORT'!N31</f>
        <v>0</v>
      </c>
      <c r="C31" s="76">
        <f>'MONTHLY REPORT'!K31</f>
        <v>0</v>
      </c>
      <c r="D31" s="76">
        <f>'MONTHLY REPORT'!L31</f>
        <v>0</v>
      </c>
      <c r="E31" s="37">
        <f t="shared" si="0"/>
        <v>0</v>
      </c>
      <c r="F31" s="74"/>
      <c r="G31" s="77">
        <f>'MONTHLY REPORT'!O31</f>
        <v>-216.46</v>
      </c>
      <c r="H31" s="77">
        <f>'MONTHLY REPORT'!P31</f>
        <v>210.64</v>
      </c>
      <c r="I31" s="37">
        <f t="shared" si="1"/>
        <v>5.8200000000000216</v>
      </c>
      <c r="J31" s="78">
        <f t="shared" si="2"/>
        <v>5.8200000000000216</v>
      </c>
    </row>
    <row r="32" spans="1:10" s="5" customFormat="1" ht="21.95" customHeight="1">
      <c r="A32" s="42">
        <v>44406</v>
      </c>
      <c r="B32" s="75">
        <f>'MONTHLY REPORT'!N32</f>
        <v>0</v>
      </c>
      <c r="C32" s="76">
        <f>'MONTHLY REPORT'!K32</f>
        <v>0</v>
      </c>
      <c r="D32" s="76">
        <f>'MONTHLY REPORT'!L32</f>
        <v>0</v>
      </c>
      <c r="E32" s="37">
        <f t="shared" si="0"/>
        <v>0</v>
      </c>
      <c r="F32" s="74"/>
      <c r="G32" s="77">
        <f>'MONTHLY REPORT'!O32</f>
        <v>-1050.4000000000001</v>
      </c>
      <c r="H32" s="77">
        <f>'MONTHLY REPORT'!P32</f>
        <v>30.51</v>
      </c>
      <c r="I32" s="37">
        <f t="shared" si="1"/>
        <v>1019.8900000000001</v>
      </c>
      <c r="J32" s="78">
        <f t="shared" si="2"/>
        <v>1019.8900000000001</v>
      </c>
    </row>
    <row r="33" spans="1:10" s="5" customFormat="1" ht="21.95" customHeight="1">
      <c r="A33" s="42">
        <v>44407</v>
      </c>
      <c r="B33" s="75">
        <f>'MONTHLY REPORT'!N33</f>
        <v>0</v>
      </c>
      <c r="C33" s="76">
        <f>'MONTHLY REPORT'!K33</f>
        <v>0</v>
      </c>
      <c r="D33" s="76">
        <f>'MONTHLY REPORT'!L33</f>
        <v>0</v>
      </c>
      <c r="E33" s="37">
        <f t="shared" si="0"/>
        <v>0</v>
      </c>
      <c r="F33" s="74"/>
      <c r="G33" s="77">
        <f>'MONTHLY REPORT'!O33</f>
        <v>-1000</v>
      </c>
      <c r="H33" s="77">
        <f>'MONTHLY REPORT'!P33</f>
        <v>38.159999999999997</v>
      </c>
      <c r="I33" s="37">
        <f t="shared" si="1"/>
        <v>961.84</v>
      </c>
      <c r="J33" s="78">
        <f t="shared" si="2"/>
        <v>961.84</v>
      </c>
    </row>
    <row r="34" spans="1:10" s="5" customFormat="1" ht="21.95" customHeight="1">
      <c r="A34" s="42">
        <v>44408</v>
      </c>
      <c r="B34" s="75">
        <f>'MONTHLY REPORT'!N34</f>
        <v>-75</v>
      </c>
      <c r="C34" s="76">
        <f>'MONTHLY REPORT'!K34</f>
        <v>67.5</v>
      </c>
      <c r="D34" s="76">
        <f>'MONTHLY REPORT'!L34</f>
        <v>0</v>
      </c>
      <c r="E34" s="37">
        <f t="shared" si="0"/>
        <v>7.5</v>
      </c>
      <c r="F34" s="79"/>
      <c r="G34" s="77">
        <f>'MONTHLY REPORT'!O34</f>
        <v>0</v>
      </c>
      <c r="H34" s="77">
        <f>'MONTHLY REPORT'!P34</f>
        <v>0</v>
      </c>
      <c r="I34" s="37">
        <f>G34+H34</f>
        <v>0</v>
      </c>
      <c r="J34" s="78">
        <f t="shared" si="2"/>
        <v>7.5</v>
      </c>
    </row>
    <row r="35" spans="1:10" s="5" customFormat="1" ht="21.95" customHeight="1">
      <c r="A35" s="6" t="s">
        <v>3</v>
      </c>
      <c r="B35" s="80">
        <f>SUM(B4:B34)</f>
        <v>-104640.55</v>
      </c>
      <c r="C35" s="80">
        <f>SUM(C4:C34)</f>
        <v>93726.9</v>
      </c>
      <c r="D35" s="80">
        <f>SUM(D4:D34)</f>
        <v>115.87</v>
      </c>
      <c r="E35" s="80">
        <f>SUM(E4:E34)</f>
        <v>10797.779999999999</v>
      </c>
      <c r="F35" s="80"/>
      <c r="G35" s="80">
        <f>SUM(G4:G34)</f>
        <v>120333.98000000001</v>
      </c>
      <c r="H35" s="80">
        <f>SUM(H4:H34)</f>
        <v>28462.129999999997</v>
      </c>
      <c r="I35" s="80">
        <f>SUM(I4:I34)</f>
        <v>-148796.10999999996</v>
      </c>
      <c r="J35" s="82">
        <f>SUM(J4:J34)</f>
        <v>-137998.32999999999</v>
      </c>
    </row>
    <row r="55" ht="20.100000000000001" customHeight="1"/>
  </sheetData>
  <mergeCells count="5">
    <mergeCell ref="A1:J1"/>
    <mergeCell ref="A2:A3"/>
    <mergeCell ref="B2:E2"/>
    <mergeCell ref="G2:I2"/>
    <mergeCell ref="J2:J3"/>
  </mergeCells>
  <pageMargins left="0.7" right="0.7" top="0.75" bottom="0.75" header="0.3" footer="0.3"/>
  <pageSetup scale="64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I23"/>
  <sheetViews>
    <sheetView topLeftCell="D3" zoomScaleNormal="100" workbookViewId="0">
      <selection activeCell="V40" sqref="V40"/>
    </sheetView>
  </sheetViews>
  <sheetFormatPr defaultRowHeight="15"/>
  <cols>
    <col min="1" max="1" width="2.7109375" customWidth="1"/>
    <col min="2" max="2" width="13.140625" customWidth="1"/>
    <col min="3" max="3" width="17.42578125" bestFit="1" customWidth="1"/>
    <col min="4" max="4" width="19.42578125" bestFit="1" customWidth="1"/>
    <col min="5" max="5" width="19" customWidth="1"/>
    <col min="6" max="6" width="21.140625" bestFit="1" customWidth="1"/>
    <col min="7" max="7" width="26.5703125" bestFit="1" customWidth="1"/>
    <col min="8" max="8" width="30.140625" bestFit="1" customWidth="1"/>
    <col min="9" max="9" width="21.5703125" bestFit="1" customWidth="1"/>
    <col min="10" max="10" width="18.5703125" customWidth="1"/>
  </cols>
  <sheetData>
    <row r="1" spans="2:9" ht="15.75" thickBot="1"/>
    <row r="2" spans="2:9" ht="19.5" thickBot="1">
      <c r="B2" s="95" t="s">
        <v>58</v>
      </c>
      <c r="C2" s="95"/>
      <c r="D2" s="95"/>
      <c r="E2" s="95"/>
      <c r="F2" s="95"/>
      <c r="G2" s="95"/>
      <c r="H2" s="95"/>
      <c r="I2" s="95"/>
    </row>
    <row r="3" spans="2:9" ht="15.75">
      <c r="B3" s="49" t="s">
        <v>49</v>
      </c>
      <c r="C3" s="49" t="s">
        <v>59</v>
      </c>
      <c r="D3" s="50" t="s">
        <v>51</v>
      </c>
      <c r="E3" s="51">
        <v>0</v>
      </c>
      <c r="F3" s="50" t="s">
        <v>52</v>
      </c>
      <c r="G3" s="52">
        <v>0.9</v>
      </c>
      <c r="H3" s="49" t="s">
        <v>53</v>
      </c>
      <c r="I3" s="53">
        <f>100%-G3</f>
        <v>9.9999999999999978E-2</v>
      </c>
    </row>
    <row r="4" spans="2:9">
      <c r="B4" s="54">
        <v>44203</v>
      </c>
      <c r="C4" s="55">
        <v>440450</v>
      </c>
      <c r="D4" s="55">
        <v>219230</v>
      </c>
      <c r="E4" s="69">
        <f>D4*$E$3</f>
        <v>0</v>
      </c>
      <c r="F4" s="69">
        <v>-35992.5</v>
      </c>
      <c r="G4" s="69">
        <f>-(F4*$G$3)</f>
        <v>32393.25</v>
      </c>
      <c r="H4" s="69">
        <f>E4+G4</f>
        <v>32393.25</v>
      </c>
      <c r="I4" s="69">
        <f>-SUM(F4,H4)</f>
        <v>3599.25</v>
      </c>
    </row>
    <row r="5" spans="2:9">
      <c r="B5" s="54">
        <v>44262</v>
      </c>
      <c r="C5" s="55">
        <v>22525</v>
      </c>
      <c r="D5" s="55">
        <v>14525</v>
      </c>
      <c r="E5" s="69">
        <f t="shared" ref="E5:E14" si="0">D5*$E$3</f>
        <v>0</v>
      </c>
      <c r="F5" s="69">
        <v>-10100</v>
      </c>
      <c r="G5" s="69">
        <f>-(F5*$G$3)</f>
        <v>9090</v>
      </c>
      <c r="H5" s="69">
        <f t="shared" ref="H5:H14" si="1">E5+G5</f>
        <v>9090</v>
      </c>
      <c r="I5" s="69">
        <f t="shared" ref="I5:I14" si="2">-SUM(F5,H5)</f>
        <v>1010</v>
      </c>
    </row>
    <row r="6" spans="2:9">
      <c r="B6" s="54">
        <v>44384</v>
      </c>
      <c r="C6" s="55">
        <v>29000</v>
      </c>
      <c r="D6" s="55">
        <v>19000</v>
      </c>
      <c r="E6" s="69">
        <f t="shared" si="0"/>
        <v>0</v>
      </c>
      <c r="F6" s="69">
        <v>-9000</v>
      </c>
      <c r="G6" s="69">
        <f t="shared" ref="G6:G14" si="3">-(F6*$G$3)</f>
        <v>8100</v>
      </c>
      <c r="H6" s="69">
        <f t="shared" si="1"/>
        <v>8100</v>
      </c>
      <c r="I6" s="69">
        <f t="shared" si="2"/>
        <v>900</v>
      </c>
    </row>
    <row r="7" spans="2:9">
      <c r="B7" s="54" t="s">
        <v>74</v>
      </c>
      <c r="C7" s="55">
        <v>34160</v>
      </c>
      <c r="D7" s="55">
        <v>17080</v>
      </c>
      <c r="E7" s="69">
        <f t="shared" si="0"/>
        <v>0</v>
      </c>
      <c r="F7" s="69">
        <v>1091</v>
      </c>
      <c r="G7" s="69">
        <f t="shared" si="3"/>
        <v>-981.9</v>
      </c>
      <c r="H7" s="69">
        <f t="shared" si="1"/>
        <v>-981.9</v>
      </c>
      <c r="I7" s="69">
        <f t="shared" si="2"/>
        <v>-109.10000000000002</v>
      </c>
    </row>
    <row r="8" spans="2:9">
      <c r="B8" s="54" t="s">
        <v>75</v>
      </c>
      <c r="C8" s="55">
        <v>1000</v>
      </c>
      <c r="D8" s="55">
        <v>0</v>
      </c>
      <c r="E8" s="69">
        <f t="shared" si="0"/>
        <v>0</v>
      </c>
      <c r="F8" s="69">
        <v>1000</v>
      </c>
      <c r="G8" s="69">
        <f t="shared" si="3"/>
        <v>-900</v>
      </c>
      <c r="H8" s="69">
        <f t="shared" si="1"/>
        <v>-900</v>
      </c>
      <c r="I8" s="69">
        <f t="shared" si="2"/>
        <v>-100</v>
      </c>
    </row>
    <row r="9" spans="2:9">
      <c r="B9" s="54" t="s">
        <v>76</v>
      </c>
      <c r="C9" s="55">
        <v>29000</v>
      </c>
      <c r="D9" s="55">
        <v>9000</v>
      </c>
      <c r="E9" s="69">
        <f t="shared" si="0"/>
        <v>0</v>
      </c>
      <c r="F9" s="69">
        <v>10750</v>
      </c>
      <c r="G9" s="69">
        <f t="shared" si="3"/>
        <v>-9675</v>
      </c>
      <c r="H9" s="69">
        <f t="shared" si="1"/>
        <v>-9675</v>
      </c>
      <c r="I9" s="69">
        <f t="shared" si="2"/>
        <v>-1075</v>
      </c>
    </row>
    <row r="10" spans="2:9">
      <c r="B10" s="54" t="s">
        <v>77</v>
      </c>
      <c r="C10" s="55">
        <v>6890</v>
      </c>
      <c r="D10" s="55">
        <v>2200</v>
      </c>
      <c r="E10" s="69">
        <f t="shared" si="0"/>
        <v>0</v>
      </c>
      <c r="F10" s="69">
        <v>2385.5</v>
      </c>
      <c r="G10" s="69">
        <f t="shared" si="3"/>
        <v>-2146.9500000000003</v>
      </c>
      <c r="H10" s="69">
        <f t="shared" si="1"/>
        <v>-2146.9500000000003</v>
      </c>
      <c r="I10" s="69">
        <f t="shared" si="2"/>
        <v>-238.54999999999973</v>
      </c>
    </row>
    <row r="11" spans="2:9">
      <c r="B11" s="54" t="s">
        <v>78</v>
      </c>
      <c r="C11" s="55">
        <v>1400</v>
      </c>
      <c r="D11" s="55">
        <v>500</v>
      </c>
      <c r="E11" s="69">
        <f t="shared" si="0"/>
        <v>0</v>
      </c>
      <c r="F11" s="69">
        <v>365</v>
      </c>
      <c r="G11" s="69">
        <f t="shared" si="3"/>
        <v>-328.5</v>
      </c>
      <c r="H11" s="69">
        <f t="shared" si="1"/>
        <v>-328.5</v>
      </c>
      <c r="I11" s="69">
        <f t="shared" si="2"/>
        <v>-36.5</v>
      </c>
    </row>
    <row r="12" spans="2:9">
      <c r="B12" s="54" t="s">
        <v>79</v>
      </c>
      <c r="C12" s="55">
        <v>355202</v>
      </c>
      <c r="D12" s="55">
        <v>196137</v>
      </c>
      <c r="E12" s="69">
        <f t="shared" si="0"/>
        <v>0</v>
      </c>
      <c r="F12" s="69">
        <v>-70000</v>
      </c>
      <c r="G12" s="69">
        <f t="shared" si="3"/>
        <v>63000</v>
      </c>
      <c r="H12" s="69">
        <f t="shared" si="1"/>
        <v>63000</v>
      </c>
      <c r="I12" s="69">
        <f t="shared" si="2"/>
        <v>7000</v>
      </c>
    </row>
    <row r="13" spans="2:9">
      <c r="B13" s="54" t="s">
        <v>80</v>
      </c>
      <c r="C13" s="55">
        <v>14770</v>
      </c>
      <c r="D13" s="55">
        <v>3800</v>
      </c>
      <c r="E13" s="69">
        <f t="shared" si="0"/>
        <v>0</v>
      </c>
      <c r="F13" s="69">
        <v>5435</v>
      </c>
      <c r="G13" s="69">
        <f t="shared" si="3"/>
        <v>-4891.5</v>
      </c>
      <c r="H13" s="69">
        <f t="shared" si="1"/>
        <v>-4891.5</v>
      </c>
      <c r="I13" s="69">
        <f t="shared" si="2"/>
        <v>-543.5</v>
      </c>
    </row>
    <row r="14" spans="2:9" ht="15.75" thickBot="1">
      <c r="B14" s="83" t="s">
        <v>81</v>
      </c>
      <c r="C14" s="84">
        <v>225</v>
      </c>
      <c r="D14" s="84">
        <v>150</v>
      </c>
      <c r="E14" s="85">
        <f t="shared" si="0"/>
        <v>0</v>
      </c>
      <c r="F14" s="85">
        <v>-75</v>
      </c>
      <c r="G14" s="85">
        <f t="shared" si="3"/>
        <v>67.5</v>
      </c>
      <c r="H14" s="85">
        <f t="shared" si="1"/>
        <v>67.5</v>
      </c>
      <c r="I14" s="85">
        <f t="shared" si="2"/>
        <v>7.5</v>
      </c>
    </row>
    <row r="15" spans="2:9">
      <c r="B15" s="56" t="s">
        <v>54</v>
      </c>
      <c r="C15" s="70">
        <f t="shared" ref="C15:I15" si="4">SUM(C4:C14)</f>
        <v>934622</v>
      </c>
      <c r="D15" s="70">
        <f t="shared" si="4"/>
        <v>481622</v>
      </c>
      <c r="E15" s="70">
        <f t="shared" si="4"/>
        <v>0</v>
      </c>
      <c r="F15" s="70">
        <f t="shared" si="4"/>
        <v>-104141</v>
      </c>
      <c r="G15" s="70">
        <f t="shared" si="4"/>
        <v>93726.9</v>
      </c>
      <c r="H15" s="70">
        <f t="shared" si="4"/>
        <v>93726.9</v>
      </c>
      <c r="I15" s="71">
        <f t="shared" si="4"/>
        <v>10414.1</v>
      </c>
    </row>
    <row r="16" spans="2:9">
      <c r="B16" s="59"/>
      <c r="C16" s="59"/>
      <c r="D16" s="59"/>
      <c r="E16" s="59"/>
      <c r="F16" s="59"/>
      <c r="G16" s="59"/>
    </row>
    <row r="17" spans="2:9">
      <c r="B17" s="59"/>
      <c r="C17" s="59"/>
      <c r="D17" s="59"/>
      <c r="E17" s="59"/>
      <c r="F17" s="59"/>
      <c r="G17" s="59"/>
    </row>
    <row r="18" spans="2:9">
      <c r="B18" s="59"/>
      <c r="C18" s="59"/>
      <c r="D18" s="59"/>
      <c r="E18" s="59"/>
      <c r="F18" s="59"/>
      <c r="G18" s="59"/>
    </row>
    <row r="19" spans="2:9">
      <c r="B19" s="59"/>
      <c r="C19" s="59"/>
      <c r="D19" s="59"/>
      <c r="E19" s="59"/>
      <c r="F19" s="59"/>
      <c r="G19" s="59"/>
    </row>
    <row r="20" spans="2:9">
      <c r="B20" s="59"/>
      <c r="C20" s="59"/>
      <c r="D20" s="59"/>
      <c r="E20" s="59"/>
      <c r="F20" s="59"/>
      <c r="G20" s="59"/>
    </row>
    <row r="21" spans="2:9" ht="15.75" thickBot="1">
      <c r="D21" s="60" t="s">
        <v>55</v>
      </c>
      <c r="E21" s="61"/>
      <c r="F21" s="61"/>
      <c r="G21" s="60" t="s">
        <v>56</v>
      </c>
      <c r="H21" s="62"/>
      <c r="I21" s="63"/>
    </row>
    <row r="22" spans="2:9">
      <c r="B22" s="64"/>
      <c r="C22" s="65"/>
      <c r="D22" s="66"/>
      <c r="E22" s="66"/>
      <c r="F22" s="66"/>
      <c r="G22" s="60"/>
      <c r="H22" s="67"/>
    </row>
    <row r="23" spans="2:9" ht="15.75" thickBot="1">
      <c r="B23" s="68"/>
      <c r="C23" s="65"/>
      <c r="D23" s="60" t="s">
        <v>57</v>
      </c>
      <c r="E23" s="61"/>
      <c r="F23" s="61"/>
      <c r="G23" s="60" t="s">
        <v>57</v>
      </c>
      <c r="H23" s="62"/>
      <c r="I23" s="63"/>
    </row>
  </sheetData>
  <mergeCells count="1">
    <mergeCell ref="B2:I2"/>
  </mergeCells>
  <hyperlinks>
    <hyperlink ref="X2" r:id="rId1" display="https://www.oyoagents.com/report/agent/detail_agent?agent_id=251&amp;agent_path=251&amp;time_range=2021/06/30%2000%20-%202021/06/30%2023&amp;group_by=1"/>
    <hyperlink ref="X3" r:id="rId2" display="https://www.oyoagents.com/report/agent/detail_agent?agent_id=251&amp;agent_path=251&amp;time_range=2021/06/29%2000%20-%202021/06/29%2023&amp;group_by=1"/>
    <hyperlink ref="X4" r:id="rId3" display="https://www.oyoagents.com/report/agent/detail_agent?agent_id=251&amp;agent_path=251&amp;time_range=2021/06/24%2000%20-%202021/06/24%2023&amp;group_by=1"/>
    <hyperlink ref="X5" r:id="rId4" display="https://www.oyoagents.com/report/agent/detail_agent?agent_id=251&amp;agent_path=251&amp;time_range=2021/06/23%2000%20-%202021/06/23%2023&amp;group_by=1"/>
    <hyperlink ref="X6" r:id="rId5" display="https://www.oyoagents.com/report/agent/detail_agent?agent_id=251&amp;agent_path=251&amp;time_range=2021/06/22%2000%20-%202021/06/22%2023&amp;group_by=1"/>
  </hyperlinks>
  <pageMargins left="0.12" right="0.12" top="0.26" bottom="0.75" header="0.15" footer="0.3"/>
  <pageSetup scale="80" orientation="landscape" horizontalDpi="360" verticalDpi="360" r:id="rId6"/>
  <legacy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23"/>
  <sheetViews>
    <sheetView workbookViewId="0">
      <selection activeCell="E29" sqref="E29"/>
    </sheetView>
  </sheetViews>
  <sheetFormatPr defaultRowHeight="15"/>
  <cols>
    <col min="2" max="2" width="13.140625" customWidth="1"/>
    <col min="3" max="3" width="17.42578125" bestFit="1" customWidth="1"/>
    <col min="4" max="4" width="19.42578125" bestFit="1" customWidth="1"/>
    <col min="5" max="5" width="19" customWidth="1"/>
    <col min="6" max="6" width="21.140625" bestFit="1" customWidth="1"/>
    <col min="7" max="7" width="26.5703125" bestFit="1" customWidth="1"/>
    <col min="8" max="8" width="30.140625" bestFit="1" customWidth="1"/>
    <col min="9" max="9" width="21.5703125" bestFit="1" customWidth="1"/>
    <col min="16" max="16" width="9.7109375" bestFit="1" customWidth="1"/>
    <col min="18" max="18" width="9.7109375" bestFit="1" customWidth="1"/>
  </cols>
  <sheetData>
    <row r="1" spans="2:9" ht="15.75" thickBot="1"/>
    <row r="2" spans="2:9" ht="19.5" thickBot="1">
      <c r="B2" s="95" t="s">
        <v>48</v>
      </c>
      <c r="C2" s="95"/>
      <c r="D2" s="95"/>
      <c r="E2" s="95"/>
      <c r="F2" s="95"/>
      <c r="G2" s="95"/>
      <c r="H2" s="95"/>
      <c r="I2" s="95"/>
    </row>
    <row r="3" spans="2:9" ht="15.75">
      <c r="B3" s="49" t="s">
        <v>49</v>
      </c>
      <c r="C3" s="49" t="s">
        <v>50</v>
      </c>
      <c r="D3" s="50" t="s">
        <v>51</v>
      </c>
      <c r="E3" s="51">
        <f>1.8%*(1-0.5)</f>
        <v>9.0000000000000011E-3</v>
      </c>
      <c r="F3" s="50" t="s">
        <v>52</v>
      </c>
      <c r="G3" s="52">
        <v>0.5</v>
      </c>
      <c r="H3" s="49" t="s">
        <v>53</v>
      </c>
      <c r="I3" s="53">
        <f>100%-G3</f>
        <v>0.5</v>
      </c>
    </row>
    <row r="4" spans="2:9">
      <c r="B4" s="54"/>
      <c r="C4" s="55"/>
      <c r="D4" s="55"/>
      <c r="E4" s="55">
        <f>D4*$E$3</f>
        <v>0</v>
      </c>
      <c r="F4" s="55"/>
      <c r="G4" s="55">
        <f>-(F4*$G$3)</f>
        <v>0</v>
      </c>
      <c r="H4" s="55">
        <f>SUM(E4,G4)</f>
        <v>0</v>
      </c>
      <c r="I4" s="55">
        <f>-SUM(F4,H4)</f>
        <v>0</v>
      </c>
    </row>
    <row r="5" spans="2:9">
      <c r="B5" s="54"/>
      <c r="C5" s="55"/>
      <c r="D5" s="55"/>
      <c r="E5" s="55">
        <f t="shared" ref="E5:E14" si="0">D5*$E$3</f>
        <v>0</v>
      </c>
      <c r="F5" s="55"/>
      <c r="G5" s="55">
        <f t="shared" ref="G5:G14" si="1">-(F5*$G$3)</f>
        <v>0</v>
      </c>
      <c r="H5" s="55">
        <f t="shared" ref="H5:H14" si="2">SUM(E5,G5)</f>
        <v>0</v>
      </c>
      <c r="I5" s="55">
        <f t="shared" ref="I5:I14" si="3">-SUM(F5,H5)</f>
        <v>0</v>
      </c>
    </row>
    <row r="6" spans="2:9">
      <c r="B6" s="54"/>
      <c r="C6" s="55"/>
      <c r="D6" s="55"/>
      <c r="E6" s="55">
        <f t="shared" si="0"/>
        <v>0</v>
      </c>
      <c r="F6" s="55"/>
      <c r="G6" s="55">
        <f t="shared" si="1"/>
        <v>0</v>
      </c>
      <c r="H6" s="55">
        <f t="shared" si="2"/>
        <v>0</v>
      </c>
      <c r="I6" s="55">
        <f t="shared" si="3"/>
        <v>0</v>
      </c>
    </row>
    <row r="7" spans="2:9">
      <c r="B7" s="54"/>
      <c r="C7" s="55"/>
      <c r="D7" s="55"/>
      <c r="E7" s="55">
        <f t="shared" si="0"/>
        <v>0</v>
      </c>
      <c r="F7" s="55"/>
      <c r="G7" s="55">
        <f t="shared" si="1"/>
        <v>0</v>
      </c>
      <c r="H7" s="55">
        <f t="shared" si="2"/>
        <v>0</v>
      </c>
      <c r="I7" s="55">
        <f t="shared" si="3"/>
        <v>0</v>
      </c>
    </row>
    <row r="8" spans="2:9">
      <c r="B8" s="54"/>
      <c r="C8" s="55"/>
      <c r="D8" s="55"/>
      <c r="E8" s="55">
        <f t="shared" si="0"/>
        <v>0</v>
      </c>
      <c r="F8" s="55"/>
      <c r="G8" s="55">
        <f t="shared" si="1"/>
        <v>0</v>
      </c>
      <c r="H8" s="55">
        <f t="shared" si="2"/>
        <v>0</v>
      </c>
      <c r="I8" s="55">
        <f t="shared" si="3"/>
        <v>0</v>
      </c>
    </row>
    <row r="9" spans="2:9">
      <c r="B9" s="54"/>
      <c r="C9" s="55"/>
      <c r="D9" s="55"/>
      <c r="E9" s="55">
        <f t="shared" si="0"/>
        <v>0</v>
      </c>
      <c r="F9" s="55"/>
      <c r="G9" s="55">
        <f t="shared" si="1"/>
        <v>0</v>
      </c>
      <c r="H9" s="55">
        <f t="shared" si="2"/>
        <v>0</v>
      </c>
      <c r="I9" s="55">
        <f t="shared" si="3"/>
        <v>0</v>
      </c>
    </row>
    <row r="10" spans="2:9">
      <c r="B10" s="54"/>
      <c r="C10" s="55"/>
      <c r="D10" s="55"/>
      <c r="E10" s="55">
        <f t="shared" si="0"/>
        <v>0</v>
      </c>
      <c r="F10" s="55"/>
      <c r="G10" s="55">
        <f t="shared" si="1"/>
        <v>0</v>
      </c>
      <c r="H10" s="55">
        <f t="shared" si="2"/>
        <v>0</v>
      </c>
      <c r="I10" s="55">
        <f t="shared" si="3"/>
        <v>0</v>
      </c>
    </row>
    <row r="11" spans="2:9">
      <c r="B11" s="54"/>
      <c r="C11" s="55"/>
      <c r="D11" s="55"/>
      <c r="E11" s="55">
        <f t="shared" si="0"/>
        <v>0</v>
      </c>
      <c r="F11" s="55"/>
      <c r="G11" s="55">
        <f t="shared" si="1"/>
        <v>0</v>
      </c>
      <c r="H11" s="55">
        <f t="shared" si="2"/>
        <v>0</v>
      </c>
      <c r="I11" s="55">
        <f t="shared" si="3"/>
        <v>0</v>
      </c>
    </row>
    <row r="12" spans="2:9">
      <c r="B12" s="54"/>
      <c r="C12" s="55"/>
      <c r="D12" s="55"/>
      <c r="E12" s="55">
        <f t="shared" si="0"/>
        <v>0</v>
      </c>
      <c r="F12" s="55"/>
      <c r="G12" s="55">
        <f t="shared" si="1"/>
        <v>0</v>
      </c>
      <c r="H12" s="55">
        <f t="shared" si="2"/>
        <v>0</v>
      </c>
      <c r="I12" s="55">
        <f t="shared" si="3"/>
        <v>0</v>
      </c>
    </row>
    <row r="13" spans="2:9">
      <c r="B13" s="54"/>
      <c r="C13" s="55"/>
      <c r="D13" s="55"/>
      <c r="E13" s="55">
        <f t="shared" si="0"/>
        <v>0</v>
      </c>
      <c r="F13" s="55"/>
      <c r="G13" s="55">
        <f t="shared" si="1"/>
        <v>0</v>
      </c>
      <c r="H13" s="55">
        <f t="shared" si="2"/>
        <v>0</v>
      </c>
      <c r="I13" s="55">
        <f t="shared" si="3"/>
        <v>0</v>
      </c>
    </row>
    <row r="14" spans="2:9" ht="15.75" thickBot="1">
      <c r="B14" s="83"/>
      <c r="C14" s="84"/>
      <c r="D14" s="84"/>
      <c r="E14" s="84">
        <f t="shared" si="0"/>
        <v>0</v>
      </c>
      <c r="F14" s="84"/>
      <c r="G14" s="84">
        <f t="shared" si="1"/>
        <v>0</v>
      </c>
      <c r="H14" s="84">
        <f t="shared" si="2"/>
        <v>0</v>
      </c>
      <c r="I14" s="84">
        <f t="shared" si="3"/>
        <v>0</v>
      </c>
    </row>
    <row r="15" spans="2:9" ht="21.75" customHeight="1">
      <c r="B15" s="56" t="s">
        <v>54</v>
      </c>
      <c r="C15" s="57">
        <f t="shared" ref="C15:I15" si="4">SUM(C4:C14)</f>
        <v>0</v>
      </c>
      <c r="D15" s="57">
        <f t="shared" si="4"/>
        <v>0</v>
      </c>
      <c r="E15" s="57">
        <f t="shared" si="4"/>
        <v>0</v>
      </c>
      <c r="F15" s="57">
        <f t="shared" si="4"/>
        <v>0</v>
      </c>
      <c r="G15" s="57">
        <f t="shared" si="4"/>
        <v>0</v>
      </c>
      <c r="H15" s="57">
        <f t="shared" si="4"/>
        <v>0</v>
      </c>
      <c r="I15" s="58">
        <f t="shared" si="4"/>
        <v>0</v>
      </c>
    </row>
    <row r="16" spans="2:9">
      <c r="B16" s="59"/>
      <c r="C16" s="59"/>
      <c r="D16" s="59"/>
      <c r="E16" s="59"/>
      <c r="F16" s="59"/>
      <c r="G16" s="59"/>
    </row>
    <row r="17" spans="2:9">
      <c r="B17" s="59"/>
      <c r="C17" s="59"/>
      <c r="D17" s="59"/>
      <c r="E17" s="59"/>
      <c r="F17" s="59"/>
      <c r="G17" s="59"/>
    </row>
    <row r="18" spans="2:9">
      <c r="B18" s="59"/>
      <c r="C18" s="59"/>
      <c r="D18" s="59"/>
      <c r="E18" s="59"/>
      <c r="F18" s="59"/>
      <c r="G18" s="59"/>
    </row>
    <row r="19" spans="2:9">
      <c r="B19" s="59"/>
      <c r="C19" s="59"/>
      <c r="D19" s="59"/>
      <c r="E19" s="59"/>
      <c r="F19" s="59"/>
      <c r="G19" s="59"/>
    </row>
    <row r="20" spans="2:9">
      <c r="B20" s="59"/>
      <c r="C20" s="59"/>
      <c r="D20" s="59"/>
      <c r="E20" s="59"/>
      <c r="F20" s="59"/>
      <c r="G20" s="59"/>
    </row>
    <row r="21" spans="2:9" ht="15.75" thickBot="1">
      <c r="D21" s="60" t="s">
        <v>55</v>
      </c>
      <c r="E21" s="61"/>
      <c r="F21" s="61"/>
      <c r="G21" s="60" t="s">
        <v>56</v>
      </c>
      <c r="H21" s="62"/>
      <c r="I21" s="63"/>
    </row>
    <row r="22" spans="2:9">
      <c r="B22" s="64"/>
      <c r="C22" s="65"/>
      <c r="D22" s="66"/>
      <c r="E22" s="66"/>
      <c r="F22" s="66"/>
      <c r="G22" s="60"/>
      <c r="H22" s="67"/>
    </row>
    <row r="23" spans="2:9" ht="15.75" thickBot="1">
      <c r="B23" s="68"/>
      <c r="C23" s="65"/>
      <c r="D23" s="60" t="s">
        <v>57</v>
      </c>
      <c r="E23" s="61"/>
      <c r="F23" s="61"/>
      <c r="G23" s="60" t="s">
        <v>57</v>
      </c>
      <c r="H23" s="62"/>
      <c r="I23" s="63"/>
    </row>
  </sheetData>
  <mergeCells count="1">
    <mergeCell ref="B2:I2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MONTHLY REPORT</vt:lpstr>
      <vt:lpstr>股东线报表</vt:lpstr>
      <vt:lpstr>PZ002</vt:lpstr>
      <vt:lpstr>PZ001</vt:lpstr>
      <vt:lpstr>'MONTHLY REPORT'!Print_Area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2021-08-05T09:11:14Z</dcterms:modified>
</cp:coreProperties>
</file>