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15" yWindow="405" windowWidth="16515" windowHeight="9795" activeTab="2"/>
  </bookViews>
  <sheets>
    <sheet name="Ejercicio_1" sheetId="1" r:id="rId1"/>
    <sheet name="Ejercicio_2" sheetId="2" r:id="rId2"/>
    <sheet name="Solo_1" sheetId="3" r:id="rId3"/>
  </sheets>
  <calcPr calcId="125725"/>
</workbook>
</file>

<file path=xl/calcChain.xml><?xml version="1.0" encoding="utf-8"?>
<calcChain xmlns="http://schemas.openxmlformats.org/spreadsheetml/2006/main">
  <c r="F71" i="3"/>
  <c r="F68"/>
  <c r="F67"/>
  <c r="F66"/>
  <c r="F58" i="2"/>
  <c r="G59" i="3"/>
  <c r="E59"/>
  <c r="G55"/>
  <c r="G54"/>
  <c r="F53" i="2"/>
  <c r="I56" i="3"/>
  <c r="H55" i="2"/>
  <c r="F54"/>
  <c r="G58" i="3"/>
  <c r="G57"/>
  <c r="G56"/>
  <c r="G53"/>
  <c r="E53"/>
  <c r="H52"/>
  <c r="G52"/>
  <c r="F51" i="2"/>
  <c r="H51" i="3"/>
  <c r="G51"/>
  <c r="H50"/>
  <c r="H49"/>
  <c r="H48"/>
  <c r="G50"/>
  <c r="G49"/>
  <c r="G48"/>
  <c r="H46"/>
  <c r="H45"/>
  <c r="H44"/>
  <c r="H41"/>
  <c r="G40" i="2"/>
  <c r="G41" i="3"/>
  <c r="H40"/>
  <c r="G40"/>
  <c r="H39"/>
  <c r="G38" i="2"/>
  <c r="G39" i="3"/>
  <c r="E54"/>
  <c r="E58"/>
  <c r="E57"/>
  <c r="E56"/>
  <c r="D55" i="2"/>
  <c r="F53" i="3"/>
  <c r="F51"/>
  <c r="E51"/>
  <c r="F50"/>
  <c r="F49"/>
  <c r="F48"/>
  <c r="E50"/>
  <c r="E49"/>
  <c r="E48"/>
  <c r="F45"/>
  <c r="F46"/>
  <c r="E44" i="2"/>
  <c r="F44" i="3"/>
  <c r="F32"/>
  <c r="E32"/>
  <c r="I31"/>
  <c r="G31"/>
  <c r="F31"/>
  <c r="E31"/>
  <c r="F24"/>
  <c r="F23"/>
  <c r="F22"/>
  <c r="E24"/>
  <c r="E23"/>
  <c r="E22"/>
  <c r="F18"/>
  <c r="F17"/>
  <c r="F16"/>
  <c r="E18"/>
  <c r="E17"/>
  <c r="E16"/>
  <c r="F11"/>
  <c r="E11"/>
  <c r="F8"/>
  <c r="E8"/>
  <c r="D58" i="2"/>
  <c r="E52"/>
  <c r="D53"/>
  <c r="D52"/>
  <c r="D50"/>
  <c r="E50"/>
  <c r="E49"/>
  <c r="E48"/>
  <c r="E47"/>
  <c r="E43"/>
  <c r="F57"/>
  <c r="F56"/>
  <c r="F55"/>
  <c r="G50"/>
  <c r="F50"/>
  <c r="G49"/>
  <c r="G48"/>
  <c r="G47"/>
  <c r="F49"/>
  <c r="F48"/>
  <c r="F47"/>
  <c r="G45"/>
  <c r="G44"/>
  <c r="G43"/>
  <c r="G42" i="1"/>
  <c r="F38" i="2"/>
  <c r="E45"/>
  <c r="E50" i="1"/>
  <c r="F40"/>
  <c r="F56"/>
  <c r="F55"/>
  <c r="D55"/>
  <c r="D53"/>
  <c r="E48"/>
  <c r="D47" i="2"/>
  <c r="D52" i="1"/>
  <c r="E51"/>
  <c r="D51"/>
  <c r="G50"/>
  <c r="F50"/>
  <c r="D50"/>
  <c r="G49"/>
  <c r="E49"/>
  <c r="F49"/>
  <c r="D49"/>
  <c r="G48"/>
  <c r="D16"/>
  <c r="F42"/>
  <c r="G51" s="1"/>
  <c r="F52" s="1"/>
  <c r="F57" s="1"/>
  <c r="F41"/>
  <c r="G46"/>
  <c r="G45"/>
  <c r="D57"/>
  <c r="E29" i="2"/>
  <c r="D29"/>
  <c r="E24"/>
  <c r="E23"/>
  <c r="E22"/>
  <c r="D24"/>
  <c r="D23"/>
  <c r="D22"/>
  <c r="E18"/>
  <c r="E17"/>
  <c r="E16"/>
  <c r="D18"/>
  <c r="D17"/>
  <c r="D16"/>
  <c r="E10"/>
  <c r="D10"/>
  <c r="E7"/>
  <c r="D7"/>
  <c r="E45" i="1"/>
  <c r="K16"/>
  <c r="K15"/>
  <c r="K14"/>
  <c r="J16"/>
  <c r="J15"/>
  <c r="J14"/>
  <c r="H16"/>
  <c r="H15"/>
  <c r="H14"/>
  <c r="G16"/>
  <c r="G15"/>
  <c r="G14"/>
  <c r="D56"/>
  <c r="E46"/>
  <c r="E24"/>
  <c r="D24"/>
  <c r="E31"/>
  <c r="D31"/>
  <c r="E28"/>
  <c r="D28"/>
  <c r="J25"/>
  <c r="I25"/>
  <c r="J24"/>
  <c r="I24"/>
  <c r="J23"/>
  <c r="I23"/>
  <c r="J22"/>
  <c r="I22"/>
  <c r="E26"/>
  <c r="D26"/>
  <c r="E25"/>
  <c r="D25"/>
  <c r="E23"/>
  <c r="D23"/>
  <c r="D22"/>
  <c r="E17"/>
  <c r="D17"/>
  <c r="E16"/>
  <c r="E10"/>
  <c r="D10"/>
  <c r="E7"/>
  <c r="D7"/>
  <c r="F51" l="1"/>
  <c r="F30" i="2"/>
  <c r="H30" s="1"/>
  <c r="D30" s="1"/>
  <c r="D49" s="1"/>
  <c r="D57" s="1"/>
  <c r="D48"/>
  <c r="D56" s="1"/>
  <c r="E30" l="1"/>
  <c r="F39" l="1"/>
  <c r="G39" l="1"/>
  <c r="F40"/>
  <c r="G51" l="1"/>
  <c r="F52" s="1"/>
</calcChain>
</file>

<file path=xl/sharedStrings.xml><?xml version="1.0" encoding="utf-8"?>
<sst xmlns="http://schemas.openxmlformats.org/spreadsheetml/2006/main" count="194" uniqueCount="81">
  <si>
    <t>Informe Produccion Cantidad</t>
  </si>
  <si>
    <t>Corte</t>
  </si>
  <si>
    <t>Confeccion</t>
  </si>
  <si>
    <t xml:space="preserve">Produccion </t>
  </si>
  <si>
    <t>12000 unidades terminadas, Proceso I (Corte)</t>
  </si>
  <si>
    <t>Unidades Recibidas</t>
  </si>
  <si>
    <t>Total a Justificar</t>
  </si>
  <si>
    <t>Produccion Terminada</t>
  </si>
  <si>
    <t>( 100 , 70 )</t>
  </si>
  <si>
    <t>Total Justificado</t>
  </si>
  <si>
    <t xml:space="preserve">IIPP </t>
  </si>
  <si>
    <t xml:space="preserve">IFPP </t>
  </si>
  <si>
    <t>( 100 , 80 )</t>
  </si>
  <si>
    <t>Produccion Equivalente Total</t>
  </si>
  <si>
    <t>MD</t>
  </si>
  <si>
    <t>Costo de Conversion</t>
  </si>
  <si>
    <t>( 100 , 50 )</t>
  </si>
  <si>
    <t>Material Directo</t>
  </si>
  <si>
    <t>Mano de Obra Directa</t>
  </si>
  <si>
    <t>Cif</t>
  </si>
  <si>
    <t>CIF</t>
  </si>
  <si>
    <t>Material indirecto</t>
  </si>
  <si>
    <t>Mano de Obra Indirecta</t>
  </si>
  <si>
    <t>Ocif</t>
  </si>
  <si>
    <t>Seguro</t>
  </si>
  <si>
    <t>Energia</t>
  </si>
  <si>
    <t>Mantenimiento</t>
  </si>
  <si>
    <t>Depreciacion</t>
  </si>
  <si>
    <t>Edificio</t>
  </si>
  <si>
    <t>Maquinaria</t>
  </si>
  <si>
    <t>Otros</t>
  </si>
  <si>
    <t>Costo</t>
  </si>
  <si>
    <t>C/U</t>
  </si>
  <si>
    <t>Informe de costo de Produccion</t>
  </si>
  <si>
    <t>Inventario Inicial</t>
  </si>
  <si>
    <t>Costos Recibidos</t>
  </si>
  <si>
    <t>Costo dep. Anterior</t>
  </si>
  <si>
    <t>Costo de departamento Actual</t>
  </si>
  <si>
    <t>Costo de departamento Anterior</t>
  </si>
  <si>
    <t>IIPP</t>
  </si>
  <si>
    <t>Costo Conversion</t>
  </si>
  <si>
    <t>Costo x Justificar</t>
  </si>
  <si>
    <t>Costo de Produccion</t>
  </si>
  <si>
    <t>Costo de Prod. Transf. y Terminado</t>
  </si>
  <si>
    <t>IFPP</t>
  </si>
  <si>
    <t>Costo de Proceso Anterior</t>
  </si>
  <si>
    <t>Material directo</t>
  </si>
  <si>
    <t>Costo Justificado</t>
  </si>
  <si>
    <t>Costo del Produccion</t>
  </si>
  <si>
    <t>Coccion</t>
  </si>
  <si>
    <t>Envasado</t>
  </si>
  <si>
    <t>MOD</t>
  </si>
  <si>
    <t>( 80, 60, 50 )</t>
  </si>
  <si>
    <r>
      <t xml:space="preserve">( </t>
    </r>
    <r>
      <rPr>
        <u val="double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</t>
    </r>
    <r>
      <rPr>
        <u val="double"/>
        <sz val="11"/>
        <color theme="1"/>
        <rFont val="Calibri"/>
        <family val="2"/>
        <scheme val="minor"/>
      </rPr>
      <t xml:space="preserve"> 70</t>
    </r>
    <r>
      <rPr>
        <sz val="11"/>
        <color theme="1"/>
        <rFont val="Calibri"/>
        <family val="2"/>
        <scheme val="minor"/>
      </rPr>
      <t>,</t>
    </r>
    <r>
      <rPr>
        <u val="double"/>
        <sz val="11"/>
        <color theme="1"/>
        <rFont val="Calibri"/>
        <family val="2"/>
        <scheme val="minor"/>
      </rPr>
      <t xml:space="preserve"> 60</t>
    </r>
    <r>
      <rPr>
        <sz val="11"/>
        <color theme="1"/>
        <rFont val="Calibri"/>
        <family val="2"/>
        <scheme val="minor"/>
      </rPr>
      <t xml:space="preserve"> )</t>
    </r>
  </si>
  <si>
    <t>( 100, 80, 60 )</t>
  </si>
  <si>
    <t>cif pre</t>
  </si>
  <si>
    <t>tasa cif</t>
  </si>
  <si>
    <t>Costo T.</t>
  </si>
  <si>
    <t xml:space="preserve">Mano de Obra </t>
  </si>
  <si>
    <t>COSTO Produccion</t>
  </si>
  <si>
    <t>COSTO x Justificar</t>
  </si>
  <si>
    <t>Unidades Terminadas</t>
  </si>
  <si>
    <t>Dep. Ant</t>
  </si>
  <si>
    <t>COSTOS Justificado</t>
  </si>
  <si>
    <t>Produccion</t>
  </si>
  <si>
    <t>80,70,60</t>
  </si>
  <si>
    <t>80,60,50</t>
  </si>
  <si>
    <t>100,80,60</t>
  </si>
  <si>
    <t>Ingresos x Ventas</t>
  </si>
  <si>
    <t>Costo de Ventas</t>
  </si>
  <si>
    <t>Utilidad Bruta</t>
  </si>
  <si>
    <t>Gastos ADM</t>
  </si>
  <si>
    <t>Gastos de VNT</t>
  </si>
  <si>
    <t>Utilidad Operativa</t>
  </si>
  <si>
    <t>CIF Predeterminado</t>
  </si>
  <si>
    <t>CIF Real</t>
  </si>
  <si>
    <t>Ajuste sobreaplicado</t>
  </si>
  <si>
    <t>Ventas</t>
  </si>
  <si>
    <t>IF PTER</t>
  </si>
  <si>
    <t>Estado de Resultado</t>
  </si>
  <si>
    <t>Ajuste del CIF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</si>
</sst>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2" xfId="0" applyFont="1" applyFill="1" applyBorder="1"/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57"/>
  <sheetViews>
    <sheetView zoomScaleNormal="100" workbookViewId="0">
      <selection activeCell="G42" sqref="G42"/>
    </sheetView>
  </sheetViews>
  <sheetFormatPr baseColWidth="10" defaultRowHeight="15"/>
  <cols>
    <col min="3" max="3" width="32.28515625" bestFit="1" customWidth="1"/>
    <col min="4" max="4" width="10.42578125" customWidth="1"/>
    <col min="5" max="5" width="10.85546875" bestFit="1" customWidth="1"/>
  </cols>
  <sheetData>
    <row r="3" spans="2:11">
      <c r="C3" s="14" t="s">
        <v>0</v>
      </c>
      <c r="D3" s="14"/>
      <c r="E3" s="14"/>
      <c r="H3" t="s">
        <v>3</v>
      </c>
      <c r="I3" t="s">
        <v>4</v>
      </c>
    </row>
    <row r="4" spans="2:11">
      <c r="C4" s="1"/>
      <c r="D4" s="2" t="s">
        <v>1</v>
      </c>
      <c r="E4" s="2" t="s">
        <v>2</v>
      </c>
    </row>
    <row r="5" spans="2:11">
      <c r="B5" t="s">
        <v>12</v>
      </c>
      <c r="C5" t="s">
        <v>10</v>
      </c>
      <c r="D5">
        <v>1500</v>
      </c>
      <c r="E5">
        <v>2000</v>
      </c>
      <c r="F5" t="s">
        <v>8</v>
      </c>
    </row>
    <row r="6" spans="2:11">
      <c r="C6" s="3" t="s">
        <v>5</v>
      </c>
      <c r="D6" s="3">
        <v>12000</v>
      </c>
      <c r="E6" s="3">
        <v>10000</v>
      </c>
    </row>
    <row r="7" spans="2:11">
      <c r="C7" s="5" t="s">
        <v>6</v>
      </c>
      <c r="D7" s="5">
        <f>D5+D6</f>
        <v>13500</v>
      </c>
      <c r="E7" s="5">
        <f>E5+E6</f>
        <v>12000</v>
      </c>
    </row>
    <row r="8" spans="2:11">
      <c r="C8" t="s">
        <v>7</v>
      </c>
      <c r="D8">
        <v>10000</v>
      </c>
      <c r="E8">
        <v>9500</v>
      </c>
    </row>
    <row r="9" spans="2:11">
      <c r="B9" t="s">
        <v>8</v>
      </c>
      <c r="C9" s="3" t="s">
        <v>11</v>
      </c>
      <c r="D9" s="3">
        <v>3500</v>
      </c>
      <c r="E9" s="3">
        <v>2500</v>
      </c>
      <c r="F9" t="s">
        <v>16</v>
      </c>
    </row>
    <row r="10" spans="2:11">
      <c r="C10" s="6" t="s">
        <v>9</v>
      </c>
      <c r="D10" s="5">
        <f>D8+D9</f>
        <v>13500</v>
      </c>
      <c r="E10" s="5">
        <f>E8+E9</f>
        <v>12000</v>
      </c>
    </row>
    <row r="14" spans="2:11" ht="15" customHeight="1">
      <c r="C14" s="14" t="s">
        <v>13</v>
      </c>
      <c r="D14" s="14"/>
      <c r="E14" s="14"/>
      <c r="G14">
        <f>29400+(3000*0.8)</f>
        <v>31800</v>
      </c>
      <c r="H14">
        <f>29000+(2000*0.8)</f>
        <v>30600</v>
      </c>
      <c r="J14">
        <f>2400*100%</f>
        <v>2400</v>
      </c>
      <c r="K14">
        <f>1600*0.8</f>
        <v>1280</v>
      </c>
    </row>
    <row r="15" spans="2:11">
      <c r="C15" s="1"/>
      <c r="D15" s="2" t="s">
        <v>1</v>
      </c>
      <c r="E15" s="2" t="s">
        <v>2</v>
      </c>
      <c r="G15">
        <f>29400+(3000*0.7)</f>
        <v>31500</v>
      </c>
      <c r="H15">
        <f>29000+(2000*0.6)</f>
        <v>30200</v>
      </c>
      <c r="J15">
        <f>2400*0.8</f>
        <v>1920</v>
      </c>
      <c r="K15">
        <f>1600*0.6</f>
        <v>960</v>
      </c>
    </row>
    <row r="16" spans="2:11">
      <c r="C16" t="s">
        <v>14</v>
      </c>
      <c r="D16">
        <f>D8+(D9*100%)</f>
        <v>13500</v>
      </c>
      <c r="E16">
        <f>E8+(E9*100%)</f>
        <v>12000</v>
      </c>
      <c r="G16">
        <f>29400+(3000*0.6)</f>
        <v>31200</v>
      </c>
      <c r="H16">
        <f>29000+(2000*0.5)</f>
        <v>30000</v>
      </c>
      <c r="J16">
        <f>2400*0.6</f>
        <v>1440</v>
      </c>
      <c r="K16">
        <f>1600*0.5</f>
        <v>800</v>
      </c>
    </row>
    <row r="17" spans="3:10">
      <c r="C17" s="3" t="s">
        <v>15</v>
      </c>
      <c r="D17" s="3">
        <f>D8+(D9*70%)</f>
        <v>12450</v>
      </c>
      <c r="E17" s="3">
        <f>E8+(E9*50%)</f>
        <v>10750</v>
      </c>
    </row>
    <row r="21" spans="3:10">
      <c r="C21" s="7"/>
      <c r="D21" s="7" t="s">
        <v>1</v>
      </c>
      <c r="E21" s="7" t="s">
        <v>2</v>
      </c>
      <c r="H21" s="7"/>
      <c r="I21" s="7" t="s">
        <v>1</v>
      </c>
      <c r="J21" s="7" t="s">
        <v>2</v>
      </c>
    </row>
    <row r="22" spans="3:10">
      <c r="C22" t="s">
        <v>17</v>
      </c>
      <c r="D22">
        <f>12000*1.5</f>
        <v>18000</v>
      </c>
      <c r="E22">
        <v>0</v>
      </c>
      <c r="H22" t="s">
        <v>28</v>
      </c>
      <c r="I22">
        <f>(800000*0.03)/12</f>
        <v>2000</v>
      </c>
      <c r="J22">
        <f>(400000*0.03)/12</f>
        <v>1000</v>
      </c>
    </row>
    <row r="23" spans="3:10">
      <c r="C23" t="s">
        <v>18</v>
      </c>
      <c r="D23">
        <f>2500+(2500*0.4721)</f>
        <v>3680.25</v>
      </c>
      <c r="E23">
        <f>2000+(2000*0.4721)</f>
        <v>2944.2</v>
      </c>
      <c r="H23" t="s">
        <v>29</v>
      </c>
      <c r="I23">
        <f>(480000*0.1)/12</f>
        <v>4000</v>
      </c>
      <c r="J23">
        <f>(360000*0.1)/12</f>
        <v>3000</v>
      </c>
    </row>
    <row r="24" spans="3:10">
      <c r="C24" s="3" t="s">
        <v>20</v>
      </c>
      <c r="D24" s="3">
        <f>SUM(D25:D31)</f>
        <v>17413.656666666666</v>
      </c>
      <c r="E24" s="3">
        <f>SUM(E25:E31)</f>
        <v>14302.57</v>
      </c>
      <c r="H24" t="s">
        <v>30</v>
      </c>
      <c r="I24">
        <f>(20000*0.1)/12</f>
        <v>166.66666666666666</v>
      </c>
      <c r="J24">
        <f>(18000*0.1)/12</f>
        <v>150</v>
      </c>
    </row>
    <row r="25" spans="3:10">
      <c r="C25" t="s">
        <v>21</v>
      </c>
      <c r="D25">
        <f>1500+1000</f>
        <v>2500</v>
      </c>
      <c r="E25">
        <f>800+500</f>
        <v>1300</v>
      </c>
      <c r="I25">
        <f>I22+I23+I24</f>
        <v>6166.666666666667</v>
      </c>
      <c r="J25">
        <f>J22+J23+J24</f>
        <v>4150</v>
      </c>
    </row>
    <row r="26" spans="3:10">
      <c r="C26" t="s">
        <v>22</v>
      </c>
      <c r="D26">
        <f>((1100+800)+((1100+800)*0.4721))</f>
        <v>2796.99</v>
      </c>
      <c r="E26">
        <f>((1000+700)+((1000+700)*0.4721))</f>
        <v>2502.5700000000002</v>
      </c>
    </row>
    <row r="27" spans="3:10">
      <c r="C27" t="s">
        <v>23</v>
      </c>
    </row>
    <row r="28" spans="3:10">
      <c r="C28" t="s">
        <v>27</v>
      </c>
      <c r="D28">
        <f>I25</f>
        <v>6166.666666666667</v>
      </c>
      <c r="E28">
        <f>J25</f>
        <v>4150</v>
      </c>
    </row>
    <row r="29" spans="3:10">
      <c r="C29" t="s">
        <v>26</v>
      </c>
      <c r="D29">
        <v>1000</v>
      </c>
      <c r="E29">
        <v>600</v>
      </c>
    </row>
    <row r="30" spans="3:10">
      <c r="C30" t="s">
        <v>24</v>
      </c>
      <c r="D30">
        <v>1200</v>
      </c>
      <c r="E30">
        <v>500</v>
      </c>
    </row>
    <row r="31" spans="3:10">
      <c r="C31" t="s">
        <v>25</v>
      </c>
      <c r="D31">
        <f>2500*1.5</f>
        <v>3750</v>
      </c>
      <c r="E31">
        <f>3500*1.5</f>
        <v>5250</v>
      </c>
    </row>
    <row r="36" spans="3:7">
      <c r="C36" s="15" t="s">
        <v>33</v>
      </c>
      <c r="D36" s="15"/>
      <c r="E36" s="15"/>
      <c r="F36" s="15"/>
      <c r="G36" s="15"/>
    </row>
    <row r="37" spans="3:7">
      <c r="C37" s="2"/>
      <c r="D37" s="12" t="s">
        <v>1</v>
      </c>
      <c r="E37" s="12"/>
      <c r="F37" s="12" t="s">
        <v>2</v>
      </c>
      <c r="G37" s="12"/>
    </row>
    <row r="38" spans="3:7">
      <c r="C38" s="2"/>
      <c r="D38" s="8" t="s">
        <v>31</v>
      </c>
      <c r="E38" s="8" t="s">
        <v>32</v>
      </c>
      <c r="F38" s="8" t="s">
        <v>31</v>
      </c>
      <c r="G38" s="8" t="s">
        <v>32</v>
      </c>
    </row>
    <row r="39" spans="3:7">
      <c r="C39" s="12" t="s">
        <v>38</v>
      </c>
      <c r="D39" s="12"/>
      <c r="E39" s="12"/>
      <c r="F39" s="12"/>
      <c r="G39" s="12"/>
    </row>
    <row r="40" spans="3:7">
      <c r="C40" t="s">
        <v>34</v>
      </c>
      <c r="D40">
        <v>0</v>
      </c>
      <c r="E40">
        <v>0</v>
      </c>
      <c r="F40">
        <f>(E45+E46)*E5</f>
        <v>6333.333333333333</v>
      </c>
    </row>
    <row r="41" spans="3:7">
      <c r="C41" t="s">
        <v>35</v>
      </c>
      <c r="D41">
        <v>0</v>
      </c>
      <c r="E41">
        <v>0</v>
      </c>
      <c r="F41">
        <f>D52</f>
        <v>33426.609549308341</v>
      </c>
    </row>
    <row r="42" spans="3:7">
      <c r="C42" s="3" t="s">
        <v>36</v>
      </c>
      <c r="D42" s="3">
        <v>0</v>
      </c>
      <c r="E42" s="3">
        <v>0</v>
      </c>
      <c r="F42" s="3">
        <f>F40+F41</f>
        <v>39759.942882641677</v>
      </c>
      <c r="G42" s="3">
        <f>F42/D6</f>
        <v>3.313328573553473</v>
      </c>
    </row>
    <row r="43" spans="3:7">
      <c r="C43" s="12" t="s">
        <v>37</v>
      </c>
      <c r="D43" s="12"/>
      <c r="E43" s="12"/>
      <c r="F43" s="12"/>
      <c r="G43" s="12"/>
    </row>
    <row r="44" spans="3:7">
      <c r="C44" s="6" t="s">
        <v>39</v>
      </c>
    </row>
    <row r="45" spans="3:7">
      <c r="C45" s="4" t="s">
        <v>17</v>
      </c>
      <c r="D45">
        <v>1000</v>
      </c>
      <c r="E45">
        <f>1000/(1500*100%)</f>
        <v>0.66666666666666663</v>
      </c>
      <c r="F45">
        <v>800</v>
      </c>
      <c r="G45">
        <f>800/(2000*100%)</f>
        <v>0.4</v>
      </c>
    </row>
    <row r="46" spans="3:7">
      <c r="C46" s="4" t="s">
        <v>40</v>
      </c>
      <c r="D46">
        <v>3000</v>
      </c>
      <c r="E46">
        <f>3000/(1500*80%)</f>
        <v>2.5</v>
      </c>
      <c r="F46">
        <v>500</v>
      </c>
      <c r="G46">
        <f>500/(2000*0.7)</f>
        <v>0.35714285714285715</v>
      </c>
    </row>
    <row r="47" spans="3:7">
      <c r="C47" s="6" t="s">
        <v>48</v>
      </c>
      <c r="D47" s="13"/>
      <c r="E47" s="13"/>
      <c r="F47" s="13"/>
      <c r="G47" s="13"/>
    </row>
    <row r="48" spans="3:7">
      <c r="C48" s="4" t="s">
        <v>17</v>
      </c>
      <c r="D48">
        <v>18000</v>
      </c>
      <c r="E48">
        <f>(18000+1000)/D16</f>
        <v>1.4074074074074074</v>
      </c>
      <c r="F48">
        <v>0</v>
      </c>
      <c r="G48">
        <f>800/E16</f>
        <v>6.6666666666666666E-2</v>
      </c>
    </row>
    <row r="49" spans="3:7">
      <c r="C49" s="4" t="s">
        <v>40</v>
      </c>
      <c r="D49">
        <f>D23+D24</f>
        <v>21093.906666666666</v>
      </c>
      <c r="E49">
        <f>(3000+D49)/D17</f>
        <v>1.9352535475234269</v>
      </c>
      <c r="F49">
        <f>E23+E24</f>
        <v>17246.77</v>
      </c>
      <c r="G49">
        <f>(500+F49)/E17</f>
        <v>1.6508623255813955</v>
      </c>
    </row>
    <row r="50" spans="3:7">
      <c r="C50" s="6" t="s">
        <v>41</v>
      </c>
      <c r="D50">
        <f>D45+D46+D48+D49</f>
        <v>43093.906666666662</v>
      </c>
      <c r="E50">
        <f>E48+E49</f>
        <v>3.3426609549308344</v>
      </c>
      <c r="F50">
        <f>F45+F46+F48+F49</f>
        <v>18546.77</v>
      </c>
      <c r="G50">
        <f>G48+G49</f>
        <v>1.7175289922480621</v>
      </c>
    </row>
    <row r="51" spans="3:7">
      <c r="C51" s="6" t="s">
        <v>42</v>
      </c>
      <c r="D51" s="6">
        <f>D50</f>
        <v>43093.906666666662</v>
      </c>
      <c r="E51" s="6">
        <f>E50</f>
        <v>3.3426609549308344</v>
      </c>
      <c r="F51" s="6">
        <f>F50+F42</f>
        <v>58306.712882641674</v>
      </c>
      <c r="G51" s="6">
        <f>G42+G50</f>
        <v>5.0308575658015346</v>
      </c>
    </row>
    <row r="52" spans="3:7">
      <c r="C52" s="4" t="s">
        <v>43</v>
      </c>
      <c r="D52">
        <f>10000*E51</f>
        <v>33426.609549308341</v>
      </c>
      <c r="F52">
        <f>9500*G51</f>
        <v>47793.14687511458</v>
      </c>
    </row>
    <row r="53" spans="3:7">
      <c r="C53" s="6" t="s">
        <v>44</v>
      </c>
      <c r="D53">
        <f>D55+D56</f>
        <v>9667.297117358321</v>
      </c>
    </row>
    <row r="54" spans="3:7">
      <c r="C54" s="6" t="s">
        <v>45</v>
      </c>
      <c r="D54">
        <v>0</v>
      </c>
    </row>
    <row r="55" spans="3:7">
      <c r="C55" s="4" t="s">
        <v>46</v>
      </c>
      <c r="D55">
        <f>3500*100%*E48</f>
        <v>4925.9259259259261</v>
      </c>
      <c r="F55">
        <f>2500*100%*G48</f>
        <v>166.66666666666666</v>
      </c>
    </row>
    <row r="56" spans="3:7">
      <c r="C56" s="4" t="s">
        <v>15</v>
      </c>
      <c r="D56">
        <f>3500*0.7*E49</f>
        <v>4741.3711914323958</v>
      </c>
      <c r="F56">
        <f>2500*0.5*G49</f>
        <v>2063.5779069767441</v>
      </c>
    </row>
    <row r="57" spans="3:7">
      <c r="C57" s="6" t="s">
        <v>47</v>
      </c>
      <c r="D57">
        <f>D52+D55+D56</f>
        <v>43093.906666666662</v>
      </c>
      <c r="F57">
        <f>F52+F55+F56</f>
        <v>50023.39144875799</v>
      </c>
    </row>
  </sheetData>
  <mergeCells count="8">
    <mergeCell ref="C39:G39"/>
    <mergeCell ref="C43:G43"/>
    <mergeCell ref="D47:G47"/>
    <mergeCell ref="C3:E3"/>
    <mergeCell ref="C14:E14"/>
    <mergeCell ref="D37:E37"/>
    <mergeCell ref="F37:G37"/>
    <mergeCell ref="C36:G3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H58"/>
  <sheetViews>
    <sheetView topLeftCell="A25" workbookViewId="0">
      <selection activeCell="F60" sqref="F60"/>
    </sheetView>
  </sheetViews>
  <sheetFormatPr baseColWidth="10" defaultRowHeight="15"/>
  <cols>
    <col min="2" max="2" width="12.28515625" bestFit="1" customWidth="1"/>
    <col min="3" max="3" width="20.85546875" bestFit="1" customWidth="1"/>
    <col min="4" max="4" width="9" bestFit="1" customWidth="1"/>
    <col min="5" max="5" width="10.85546875" bestFit="1" customWidth="1"/>
    <col min="6" max="6" width="11.28515625" bestFit="1" customWidth="1"/>
    <col min="8" max="8" width="32.28515625" bestFit="1" customWidth="1"/>
  </cols>
  <sheetData>
    <row r="3" spans="2:6">
      <c r="C3" s="14" t="s">
        <v>0</v>
      </c>
      <c r="D3" s="14"/>
      <c r="E3" s="14"/>
    </row>
    <row r="4" spans="2:6">
      <c r="C4" s="1"/>
      <c r="D4" s="2" t="s">
        <v>49</v>
      </c>
      <c r="E4" s="2" t="s">
        <v>50</v>
      </c>
    </row>
    <row r="5" spans="2:6">
      <c r="B5" t="s">
        <v>54</v>
      </c>
      <c r="C5" t="s">
        <v>10</v>
      </c>
      <c r="D5">
        <v>2400</v>
      </c>
      <c r="E5">
        <v>1600</v>
      </c>
      <c r="F5" t="s">
        <v>52</v>
      </c>
    </row>
    <row r="6" spans="2:6">
      <c r="C6" s="3" t="s">
        <v>5</v>
      </c>
      <c r="D6" s="3">
        <v>30000</v>
      </c>
      <c r="E6" s="3">
        <v>29400</v>
      </c>
    </row>
    <row r="7" spans="2:6">
      <c r="C7" s="5" t="s">
        <v>6</v>
      </c>
      <c r="D7" s="5">
        <f>D5+D6</f>
        <v>32400</v>
      </c>
      <c r="E7" s="5">
        <f>E5+E6</f>
        <v>31000</v>
      </c>
    </row>
    <row r="8" spans="2:6">
      <c r="C8" t="s">
        <v>7</v>
      </c>
      <c r="D8">
        <v>29400</v>
      </c>
      <c r="E8">
        <v>29000</v>
      </c>
    </row>
    <row r="9" spans="2:6">
      <c r="B9" t="s">
        <v>53</v>
      </c>
      <c r="C9" s="3" t="s">
        <v>11</v>
      </c>
      <c r="D9" s="3">
        <v>3000</v>
      </c>
      <c r="E9" s="3">
        <v>2000</v>
      </c>
      <c r="F9" t="s">
        <v>52</v>
      </c>
    </row>
    <row r="10" spans="2:6">
      <c r="C10" s="6" t="s">
        <v>9</v>
      </c>
      <c r="D10" s="5">
        <f>D8+D9</f>
        <v>32400</v>
      </c>
      <c r="E10" s="5">
        <f>E8+E9</f>
        <v>31000</v>
      </c>
    </row>
    <row r="14" spans="2:6">
      <c r="C14" s="14" t="s">
        <v>13</v>
      </c>
      <c r="D14" s="14"/>
      <c r="E14" s="14"/>
    </row>
    <row r="15" spans="2:6">
      <c r="C15" s="1"/>
      <c r="D15" s="2" t="s">
        <v>49</v>
      </c>
      <c r="E15" s="2" t="s">
        <v>50</v>
      </c>
    </row>
    <row r="16" spans="2:6">
      <c r="C16" t="s">
        <v>14</v>
      </c>
      <c r="D16">
        <f>D8+(D9*0.8)</f>
        <v>31800</v>
      </c>
      <c r="E16">
        <f>E8+(E9*0.8)</f>
        <v>30600</v>
      </c>
    </row>
    <row r="17" spans="3:8">
      <c r="C17" s="9" t="s">
        <v>51</v>
      </c>
      <c r="D17" s="9">
        <f>D8+(D9*0.7)</f>
        <v>31500</v>
      </c>
      <c r="E17" s="9">
        <f>E8+(E9*0.6)</f>
        <v>30200</v>
      </c>
    </row>
    <row r="18" spans="3:8">
      <c r="C18" s="3" t="s">
        <v>20</v>
      </c>
      <c r="D18" s="3">
        <f>D8+(D9*0.6)</f>
        <v>31200</v>
      </c>
      <c r="E18" s="3">
        <f>E8+(E9*0.5)</f>
        <v>30000</v>
      </c>
    </row>
    <row r="21" spans="3:8">
      <c r="C21" s="7"/>
      <c r="D21" s="7" t="s">
        <v>49</v>
      </c>
      <c r="E21" s="7" t="s">
        <v>50</v>
      </c>
    </row>
    <row r="22" spans="3:8">
      <c r="C22" t="s">
        <v>17</v>
      </c>
      <c r="D22">
        <f>D5*100%</f>
        <v>2400</v>
      </c>
      <c r="E22">
        <f>1600*0.8</f>
        <v>1280</v>
      </c>
    </row>
    <row r="23" spans="3:8">
      <c r="C23" t="s">
        <v>18</v>
      </c>
      <c r="D23">
        <f>2400*0.8</f>
        <v>1920</v>
      </c>
      <c r="E23">
        <f>1600*0.6</f>
        <v>960</v>
      </c>
    </row>
    <row r="24" spans="3:8">
      <c r="C24" s="3" t="s">
        <v>20</v>
      </c>
      <c r="D24" s="3">
        <f>2400*0.6</f>
        <v>1440</v>
      </c>
      <c r="E24" s="3">
        <f>1600*0.5</f>
        <v>800</v>
      </c>
    </row>
    <row r="27" spans="3:8">
      <c r="C27" s="7"/>
      <c r="D27" s="7" t="s">
        <v>49</v>
      </c>
      <c r="E27" s="7" t="s">
        <v>50</v>
      </c>
    </row>
    <row r="28" spans="3:8">
      <c r="C28" t="s">
        <v>17</v>
      </c>
      <c r="D28">
        <v>40000</v>
      </c>
      <c r="E28">
        <v>60000</v>
      </c>
    </row>
    <row r="29" spans="3:8">
      <c r="C29" t="s">
        <v>18</v>
      </c>
      <c r="D29">
        <f>(1200*8)+(9600*0.4721)</f>
        <v>14132.16</v>
      </c>
      <c r="E29">
        <f>(1800*8)+(14400*0.4721)</f>
        <v>21198.240000000002</v>
      </c>
      <c r="G29" t="s">
        <v>55</v>
      </c>
      <c r="H29">
        <v>50000</v>
      </c>
    </row>
    <row r="30" spans="3:8">
      <c r="C30" s="3" t="s">
        <v>20</v>
      </c>
      <c r="D30" s="3">
        <f>D29*H30</f>
        <v>20000</v>
      </c>
      <c r="E30" s="3">
        <f>E29*H30</f>
        <v>30000.000000000004</v>
      </c>
      <c r="F30">
        <f>D29+E29</f>
        <v>35330.400000000001</v>
      </c>
      <c r="G30" t="s">
        <v>56</v>
      </c>
      <c r="H30">
        <f>H29/F30</f>
        <v>1.4152118289065507</v>
      </c>
    </row>
    <row r="34" spans="3:7">
      <c r="C34" s="15" t="s">
        <v>33</v>
      </c>
      <c r="D34" s="15"/>
      <c r="E34" s="15"/>
      <c r="F34" s="15"/>
      <c r="G34" s="15"/>
    </row>
    <row r="35" spans="3:7">
      <c r="C35" s="2"/>
      <c r="D35" s="8" t="s">
        <v>49</v>
      </c>
      <c r="E35" s="8"/>
      <c r="F35" s="8" t="s">
        <v>50</v>
      </c>
      <c r="G35" s="8"/>
    </row>
    <row r="36" spans="3:7">
      <c r="C36" s="2"/>
      <c r="D36" s="8" t="s">
        <v>57</v>
      </c>
      <c r="E36" s="8" t="s">
        <v>32</v>
      </c>
      <c r="F36" s="8" t="s">
        <v>57</v>
      </c>
      <c r="G36" s="8" t="s">
        <v>32</v>
      </c>
    </row>
    <row r="37" spans="3:7">
      <c r="C37" s="12" t="s">
        <v>38</v>
      </c>
      <c r="D37" s="12"/>
      <c r="E37" s="12"/>
      <c r="F37" s="12"/>
      <c r="G37" s="12"/>
    </row>
    <row r="38" spans="3:7">
      <c r="C38" t="s">
        <v>34</v>
      </c>
      <c r="D38">
        <v>0</v>
      </c>
      <c r="E38">
        <v>0</v>
      </c>
      <c r="F38">
        <f>(E43+E44+E45)*E5</f>
        <v>6400</v>
      </c>
      <c r="G38">
        <f>F38/E5</f>
        <v>4</v>
      </c>
    </row>
    <row r="39" spans="3:7">
      <c r="C39" t="s">
        <v>35</v>
      </c>
      <c r="D39">
        <v>0</v>
      </c>
      <c r="E39">
        <v>0</v>
      </c>
      <c r="F39">
        <f>D52</f>
        <v>76281.757654571848</v>
      </c>
      <c r="G39">
        <f>F39/E6</f>
        <v>2.5946176072983622</v>
      </c>
    </row>
    <row r="40" spans="3:7">
      <c r="C40" s="3" t="s">
        <v>36</v>
      </c>
      <c r="D40" s="3">
        <v>0</v>
      </c>
      <c r="E40" s="3">
        <v>0</v>
      </c>
      <c r="F40" s="3">
        <f>F38+F39</f>
        <v>82681.757654571848</v>
      </c>
      <c r="G40">
        <f>F40/E7</f>
        <v>2.6671534727281241</v>
      </c>
    </row>
    <row r="41" spans="3:7">
      <c r="C41" s="12" t="s">
        <v>37</v>
      </c>
      <c r="D41" s="12"/>
      <c r="E41" s="12"/>
      <c r="F41" s="12"/>
      <c r="G41" s="12"/>
    </row>
    <row r="42" spans="3:7">
      <c r="C42" s="6" t="s">
        <v>39</v>
      </c>
    </row>
    <row r="43" spans="3:7">
      <c r="C43" s="4" t="s">
        <v>17</v>
      </c>
      <c r="D43">
        <v>3600</v>
      </c>
      <c r="E43">
        <f>D43/(2400*100%)</f>
        <v>1.5</v>
      </c>
      <c r="F43">
        <v>4200</v>
      </c>
      <c r="G43">
        <f>F43/(1600*0.8)</f>
        <v>3.28125</v>
      </c>
    </row>
    <row r="44" spans="3:7">
      <c r="C44" s="4" t="s">
        <v>58</v>
      </c>
      <c r="D44">
        <v>2400</v>
      </c>
      <c r="E44">
        <f>D44/(2400*0.8)</f>
        <v>1.25</v>
      </c>
      <c r="F44">
        <v>2000</v>
      </c>
      <c r="G44">
        <f>F44/(1600*0.6)</f>
        <v>2.0833333333333335</v>
      </c>
    </row>
    <row r="45" spans="3:7">
      <c r="C45" s="4" t="s">
        <v>19</v>
      </c>
      <c r="D45">
        <v>1800</v>
      </c>
      <c r="E45">
        <f>D45/(2400*0.6)</f>
        <v>1.25</v>
      </c>
      <c r="F45">
        <v>1200</v>
      </c>
      <c r="G45">
        <f>F45/(1600*0.5)</f>
        <v>1.5</v>
      </c>
    </row>
    <row r="46" spans="3:7">
      <c r="C46" s="6" t="s">
        <v>59</v>
      </c>
    </row>
    <row r="47" spans="3:7">
      <c r="C47" s="4" t="s">
        <v>17</v>
      </c>
      <c r="D47">
        <f>D28</f>
        <v>40000</v>
      </c>
      <c r="E47">
        <f>(D47+D43)/D16</f>
        <v>1.371069182389937</v>
      </c>
      <c r="F47">
        <f>E28</f>
        <v>60000</v>
      </c>
      <c r="G47">
        <f>(F47+F43)/E16</f>
        <v>2.0980392156862746</v>
      </c>
    </row>
    <row r="48" spans="3:7">
      <c r="C48" s="4" t="s">
        <v>58</v>
      </c>
      <c r="D48">
        <f>D29</f>
        <v>14132.16</v>
      </c>
      <c r="E48">
        <f>(D48+D44)/D17</f>
        <v>0.52483047619047618</v>
      </c>
      <c r="F48">
        <f>E29</f>
        <v>21198.240000000002</v>
      </c>
      <c r="G48">
        <f>(F48+F44)/E17</f>
        <v>0.76815364238410599</v>
      </c>
    </row>
    <row r="49" spans="3:8">
      <c r="C49" s="4" t="s">
        <v>19</v>
      </c>
      <c r="D49">
        <f>D30</f>
        <v>20000</v>
      </c>
      <c r="E49">
        <f>(D49+D45)/D18</f>
        <v>0.69871794871794868</v>
      </c>
      <c r="F49">
        <f>E30</f>
        <v>30000.000000000004</v>
      </c>
      <c r="G49">
        <f>(F49+F45)/E18</f>
        <v>1.04</v>
      </c>
    </row>
    <row r="50" spans="3:8">
      <c r="C50" s="6" t="s">
        <v>60</v>
      </c>
      <c r="D50" s="6">
        <f>D43+D44+D45+D47+D48+D49</f>
        <v>81932.160000000003</v>
      </c>
      <c r="E50" s="6">
        <f>E47+E48+E49</f>
        <v>2.5946176072983622</v>
      </c>
      <c r="F50" s="6">
        <f>SUM(F43:F49)</f>
        <v>118598.24</v>
      </c>
      <c r="G50" s="6">
        <f>G49+G48+G47</f>
        <v>3.9061928580703809</v>
      </c>
    </row>
    <row r="51" spans="3:8">
      <c r="C51" s="10"/>
      <c r="D51" s="1"/>
      <c r="E51" s="1"/>
      <c r="F51" s="1">
        <f>F50+F40</f>
        <v>201279.99765457184</v>
      </c>
      <c r="G51" s="1">
        <f>G50+G40</f>
        <v>6.5733463307985049</v>
      </c>
    </row>
    <row r="52" spans="3:8">
      <c r="C52" s="4" t="s">
        <v>61</v>
      </c>
      <c r="D52">
        <f>29400*E50</f>
        <v>76281.757654571848</v>
      </c>
      <c r="E52">
        <f>E50</f>
        <v>2.5946176072983622</v>
      </c>
      <c r="F52">
        <f>29000*G51</f>
        <v>190627.04359315665</v>
      </c>
    </row>
    <row r="53" spans="3:8">
      <c r="C53" s="6" t="s">
        <v>44</v>
      </c>
      <c r="D53">
        <f>D55+D56+D57</f>
        <v>5650.4023454281569</v>
      </c>
      <c r="F53">
        <f>F51-F52</f>
        <v>10652.954061415192</v>
      </c>
    </row>
    <row r="54" spans="3:8">
      <c r="C54" s="4" t="s">
        <v>62</v>
      </c>
      <c r="D54">
        <v>0</v>
      </c>
      <c r="F54">
        <f>F53-H55</f>
        <v>5334.3069454562255</v>
      </c>
    </row>
    <row r="55" spans="3:8">
      <c r="C55" s="4" t="s">
        <v>17</v>
      </c>
      <c r="D55">
        <f>3000*0.8*E47</f>
        <v>3290.566037735849</v>
      </c>
      <c r="F55">
        <f>2000*G47*0.8</f>
        <v>3356.8627450980393</v>
      </c>
      <c r="H55">
        <f>F55+F56+F57</f>
        <v>5318.6471159589664</v>
      </c>
    </row>
    <row r="56" spans="3:8">
      <c r="C56" s="4" t="s">
        <v>58</v>
      </c>
      <c r="D56">
        <f>3000*0.7*E48</f>
        <v>1102.144</v>
      </c>
      <c r="F56">
        <f>2000*G48*0.6</f>
        <v>921.78437086092708</v>
      </c>
    </row>
    <row r="57" spans="3:8">
      <c r="C57" s="11" t="s">
        <v>19</v>
      </c>
      <c r="D57" s="3">
        <f>3000*0.6*E49</f>
        <v>1257.6923076923076</v>
      </c>
      <c r="E57" s="3"/>
      <c r="F57" s="3">
        <f>2000*G49*0.5</f>
        <v>1040</v>
      </c>
      <c r="G57" s="3"/>
    </row>
    <row r="58" spans="3:8">
      <c r="C58" s="6" t="s">
        <v>63</v>
      </c>
      <c r="D58" s="5">
        <f>D52+D53</f>
        <v>81932.160000000003</v>
      </c>
      <c r="E58" s="5"/>
      <c r="F58" s="5">
        <f>F52+F53</f>
        <v>201279.99765457184</v>
      </c>
      <c r="G58" s="5"/>
    </row>
  </sheetData>
  <mergeCells count="5">
    <mergeCell ref="C41:G41"/>
    <mergeCell ref="C37:G37"/>
    <mergeCell ref="C3:E3"/>
    <mergeCell ref="C14:E14"/>
    <mergeCell ref="C34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4:I81"/>
  <sheetViews>
    <sheetView tabSelected="1" topLeftCell="A37" workbookViewId="0">
      <selection activeCell="F72" sqref="F72"/>
    </sheetView>
  </sheetViews>
  <sheetFormatPr baseColWidth="10" defaultRowHeight="15"/>
  <cols>
    <col min="3" max="3" width="12.28515625" bestFit="1" customWidth="1"/>
    <col min="4" max="4" width="20.85546875" bestFit="1" customWidth="1"/>
    <col min="7" max="7" width="11.28515625" bestFit="1" customWidth="1"/>
  </cols>
  <sheetData>
    <row r="4" spans="3:7">
      <c r="D4" s="14" t="s">
        <v>0</v>
      </c>
      <c r="E4" s="14"/>
      <c r="F4" s="14"/>
    </row>
    <row r="5" spans="3:7">
      <c r="D5" s="1"/>
      <c r="E5" s="2" t="s">
        <v>49</v>
      </c>
      <c r="F5" s="2" t="s">
        <v>50</v>
      </c>
    </row>
    <row r="6" spans="3:7">
      <c r="C6" t="s">
        <v>67</v>
      </c>
      <c r="D6" t="s">
        <v>10</v>
      </c>
      <c r="E6">
        <v>2400</v>
      </c>
      <c r="F6">
        <v>1600</v>
      </c>
      <c r="G6" t="s">
        <v>66</v>
      </c>
    </row>
    <row r="7" spans="3:7">
      <c r="D7" s="3" t="s">
        <v>5</v>
      </c>
      <c r="E7" s="3">
        <v>30000</v>
      </c>
      <c r="F7" s="3">
        <v>29400</v>
      </c>
    </row>
    <row r="8" spans="3:7">
      <c r="D8" s="5" t="s">
        <v>6</v>
      </c>
      <c r="E8" s="5">
        <f>E6+E7</f>
        <v>32400</v>
      </c>
      <c r="F8" s="5">
        <f>F6+F7</f>
        <v>31000</v>
      </c>
    </row>
    <row r="9" spans="3:7">
      <c r="D9" t="s">
        <v>7</v>
      </c>
      <c r="E9">
        <v>29400</v>
      </c>
      <c r="F9">
        <v>29000</v>
      </c>
    </row>
    <row r="10" spans="3:7">
      <c r="C10" t="s">
        <v>65</v>
      </c>
      <c r="D10" s="3" t="s">
        <v>11</v>
      </c>
      <c r="E10" s="3">
        <v>3000</v>
      </c>
      <c r="F10" s="3">
        <v>2000</v>
      </c>
      <c r="G10" t="s">
        <v>66</v>
      </c>
    </row>
    <row r="11" spans="3:7">
      <c r="D11" s="6" t="s">
        <v>9</v>
      </c>
      <c r="E11" s="5">
        <f>E9+E10</f>
        <v>32400</v>
      </c>
      <c r="F11" s="5">
        <f>F9+F10</f>
        <v>31000</v>
      </c>
    </row>
    <row r="14" spans="3:7">
      <c r="D14" s="14" t="s">
        <v>13</v>
      </c>
      <c r="E14" s="14"/>
      <c r="F14" s="14"/>
    </row>
    <row r="15" spans="3:7">
      <c r="D15" s="1"/>
      <c r="E15" s="2" t="s">
        <v>49</v>
      </c>
      <c r="F15" s="2" t="s">
        <v>50</v>
      </c>
    </row>
    <row r="16" spans="3:7">
      <c r="D16" t="s">
        <v>14</v>
      </c>
      <c r="E16">
        <f>E9+E10*0.8</f>
        <v>31800</v>
      </c>
      <c r="F16">
        <f>F9+F10*0.8</f>
        <v>30600</v>
      </c>
    </row>
    <row r="17" spans="4:9">
      <c r="D17" s="9" t="s">
        <v>51</v>
      </c>
      <c r="E17" s="9">
        <f>E9+E10*0.7</f>
        <v>31500</v>
      </c>
      <c r="F17" s="9">
        <f>F9+F10*0.6</f>
        <v>30200</v>
      </c>
    </row>
    <row r="18" spans="4:9">
      <c r="D18" s="3" t="s">
        <v>20</v>
      </c>
      <c r="E18" s="3">
        <f>E9+E10*0.6</f>
        <v>31200</v>
      </c>
      <c r="F18" s="3">
        <f>F9+F10*0.5</f>
        <v>30000</v>
      </c>
    </row>
    <row r="21" spans="4:9">
      <c r="D21" s="7"/>
      <c r="E21" s="7" t="s">
        <v>49</v>
      </c>
      <c r="F21" s="7" t="s">
        <v>50</v>
      </c>
    </row>
    <row r="22" spans="4:9">
      <c r="D22" t="s">
        <v>17</v>
      </c>
      <c r="E22">
        <f>2400*100%</f>
        <v>2400</v>
      </c>
      <c r="F22">
        <f>1600*0.8</f>
        <v>1280</v>
      </c>
    </row>
    <row r="23" spans="4:9">
      <c r="D23" t="s">
        <v>18</v>
      </c>
      <c r="E23">
        <f>2400*0.8</f>
        <v>1920</v>
      </c>
      <c r="F23">
        <f>1600*0.6</f>
        <v>960</v>
      </c>
    </row>
    <row r="24" spans="4:9">
      <c r="D24" s="3" t="s">
        <v>20</v>
      </c>
      <c r="E24" s="3">
        <f>2400*0.6</f>
        <v>1440</v>
      </c>
      <c r="F24" s="3">
        <f>1600*0.5</f>
        <v>800</v>
      </c>
    </row>
    <row r="28" spans="4:9">
      <c r="D28" s="14" t="s">
        <v>64</v>
      </c>
      <c r="E28" s="14"/>
      <c r="F28" s="14"/>
    </row>
    <row r="29" spans="4:9">
      <c r="D29" s="7"/>
      <c r="E29" s="7" t="s">
        <v>49</v>
      </c>
      <c r="F29" s="7" t="s">
        <v>50</v>
      </c>
    </row>
    <row r="30" spans="4:9">
      <c r="D30" t="s">
        <v>17</v>
      </c>
      <c r="E30">
        <v>40000</v>
      </c>
      <c r="F30">
        <v>60000</v>
      </c>
    </row>
    <row r="31" spans="4:9">
      <c r="D31" t="s">
        <v>18</v>
      </c>
      <c r="E31">
        <f>(1200*8)+(1200*8*0.4721)</f>
        <v>14132.16</v>
      </c>
      <c r="F31">
        <f>(1800*8)+(1800*8*0.4721)</f>
        <v>21198.240000000002</v>
      </c>
      <c r="G31">
        <f>E31+F31</f>
        <v>35330.400000000001</v>
      </c>
      <c r="H31" s="16" t="s">
        <v>56</v>
      </c>
      <c r="I31">
        <f>50000/G31</f>
        <v>1.4152118289065507</v>
      </c>
    </row>
    <row r="32" spans="4:9">
      <c r="D32" s="3" t="s">
        <v>20</v>
      </c>
      <c r="E32" s="3">
        <f>I31*E31</f>
        <v>20000</v>
      </c>
      <c r="F32" s="3">
        <f>F31*I31</f>
        <v>30000.000000000004</v>
      </c>
    </row>
    <row r="35" spans="4:8">
      <c r="D35" s="15" t="s">
        <v>33</v>
      </c>
      <c r="E35" s="15"/>
      <c r="F35" s="15"/>
      <c r="G35" s="15"/>
      <c r="H35" s="15"/>
    </row>
    <row r="36" spans="4:8">
      <c r="D36" s="2"/>
      <c r="E36" s="8" t="s">
        <v>49</v>
      </c>
      <c r="F36" s="8"/>
      <c r="G36" s="8" t="s">
        <v>50</v>
      </c>
      <c r="H36" s="8"/>
    </row>
    <row r="37" spans="4:8">
      <c r="D37" s="2"/>
      <c r="E37" s="8" t="s">
        <v>57</v>
      </c>
      <c r="F37" s="8" t="s">
        <v>32</v>
      </c>
      <c r="G37" s="8" t="s">
        <v>57</v>
      </c>
      <c r="H37" s="8" t="s">
        <v>32</v>
      </c>
    </row>
    <row r="38" spans="4:8">
      <c r="D38" s="12" t="s">
        <v>38</v>
      </c>
      <c r="E38" s="12"/>
      <c r="F38" s="12"/>
      <c r="G38" s="12"/>
      <c r="H38" s="12"/>
    </row>
    <row r="39" spans="4:8">
      <c r="D39" t="s">
        <v>34</v>
      </c>
      <c r="E39">
        <v>0</v>
      </c>
      <c r="F39">
        <v>0</v>
      </c>
      <c r="G39">
        <f>(F44+F45+F46)*F6</f>
        <v>6400</v>
      </c>
      <c r="H39">
        <f>G39/F6</f>
        <v>4</v>
      </c>
    </row>
    <row r="40" spans="4:8">
      <c r="D40" t="s">
        <v>35</v>
      </c>
      <c r="E40">
        <v>0</v>
      </c>
      <c r="F40">
        <v>0</v>
      </c>
      <c r="G40">
        <f>E53</f>
        <v>76281.757654571848</v>
      </c>
      <c r="H40">
        <f>F53</f>
        <v>2.5946176072983622</v>
      </c>
    </row>
    <row r="41" spans="4:8">
      <c r="D41" s="3" t="s">
        <v>36</v>
      </c>
      <c r="E41" s="3">
        <v>0</v>
      </c>
      <c r="F41" s="3">
        <v>0</v>
      </c>
      <c r="G41" s="3">
        <f>G39+G40</f>
        <v>82681.757654571848</v>
      </c>
      <c r="H41">
        <f>G41/F8</f>
        <v>2.6671534727281241</v>
      </c>
    </row>
    <row r="42" spans="4:8">
      <c r="D42" s="12" t="s">
        <v>37</v>
      </c>
      <c r="E42" s="12"/>
      <c r="F42" s="12"/>
      <c r="G42" s="12"/>
      <c r="H42" s="12"/>
    </row>
    <row r="43" spans="4:8">
      <c r="D43" s="6" t="s">
        <v>39</v>
      </c>
    </row>
    <row r="44" spans="4:8">
      <c r="D44" s="4" t="s">
        <v>17</v>
      </c>
      <c r="E44">
        <v>3600</v>
      </c>
      <c r="F44">
        <f>E44/2400*100%</f>
        <v>1.5</v>
      </c>
      <c r="G44">
        <v>4200</v>
      </c>
      <c r="H44">
        <f>G44/(1600*80%)</f>
        <v>3.28125</v>
      </c>
    </row>
    <row r="45" spans="4:8">
      <c r="D45" s="4" t="s">
        <v>58</v>
      </c>
      <c r="E45">
        <v>2400</v>
      </c>
      <c r="F45">
        <f>E45/(2400*80%)</f>
        <v>1.25</v>
      </c>
      <c r="G45">
        <v>2000</v>
      </c>
      <c r="H45">
        <f>G45/(1600*60%)</f>
        <v>2.0833333333333335</v>
      </c>
    </row>
    <row r="46" spans="4:8">
      <c r="D46" s="4" t="s">
        <v>19</v>
      </c>
      <c r="E46">
        <v>1800</v>
      </c>
      <c r="F46">
        <f>E46/(2400*60%)</f>
        <v>1.25</v>
      </c>
      <c r="G46">
        <v>1200</v>
      </c>
      <c r="H46">
        <f>G46/(1600*50%)</f>
        <v>1.5</v>
      </c>
    </row>
    <row r="47" spans="4:8">
      <c r="D47" s="6" t="s">
        <v>59</v>
      </c>
    </row>
    <row r="48" spans="4:8">
      <c r="D48" s="4" t="s">
        <v>17</v>
      </c>
      <c r="E48">
        <f>E30</f>
        <v>40000</v>
      </c>
      <c r="F48">
        <f>(E48+E44)/E16</f>
        <v>1.371069182389937</v>
      </c>
      <c r="G48">
        <f>F30</f>
        <v>60000</v>
      </c>
      <c r="H48">
        <f>(G48+G44)/F16</f>
        <v>2.0980392156862746</v>
      </c>
    </row>
    <row r="49" spans="4:9">
      <c r="D49" s="4" t="s">
        <v>58</v>
      </c>
      <c r="E49">
        <f>E31</f>
        <v>14132.16</v>
      </c>
      <c r="F49">
        <f>(E49+E45)/E17</f>
        <v>0.52483047619047618</v>
      </c>
      <c r="G49">
        <f>F31</f>
        <v>21198.240000000002</v>
      </c>
      <c r="H49">
        <f>(G49+G45)/F17</f>
        <v>0.76815364238410599</v>
      </c>
    </row>
    <row r="50" spans="4:9">
      <c r="D50" s="4" t="s">
        <v>19</v>
      </c>
      <c r="E50">
        <f>E32</f>
        <v>20000</v>
      </c>
      <c r="F50">
        <f>(E50+E46)/E18</f>
        <v>0.69871794871794868</v>
      </c>
      <c r="G50">
        <f>F32</f>
        <v>30000.000000000004</v>
      </c>
      <c r="H50">
        <f>(G50+G46)/F18</f>
        <v>1.04</v>
      </c>
    </row>
    <row r="51" spans="4:9">
      <c r="D51" s="6" t="s">
        <v>60</v>
      </c>
      <c r="E51" s="6">
        <f>E44+E45+E46+E48+E49+E50</f>
        <v>81932.160000000003</v>
      </c>
      <c r="F51" s="6">
        <f>F48+F49+F50</f>
        <v>2.5946176072983622</v>
      </c>
      <c r="G51" s="6">
        <f>G44+G45+G46+G48+G49+G50</f>
        <v>118598.24</v>
      </c>
      <c r="H51" s="6">
        <f>H48+H49+H50</f>
        <v>3.9061928580703809</v>
      </c>
    </row>
    <row r="52" spans="4:9">
      <c r="D52" s="10"/>
      <c r="E52" s="1"/>
      <c r="F52" s="1"/>
      <c r="G52" s="1">
        <f>G51+G41</f>
        <v>201279.99765457184</v>
      </c>
      <c r="H52" s="1">
        <f>H51+H41</f>
        <v>6.5733463307985049</v>
      </c>
    </row>
    <row r="53" spans="4:9">
      <c r="D53" s="4" t="s">
        <v>61</v>
      </c>
      <c r="E53">
        <f>29400*F51</f>
        <v>76281.757654571848</v>
      </c>
      <c r="F53">
        <f>F51</f>
        <v>2.5946176072983622</v>
      </c>
      <c r="G53">
        <f>29000*H52</f>
        <v>190627.04359315665</v>
      </c>
    </row>
    <row r="54" spans="4:9">
      <c r="D54" s="6" t="s">
        <v>44</v>
      </c>
      <c r="E54" s="5">
        <f>E56+E57+E58</f>
        <v>5650.4023454281569</v>
      </c>
      <c r="F54" s="5"/>
      <c r="G54" s="5">
        <f>G52-G53</f>
        <v>10652.954061415192</v>
      </c>
      <c r="H54" s="5"/>
    </row>
    <row r="55" spans="4:9">
      <c r="D55" s="4" t="s">
        <v>62</v>
      </c>
      <c r="E55">
        <v>0</v>
      </c>
      <c r="G55">
        <f>G54-I56</f>
        <v>5334.3069454562255</v>
      </c>
    </row>
    <row r="56" spans="4:9">
      <c r="D56" s="4" t="s">
        <v>17</v>
      </c>
      <c r="E56">
        <f>3000*0.8*F48</f>
        <v>3290.566037735849</v>
      </c>
      <c r="G56">
        <f>2000*80%*H48</f>
        <v>3356.8627450980393</v>
      </c>
      <c r="I56">
        <f>G56+G57+G58</f>
        <v>5318.6471159589664</v>
      </c>
    </row>
    <row r="57" spans="4:9">
      <c r="D57" s="4" t="s">
        <v>58</v>
      </c>
      <c r="E57">
        <f>3000*0.7*F49</f>
        <v>1102.144</v>
      </c>
      <c r="G57">
        <f>2000*60%*H49</f>
        <v>921.7843708609272</v>
      </c>
    </row>
    <row r="58" spans="4:9">
      <c r="D58" s="11" t="s">
        <v>19</v>
      </c>
      <c r="E58" s="3">
        <f>3000*0.6*F50</f>
        <v>1257.6923076923076</v>
      </c>
      <c r="F58" s="3"/>
      <c r="G58" s="3">
        <f>2000*50%*H50</f>
        <v>1040</v>
      </c>
      <c r="H58" s="3"/>
    </row>
    <row r="59" spans="4:9">
      <c r="D59" s="6" t="s">
        <v>63</v>
      </c>
      <c r="E59" s="5">
        <f>E53+E54</f>
        <v>81932.160000000003</v>
      </c>
      <c r="F59" s="5"/>
      <c r="G59" s="5">
        <f>G54+G53</f>
        <v>201279.99765457184</v>
      </c>
      <c r="H59" s="5"/>
    </row>
    <row r="65" spans="4:8">
      <c r="D65" s="17" t="s">
        <v>79</v>
      </c>
      <c r="E65" s="17"/>
      <c r="F65" s="17"/>
      <c r="G65" s="6"/>
      <c r="H65" s="6"/>
    </row>
    <row r="66" spans="4:8">
      <c r="D66" t="s">
        <v>68</v>
      </c>
      <c r="F66">
        <f>G53*160%</f>
        <v>305003.26974905067</v>
      </c>
    </row>
    <row r="67" spans="4:8">
      <c r="D67" t="s">
        <v>69</v>
      </c>
      <c r="F67">
        <f>G53</f>
        <v>190627.04359315665</v>
      </c>
    </row>
    <row r="68" spans="4:8">
      <c r="D68" s="5" t="s">
        <v>70</v>
      </c>
      <c r="E68" s="5"/>
      <c r="F68" s="5">
        <f>F66-F67</f>
        <v>114376.22615589402</v>
      </c>
    </row>
    <row r="69" spans="4:8">
      <c r="D69" t="s">
        <v>71</v>
      </c>
      <c r="F69">
        <v>12400</v>
      </c>
    </row>
    <row r="70" spans="4:8">
      <c r="D70" t="s">
        <v>72</v>
      </c>
      <c r="F70">
        <v>8200</v>
      </c>
    </row>
    <row r="71" spans="4:8">
      <c r="D71" s="5" t="s">
        <v>73</v>
      </c>
      <c r="E71" s="5"/>
      <c r="F71" s="5">
        <f>F68-F69-F70</f>
        <v>93776.226155894023</v>
      </c>
    </row>
    <row r="75" spans="4:8">
      <c r="D75" s="17" t="s">
        <v>80</v>
      </c>
      <c r="E75" s="17"/>
      <c r="F75" s="17"/>
    </row>
    <row r="76" spans="4:8">
      <c r="D76" t="s">
        <v>74</v>
      </c>
    </row>
    <row r="77" spans="4:8">
      <c r="D77" t="s">
        <v>75</v>
      </c>
    </row>
    <row r="78" spans="4:8">
      <c r="D78" s="5" t="s">
        <v>76</v>
      </c>
      <c r="E78" s="5"/>
      <c r="F78" s="5"/>
    </row>
    <row r="80" spans="4:8">
      <c r="D80" t="s">
        <v>77</v>
      </c>
    </row>
    <row r="81" spans="4:4">
      <c r="D81" t="s">
        <v>78</v>
      </c>
    </row>
  </sheetData>
  <mergeCells count="8">
    <mergeCell ref="D65:F65"/>
    <mergeCell ref="D75:F75"/>
    <mergeCell ref="D4:F4"/>
    <mergeCell ref="D14:F14"/>
    <mergeCell ref="D28:F28"/>
    <mergeCell ref="D38:H38"/>
    <mergeCell ref="D42:H42"/>
    <mergeCell ref="D35:H3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Ejercicio_1</vt:lpstr>
      <vt:lpstr>Ejercicio_2</vt:lpstr>
      <vt:lpstr>Solo_1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dcterms:created xsi:type="dcterms:W3CDTF">2018-06-06T18:29:46Z</dcterms:created>
  <dcterms:modified xsi:type="dcterms:W3CDTF">2018-06-07T17:10:23Z</dcterms:modified>
</cp:coreProperties>
</file>