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31.xml" ContentType="application/vnd.openxmlformats-officedocument.spreadsheetml.pivotTable+xml"/>
  <Override PartName="/xl/drawings/drawing3.xml" ContentType="application/vnd.openxmlformats-officedocument.drawing+xml"/>
  <Override PartName="/xl/charts/chartEx1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slicers/slicer2.xml" ContentType="application/vnd.ms-excel.slicer+xml"/>
  <Override PartName="/xl/charts/chart2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8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9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FP1\Máster\EDA\"/>
    </mc:Choice>
  </mc:AlternateContent>
  <xr:revisionPtr revIDLastSave="0" documentId="13_ncr:1_{56445269-83D7-446C-AD42-4B62C9A5BB04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BBDD" sheetId="2" r:id="rId1"/>
    <sheet name="Duplicados y valores nulos" sheetId="3" r:id="rId2"/>
    <sheet name="Tablas dinámicas" sheetId="4" r:id="rId3"/>
    <sheet name="Tablas dinámicas dashboard" sheetId="6" r:id="rId4"/>
    <sheet name="Estadísticos principales" sheetId="5" r:id="rId5"/>
    <sheet name="Dashboard" sheetId="7" r:id="rId6"/>
  </sheets>
  <definedNames>
    <definedName name="_xlchart.v1.0" hidden="1">BBDD!$M$1</definedName>
    <definedName name="_xlchart.v1.1" hidden="1">BBDD!$M$2:$M$906</definedName>
    <definedName name="DatosExternos_1" localSheetId="0" hidden="1">BBDD!$A$1:$P$906</definedName>
    <definedName name="SegmentaciónDeDatos_Año_suscripción">#N/A</definedName>
    <definedName name="SegmentaciónDeDatos_Dispositivo">#N/A</definedName>
    <definedName name="SegmentaciónDeDatos_Edad">#N/A</definedName>
    <definedName name="SegmentaciónDeDatos_Género">#N/A</definedName>
    <definedName name="SegmentaciónDeDatos_Mes_suscripción">#N/A</definedName>
    <definedName name="SegmentaciónDeDatos_Tipo_de_suscripción">#N/A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0" i="6" l="1"/>
  <c r="F178" i="6"/>
  <c r="F176" i="6"/>
  <c r="F174" i="6"/>
  <c r="F172" i="6"/>
  <c r="F170" i="6"/>
  <c r="O11" i="3"/>
  <c r="P11" i="3"/>
  <c r="Q11" i="3"/>
  <c r="R11" i="3"/>
  <c r="S11" i="3"/>
  <c r="T11" i="3"/>
  <c r="U11" i="3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K524" i="2"/>
  <c r="J2" i="2"/>
  <c r="K2" i="2" s="1"/>
  <c r="J3" i="2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K54" i="2" s="1"/>
  <c r="J55" i="2"/>
  <c r="K55" i="2" s="1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K65" i="2" s="1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K72" i="2" s="1"/>
  <c r="J73" i="2"/>
  <c r="K73" i="2" s="1"/>
  <c r="J74" i="2"/>
  <c r="K74" i="2" s="1"/>
  <c r="J75" i="2"/>
  <c r="K75" i="2" s="1"/>
  <c r="J76" i="2"/>
  <c r="K76" i="2" s="1"/>
  <c r="J77" i="2"/>
  <c r="K77" i="2" s="1"/>
  <c r="J78" i="2"/>
  <c r="K78" i="2" s="1"/>
  <c r="J79" i="2"/>
  <c r="K79" i="2" s="1"/>
  <c r="J80" i="2"/>
  <c r="K80" i="2" s="1"/>
  <c r="J81" i="2"/>
  <c r="K81" i="2" s="1"/>
  <c r="J82" i="2"/>
  <c r="K82" i="2" s="1"/>
  <c r="J83" i="2"/>
  <c r="K83" i="2" s="1"/>
  <c r="J84" i="2"/>
  <c r="K84" i="2" s="1"/>
  <c r="J85" i="2"/>
  <c r="K85" i="2" s="1"/>
  <c r="J86" i="2"/>
  <c r="K86" i="2" s="1"/>
  <c r="J87" i="2"/>
  <c r="K87" i="2" s="1"/>
  <c r="J88" i="2"/>
  <c r="K88" i="2" s="1"/>
  <c r="J89" i="2"/>
  <c r="K89" i="2" s="1"/>
  <c r="J90" i="2"/>
  <c r="K90" i="2" s="1"/>
  <c r="J91" i="2"/>
  <c r="K91" i="2" s="1"/>
  <c r="J92" i="2"/>
  <c r="K92" i="2" s="1"/>
  <c r="J93" i="2"/>
  <c r="K93" i="2" s="1"/>
  <c r="J94" i="2"/>
  <c r="K94" i="2" s="1"/>
  <c r="J95" i="2"/>
  <c r="K95" i="2" s="1"/>
  <c r="J96" i="2"/>
  <c r="K96" i="2" s="1"/>
  <c r="J97" i="2"/>
  <c r="K97" i="2" s="1"/>
  <c r="J98" i="2"/>
  <c r="K98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K130" i="2" s="1"/>
  <c r="J131" i="2"/>
  <c r="K131" i="2" s="1"/>
  <c r="J132" i="2"/>
  <c r="K132" i="2" s="1"/>
  <c r="J133" i="2"/>
  <c r="K133" i="2" s="1"/>
  <c r="J134" i="2"/>
  <c r="K134" i="2" s="1"/>
  <c r="J135" i="2"/>
  <c r="K135" i="2" s="1"/>
  <c r="J136" i="2"/>
  <c r="K136" i="2" s="1"/>
  <c r="J137" i="2"/>
  <c r="K137" i="2" s="1"/>
  <c r="J138" i="2"/>
  <c r="K138" i="2" s="1"/>
  <c r="J139" i="2"/>
  <c r="K139" i="2" s="1"/>
  <c r="J140" i="2"/>
  <c r="K140" i="2" s="1"/>
  <c r="J141" i="2"/>
  <c r="K141" i="2" s="1"/>
  <c r="J142" i="2"/>
  <c r="K142" i="2" s="1"/>
  <c r="J143" i="2"/>
  <c r="K143" i="2" s="1"/>
  <c r="J144" i="2"/>
  <c r="K144" i="2" s="1"/>
  <c r="J145" i="2"/>
  <c r="K145" i="2" s="1"/>
  <c r="J146" i="2"/>
  <c r="K146" i="2" s="1"/>
  <c r="J147" i="2"/>
  <c r="K147" i="2" s="1"/>
  <c r="J148" i="2"/>
  <c r="K148" i="2" s="1"/>
  <c r="J149" i="2"/>
  <c r="K149" i="2" s="1"/>
  <c r="J150" i="2"/>
  <c r="K150" i="2" s="1"/>
  <c r="J151" i="2"/>
  <c r="K151" i="2" s="1"/>
  <c r="J152" i="2"/>
  <c r="K152" i="2" s="1"/>
  <c r="J153" i="2"/>
  <c r="K153" i="2" s="1"/>
  <c r="J154" i="2"/>
  <c r="K154" i="2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K160" i="2" s="1"/>
  <c r="J161" i="2"/>
  <c r="K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J181" i="2"/>
  <c r="K181" i="2" s="1"/>
  <c r="J182" i="2"/>
  <c r="K182" i="2" s="1"/>
  <c r="J183" i="2"/>
  <c r="K183" i="2" s="1"/>
  <c r="J184" i="2"/>
  <c r="K184" i="2" s="1"/>
  <c r="J185" i="2"/>
  <c r="K185" i="2" s="1"/>
  <c r="J186" i="2"/>
  <c r="K186" i="2" s="1"/>
  <c r="J187" i="2"/>
  <c r="K187" i="2" s="1"/>
  <c r="J188" i="2"/>
  <c r="K188" i="2" s="1"/>
  <c r="J189" i="2"/>
  <c r="K189" i="2" s="1"/>
  <c r="J190" i="2"/>
  <c r="K190" i="2" s="1"/>
  <c r="J191" i="2"/>
  <c r="K191" i="2" s="1"/>
  <c r="J192" i="2"/>
  <c r="K192" i="2" s="1"/>
  <c r="J193" i="2"/>
  <c r="K193" i="2" s="1"/>
  <c r="J194" i="2"/>
  <c r="K194" i="2" s="1"/>
  <c r="J195" i="2"/>
  <c r="K195" i="2" s="1"/>
  <c r="J196" i="2"/>
  <c r="K196" i="2" s="1"/>
  <c r="J197" i="2"/>
  <c r="K197" i="2" s="1"/>
  <c r="J198" i="2"/>
  <c r="K198" i="2" s="1"/>
  <c r="J199" i="2"/>
  <c r="K199" i="2" s="1"/>
  <c r="J200" i="2"/>
  <c r="K200" i="2" s="1"/>
  <c r="J201" i="2"/>
  <c r="K201" i="2" s="1"/>
  <c r="J202" i="2"/>
  <c r="K202" i="2" s="1"/>
  <c r="J203" i="2"/>
  <c r="K203" i="2" s="1"/>
  <c r="J204" i="2"/>
  <c r="K204" i="2" s="1"/>
  <c r="J205" i="2"/>
  <c r="K205" i="2" s="1"/>
  <c r="J206" i="2"/>
  <c r="K206" i="2" s="1"/>
  <c r="J207" i="2"/>
  <c r="K207" i="2" s="1"/>
  <c r="J208" i="2"/>
  <c r="K208" i="2" s="1"/>
  <c r="J209" i="2"/>
  <c r="K209" i="2" s="1"/>
  <c r="J210" i="2"/>
  <c r="K210" i="2" s="1"/>
  <c r="J211" i="2"/>
  <c r="K211" i="2" s="1"/>
  <c r="J212" i="2"/>
  <c r="K212" i="2" s="1"/>
  <c r="J213" i="2"/>
  <c r="K213" i="2" s="1"/>
  <c r="J214" i="2"/>
  <c r="K214" i="2" s="1"/>
  <c r="J215" i="2"/>
  <c r="K215" i="2" s="1"/>
  <c r="J216" i="2"/>
  <c r="K216" i="2" s="1"/>
  <c r="J217" i="2"/>
  <c r="K217" i="2" s="1"/>
  <c r="J218" i="2"/>
  <c r="K218" i="2" s="1"/>
  <c r="J219" i="2"/>
  <c r="K219" i="2" s="1"/>
  <c r="J220" i="2"/>
  <c r="K220" i="2" s="1"/>
  <c r="J221" i="2"/>
  <c r="K221" i="2" s="1"/>
  <c r="J222" i="2"/>
  <c r="K222" i="2" s="1"/>
  <c r="J223" i="2"/>
  <c r="K223" i="2" s="1"/>
  <c r="J224" i="2"/>
  <c r="K22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 s="1"/>
  <c r="J231" i="2"/>
  <c r="K231" i="2" s="1"/>
  <c r="J232" i="2"/>
  <c r="K232" i="2" s="1"/>
  <c r="J233" i="2"/>
  <c r="K233" i="2" s="1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 s="1"/>
  <c r="J241" i="2"/>
  <c r="K241" i="2" s="1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J255" i="2"/>
  <c r="K255" i="2" s="1"/>
  <c r="J256" i="2"/>
  <c r="K256" i="2" s="1"/>
  <c r="J257" i="2"/>
  <c r="K257" i="2" s="1"/>
  <c r="J258" i="2"/>
  <c r="K258" i="2" s="1"/>
  <c r="J259" i="2"/>
  <c r="K259" i="2" s="1"/>
  <c r="J260" i="2"/>
  <c r="K260" i="2" s="1"/>
  <c r="J261" i="2"/>
  <c r="K261" i="2" s="1"/>
  <c r="J262" i="2"/>
  <c r="K262" i="2" s="1"/>
  <c r="J263" i="2"/>
  <c r="K263" i="2" s="1"/>
  <c r="J264" i="2"/>
  <c r="K264" i="2" s="1"/>
  <c r="J265" i="2"/>
  <c r="K265" i="2" s="1"/>
  <c r="J266" i="2"/>
  <c r="K266" i="2" s="1"/>
  <c r="J267" i="2"/>
  <c r="K267" i="2" s="1"/>
  <c r="J268" i="2"/>
  <c r="K268" i="2" s="1"/>
  <c r="J269" i="2"/>
  <c r="K269" i="2" s="1"/>
  <c r="J270" i="2"/>
  <c r="K270" i="2" s="1"/>
  <c r="J271" i="2"/>
  <c r="K271" i="2" s="1"/>
  <c r="J272" i="2"/>
  <c r="K272" i="2" s="1"/>
  <c r="J273" i="2"/>
  <c r="K273" i="2" s="1"/>
  <c r="J274" i="2"/>
  <c r="K274" i="2" s="1"/>
  <c r="J275" i="2"/>
  <c r="K275" i="2" s="1"/>
  <c r="J276" i="2"/>
  <c r="K276" i="2" s="1"/>
  <c r="J277" i="2"/>
  <c r="K277" i="2" s="1"/>
  <c r="J278" i="2"/>
  <c r="K278" i="2" s="1"/>
  <c r="J279" i="2"/>
  <c r="K279" i="2" s="1"/>
  <c r="J280" i="2"/>
  <c r="K280" i="2" s="1"/>
  <c r="J281" i="2"/>
  <c r="K281" i="2" s="1"/>
  <c r="J282" i="2"/>
  <c r="K282" i="2" s="1"/>
  <c r="J283" i="2"/>
  <c r="K283" i="2" s="1"/>
  <c r="J284" i="2"/>
  <c r="K284" i="2" s="1"/>
  <c r="J285" i="2"/>
  <c r="K285" i="2" s="1"/>
  <c r="J286" i="2"/>
  <c r="K286" i="2" s="1"/>
  <c r="J287" i="2"/>
  <c r="K287" i="2" s="1"/>
  <c r="J288" i="2"/>
  <c r="K288" i="2" s="1"/>
  <c r="J289" i="2"/>
  <c r="K289" i="2" s="1"/>
  <c r="J290" i="2"/>
  <c r="K290" i="2" s="1"/>
  <c r="J291" i="2"/>
  <c r="K291" i="2" s="1"/>
  <c r="J292" i="2"/>
  <c r="K292" i="2" s="1"/>
  <c r="J293" i="2"/>
  <c r="K293" i="2" s="1"/>
  <c r="J294" i="2"/>
  <c r="K294" i="2" s="1"/>
  <c r="J295" i="2"/>
  <c r="K295" i="2" s="1"/>
  <c r="J296" i="2"/>
  <c r="K296" i="2" s="1"/>
  <c r="J297" i="2"/>
  <c r="K297" i="2" s="1"/>
  <c r="J298" i="2"/>
  <c r="K298" i="2" s="1"/>
  <c r="J299" i="2"/>
  <c r="K299" i="2" s="1"/>
  <c r="J300" i="2"/>
  <c r="K300" i="2" s="1"/>
  <c r="J301" i="2"/>
  <c r="K301" i="2" s="1"/>
  <c r="J302" i="2"/>
  <c r="K302" i="2" s="1"/>
  <c r="J303" i="2"/>
  <c r="K303" i="2" s="1"/>
  <c r="J304" i="2"/>
  <c r="K304" i="2" s="1"/>
  <c r="J305" i="2"/>
  <c r="K305" i="2" s="1"/>
  <c r="J306" i="2"/>
  <c r="K306" i="2" s="1"/>
  <c r="J307" i="2"/>
  <c r="K307" i="2" s="1"/>
  <c r="J308" i="2"/>
  <c r="K308" i="2" s="1"/>
  <c r="J309" i="2"/>
  <c r="K309" i="2" s="1"/>
  <c r="J310" i="2"/>
  <c r="K310" i="2" s="1"/>
  <c r="J311" i="2"/>
  <c r="K311" i="2" s="1"/>
  <c r="J312" i="2"/>
  <c r="K312" i="2" s="1"/>
  <c r="J313" i="2"/>
  <c r="K313" i="2" s="1"/>
  <c r="J314" i="2"/>
  <c r="K314" i="2" s="1"/>
  <c r="J315" i="2"/>
  <c r="K315" i="2" s="1"/>
  <c r="J316" i="2"/>
  <c r="K316" i="2" s="1"/>
  <c r="J317" i="2"/>
  <c r="K317" i="2" s="1"/>
  <c r="J318" i="2"/>
  <c r="K318" i="2" s="1"/>
  <c r="J319" i="2"/>
  <c r="K319" i="2" s="1"/>
  <c r="J320" i="2"/>
  <c r="K320" i="2" s="1"/>
  <c r="J321" i="2"/>
  <c r="K321" i="2" s="1"/>
  <c r="J322" i="2"/>
  <c r="K322" i="2" s="1"/>
  <c r="J323" i="2"/>
  <c r="K323" i="2" s="1"/>
  <c r="J324" i="2"/>
  <c r="K324" i="2" s="1"/>
  <c r="J325" i="2"/>
  <c r="K325" i="2" s="1"/>
  <c r="J326" i="2"/>
  <c r="K326" i="2" s="1"/>
  <c r="J327" i="2"/>
  <c r="K327" i="2" s="1"/>
  <c r="J328" i="2"/>
  <c r="K328" i="2" s="1"/>
  <c r="J329" i="2"/>
  <c r="K329" i="2" s="1"/>
  <c r="J330" i="2"/>
  <c r="K330" i="2" s="1"/>
  <c r="J331" i="2"/>
  <c r="K331" i="2" s="1"/>
  <c r="J332" i="2"/>
  <c r="K332" i="2" s="1"/>
  <c r="J333" i="2"/>
  <c r="K333" i="2" s="1"/>
  <c r="J334" i="2"/>
  <c r="K334" i="2" s="1"/>
  <c r="J335" i="2"/>
  <c r="K335" i="2" s="1"/>
  <c r="J336" i="2"/>
  <c r="K336" i="2" s="1"/>
  <c r="J337" i="2"/>
  <c r="K337" i="2" s="1"/>
  <c r="J338" i="2"/>
  <c r="K338" i="2" s="1"/>
  <c r="J339" i="2"/>
  <c r="K339" i="2" s="1"/>
  <c r="J340" i="2"/>
  <c r="K340" i="2" s="1"/>
  <c r="J341" i="2"/>
  <c r="K341" i="2" s="1"/>
  <c r="J342" i="2"/>
  <c r="K342" i="2" s="1"/>
  <c r="J343" i="2"/>
  <c r="K343" i="2" s="1"/>
  <c r="J344" i="2"/>
  <c r="K344" i="2" s="1"/>
  <c r="J345" i="2"/>
  <c r="K345" i="2" s="1"/>
  <c r="J346" i="2"/>
  <c r="K346" i="2" s="1"/>
  <c r="J347" i="2"/>
  <c r="K347" i="2" s="1"/>
  <c r="J348" i="2"/>
  <c r="K348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 s="1"/>
  <c r="J359" i="2"/>
  <c r="K359" i="2" s="1"/>
  <c r="J360" i="2"/>
  <c r="K360" i="2" s="1"/>
  <c r="J361" i="2"/>
  <c r="K361" i="2" s="1"/>
  <c r="J362" i="2"/>
  <c r="K362" i="2" s="1"/>
  <c r="J363" i="2"/>
  <c r="K363" i="2" s="1"/>
  <c r="J364" i="2"/>
  <c r="K364" i="2" s="1"/>
  <c r="J365" i="2"/>
  <c r="K365" i="2" s="1"/>
  <c r="J366" i="2"/>
  <c r="K366" i="2" s="1"/>
  <c r="J367" i="2"/>
  <c r="K367" i="2" s="1"/>
  <c r="J368" i="2"/>
  <c r="K368" i="2" s="1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K375" i="2" s="1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385" i="2"/>
  <c r="K385" i="2" s="1"/>
  <c r="J386" i="2"/>
  <c r="K386" i="2" s="1"/>
  <c r="J387" i="2"/>
  <c r="K387" i="2" s="1"/>
  <c r="J388" i="2"/>
  <c r="K388" i="2" s="1"/>
  <c r="J389" i="2"/>
  <c r="K389" i="2" s="1"/>
  <c r="J390" i="2"/>
  <c r="K390" i="2" s="1"/>
  <c r="J391" i="2"/>
  <c r="K391" i="2" s="1"/>
  <c r="J392" i="2"/>
  <c r="K392" i="2" s="1"/>
  <c r="J393" i="2"/>
  <c r="K393" i="2" s="1"/>
  <c r="J394" i="2"/>
  <c r="K394" i="2" s="1"/>
  <c r="J395" i="2"/>
  <c r="K395" i="2" s="1"/>
  <c r="J396" i="2"/>
  <c r="K396" i="2" s="1"/>
  <c r="J397" i="2"/>
  <c r="K397" i="2" s="1"/>
  <c r="J398" i="2"/>
  <c r="K398" i="2" s="1"/>
  <c r="J399" i="2"/>
  <c r="K399" i="2" s="1"/>
  <c r="J400" i="2"/>
  <c r="K400" i="2" s="1"/>
  <c r="J401" i="2"/>
  <c r="K401" i="2" s="1"/>
  <c r="J402" i="2"/>
  <c r="K402" i="2" s="1"/>
  <c r="J403" i="2"/>
  <c r="K403" i="2" s="1"/>
  <c r="J404" i="2"/>
  <c r="K404" i="2" s="1"/>
  <c r="J405" i="2"/>
  <c r="K405" i="2" s="1"/>
  <c r="J406" i="2"/>
  <c r="K406" i="2" s="1"/>
  <c r="J407" i="2"/>
  <c r="K407" i="2" s="1"/>
  <c r="J408" i="2"/>
  <c r="K408" i="2" s="1"/>
  <c r="J409" i="2"/>
  <c r="K409" i="2" s="1"/>
  <c r="J410" i="2"/>
  <c r="K410" i="2" s="1"/>
  <c r="J411" i="2"/>
  <c r="K411" i="2" s="1"/>
  <c r="J412" i="2"/>
  <c r="K412" i="2" s="1"/>
  <c r="J413" i="2"/>
  <c r="K413" i="2" s="1"/>
  <c r="J414" i="2"/>
  <c r="K414" i="2" s="1"/>
  <c r="J415" i="2"/>
  <c r="K415" i="2" s="1"/>
  <c r="J416" i="2"/>
  <c r="K416" i="2" s="1"/>
  <c r="J417" i="2"/>
  <c r="K417" i="2" s="1"/>
  <c r="J418" i="2"/>
  <c r="K418" i="2" s="1"/>
  <c r="J419" i="2"/>
  <c r="K419" i="2" s="1"/>
  <c r="J420" i="2"/>
  <c r="K420" i="2" s="1"/>
  <c r="J421" i="2"/>
  <c r="K421" i="2" s="1"/>
  <c r="J422" i="2"/>
  <c r="K422" i="2" s="1"/>
  <c r="J423" i="2"/>
  <c r="K423" i="2" s="1"/>
  <c r="J424" i="2"/>
  <c r="K424" i="2" s="1"/>
  <c r="J425" i="2"/>
  <c r="K425" i="2" s="1"/>
  <c r="J426" i="2"/>
  <c r="K426" i="2" s="1"/>
  <c r="J427" i="2"/>
  <c r="K427" i="2" s="1"/>
  <c r="J428" i="2"/>
  <c r="K428" i="2" s="1"/>
  <c r="J429" i="2"/>
  <c r="K429" i="2" s="1"/>
  <c r="J430" i="2"/>
  <c r="K430" i="2" s="1"/>
  <c r="J431" i="2"/>
  <c r="K431" i="2" s="1"/>
  <c r="J432" i="2"/>
  <c r="K432" i="2" s="1"/>
  <c r="J433" i="2"/>
  <c r="K433" i="2" s="1"/>
  <c r="J434" i="2"/>
  <c r="K434" i="2" s="1"/>
  <c r="J435" i="2"/>
  <c r="K435" i="2" s="1"/>
  <c r="J436" i="2"/>
  <c r="K436" i="2" s="1"/>
  <c r="J437" i="2"/>
  <c r="K437" i="2" s="1"/>
  <c r="J438" i="2"/>
  <c r="K438" i="2" s="1"/>
  <c r="J439" i="2"/>
  <c r="K439" i="2" s="1"/>
  <c r="J440" i="2"/>
  <c r="K440" i="2" s="1"/>
  <c r="J441" i="2"/>
  <c r="K441" i="2" s="1"/>
  <c r="J442" i="2"/>
  <c r="K442" i="2" s="1"/>
  <c r="J443" i="2"/>
  <c r="K443" i="2" s="1"/>
  <c r="J444" i="2"/>
  <c r="K444" i="2" s="1"/>
  <c r="J445" i="2"/>
  <c r="K445" i="2" s="1"/>
  <c r="J446" i="2"/>
  <c r="K446" i="2" s="1"/>
  <c r="J447" i="2"/>
  <c r="K447" i="2" s="1"/>
  <c r="J448" i="2"/>
  <c r="K448" i="2" s="1"/>
  <c r="J449" i="2"/>
  <c r="K449" i="2" s="1"/>
  <c r="J450" i="2"/>
  <c r="K450" i="2" s="1"/>
  <c r="J451" i="2"/>
  <c r="K451" i="2" s="1"/>
  <c r="J452" i="2"/>
  <c r="K452" i="2" s="1"/>
  <c r="J453" i="2"/>
  <c r="K453" i="2" s="1"/>
  <c r="J454" i="2"/>
  <c r="K454" i="2" s="1"/>
  <c r="J455" i="2"/>
  <c r="K455" i="2" s="1"/>
  <c r="J456" i="2"/>
  <c r="K456" i="2" s="1"/>
  <c r="J457" i="2"/>
  <c r="K457" i="2" s="1"/>
  <c r="J458" i="2"/>
  <c r="K458" i="2" s="1"/>
  <c r="J459" i="2"/>
  <c r="K459" i="2" s="1"/>
  <c r="J460" i="2"/>
  <c r="K460" i="2" s="1"/>
  <c r="J461" i="2"/>
  <c r="K461" i="2" s="1"/>
  <c r="J462" i="2"/>
  <c r="K462" i="2" s="1"/>
  <c r="J463" i="2"/>
  <c r="K463" i="2" s="1"/>
  <c r="J464" i="2"/>
  <c r="K464" i="2" s="1"/>
  <c r="J465" i="2"/>
  <c r="K465" i="2" s="1"/>
  <c r="J466" i="2"/>
  <c r="K466" i="2" s="1"/>
  <c r="J467" i="2"/>
  <c r="K467" i="2" s="1"/>
  <c r="J468" i="2"/>
  <c r="K468" i="2" s="1"/>
  <c r="J469" i="2"/>
  <c r="K469" i="2" s="1"/>
  <c r="J470" i="2"/>
  <c r="K470" i="2" s="1"/>
  <c r="J471" i="2"/>
  <c r="K471" i="2" s="1"/>
  <c r="J472" i="2"/>
  <c r="K472" i="2" s="1"/>
  <c r="J473" i="2"/>
  <c r="K473" i="2" s="1"/>
  <c r="J474" i="2"/>
  <c r="K474" i="2" s="1"/>
  <c r="J475" i="2"/>
  <c r="K475" i="2" s="1"/>
  <c r="J476" i="2"/>
  <c r="K476" i="2" s="1"/>
  <c r="J477" i="2"/>
  <c r="K477" i="2" s="1"/>
  <c r="J478" i="2"/>
  <c r="K478" i="2" s="1"/>
  <c r="J479" i="2"/>
  <c r="K479" i="2" s="1"/>
  <c r="J480" i="2"/>
  <c r="K480" i="2" s="1"/>
  <c r="J481" i="2"/>
  <c r="K481" i="2" s="1"/>
  <c r="J482" i="2"/>
  <c r="K482" i="2" s="1"/>
  <c r="J483" i="2"/>
  <c r="K483" i="2" s="1"/>
  <c r="J484" i="2"/>
  <c r="K484" i="2" s="1"/>
  <c r="J485" i="2"/>
  <c r="K485" i="2" s="1"/>
  <c r="J486" i="2"/>
  <c r="K486" i="2" s="1"/>
  <c r="J487" i="2"/>
  <c r="K487" i="2" s="1"/>
  <c r="J488" i="2"/>
  <c r="K488" i="2" s="1"/>
  <c r="J489" i="2"/>
  <c r="K489" i="2" s="1"/>
  <c r="J490" i="2"/>
  <c r="K490" i="2" s="1"/>
  <c r="J491" i="2"/>
  <c r="K491" i="2" s="1"/>
  <c r="J492" i="2"/>
  <c r="K492" i="2" s="1"/>
  <c r="J493" i="2"/>
  <c r="K493" i="2" s="1"/>
  <c r="J494" i="2"/>
  <c r="K494" i="2" s="1"/>
  <c r="J495" i="2"/>
  <c r="K495" i="2" s="1"/>
  <c r="J496" i="2"/>
  <c r="K496" i="2" s="1"/>
  <c r="J497" i="2"/>
  <c r="K497" i="2" s="1"/>
  <c r="J498" i="2"/>
  <c r="K498" i="2" s="1"/>
  <c r="J499" i="2"/>
  <c r="K499" i="2" s="1"/>
  <c r="J500" i="2"/>
  <c r="K500" i="2" s="1"/>
  <c r="J501" i="2"/>
  <c r="K501" i="2" s="1"/>
  <c r="J502" i="2"/>
  <c r="K502" i="2" s="1"/>
  <c r="J503" i="2"/>
  <c r="K503" i="2" s="1"/>
  <c r="J504" i="2"/>
  <c r="K504" i="2" s="1"/>
  <c r="J505" i="2"/>
  <c r="K505" i="2" s="1"/>
  <c r="J506" i="2"/>
  <c r="K506" i="2" s="1"/>
  <c r="J507" i="2"/>
  <c r="K507" i="2" s="1"/>
  <c r="J508" i="2"/>
  <c r="K508" i="2" s="1"/>
  <c r="J509" i="2"/>
  <c r="K509" i="2" s="1"/>
  <c r="J510" i="2"/>
  <c r="K510" i="2" s="1"/>
  <c r="J511" i="2"/>
  <c r="K511" i="2" s="1"/>
  <c r="J512" i="2"/>
  <c r="K512" i="2" s="1"/>
  <c r="J513" i="2"/>
  <c r="K513" i="2" s="1"/>
  <c r="J514" i="2"/>
  <c r="K514" i="2" s="1"/>
  <c r="J515" i="2"/>
  <c r="K515" i="2" s="1"/>
  <c r="J516" i="2"/>
  <c r="K516" i="2" s="1"/>
  <c r="J517" i="2"/>
  <c r="K517" i="2" s="1"/>
  <c r="J518" i="2"/>
  <c r="K518" i="2" s="1"/>
  <c r="J519" i="2"/>
  <c r="K519" i="2" s="1"/>
  <c r="J520" i="2"/>
  <c r="K520" i="2" s="1"/>
  <c r="J521" i="2"/>
  <c r="K521" i="2" s="1"/>
  <c r="J522" i="2"/>
  <c r="K522" i="2" s="1"/>
  <c r="J523" i="2"/>
  <c r="K523" i="2" s="1"/>
  <c r="J524" i="2"/>
  <c r="J525" i="2"/>
  <c r="K525" i="2" s="1"/>
  <c r="J526" i="2"/>
  <c r="K526" i="2" s="1"/>
  <c r="J527" i="2"/>
  <c r="K527" i="2" s="1"/>
  <c r="J528" i="2"/>
  <c r="K528" i="2" s="1"/>
  <c r="J529" i="2"/>
  <c r="K529" i="2" s="1"/>
  <c r="J530" i="2"/>
  <c r="K530" i="2" s="1"/>
  <c r="J531" i="2"/>
  <c r="K531" i="2" s="1"/>
  <c r="J532" i="2"/>
  <c r="K532" i="2" s="1"/>
  <c r="J533" i="2"/>
  <c r="K533" i="2" s="1"/>
  <c r="J534" i="2"/>
  <c r="K534" i="2" s="1"/>
  <c r="J535" i="2"/>
  <c r="K535" i="2" s="1"/>
  <c r="J536" i="2"/>
  <c r="K536" i="2" s="1"/>
  <c r="J537" i="2"/>
  <c r="K537" i="2" s="1"/>
  <c r="J538" i="2"/>
  <c r="K538" i="2" s="1"/>
  <c r="J539" i="2"/>
  <c r="K539" i="2" s="1"/>
  <c r="J540" i="2"/>
  <c r="K540" i="2" s="1"/>
  <c r="J541" i="2"/>
  <c r="K541" i="2" s="1"/>
  <c r="J542" i="2"/>
  <c r="K542" i="2" s="1"/>
  <c r="J543" i="2"/>
  <c r="K543" i="2" s="1"/>
  <c r="J544" i="2"/>
  <c r="K544" i="2" s="1"/>
  <c r="J545" i="2"/>
  <c r="K545" i="2" s="1"/>
  <c r="J546" i="2"/>
  <c r="K546" i="2" s="1"/>
  <c r="J547" i="2"/>
  <c r="K547" i="2" s="1"/>
  <c r="J548" i="2"/>
  <c r="K548" i="2" s="1"/>
  <c r="J549" i="2"/>
  <c r="K549" i="2" s="1"/>
  <c r="J550" i="2"/>
  <c r="K550" i="2" s="1"/>
  <c r="J551" i="2"/>
  <c r="K551" i="2" s="1"/>
  <c r="J552" i="2"/>
  <c r="K552" i="2" s="1"/>
  <c r="J553" i="2"/>
  <c r="K553" i="2" s="1"/>
  <c r="J554" i="2"/>
  <c r="K554" i="2" s="1"/>
  <c r="J555" i="2"/>
  <c r="K555" i="2" s="1"/>
  <c r="J556" i="2"/>
  <c r="K556" i="2" s="1"/>
  <c r="J557" i="2"/>
  <c r="K557" i="2" s="1"/>
  <c r="J558" i="2"/>
  <c r="K558" i="2" s="1"/>
  <c r="J559" i="2"/>
  <c r="K559" i="2" s="1"/>
  <c r="J560" i="2"/>
  <c r="K560" i="2" s="1"/>
  <c r="J561" i="2"/>
  <c r="K561" i="2" s="1"/>
  <c r="J562" i="2"/>
  <c r="K562" i="2" s="1"/>
  <c r="J563" i="2"/>
  <c r="K563" i="2" s="1"/>
  <c r="J564" i="2"/>
  <c r="K564" i="2" s="1"/>
  <c r="J565" i="2"/>
  <c r="K565" i="2" s="1"/>
  <c r="J566" i="2"/>
  <c r="K566" i="2" s="1"/>
  <c r="J567" i="2"/>
  <c r="K567" i="2" s="1"/>
  <c r="J568" i="2"/>
  <c r="K568" i="2" s="1"/>
  <c r="J569" i="2"/>
  <c r="K569" i="2" s="1"/>
  <c r="J570" i="2"/>
  <c r="K570" i="2" s="1"/>
  <c r="J571" i="2"/>
  <c r="K571" i="2" s="1"/>
  <c r="J572" i="2"/>
  <c r="K572" i="2" s="1"/>
  <c r="J573" i="2"/>
  <c r="K573" i="2" s="1"/>
  <c r="J574" i="2"/>
  <c r="K574" i="2" s="1"/>
  <c r="J575" i="2"/>
  <c r="K575" i="2" s="1"/>
  <c r="J576" i="2"/>
  <c r="K576" i="2" s="1"/>
  <c r="J577" i="2"/>
  <c r="K577" i="2" s="1"/>
  <c r="J578" i="2"/>
  <c r="K578" i="2" s="1"/>
  <c r="J579" i="2"/>
  <c r="K579" i="2" s="1"/>
  <c r="J580" i="2"/>
  <c r="K580" i="2" s="1"/>
  <c r="J581" i="2"/>
  <c r="K581" i="2" s="1"/>
  <c r="J582" i="2"/>
  <c r="K582" i="2" s="1"/>
  <c r="J583" i="2"/>
  <c r="K583" i="2" s="1"/>
  <c r="J584" i="2"/>
  <c r="K584" i="2" s="1"/>
  <c r="J585" i="2"/>
  <c r="K585" i="2" s="1"/>
  <c r="J586" i="2"/>
  <c r="K586" i="2" s="1"/>
  <c r="J587" i="2"/>
  <c r="K587" i="2" s="1"/>
  <c r="J588" i="2"/>
  <c r="K588" i="2" s="1"/>
  <c r="J589" i="2"/>
  <c r="K589" i="2" s="1"/>
  <c r="J590" i="2"/>
  <c r="K590" i="2" s="1"/>
  <c r="J591" i="2"/>
  <c r="K591" i="2" s="1"/>
  <c r="J592" i="2"/>
  <c r="K592" i="2" s="1"/>
  <c r="J593" i="2"/>
  <c r="K593" i="2" s="1"/>
  <c r="J594" i="2"/>
  <c r="K594" i="2" s="1"/>
  <c r="J595" i="2"/>
  <c r="K595" i="2" s="1"/>
  <c r="J596" i="2"/>
  <c r="K596" i="2" s="1"/>
  <c r="J597" i="2"/>
  <c r="K597" i="2" s="1"/>
  <c r="J598" i="2"/>
  <c r="K598" i="2" s="1"/>
  <c r="J599" i="2"/>
  <c r="K599" i="2" s="1"/>
  <c r="J600" i="2"/>
  <c r="K600" i="2" s="1"/>
  <c r="J601" i="2"/>
  <c r="K601" i="2" s="1"/>
  <c r="J602" i="2"/>
  <c r="K602" i="2" s="1"/>
  <c r="J603" i="2"/>
  <c r="K603" i="2" s="1"/>
  <c r="J604" i="2"/>
  <c r="K604" i="2" s="1"/>
  <c r="J605" i="2"/>
  <c r="K605" i="2" s="1"/>
  <c r="J606" i="2"/>
  <c r="K606" i="2" s="1"/>
  <c r="J607" i="2"/>
  <c r="K607" i="2" s="1"/>
  <c r="J608" i="2"/>
  <c r="K608" i="2" s="1"/>
  <c r="J609" i="2"/>
  <c r="K609" i="2" s="1"/>
  <c r="J610" i="2"/>
  <c r="K610" i="2" s="1"/>
  <c r="J611" i="2"/>
  <c r="K611" i="2" s="1"/>
  <c r="J612" i="2"/>
  <c r="K612" i="2" s="1"/>
  <c r="J613" i="2"/>
  <c r="K613" i="2" s="1"/>
  <c r="J614" i="2"/>
  <c r="K614" i="2" s="1"/>
  <c r="J615" i="2"/>
  <c r="K615" i="2" s="1"/>
  <c r="J616" i="2"/>
  <c r="K616" i="2" s="1"/>
  <c r="J617" i="2"/>
  <c r="K617" i="2" s="1"/>
  <c r="J618" i="2"/>
  <c r="K618" i="2" s="1"/>
  <c r="J619" i="2"/>
  <c r="K619" i="2" s="1"/>
  <c r="J620" i="2"/>
  <c r="K620" i="2" s="1"/>
  <c r="J621" i="2"/>
  <c r="K621" i="2" s="1"/>
  <c r="J622" i="2"/>
  <c r="K622" i="2" s="1"/>
  <c r="J623" i="2"/>
  <c r="K623" i="2" s="1"/>
  <c r="J624" i="2"/>
  <c r="K624" i="2" s="1"/>
  <c r="J625" i="2"/>
  <c r="K625" i="2" s="1"/>
  <c r="J626" i="2"/>
  <c r="K626" i="2" s="1"/>
  <c r="J627" i="2"/>
  <c r="K627" i="2" s="1"/>
  <c r="J628" i="2"/>
  <c r="K628" i="2" s="1"/>
  <c r="J629" i="2"/>
  <c r="K629" i="2" s="1"/>
  <c r="J630" i="2"/>
  <c r="K630" i="2" s="1"/>
  <c r="J631" i="2"/>
  <c r="K631" i="2" s="1"/>
  <c r="J632" i="2"/>
  <c r="K632" i="2" s="1"/>
  <c r="J633" i="2"/>
  <c r="K633" i="2" s="1"/>
  <c r="J634" i="2"/>
  <c r="K634" i="2" s="1"/>
  <c r="J635" i="2"/>
  <c r="K635" i="2" s="1"/>
  <c r="J636" i="2"/>
  <c r="K636" i="2" s="1"/>
  <c r="J637" i="2"/>
  <c r="K637" i="2" s="1"/>
  <c r="J638" i="2"/>
  <c r="K638" i="2" s="1"/>
  <c r="J639" i="2"/>
  <c r="K639" i="2" s="1"/>
  <c r="J640" i="2"/>
  <c r="K640" i="2" s="1"/>
  <c r="J641" i="2"/>
  <c r="K641" i="2" s="1"/>
  <c r="J642" i="2"/>
  <c r="K642" i="2" s="1"/>
  <c r="J643" i="2"/>
  <c r="K643" i="2" s="1"/>
  <c r="J644" i="2"/>
  <c r="K644" i="2" s="1"/>
  <c r="J645" i="2"/>
  <c r="K645" i="2" s="1"/>
  <c r="J646" i="2"/>
  <c r="K646" i="2" s="1"/>
  <c r="J647" i="2"/>
  <c r="K647" i="2" s="1"/>
  <c r="J648" i="2"/>
  <c r="K648" i="2" s="1"/>
  <c r="J649" i="2"/>
  <c r="K649" i="2" s="1"/>
  <c r="J650" i="2"/>
  <c r="K650" i="2" s="1"/>
  <c r="J651" i="2"/>
  <c r="K651" i="2" s="1"/>
  <c r="J652" i="2"/>
  <c r="K652" i="2" s="1"/>
  <c r="J653" i="2"/>
  <c r="K653" i="2" s="1"/>
  <c r="J654" i="2"/>
  <c r="K654" i="2" s="1"/>
  <c r="J655" i="2"/>
  <c r="K655" i="2" s="1"/>
  <c r="J656" i="2"/>
  <c r="K656" i="2" s="1"/>
  <c r="J657" i="2"/>
  <c r="K657" i="2" s="1"/>
  <c r="J658" i="2"/>
  <c r="K658" i="2" s="1"/>
  <c r="J659" i="2"/>
  <c r="K659" i="2" s="1"/>
  <c r="J660" i="2"/>
  <c r="K660" i="2" s="1"/>
  <c r="J661" i="2"/>
  <c r="K661" i="2" s="1"/>
  <c r="J662" i="2"/>
  <c r="K662" i="2" s="1"/>
  <c r="J663" i="2"/>
  <c r="K663" i="2" s="1"/>
  <c r="J664" i="2"/>
  <c r="K664" i="2" s="1"/>
  <c r="J665" i="2"/>
  <c r="K665" i="2" s="1"/>
  <c r="J666" i="2"/>
  <c r="K666" i="2" s="1"/>
  <c r="J667" i="2"/>
  <c r="K667" i="2" s="1"/>
  <c r="J668" i="2"/>
  <c r="K668" i="2" s="1"/>
  <c r="J669" i="2"/>
  <c r="K669" i="2" s="1"/>
  <c r="J670" i="2"/>
  <c r="K670" i="2" s="1"/>
  <c r="J671" i="2"/>
  <c r="K671" i="2" s="1"/>
  <c r="J672" i="2"/>
  <c r="K672" i="2" s="1"/>
  <c r="J673" i="2"/>
  <c r="K673" i="2" s="1"/>
  <c r="J674" i="2"/>
  <c r="K674" i="2" s="1"/>
  <c r="J675" i="2"/>
  <c r="K675" i="2" s="1"/>
  <c r="J676" i="2"/>
  <c r="K676" i="2" s="1"/>
  <c r="J677" i="2"/>
  <c r="K677" i="2" s="1"/>
  <c r="J678" i="2"/>
  <c r="K678" i="2" s="1"/>
  <c r="J679" i="2"/>
  <c r="K679" i="2" s="1"/>
  <c r="J680" i="2"/>
  <c r="K680" i="2" s="1"/>
  <c r="J681" i="2"/>
  <c r="K681" i="2" s="1"/>
  <c r="J682" i="2"/>
  <c r="K682" i="2" s="1"/>
  <c r="J683" i="2"/>
  <c r="K683" i="2" s="1"/>
  <c r="J684" i="2"/>
  <c r="K684" i="2" s="1"/>
  <c r="J685" i="2"/>
  <c r="K685" i="2" s="1"/>
  <c r="J686" i="2"/>
  <c r="K686" i="2" s="1"/>
  <c r="J687" i="2"/>
  <c r="K687" i="2" s="1"/>
  <c r="J688" i="2"/>
  <c r="K688" i="2" s="1"/>
  <c r="J689" i="2"/>
  <c r="K689" i="2" s="1"/>
  <c r="J690" i="2"/>
  <c r="K690" i="2" s="1"/>
  <c r="J691" i="2"/>
  <c r="K691" i="2" s="1"/>
  <c r="J692" i="2"/>
  <c r="K692" i="2" s="1"/>
  <c r="J693" i="2"/>
  <c r="K693" i="2" s="1"/>
  <c r="J694" i="2"/>
  <c r="K694" i="2" s="1"/>
  <c r="J695" i="2"/>
  <c r="K695" i="2" s="1"/>
  <c r="J696" i="2"/>
  <c r="K696" i="2" s="1"/>
  <c r="J697" i="2"/>
  <c r="K697" i="2" s="1"/>
  <c r="J698" i="2"/>
  <c r="K698" i="2" s="1"/>
  <c r="J699" i="2"/>
  <c r="K699" i="2" s="1"/>
  <c r="J700" i="2"/>
  <c r="K700" i="2" s="1"/>
  <c r="J701" i="2"/>
  <c r="K701" i="2" s="1"/>
  <c r="J702" i="2"/>
  <c r="K702" i="2" s="1"/>
  <c r="J703" i="2"/>
  <c r="K703" i="2" s="1"/>
  <c r="J704" i="2"/>
  <c r="K704" i="2" s="1"/>
  <c r="J705" i="2"/>
  <c r="K705" i="2" s="1"/>
  <c r="J706" i="2"/>
  <c r="K706" i="2" s="1"/>
  <c r="J707" i="2"/>
  <c r="K707" i="2" s="1"/>
  <c r="J708" i="2"/>
  <c r="K708" i="2" s="1"/>
  <c r="J709" i="2"/>
  <c r="K709" i="2" s="1"/>
  <c r="J710" i="2"/>
  <c r="K710" i="2" s="1"/>
  <c r="J711" i="2"/>
  <c r="K711" i="2" s="1"/>
  <c r="J712" i="2"/>
  <c r="K712" i="2" s="1"/>
  <c r="J713" i="2"/>
  <c r="K713" i="2" s="1"/>
  <c r="J714" i="2"/>
  <c r="K714" i="2" s="1"/>
  <c r="J715" i="2"/>
  <c r="K715" i="2" s="1"/>
  <c r="J716" i="2"/>
  <c r="K716" i="2" s="1"/>
  <c r="J717" i="2"/>
  <c r="K717" i="2" s="1"/>
  <c r="J718" i="2"/>
  <c r="K718" i="2" s="1"/>
  <c r="J719" i="2"/>
  <c r="K719" i="2" s="1"/>
  <c r="J720" i="2"/>
  <c r="K720" i="2" s="1"/>
  <c r="J721" i="2"/>
  <c r="K721" i="2" s="1"/>
  <c r="J722" i="2"/>
  <c r="K722" i="2" s="1"/>
  <c r="J723" i="2"/>
  <c r="K723" i="2" s="1"/>
  <c r="J724" i="2"/>
  <c r="K724" i="2" s="1"/>
  <c r="J725" i="2"/>
  <c r="K725" i="2" s="1"/>
  <c r="J726" i="2"/>
  <c r="K726" i="2" s="1"/>
  <c r="J727" i="2"/>
  <c r="K727" i="2" s="1"/>
  <c r="J728" i="2"/>
  <c r="K728" i="2" s="1"/>
  <c r="J729" i="2"/>
  <c r="K729" i="2" s="1"/>
  <c r="J730" i="2"/>
  <c r="K730" i="2" s="1"/>
  <c r="J731" i="2"/>
  <c r="K731" i="2" s="1"/>
  <c r="J732" i="2"/>
  <c r="K732" i="2" s="1"/>
  <c r="J733" i="2"/>
  <c r="K733" i="2" s="1"/>
  <c r="J734" i="2"/>
  <c r="K734" i="2" s="1"/>
  <c r="J735" i="2"/>
  <c r="K735" i="2" s="1"/>
  <c r="J736" i="2"/>
  <c r="K736" i="2" s="1"/>
  <c r="J737" i="2"/>
  <c r="K737" i="2" s="1"/>
  <c r="J738" i="2"/>
  <c r="K738" i="2" s="1"/>
  <c r="J739" i="2"/>
  <c r="K739" i="2" s="1"/>
  <c r="J740" i="2"/>
  <c r="K740" i="2" s="1"/>
  <c r="J741" i="2"/>
  <c r="K741" i="2" s="1"/>
  <c r="J742" i="2"/>
  <c r="K742" i="2" s="1"/>
  <c r="J743" i="2"/>
  <c r="K743" i="2" s="1"/>
  <c r="J744" i="2"/>
  <c r="K744" i="2" s="1"/>
  <c r="J745" i="2"/>
  <c r="K745" i="2" s="1"/>
  <c r="J746" i="2"/>
  <c r="K746" i="2" s="1"/>
  <c r="J747" i="2"/>
  <c r="K747" i="2" s="1"/>
  <c r="J748" i="2"/>
  <c r="K748" i="2" s="1"/>
  <c r="J749" i="2"/>
  <c r="K749" i="2" s="1"/>
  <c r="J750" i="2"/>
  <c r="K750" i="2" s="1"/>
  <c r="J751" i="2"/>
  <c r="K751" i="2" s="1"/>
  <c r="J752" i="2"/>
  <c r="K752" i="2" s="1"/>
  <c r="J753" i="2"/>
  <c r="K753" i="2" s="1"/>
  <c r="J754" i="2"/>
  <c r="K754" i="2" s="1"/>
  <c r="J755" i="2"/>
  <c r="K755" i="2" s="1"/>
  <c r="J756" i="2"/>
  <c r="K756" i="2" s="1"/>
  <c r="J757" i="2"/>
  <c r="K757" i="2" s="1"/>
  <c r="J758" i="2"/>
  <c r="K758" i="2" s="1"/>
  <c r="J759" i="2"/>
  <c r="K759" i="2" s="1"/>
  <c r="J760" i="2"/>
  <c r="K760" i="2" s="1"/>
  <c r="J761" i="2"/>
  <c r="K761" i="2" s="1"/>
  <c r="J762" i="2"/>
  <c r="K762" i="2" s="1"/>
  <c r="J763" i="2"/>
  <c r="K763" i="2" s="1"/>
  <c r="J764" i="2"/>
  <c r="K764" i="2" s="1"/>
  <c r="J765" i="2"/>
  <c r="K765" i="2" s="1"/>
  <c r="J766" i="2"/>
  <c r="K766" i="2" s="1"/>
  <c r="J767" i="2"/>
  <c r="K767" i="2" s="1"/>
  <c r="J768" i="2"/>
  <c r="K768" i="2" s="1"/>
  <c r="J769" i="2"/>
  <c r="K769" i="2" s="1"/>
  <c r="J770" i="2"/>
  <c r="K770" i="2" s="1"/>
  <c r="J771" i="2"/>
  <c r="K771" i="2" s="1"/>
  <c r="J772" i="2"/>
  <c r="K772" i="2" s="1"/>
  <c r="J773" i="2"/>
  <c r="K773" i="2" s="1"/>
  <c r="J774" i="2"/>
  <c r="K774" i="2" s="1"/>
  <c r="J775" i="2"/>
  <c r="K775" i="2" s="1"/>
  <c r="J776" i="2"/>
  <c r="K776" i="2" s="1"/>
  <c r="J777" i="2"/>
  <c r="K777" i="2" s="1"/>
  <c r="J778" i="2"/>
  <c r="K778" i="2" s="1"/>
  <c r="J779" i="2"/>
  <c r="K779" i="2" s="1"/>
  <c r="J780" i="2"/>
  <c r="K780" i="2" s="1"/>
  <c r="J781" i="2"/>
  <c r="K781" i="2" s="1"/>
  <c r="J782" i="2"/>
  <c r="K782" i="2" s="1"/>
  <c r="J783" i="2"/>
  <c r="K783" i="2" s="1"/>
  <c r="J784" i="2"/>
  <c r="K784" i="2" s="1"/>
  <c r="J785" i="2"/>
  <c r="K785" i="2" s="1"/>
  <c r="J786" i="2"/>
  <c r="K786" i="2" s="1"/>
  <c r="J787" i="2"/>
  <c r="K787" i="2" s="1"/>
  <c r="J788" i="2"/>
  <c r="K788" i="2" s="1"/>
  <c r="J789" i="2"/>
  <c r="K789" i="2" s="1"/>
  <c r="J790" i="2"/>
  <c r="K790" i="2" s="1"/>
  <c r="J791" i="2"/>
  <c r="K791" i="2" s="1"/>
  <c r="J792" i="2"/>
  <c r="K792" i="2" s="1"/>
  <c r="J793" i="2"/>
  <c r="K793" i="2" s="1"/>
  <c r="J794" i="2"/>
  <c r="K794" i="2" s="1"/>
  <c r="J795" i="2"/>
  <c r="K795" i="2" s="1"/>
  <c r="J796" i="2"/>
  <c r="K796" i="2" s="1"/>
  <c r="J797" i="2"/>
  <c r="K797" i="2" s="1"/>
  <c r="J798" i="2"/>
  <c r="K798" i="2" s="1"/>
  <c r="J799" i="2"/>
  <c r="K799" i="2" s="1"/>
  <c r="J800" i="2"/>
  <c r="K800" i="2" s="1"/>
  <c r="J801" i="2"/>
  <c r="K801" i="2" s="1"/>
  <c r="J802" i="2"/>
  <c r="K802" i="2" s="1"/>
  <c r="J803" i="2"/>
  <c r="K803" i="2" s="1"/>
  <c r="J804" i="2"/>
  <c r="K804" i="2" s="1"/>
  <c r="J805" i="2"/>
  <c r="K805" i="2" s="1"/>
  <c r="J806" i="2"/>
  <c r="K806" i="2" s="1"/>
  <c r="J807" i="2"/>
  <c r="K807" i="2" s="1"/>
  <c r="J808" i="2"/>
  <c r="K808" i="2" s="1"/>
  <c r="J809" i="2"/>
  <c r="K809" i="2" s="1"/>
  <c r="J810" i="2"/>
  <c r="K810" i="2" s="1"/>
  <c r="J811" i="2"/>
  <c r="K811" i="2" s="1"/>
  <c r="J812" i="2"/>
  <c r="K812" i="2" s="1"/>
  <c r="J813" i="2"/>
  <c r="K813" i="2" s="1"/>
  <c r="J814" i="2"/>
  <c r="K814" i="2" s="1"/>
  <c r="J815" i="2"/>
  <c r="K815" i="2" s="1"/>
  <c r="J816" i="2"/>
  <c r="K816" i="2" s="1"/>
  <c r="J817" i="2"/>
  <c r="K817" i="2" s="1"/>
  <c r="J818" i="2"/>
  <c r="K818" i="2" s="1"/>
  <c r="J819" i="2"/>
  <c r="K819" i="2" s="1"/>
  <c r="J820" i="2"/>
  <c r="K820" i="2" s="1"/>
  <c r="J821" i="2"/>
  <c r="K821" i="2" s="1"/>
  <c r="J822" i="2"/>
  <c r="K822" i="2" s="1"/>
  <c r="J823" i="2"/>
  <c r="K823" i="2" s="1"/>
  <c r="J824" i="2"/>
  <c r="K824" i="2" s="1"/>
  <c r="J825" i="2"/>
  <c r="K825" i="2" s="1"/>
  <c r="J826" i="2"/>
  <c r="K826" i="2" s="1"/>
  <c r="J827" i="2"/>
  <c r="K827" i="2" s="1"/>
  <c r="J828" i="2"/>
  <c r="K828" i="2" s="1"/>
  <c r="J829" i="2"/>
  <c r="K829" i="2" s="1"/>
  <c r="J830" i="2"/>
  <c r="K830" i="2" s="1"/>
  <c r="J831" i="2"/>
  <c r="K831" i="2" s="1"/>
  <c r="J832" i="2"/>
  <c r="K832" i="2" s="1"/>
  <c r="J833" i="2"/>
  <c r="K833" i="2" s="1"/>
  <c r="J834" i="2"/>
  <c r="K834" i="2" s="1"/>
  <c r="J835" i="2"/>
  <c r="K835" i="2" s="1"/>
  <c r="J836" i="2"/>
  <c r="K836" i="2" s="1"/>
  <c r="J837" i="2"/>
  <c r="K837" i="2" s="1"/>
  <c r="J838" i="2"/>
  <c r="K838" i="2" s="1"/>
  <c r="J839" i="2"/>
  <c r="K839" i="2" s="1"/>
  <c r="J840" i="2"/>
  <c r="K840" i="2" s="1"/>
  <c r="J841" i="2"/>
  <c r="K841" i="2" s="1"/>
  <c r="J842" i="2"/>
  <c r="K842" i="2" s="1"/>
  <c r="J843" i="2"/>
  <c r="K843" i="2" s="1"/>
  <c r="J844" i="2"/>
  <c r="K844" i="2" s="1"/>
  <c r="J845" i="2"/>
  <c r="K845" i="2" s="1"/>
  <c r="J846" i="2"/>
  <c r="K846" i="2" s="1"/>
  <c r="J847" i="2"/>
  <c r="K847" i="2" s="1"/>
  <c r="J848" i="2"/>
  <c r="K848" i="2" s="1"/>
  <c r="J849" i="2"/>
  <c r="K849" i="2" s="1"/>
  <c r="J850" i="2"/>
  <c r="K850" i="2" s="1"/>
  <c r="J851" i="2"/>
  <c r="K851" i="2" s="1"/>
  <c r="J852" i="2"/>
  <c r="K852" i="2" s="1"/>
  <c r="J853" i="2"/>
  <c r="K853" i="2" s="1"/>
  <c r="J854" i="2"/>
  <c r="K854" i="2" s="1"/>
  <c r="J855" i="2"/>
  <c r="K855" i="2" s="1"/>
  <c r="J856" i="2"/>
  <c r="K856" i="2" s="1"/>
  <c r="J857" i="2"/>
  <c r="K857" i="2" s="1"/>
  <c r="J858" i="2"/>
  <c r="K858" i="2" s="1"/>
  <c r="J859" i="2"/>
  <c r="K859" i="2" s="1"/>
  <c r="J860" i="2"/>
  <c r="K860" i="2" s="1"/>
  <c r="J861" i="2"/>
  <c r="K861" i="2" s="1"/>
  <c r="J862" i="2"/>
  <c r="K862" i="2" s="1"/>
  <c r="J863" i="2"/>
  <c r="K863" i="2" s="1"/>
  <c r="J864" i="2"/>
  <c r="K864" i="2" s="1"/>
  <c r="J865" i="2"/>
  <c r="K865" i="2" s="1"/>
  <c r="J866" i="2"/>
  <c r="K866" i="2" s="1"/>
  <c r="J867" i="2"/>
  <c r="K867" i="2" s="1"/>
  <c r="J868" i="2"/>
  <c r="K868" i="2" s="1"/>
  <c r="J869" i="2"/>
  <c r="K869" i="2" s="1"/>
  <c r="J870" i="2"/>
  <c r="K870" i="2" s="1"/>
  <c r="J871" i="2"/>
  <c r="K871" i="2" s="1"/>
  <c r="J872" i="2"/>
  <c r="K872" i="2" s="1"/>
  <c r="J873" i="2"/>
  <c r="K873" i="2" s="1"/>
  <c r="J874" i="2"/>
  <c r="K874" i="2" s="1"/>
  <c r="J875" i="2"/>
  <c r="K875" i="2" s="1"/>
  <c r="J876" i="2"/>
  <c r="K876" i="2" s="1"/>
  <c r="J877" i="2"/>
  <c r="K877" i="2" s="1"/>
  <c r="J878" i="2"/>
  <c r="K878" i="2" s="1"/>
  <c r="J879" i="2"/>
  <c r="K879" i="2" s="1"/>
  <c r="J880" i="2"/>
  <c r="K880" i="2" s="1"/>
  <c r="J881" i="2"/>
  <c r="K881" i="2" s="1"/>
  <c r="J882" i="2"/>
  <c r="K882" i="2" s="1"/>
  <c r="J883" i="2"/>
  <c r="K883" i="2" s="1"/>
  <c r="J884" i="2"/>
  <c r="K884" i="2" s="1"/>
  <c r="J885" i="2"/>
  <c r="K885" i="2" s="1"/>
  <c r="J886" i="2"/>
  <c r="K886" i="2" s="1"/>
  <c r="J887" i="2"/>
  <c r="K887" i="2" s="1"/>
  <c r="J888" i="2"/>
  <c r="K888" i="2" s="1"/>
  <c r="J889" i="2"/>
  <c r="K889" i="2" s="1"/>
  <c r="J890" i="2"/>
  <c r="K890" i="2" s="1"/>
  <c r="J891" i="2"/>
  <c r="K891" i="2" s="1"/>
  <c r="J892" i="2"/>
  <c r="K892" i="2" s="1"/>
  <c r="J893" i="2"/>
  <c r="K893" i="2" s="1"/>
  <c r="J894" i="2"/>
  <c r="K894" i="2" s="1"/>
  <c r="J895" i="2"/>
  <c r="K895" i="2" s="1"/>
  <c r="J896" i="2"/>
  <c r="K896" i="2" s="1"/>
  <c r="J897" i="2"/>
  <c r="K897" i="2" s="1"/>
  <c r="J898" i="2"/>
  <c r="K898" i="2" s="1"/>
  <c r="J899" i="2"/>
  <c r="K899" i="2" s="1"/>
  <c r="J900" i="2"/>
  <c r="K900" i="2" s="1"/>
  <c r="J901" i="2"/>
  <c r="K901" i="2" s="1"/>
  <c r="J902" i="2"/>
  <c r="K902" i="2" s="1"/>
  <c r="J903" i="2"/>
  <c r="K903" i="2" s="1"/>
  <c r="J904" i="2"/>
  <c r="K904" i="2" s="1"/>
  <c r="J905" i="2"/>
  <c r="K905" i="2" s="1"/>
  <c r="J906" i="2"/>
  <c r="K906" i="2" s="1"/>
  <c r="Q2" i="2" a="1"/>
  <c r="Q2" i="2" s="1"/>
  <c r="R2" i="2" s="1" a="1"/>
  <c r="R2" i="2" s="1"/>
  <c r="Q3" i="2" a="1"/>
  <c r="Q3" i="2" s="1"/>
  <c r="R3" i="2" s="1" a="1"/>
  <c r="R3" i="2" s="1"/>
  <c r="Q4" i="2" a="1"/>
  <c r="Q4" i="2" s="1"/>
  <c r="R4" i="2" s="1" a="1"/>
  <c r="R4" i="2" s="1"/>
  <c r="Q5" i="2" a="1"/>
  <c r="Q5" i="2" s="1"/>
  <c r="R5" i="2" s="1" a="1"/>
  <c r="R5" i="2" s="1"/>
  <c r="Q6" i="2" a="1"/>
  <c r="Q6" i="2" s="1"/>
  <c r="R6" i="2" s="1" a="1"/>
  <c r="R6" i="2" s="1"/>
  <c r="Q7" i="2" a="1"/>
  <c r="Q7" i="2" s="1"/>
  <c r="R7" i="2" s="1" a="1"/>
  <c r="R7" i="2" s="1"/>
  <c r="Q8" i="2" a="1"/>
  <c r="Q8" i="2" s="1"/>
  <c r="R8" i="2" s="1" a="1"/>
  <c r="R8" i="2" s="1"/>
  <c r="Q9" i="2" a="1"/>
  <c r="Q9" i="2" s="1"/>
  <c r="R9" i="2" s="1" a="1"/>
  <c r="R9" i="2" s="1"/>
  <c r="Q10" i="2" a="1"/>
  <c r="Q10" i="2" s="1"/>
  <c r="R10" i="2" s="1" a="1"/>
  <c r="R10" i="2" s="1"/>
  <c r="Q11" i="2" a="1"/>
  <c r="Q11" i="2" s="1"/>
  <c r="R11" i="2" s="1" a="1"/>
  <c r="R11" i="2" s="1"/>
  <c r="Q12" i="2" a="1"/>
  <c r="Q12" i="2" s="1"/>
  <c r="R12" i="2" s="1" a="1"/>
  <c r="R12" i="2" s="1"/>
  <c r="Q13" i="2" a="1"/>
  <c r="Q13" i="2" s="1"/>
  <c r="R13" i="2" s="1" a="1"/>
  <c r="R13" i="2" s="1"/>
  <c r="Q14" i="2" a="1"/>
  <c r="Q14" i="2" s="1"/>
  <c r="R14" i="2" s="1" a="1"/>
  <c r="R14" i="2" s="1"/>
  <c r="Q15" i="2" a="1"/>
  <c r="Q15" i="2" s="1"/>
  <c r="R15" i="2" s="1" a="1"/>
  <c r="R15" i="2" s="1"/>
  <c r="Q16" i="2" a="1"/>
  <c r="Q16" i="2" s="1"/>
  <c r="R16" i="2" s="1" a="1"/>
  <c r="R16" i="2" s="1"/>
  <c r="Q17" i="2" a="1"/>
  <c r="Q17" i="2" s="1"/>
  <c r="R17" i="2" s="1" a="1"/>
  <c r="R17" i="2" s="1"/>
  <c r="Q18" i="2" a="1"/>
  <c r="Q18" i="2" s="1"/>
  <c r="R18" i="2" s="1" a="1"/>
  <c r="R18" i="2" s="1"/>
  <c r="Q19" i="2" a="1"/>
  <c r="Q19" i="2" s="1"/>
  <c r="R19" i="2" s="1" a="1"/>
  <c r="R19" i="2" s="1"/>
  <c r="Q20" i="2" a="1"/>
  <c r="Q20" i="2" s="1"/>
  <c r="R20" i="2" s="1" a="1"/>
  <c r="R20" i="2" s="1"/>
  <c r="Q21" i="2" a="1"/>
  <c r="Q21" i="2" s="1"/>
  <c r="R21" i="2" s="1" a="1"/>
  <c r="R21" i="2" s="1"/>
  <c r="Q22" i="2" a="1"/>
  <c r="Q22" i="2" s="1"/>
  <c r="R22" i="2" s="1" a="1"/>
  <c r="R22" i="2" s="1"/>
  <c r="Q23" i="2" a="1"/>
  <c r="Q23" i="2" s="1"/>
  <c r="R23" i="2" s="1" a="1"/>
  <c r="R23" i="2" s="1"/>
  <c r="Q24" i="2" a="1"/>
  <c r="Q24" i="2" s="1"/>
  <c r="R24" i="2" s="1" a="1"/>
  <c r="R24" i="2" s="1"/>
  <c r="Q25" i="2" a="1"/>
  <c r="Q25" i="2" s="1"/>
  <c r="R25" i="2" s="1" a="1"/>
  <c r="R25" i="2" s="1"/>
  <c r="Q26" i="2" a="1"/>
  <c r="Q26" i="2" s="1"/>
  <c r="R26" i="2" s="1" a="1"/>
  <c r="R26" i="2" s="1"/>
  <c r="Q27" i="2" a="1"/>
  <c r="Q27" i="2" s="1"/>
  <c r="R27" i="2" s="1" a="1"/>
  <c r="R27" i="2" s="1"/>
  <c r="Q28" i="2" a="1"/>
  <c r="Q28" i="2" s="1"/>
  <c r="R28" i="2" s="1" a="1"/>
  <c r="R28" i="2" s="1"/>
  <c r="Q29" i="2" a="1"/>
  <c r="Q29" i="2" s="1"/>
  <c r="R29" i="2" s="1" a="1"/>
  <c r="R29" i="2" s="1"/>
  <c r="Q30" i="2" a="1"/>
  <c r="Q30" i="2" s="1"/>
  <c r="R30" i="2" s="1" a="1"/>
  <c r="R30" i="2" s="1"/>
  <c r="Q31" i="2" a="1"/>
  <c r="Q31" i="2" s="1"/>
  <c r="R31" i="2" s="1" a="1"/>
  <c r="R31" i="2" s="1"/>
  <c r="Q32" i="2" a="1"/>
  <c r="Q32" i="2" s="1"/>
  <c r="R32" i="2" s="1" a="1"/>
  <c r="R32" i="2" s="1"/>
  <c r="Q33" i="2" a="1"/>
  <c r="Q33" i="2" s="1"/>
  <c r="R33" i="2" s="1" a="1"/>
  <c r="R33" i="2" s="1"/>
  <c r="Q34" i="2" a="1"/>
  <c r="Q34" i="2" s="1"/>
  <c r="R34" i="2" s="1" a="1"/>
  <c r="R34" i="2" s="1"/>
  <c r="Q35" i="2" a="1"/>
  <c r="Q35" i="2" s="1"/>
  <c r="R35" i="2" s="1" a="1"/>
  <c r="R35" i="2" s="1"/>
  <c r="Q36" i="2" a="1"/>
  <c r="Q36" i="2" s="1"/>
  <c r="R36" i="2" s="1" a="1"/>
  <c r="R36" i="2" s="1"/>
  <c r="Q37" i="2" a="1"/>
  <c r="Q37" i="2" s="1"/>
  <c r="R37" i="2" s="1" a="1"/>
  <c r="R37" i="2" s="1"/>
  <c r="Q38" i="2" a="1"/>
  <c r="Q38" i="2" s="1"/>
  <c r="R38" i="2" s="1" a="1"/>
  <c r="R38" i="2" s="1"/>
  <c r="Q39" i="2" a="1"/>
  <c r="Q39" i="2" s="1"/>
  <c r="R39" i="2" s="1" a="1"/>
  <c r="R39" i="2" s="1"/>
  <c r="Q40" i="2" a="1"/>
  <c r="Q40" i="2" s="1"/>
  <c r="R40" i="2" s="1" a="1"/>
  <c r="R40" i="2" s="1"/>
  <c r="Q41" i="2" a="1"/>
  <c r="Q41" i="2" s="1"/>
  <c r="R41" i="2" s="1" a="1"/>
  <c r="R41" i="2" s="1"/>
  <c r="Q42" i="2" a="1"/>
  <c r="Q42" i="2" s="1"/>
  <c r="R42" i="2" s="1" a="1"/>
  <c r="R42" i="2" s="1"/>
  <c r="Q43" i="2" a="1"/>
  <c r="Q43" i="2" s="1"/>
  <c r="R43" i="2" s="1" a="1"/>
  <c r="R43" i="2" s="1"/>
  <c r="Q44" i="2" a="1"/>
  <c r="Q44" i="2" s="1"/>
  <c r="R44" i="2" s="1" a="1"/>
  <c r="R44" i="2" s="1"/>
  <c r="Q45" i="2" a="1"/>
  <c r="Q45" i="2" s="1"/>
  <c r="R45" i="2" s="1" a="1"/>
  <c r="R45" i="2" s="1"/>
  <c r="Q46" i="2" a="1"/>
  <c r="Q46" i="2" s="1"/>
  <c r="R46" i="2" s="1" a="1"/>
  <c r="R46" i="2" s="1"/>
  <c r="Q47" i="2" a="1"/>
  <c r="Q47" i="2" s="1"/>
  <c r="R47" i="2" s="1" a="1"/>
  <c r="R47" i="2" s="1"/>
  <c r="Q48" i="2" a="1"/>
  <c r="Q48" i="2" s="1"/>
  <c r="R48" i="2" s="1" a="1"/>
  <c r="R48" i="2" s="1"/>
  <c r="Q49" i="2" a="1"/>
  <c r="Q49" i="2" s="1"/>
  <c r="R49" i="2" s="1" a="1"/>
  <c r="R49" i="2" s="1"/>
  <c r="Q50" i="2" a="1"/>
  <c r="Q50" i="2" s="1"/>
  <c r="R50" i="2" s="1" a="1"/>
  <c r="R50" i="2" s="1"/>
  <c r="Q51" i="2" a="1"/>
  <c r="Q51" i="2" s="1"/>
  <c r="R51" i="2" s="1" a="1"/>
  <c r="R51" i="2" s="1"/>
  <c r="Q52" i="2" a="1"/>
  <c r="Q52" i="2" s="1"/>
  <c r="R52" i="2" s="1" a="1"/>
  <c r="R52" i="2" s="1"/>
  <c r="Q53" i="2" a="1"/>
  <c r="Q53" i="2" s="1"/>
  <c r="R53" i="2" s="1" a="1"/>
  <c r="R53" i="2" s="1"/>
  <c r="Q54" i="2" a="1"/>
  <c r="Q54" i="2" s="1"/>
  <c r="R54" i="2" s="1" a="1"/>
  <c r="R54" i="2" s="1"/>
  <c r="Q55" i="2" a="1"/>
  <c r="Q55" i="2" s="1"/>
  <c r="R55" i="2" s="1" a="1"/>
  <c r="R55" i="2" s="1"/>
  <c r="Q56" i="2" a="1"/>
  <c r="Q56" i="2" s="1"/>
  <c r="R56" i="2" s="1" a="1"/>
  <c r="R56" i="2" s="1"/>
  <c r="Q57" i="2" a="1"/>
  <c r="Q57" i="2" s="1"/>
  <c r="R57" i="2" s="1" a="1"/>
  <c r="R57" i="2" s="1"/>
  <c r="Q58" i="2" a="1"/>
  <c r="Q58" i="2" s="1"/>
  <c r="R58" i="2" s="1" a="1"/>
  <c r="R58" i="2" s="1"/>
  <c r="Q59" i="2" a="1"/>
  <c r="Q59" i="2" s="1"/>
  <c r="R59" i="2" s="1" a="1"/>
  <c r="R59" i="2" s="1"/>
  <c r="Q60" i="2" a="1"/>
  <c r="Q60" i="2" s="1"/>
  <c r="R60" i="2" s="1" a="1"/>
  <c r="R60" i="2" s="1"/>
  <c r="Q61" i="2" a="1"/>
  <c r="Q61" i="2" s="1"/>
  <c r="R61" i="2" s="1" a="1"/>
  <c r="R61" i="2" s="1"/>
  <c r="Q62" i="2" a="1"/>
  <c r="Q62" i="2" s="1"/>
  <c r="R62" i="2" s="1" a="1"/>
  <c r="R62" i="2" s="1"/>
  <c r="Q63" i="2" a="1"/>
  <c r="Q63" i="2" s="1"/>
  <c r="R63" i="2" s="1" a="1"/>
  <c r="R63" i="2" s="1"/>
  <c r="Q64" i="2" a="1"/>
  <c r="Q64" i="2" s="1"/>
  <c r="R64" i="2" s="1" a="1"/>
  <c r="R64" i="2" s="1"/>
  <c r="Q65" i="2" a="1"/>
  <c r="Q65" i="2" s="1"/>
  <c r="R65" i="2" s="1" a="1"/>
  <c r="R65" i="2" s="1"/>
  <c r="Q66" i="2" a="1"/>
  <c r="Q66" i="2" s="1"/>
  <c r="R66" i="2" s="1" a="1"/>
  <c r="R66" i="2" s="1"/>
  <c r="Q67" i="2" a="1"/>
  <c r="Q67" i="2" s="1"/>
  <c r="R67" i="2" s="1" a="1"/>
  <c r="R67" i="2" s="1"/>
  <c r="Q68" i="2" a="1"/>
  <c r="Q68" i="2" s="1"/>
  <c r="R68" i="2" s="1" a="1"/>
  <c r="R68" i="2" s="1"/>
  <c r="Q69" i="2" a="1"/>
  <c r="Q69" i="2" s="1"/>
  <c r="R69" i="2" s="1" a="1"/>
  <c r="R69" i="2" s="1"/>
  <c r="Q70" i="2" a="1"/>
  <c r="Q70" i="2" s="1"/>
  <c r="R70" i="2" s="1" a="1"/>
  <c r="R70" i="2" s="1"/>
  <c r="Q71" i="2" a="1"/>
  <c r="Q71" i="2" s="1"/>
  <c r="R71" i="2" s="1" a="1"/>
  <c r="R71" i="2" s="1"/>
  <c r="Q72" i="2" a="1"/>
  <c r="Q72" i="2" s="1"/>
  <c r="R72" i="2" s="1" a="1"/>
  <c r="R72" i="2" s="1"/>
  <c r="Q73" i="2" a="1"/>
  <c r="Q73" i="2" s="1"/>
  <c r="R73" i="2" s="1" a="1"/>
  <c r="R73" i="2" s="1"/>
  <c r="Q74" i="2" a="1"/>
  <c r="Q74" i="2" s="1"/>
  <c r="R74" i="2" s="1" a="1"/>
  <c r="R74" i="2" s="1"/>
  <c r="Q75" i="2" a="1"/>
  <c r="Q75" i="2" s="1"/>
  <c r="R75" i="2" s="1" a="1"/>
  <c r="R75" i="2" s="1"/>
  <c r="Q76" i="2" a="1"/>
  <c r="Q76" i="2" s="1"/>
  <c r="R76" i="2" s="1" a="1"/>
  <c r="R76" i="2" s="1"/>
  <c r="Q77" i="2" a="1"/>
  <c r="Q77" i="2" s="1"/>
  <c r="R77" i="2" s="1" a="1"/>
  <c r="R77" i="2" s="1"/>
  <c r="Q78" i="2" a="1"/>
  <c r="Q78" i="2" s="1"/>
  <c r="R78" i="2" s="1" a="1"/>
  <c r="R78" i="2" s="1"/>
  <c r="Q79" i="2" a="1"/>
  <c r="Q79" i="2" s="1"/>
  <c r="R79" i="2" s="1" a="1"/>
  <c r="R79" i="2" s="1"/>
  <c r="Q80" i="2" a="1"/>
  <c r="Q80" i="2" s="1"/>
  <c r="R80" i="2" s="1" a="1"/>
  <c r="R80" i="2" s="1"/>
  <c r="Q81" i="2" a="1"/>
  <c r="Q81" i="2" s="1"/>
  <c r="R81" i="2" s="1" a="1"/>
  <c r="R81" i="2" s="1"/>
  <c r="Q82" i="2" a="1"/>
  <c r="Q82" i="2" s="1"/>
  <c r="R82" i="2" s="1" a="1"/>
  <c r="R82" i="2" s="1"/>
  <c r="Q83" i="2" a="1"/>
  <c r="Q83" i="2" s="1"/>
  <c r="R83" i="2" s="1" a="1"/>
  <c r="R83" i="2" s="1"/>
  <c r="Q84" i="2" a="1"/>
  <c r="Q84" i="2" s="1"/>
  <c r="R84" i="2" s="1" a="1"/>
  <c r="R84" i="2" s="1"/>
  <c r="Q85" i="2" a="1"/>
  <c r="Q85" i="2" s="1"/>
  <c r="R85" i="2" s="1" a="1"/>
  <c r="R85" i="2" s="1"/>
  <c r="Q86" i="2" a="1"/>
  <c r="Q86" i="2" s="1"/>
  <c r="R86" i="2" s="1" a="1"/>
  <c r="R86" i="2" s="1"/>
  <c r="Q87" i="2" a="1"/>
  <c r="Q87" i="2" s="1"/>
  <c r="R87" i="2" s="1" a="1"/>
  <c r="R87" i="2" s="1"/>
  <c r="Q88" i="2" a="1"/>
  <c r="Q88" i="2" s="1"/>
  <c r="R88" i="2" s="1" a="1"/>
  <c r="R88" i="2" s="1"/>
  <c r="Q89" i="2" a="1"/>
  <c r="Q89" i="2" s="1"/>
  <c r="R89" i="2" s="1" a="1"/>
  <c r="R89" i="2" s="1"/>
  <c r="Q90" i="2" a="1"/>
  <c r="Q90" i="2" s="1"/>
  <c r="R90" i="2" s="1" a="1"/>
  <c r="R90" i="2" s="1"/>
  <c r="Q91" i="2" a="1"/>
  <c r="Q91" i="2" s="1"/>
  <c r="R91" i="2" s="1" a="1"/>
  <c r="R91" i="2" s="1"/>
  <c r="Q92" i="2" a="1"/>
  <c r="Q92" i="2" s="1"/>
  <c r="R92" i="2" s="1" a="1"/>
  <c r="R92" i="2" s="1"/>
  <c r="Q93" i="2" a="1"/>
  <c r="Q93" i="2" s="1"/>
  <c r="R93" i="2" s="1" a="1"/>
  <c r="R93" i="2" s="1"/>
  <c r="Q94" i="2" a="1"/>
  <c r="Q94" i="2" s="1"/>
  <c r="R94" i="2" s="1" a="1"/>
  <c r="R94" i="2" s="1"/>
  <c r="Q95" i="2" a="1"/>
  <c r="Q95" i="2" s="1"/>
  <c r="R95" i="2" s="1" a="1"/>
  <c r="R95" i="2" s="1"/>
  <c r="Q96" i="2" a="1"/>
  <c r="Q96" i="2" s="1"/>
  <c r="R96" i="2" s="1" a="1"/>
  <c r="R96" i="2" s="1"/>
  <c r="Q97" i="2" a="1"/>
  <c r="Q97" i="2" s="1"/>
  <c r="R97" i="2" s="1" a="1"/>
  <c r="R97" i="2" s="1"/>
  <c r="Q98" i="2" a="1"/>
  <c r="Q98" i="2" s="1"/>
  <c r="R98" i="2" s="1" a="1"/>
  <c r="R98" i="2" s="1"/>
  <c r="Q99" i="2" a="1"/>
  <c r="Q99" i="2" s="1"/>
  <c r="R99" i="2" s="1" a="1"/>
  <c r="R99" i="2" s="1"/>
  <c r="Q100" i="2" a="1"/>
  <c r="Q100" i="2" s="1"/>
  <c r="R100" i="2" s="1" a="1"/>
  <c r="R100" i="2" s="1"/>
  <c r="Q101" i="2" a="1"/>
  <c r="Q101" i="2" s="1"/>
  <c r="R101" i="2" s="1" a="1"/>
  <c r="R101" i="2" s="1"/>
  <c r="Q102" i="2" a="1"/>
  <c r="Q102" i="2" s="1"/>
  <c r="R102" i="2" s="1" a="1"/>
  <c r="R102" i="2" s="1"/>
  <c r="Q103" i="2" a="1"/>
  <c r="Q103" i="2" s="1"/>
  <c r="R103" i="2" s="1" a="1"/>
  <c r="R103" i="2" s="1"/>
  <c r="Q104" i="2" a="1"/>
  <c r="Q104" i="2" s="1"/>
  <c r="R104" i="2" s="1" a="1"/>
  <c r="R104" i="2" s="1"/>
  <c r="Q105" i="2" a="1"/>
  <c r="Q105" i="2" s="1"/>
  <c r="R105" i="2" s="1" a="1"/>
  <c r="R105" i="2" s="1"/>
  <c r="Q106" i="2" a="1"/>
  <c r="Q106" i="2" s="1"/>
  <c r="R106" i="2" s="1" a="1"/>
  <c r="R106" i="2" s="1"/>
  <c r="Q107" i="2" a="1"/>
  <c r="Q107" i="2" s="1"/>
  <c r="R107" i="2" s="1" a="1"/>
  <c r="R107" i="2" s="1"/>
  <c r="Q108" i="2" a="1"/>
  <c r="Q108" i="2" s="1"/>
  <c r="R108" i="2" s="1" a="1"/>
  <c r="R108" i="2" s="1"/>
  <c r="Q109" i="2" a="1"/>
  <c r="Q109" i="2" s="1"/>
  <c r="R109" i="2" s="1" a="1"/>
  <c r="R109" i="2" s="1"/>
  <c r="Q110" i="2" a="1"/>
  <c r="Q110" i="2" s="1"/>
  <c r="R110" i="2" s="1" a="1"/>
  <c r="R110" i="2" s="1"/>
  <c r="Q111" i="2" a="1"/>
  <c r="Q111" i="2" s="1"/>
  <c r="R111" i="2" s="1" a="1"/>
  <c r="R111" i="2" s="1"/>
  <c r="Q112" i="2" a="1"/>
  <c r="Q112" i="2" s="1"/>
  <c r="R112" i="2" s="1" a="1"/>
  <c r="R112" i="2" s="1"/>
  <c r="Q113" i="2" a="1"/>
  <c r="Q113" i="2" s="1"/>
  <c r="R113" i="2" s="1" a="1"/>
  <c r="R113" i="2" s="1"/>
  <c r="Q114" i="2" a="1"/>
  <c r="Q114" i="2" s="1"/>
  <c r="R114" i="2" s="1" a="1"/>
  <c r="R114" i="2" s="1"/>
  <c r="Q115" i="2" a="1"/>
  <c r="Q115" i="2" s="1"/>
  <c r="R115" i="2" s="1" a="1"/>
  <c r="R115" i="2" s="1"/>
  <c r="Q116" i="2" a="1"/>
  <c r="Q116" i="2" s="1"/>
  <c r="R116" i="2" s="1" a="1"/>
  <c r="R116" i="2" s="1"/>
  <c r="Q117" i="2" a="1"/>
  <c r="Q117" i="2" s="1"/>
  <c r="R117" i="2" s="1" a="1"/>
  <c r="R117" i="2" s="1"/>
  <c r="Q118" i="2" a="1"/>
  <c r="Q118" i="2" s="1"/>
  <c r="R118" i="2" s="1" a="1"/>
  <c r="R118" i="2" s="1"/>
  <c r="Q119" i="2" a="1"/>
  <c r="Q119" i="2" s="1"/>
  <c r="R119" i="2" s="1" a="1"/>
  <c r="R119" i="2" s="1"/>
  <c r="Q120" i="2" a="1"/>
  <c r="Q120" i="2" s="1"/>
  <c r="R120" i="2" s="1" a="1"/>
  <c r="R120" i="2" s="1"/>
  <c r="Q121" i="2" a="1"/>
  <c r="Q121" i="2" s="1"/>
  <c r="R121" i="2" s="1" a="1"/>
  <c r="R121" i="2" s="1"/>
  <c r="Q122" i="2" a="1"/>
  <c r="Q122" i="2" s="1"/>
  <c r="R122" i="2" s="1" a="1"/>
  <c r="R122" i="2" s="1"/>
  <c r="Q123" i="2" a="1"/>
  <c r="Q123" i="2" s="1"/>
  <c r="R123" i="2" s="1" a="1"/>
  <c r="R123" i="2" s="1"/>
  <c r="Q124" i="2" a="1"/>
  <c r="Q124" i="2" s="1"/>
  <c r="R124" i="2" s="1" a="1"/>
  <c r="R124" i="2" s="1"/>
  <c r="Q125" i="2" a="1"/>
  <c r="Q125" i="2" s="1"/>
  <c r="R125" i="2" s="1" a="1"/>
  <c r="R125" i="2" s="1"/>
  <c r="Q126" i="2" a="1"/>
  <c r="Q126" i="2" s="1"/>
  <c r="R126" i="2" s="1" a="1"/>
  <c r="R126" i="2" s="1"/>
  <c r="Q127" i="2" a="1"/>
  <c r="Q127" i="2" s="1"/>
  <c r="R127" i="2" s="1" a="1"/>
  <c r="R127" i="2" s="1"/>
  <c r="Q128" i="2" a="1"/>
  <c r="Q128" i="2" s="1"/>
  <c r="R128" i="2" s="1" a="1"/>
  <c r="R128" i="2" s="1"/>
  <c r="Q129" i="2" a="1"/>
  <c r="Q129" i="2" s="1"/>
  <c r="R129" i="2" s="1" a="1"/>
  <c r="R129" i="2" s="1"/>
  <c r="Q130" i="2" a="1"/>
  <c r="Q130" i="2" s="1"/>
  <c r="R130" i="2" s="1" a="1"/>
  <c r="R130" i="2" s="1"/>
  <c r="Q131" i="2" a="1"/>
  <c r="Q131" i="2" s="1"/>
  <c r="R131" i="2" s="1" a="1"/>
  <c r="R131" i="2" s="1"/>
  <c r="Q132" i="2" a="1"/>
  <c r="Q132" i="2" s="1"/>
  <c r="R132" i="2" s="1" a="1"/>
  <c r="R132" i="2" s="1"/>
  <c r="Q133" i="2" a="1"/>
  <c r="Q133" i="2" s="1"/>
  <c r="R133" i="2" s="1" a="1"/>
  <c r="R133" i="2" s="1"/>
  <c r="Q134" i="2" a="1"/>
  <c r="Q134" i="2" s="1"/>
  <c r="R134" i="2" s="1" a="1"/>
  <c r="R134" i="2" s="1"/>
  <c r="Q135" i="2" a="1"/>
  <c r="Q135" i="2" s="1"/>
  <c r="R135" i="2" s="1" a="1"/>
  <c r="R135" i="2" s="1"/>
  <c r="Q136" i="2" a="1"/>
  <c r="Q136" i="2" s="1"/>
  <c r="R136" i="2" s="1" a="1"/>
  <c r="R136" i="2" s="1"/>
  <c r="Q137" i="2" a="1"/>
  <c r="Q137" i="2" s="1"/>
  <c r="R137" i="2" s="1" a="1"/>
  <c r="R137" i="2" s="1"/>
  <c r="Q138" i="2" a="1"/>
  <c r="Q138" i="2" s="1"/>
  <c r="R138" i="2" s="1" a="1"/>
  <c r="R138" i="2" s="1"/>
  <c r="Q139" i="2" a="1"/>
  <c r="Q139" i="2" s="1"/>
  <c r="R139" i="2" s="1" a="1"/>
  <c r="R139" i="2" s="1"/>
  <c r="Q140" i="2" a="1"/>
  <c r="Q140" i="2" s="1"/>
  <c r="R140" i="2" s="1" a="1"/>
  <c r="R140" i="2" s="1"/>
  <c r="Q141" i="2" a="1"/>
  <c r="Q141" i="2" s="1"/>
  <c r="R141" i="2" s="1" a="1"/>
  <c r="R141" i="2" s="1"/>
  <c r="Q142" i="2" a="1"/>
  <c r="Q142" i="2" s="1"/>
  <c r="R142" i="2" s="1" a="1"/>
  <c r="R142" i="2" s="1"/>
  <c r="Q143" i="2" a="1"/>
  <c r="Q143" i="2" s="1"/>
  <c r="R143" i="2" s="1" a="1"/>
  <c r="R143" i="2" s="1"/>
  <c r="Q144" i="2" a="1"/>
  <c r="Q144" i="2" s="1"/>
  <c r="R144" i="2" s="1" a="1"/>
  <c r="R144" i="2" s="1"/>
  <c r="Q145" i="2" a="1"/>
  <c r="Q145" i="2" s="1"/>
  <c r="R145" i="2" s="1" a="1"/>
  <c r="R145" i="2" s="1"/>
  <c r="Q146" i="2" a="1"/>
  <c r="Q146" i="2" s="1"/>
  <c r="R146" i="2" s="1" a="1"/>
  <c r="R146" i="2" s="1"/>
  <c r="Q147" i="2" a="1"/>
  <c r="Q147" i="2" s="1"/>
  <c r="R147" i="2" s="1" a="1"/>
  <c r="R147" i="2" s="1"/>
  <c r="Q148" i="2" a="1"/>
  <c r="Q148" i="2" s="1"/>
  <c r="R148" i="2" s="1" a="1"/>
  <c r="R148" i="2" s="1"/>
  <c r="Q149" i="2" a="1"/>
  <c r="Q149" i="2" s="1"/>
  <c r="R149" i="2" s="1" a="1"/>
  <c r="R149" i="2" s="1"/>
  <c r="Q150" i="2" a="1"/>
  <c r="Q150" i="2" s="1"/>
  <c r="R150" i="2" s="1" a="1"/>
  <c r="R150" i="2" s="1"/>
  <c r="Q151" i="2" a="1"/>
  <c r="Q151" i="2" s="1"/>
  <c r="R151" i="2" s="1" a="1"/>
  <c r="R151" i="2" s="1"/>
  <c r="Q152" i="2" a="1"/>
  <c r="Q152" i="2" s="1"/>
  <c r="R152" i="2" s="1" a="1"/>
  <c r="R152" i="2" s="1"/>
  <c r="Q153" i="2" a="1"/>
  <c r="Q153" i="2" s="1"/>
  <c r="R153" i="2" s="1" a="1"/>
  <c r="R153" i="2" s="1"/>
  <c r="Q154" i="2" a="1"/>
  <c r="Q154" i="2" s="1"/>
  <c r="R154" i="2" s="1" a="1"/>
  <c r="R154" i="2" s="1"/>
  <c r="Q155" i="2" a="1"/>
  <c r="Q155" i="2" s="1"/>
  <c r="R155" i="2" s="1" a="1"/>
  <c r="R155" i="2" s="1"/>
  <c r="Q156" i="2" a="1"/>
  <c r="Q156" i="2" s="1"/>
  <c r="R156" i="2" s="1" a="1"/>
  <c r="R156" i="2" s="1"/>
  <c r="Q157" i="2" a="1"/>
  <c r="Q157" i="2" s="1"/>
  <c r="R157" i="2" s="1" a="1"/>
  <c r="R157" i="2" s="1"/>
  <c r="Q158" i="2" a="1"/>
  <c r="Q158" i="2" s="1"/>
  <c r="R158" i="2" s="1" a="1"/>
  <c r="R158" i="2" s="1"/>
  <c r="Q159" i="2" a="1"/>
  <c r="Q159" i="2" s="1"/>
  <c r="R159" i="2" s="1" a="1"/>
  <c r="R159" i="2" s="1"/>
  <c r="Q160" i="2" a="1"/>
  <c r="Q160" i="2" s="1"/>
  <c r="R160" i="2" s="1" a="1"/>
  <c r="R160" i="2" s="1"/>
  <c r="Q161" i="2" a="1"/>
  <c r="Q161" i="2" s="1"/>
  <c r="R161" i="2" s="1" a="1"/>
  <c r="R161" i="2" s="1"/>
  <c r="Q162" i="2" a="1"/>
  <c r="Q162" i="2" s="1"/>
  <c r="R162" i="2" s="1" a="1"/>
  <c r="R162" i="2" s="1"/>
  <c r="Q163" i="2" a="1"/>
  <c r="Q163" i="2" s="1"/>
  <c r="R163" i="2" s="1" a="1"/>
  <c r="R163" i="2" s="1"/>
  <c r="Q164" i="2" a="1"/>
  <c r="Q164" i="2" s="1"/>
  <c r="R164" i="2" s="1" a="1"/>
  <c r="R164" i="2" s="1"/>
  <c r="Q165" i="2" a="1"/>
  <c r="Q165" i="2" s="1"/>
  <c r="R165" i="2" s="1" a="1"/>
  <c r="R165" i="2" s="1"/>
  <c r="Q166" i="2" a="1"/>
  <c r="Q166" i="2" s="1"/>
  <c r="R166" i="2" s="1" a="1"/>
  <c r="R166" i="2" s="1"/>
  <c r="Q167" i="2" a="1"/>
  <c r="Q167" i="2" s="1"/>
  <c r="R167" i="2" s="1" a="1"/>
  <c r="R167" i="2" s="1"/>
  <c r="Q168" i="2" a="1"/>
  <c r="Q168" i="2" s="1"/>
  <c r="R168" i="2" s="1" a="1"/>
  <c r="R168" i="2" s="1"/>
  <c r="Q169" i="2" a="1"/>
  <c r="Q169" i="2" s="1"/>
  <c r="R169" i="2" s="1" a="1"/>
  <c r="R169" i="2" s="1"/>
  <c r="Q170" i="2" a="1"/>
  <c r="Q170" i="2" s="1"/>
  <c r="R170" i="2" s="1" a="1"/>
  <c r="R170" i="2" s="1"/>
  <c r="Q171" i="2" a="1"/>
  <c r="Q171" i="2" s="1"/>
  <c r="R171" i="2" s="1" a="1"/>
  <c r="R171" i="2" s="1"/>
  <c r="Q172" i="2" a="1"/>
  <c r="Q172" i="2" s="1"/>
  <c r="R172" i="2" s="1" a="1"/>
  <c r="R172" i="2" s="1"/>
  <c r="Q173" i="2" a="1"/>
  <c r="Q173" i="2" s="1"/>
  <c r="R173" i="2" s="1" a="1"/>
  <c r="R173" i="2" s="1"/>
  <c r="Q174" i="2" a="1"/>
  <c r="Q174" i="2" s="1"/>
  <c r="R174" i="2" s="1" a="1"/>
  <c r="R174" i="2" s="1"/>
  <c r="Q175" i="2" a="1"/>
  <c r="Q175" i="2" s="1"/>
  <c r="R175" i="2" s="1" a="1"/>
  <c r="R175" i="2" s="1"/>
  <c r="Q176" i="2" a="1"/>
  <c r="Q176" i="2" s="1"/>
  <c r="R176" i="2" s="1" a="1"/>
  <c r="R176" i="2" s="1"/>
  <c r="Q177" i="2" a="1"/>
  <c r="Q177" i="2" s="1"/>
  <c r="R177" i="2" s="1" a="1"/>
  <c r="R177" i="2" s="1"/>
  <c r="Q178" i="2" a="1"/>
  <c r="Q178" i="2" s="1"/>
  <c r="R178" i="2" s="1" a="1"/>
  <c r="R178" i="2" s="1"/>
  <c r="Q179" i="2" a="1"/>
  <c r="Q179" i="2" s="1"/>
  <c r="R179" i="2" s="1" a="1"/>
  <c r="R179" i="2" s="1"/>
  <c r="Q180" i="2" a="1"/>
  <c r="Q180" i="2" s="1"/>
  <c r="R180" i="2" s="1" a="1"/>
  <c r="R180" i="2" s="1"/>
  <c r="Q181" i="2" a="1"/>
  <c r="Q181" i="2" s="1"/>
  <c r="R181" i="2" s="1" a="1"/>
  <c r="R181" i="2" s="1"/>
  <c r="Q182" i="2" a="1"/>
  <c r="Q182" i="2" s="1"/>
  <c r="R182" i="2" s="1" a="1"/>
  <c r="R182" i="2" s="1"/>
  <c r="Q183" i="2" a="1"/>
  <c r="Q183" i="2" s="1"/>
  <c r="R183" i="2" s="1" a="1"/>
  <c r="R183" i="2" s="1"/>
  <c r="Q184" i="2" a="1"/>
  <c r="Q184" i="2" s="1"/>
  <c r="R184" i="2" s="1" a="1"/>
  <c r="R184" i="2" s="1"/>
  <c r="Q185" i="2" a="1"/>
  <c r="Q185" i="2" s="1"/>
  <c r="R185" i="2" s="1" a="1"/>
  <c r="R185" i="2" s="1"/>
  <c r="Q186" i="2" a="1"/>
  <c r="Q186" i="2" s="1"/>
  <c r="R186" i="2" s="1" a="1"/>
  <c r="R186" i="2" s="1"/>
  <c r="Q187" i="2" a="1"/>
  <c r="Q187" i="2" s="1"/>
  <c r="R187" i="2" s="1" a="1"/>
  <c r="R187" i="2" s="1"/>
  <c r="Q188" i="2" a="1"/>
  <c r="Q188" i="2" s="1"/>
  <c r="R188" i="2" s="1" a="1"/>
  <c r="R188" i="2" s="1"/>
  <c r="Q189" i="2" a="1"/>
  <c r="Q189" i="2" s="1"/>
  <c r="R189" i="2" s="1" a="1"/>
  <c r="R189" i="2" s="1"/>
  <c r="Q190" i="2" a="1"/>
  <c r="Q190" i="2" s="1"/>
  <c r="R190" i="2" s="1" a="1"/>
  <c r="R190" i="2" s="1"/>
  <c r="Q191" i="2" a="1"/>
  <c r="Q191" i="2" s="1"/>
  <c r="R191" i="2" s="1" a="1"/>
  <c r="R191" i="2" s="1"/>
  <c r="Q192" i="2" a="1"/>
  <c r="Q192" i="2" s="1"/>
  <c r="R192" i="2" s="1" a="1"/>
  <c r="R192" i="2" s="1"/>
  <c r="Q193" i="2" a="1"/>
  <c r="Q193" i="2" s="1"/>
  <c r="R193" i="2" s="1" a="1"/>
  <c r="R193" i="2" s="1"/>
  <c r="Q194" i="2" a="1"/>
  <c r="Q194" i="2" s="1"/>
  <c r="R194" i="2" s="1" a="1"/>
  <c r="R194" i="2" s="1"/>
  <c r="Q195" i="2" a="1"/>
  <c r="Q195" i="2" s="1"/>
  <c r="R195" i="2" s="1" a="1"/>
  <c r="R195" i="2" s="1"/>
  <c r="Q196" i="2" a="1"/>
  <c r="Q196" i="2" s="1"/>
  <c r="R196" i="2" s="1" a="1"/>
  <c r="R196" i="2" s="1"/>
  <c r="Q197" i="2" a="1"/>
  <c r="Q197" i="2" s="1"/>
  <c r="R197" i="2" s="1" a="1"/>
  <c r="R197" i="2" s="1"/>
  <c r="Q198" i="2" a="1"/>
  <c r="Q198" i="2" s="1"/>
  <c r="R198" i="2" s="1" a="1"/>
  <c r="R198" i="2" s="1"/>
  <c r="Q199" i="2" a="1"/>
  <c r="Q199" i="2" s="1"/>
  <c r="R199" i="2" s="1" a="1"/>
  <c r="R199" i="2" s="1"/>
  <c r="Q200" i="2" a="1"/>
  <c r="Q200" i="2" s="1"/>
  <c r="R200" i="2" s="1" a="1"/>
  <c r="R200" i="2" s="1"/>
  <c r="Q201" i="2" a="1"/>
  <c r="Q201" i="2" s="1"/>
  <c r="R201" i="2" s="1" a="1"/>
  <c r="R201" i="2" s="1"/>
  <c r="Q202" i="2" a="1"/>
  <c r="Q202" i="2" s="1"/>
  <c r="R202" i="2" s="1" a="1"/>
  <c r="R202" i="2" s="1"/>
  <c r="Q203" i="2" a="1"/>
  <c r="Q203" i="2" s="1"/>
  <c r="R203" i="2" s="1" a="1"/>
  <c r="R203" i="2" s="1"/>
  <c r="Q204" i="2" a="1"/>
  <c r="Q204" i="2" s="1"/>
  <c r="R204" i="2" s="1" a="1"/>
  <c r="R204" i="2" s="1"/>
  <c r="Q205" i="2" a="1"/>
  <c r="Q205" i="2" s="1"/>
  <c r="R205" i="2" s="1" a="1"/>
  <c r="R205" i="2" s="1"/>
  <c r="Q206" i="2" a="1"/>
  <c r="Q206" i="2" s="1"/>
  <c r="R206" i="2" s="1" a="1"/>
  <c r="R206" i="2" s="1"/>
  <c r="Q207" i="2" a="1"/>
  <c r="Q207" i="2" s="1"/>
  <c r="R207" i="2" s="1" a="1"/>
  <c r="R207" i="2" s="1"/>
  <c r="Q208" i="2" a="1"/>
  <c r="Q208" i="2" s="1"/>
  <c r="R208" i="2" s="1" a="1"/>
  <c r="R208" i="2" s="1"/>
  <c r="Q209" i="2" a="1"/>
  <c r="Q209" i="2" s="1"/>
  <c r="R209" i="2" s="1" a="1"/>
  <c r="R209" i="2" s="1"/>
  <c r="Q210" i="2" a="1"/>
  <c r="Q210" i="2" s="1"/>
  <c r="R210" i="2" s="1" a="1"/>
  <c r="R210" i="2" s="1"/>
  <c r="Q211" i="2" a="1"/>
  <c r="Q211" i="2" s="1"/>
  <c r="R211" i="2" s="1" a="1"/>
  <c r="R211" i="2" s="1"/>
  <c r="Q212" i="2" a="1"/>
  <c r="Q212" i="2" s="1"/>
  <c r="R212" i="2" s="1" a="1"/>
  <c r="R212" i="2" s="1"/>
  <c r="Q213" i="2" a="1"/>
  <c r="Q213" i="2" s="1"/>
  <c r="R213" i="2" s="1" a="1"/>
  <c r="R213" i="2" s="1"/>
  <c r="Q214" i="2" a="1"/>
  <c r="Q214" i="2" s="1"/>
  <c r="R214" i="2" s="1" a="1"/>
  <c r="R214" i="2" s="1"/>
  <c r="Q215" i="2" a="1"/>
  <c r="Q215" i="2" s="1"/>
  <c r="R215" i="2" s="1" a="1"/>
  <c r="R215" i="2" s="1"/>
  <c r="Q216" i="2" a="1"/>
  <c r="Q216" i="2" s="1"/>
  <c r="R216" i="2" s="1" a="1"/>
  <c r="R216" i="2" s="1"/>
  <c r="Q217" i="2" a="1"/>
  <c r="Q217" i="2" s="1"/>
  <c r="R217" i="2" s="1" a="1"/>
  <c r="R217" i="2" s="1"/>
  <c r="Q218" i="2" a="1"/>
  <c r="Q218" i="2" s="1"/>
  <c r="R218" i="2" s="1" a="1"/>
  <c r="R218" i="2" s="1"/>
  <c r="Q219" i="2" a="1"/>
  <c r="Q219" i="2" s="1"/>
  <c r="R219" i="2" s="1" a="1"/>
  <c r="R219" i="2" s="1"/>
  <c r="Q220" i="2" a="1"/>
  <c r="Q220" i="2" s="1"/>
  <c r="R220" i="2" s="1" a="1"/>
  <c r="R220" i="2" s="1"/>
  <c r="Q221" i="2" a="1"/>
  <c r="Q221" i="2" s="1"/>
  <c r="R221" i="2" s="1" a="1"/>
  <c r="R221" i="2" s="1"/>
  <c r="Q222" i="2" a="1"/>
  <c r="Q222" i="2" s="1"/>
  <c r="R222" i="2" s="1" a="1"/>
  <c r="R222" i="2" s="1"/>
  <c r="Q223" i="2" a="1"/>
  <c r="Q223" i="2" s="1"/>
  <c r="R223" i="2" s="1" a="1"/>
  <c r="R223" i="2" s="1"/>
  <c r="Q224" i="2" a="1"/>
  <c r="Q224" i="2" s="1"/>
  <c r="R224" i="2" s="1" a="1"/>
  <c r="R224" i="2" s="1"/>
  <c r="Q225" i="2" a="1"/>
  <c r="Q225" i="2" s="1"/>
  <c r="R225" i="2" s="1" a="1"/>
  <c r="R225" i="2" s="1"/>
  <c r="Q226" i="2" a="1"/>
  <c r="Q226" i="2" s="1"/>
  <c r="R226" i="2" s="1" a="1"/>
  <c r="R226" i="2" s="1"/>
  <c r="Q227" i="2" a="1"/>
  <c r="Q227" i="2" s="1"/>
  <c r="R227" i="2" s="1" a="1"/>
  <c r="R227" i="2" s="1"/>
  <c r="Q228" i="2" a="1"/>
  <c r="Q228" i="2" s="1"/>
  <c r="R228" i="2" s="1" a="1"/>
  <c r="R228" i="2" s="1"/>
  <c r="Q229" i="2" a="1"/>
  <c r="Q229" i="2" s="1"/>
  <c r="R229" i="2" s="1" a="1"/>
  <c r="R229" i="2" s="1"/>
  <c r="Q230" i="2" a="1"/>
  <c r="Q230" i="2" s="1"/>
  <c r="R230" i="2" s="1" a="1"/>
  <c r="R230" i="2" s="1"/>
  <c r="Q231" i="2" a="1"/>
  <c r="Q231" i="2" s="1"/>
  <c r="R231" i="2" s="1" a="1"/>
  <c r="R231" i="2" s="1"/>
  <c r="Q232" i="2" a="1"/>
  <c r="Q232" i="2" s="1"/>
  <c r="R232" i="2" s="1" a="1"/>
  <c r="R232" i="2" s="1"/>
  <c r="Q233" i="2" a="1"/>
  <c r="Q233" i="2" s="1"/>
  <c r="R233" i="2" s="1" a="1"/>
  <c r="R233" i="2" s="1"/>
  <c r="Q234" i="2" a="1"/>
  <c r="Q234" i="2" s="1"/>
  <c r="R234" i="2" s="1" a="1"/>
  <c r="R234" i="2" s="1"/>
  <c r="Q235" i="2" a="1"/>
  <c r="Q235" i="2" s="1"/>
  <c r="R235" i="2" s="1" a="1"/>
  <c r="R235" i="2" s="1"/>
  <c r="Q236" i="2" a="1"/>
  <c r="Q236" i="2" s="1"/>
  <c r="R236" i="2" s="1" a="1"/>
  <c r="R236" i="2" s="1"/>
  <c r="Q237" i="2" a="1"/>
  <c r="Q237" i="2" s="1"/>
  <c r="R237" i="2" s="1" a="1"/>
  <c r="R237" i="2" s="1"/>
  <c r="Q238" i="2" a="1"/>
  <c r="Q238" i="2" s="1"/>
  <c r="R238" i="2" s="1" a="1"/>
  <c r="R238" i="2" s="1"/>
  <c r="Q239" i="2" a="1"/>
  <c r="Q239" i="2" s="1"/>
  <c r="R239" i="2" s="1" a="1"/>
  <c r="R239" i="2" s="1"/>
  <c r="Q240" i="2" a="1"/>
  <c r="Q240" i="2" s="1"/>
  <c r="R240" i="2" s="1" a="1"/>
  <c r="R240" i="2" s="1"/>
  <c r="Q241" i="2" a="1"/>
  <c r="Q241" i="2" s="1"/>
  <c r="R241" i="2" s="1" a="1"/>
  <c r="R241" i="2" s="1"/>
  <c r="Q242" i="2" a="1"/>
  <c r="Q242" i="2" s="1"/>
  <c r="R242" i="2" s="1" a="1"/>
  <c r="R242" i="2" s="1"/>
  <c r="Q243" i="2" a="1"/>
  <c r="Q243" i="2" s="1"/>
  <c r="R243" i="2" s="1" a="1"/>
  <c r="R243" i="2" s="1"/>
  <c r="Q244" i="2" a="1"/>
  <c r="Q244" i="2" s="1"/>
  <c r="R244" i="2" s="1" a="1"/>
  <c r="R244" i="2" s="1"/>
  <c r="Q245" i="2" a="1"/>
  <c r="Q245" i="2" s="1"/>
  <c r="R245" i="2" s="1" a="1"/>
  <c r="R245" i="2" s="1"/>
  <c r="Q246" i="2" a="1"/>
  <c r="Q246" i="2" s="1"/>
  <c r="R246" i="2" s="1" a="1"/>
  <c r="R246" i="2" s="1"/>
  <c r="Q247" i="2" a="1"/>
  <c r="Q247" i="2" s="1"/>
  <c r="R247" i="2" s="1" a="1"/>
  <c r="R247" i="2" s="1"/>
  <c r="Q248" i="2" a="1"/>
  <c r="Q248" i="2" s="1"/>
  <c r="R248" i="2" s="1" a="1"/>
  <c r="R248" i="2" s="1"/>
  <c r="Q249" i="2" a="1"/>
  <c r="Q249" i="2" s="1"/>
  <c r="R249" i="2" s="1" a="1"/>
  <c r="R249" i="2" s="1"/>
  <c r="Q250" i="2" a="1"/>
  <c r="Q250" i="2" s="1"/>
  <c r="R250" i="2" s="1" a="1"/>
  <c r="R250" i="2" s="1"/>
  <c r="Q251" i="2" a="1"/>
  <c r="Q251" i="2" s="1"/>
  <c r="R251" i="2" s="1" a="1"/>
  <c r="R251" i="2" s="1"/>
  <c r="Q252" i="2" a="1"/>
  <c r="Q252" i="2" s="1"/>
  <c r="R252" i="2" s="1" a="1"/>
  <c r="R252" i="2" s="1"/>
  <c r="Q253" i="2" a="1"/>
  <c r="Q253" i="2" s="1"/>
  <c r="R253" i="2" s="1" a="1"/>
  <c r="R253" i="2" s="1"/>
  <c r="Q254" i="2" a="1"/>
  <c r="Q254" i="2" s="1"/>
  <c r="R254" i="2" s="1" a="1"/>
  <c r="R254" i="2" s="1"/>
  <c r="Q255" i="2" a="1"/>
  <c r="Q255" i="2" s="1"/>
  <c r="R255" i="2" s="1" a="1"/>
  <c r="R255" i="2" s="1"/>
  <c r="Q256" i="2" a="1"/>
  <c r="Q256" i="2" s="1"/>
  <c r="R256" i="2" s="1" a="1"/>
  <c r="R256" i="2" s="1"/>
  <c r="Q257" i="2" a="1"/>
  <c r="Q257" i="2" s="1"/>
  <c r="R257" i="2" s="1" a="1"/>
  <c r="R257" i="2" s="1"/>
  <c r="Q258" i="2" a="1"/>
  <c r="Q258" i="2" s="1"/>
  <c r="R258" i="2" s="1" a="1"/>
  <c r="R258" i="2" s="1"/>
  <c r="Q259" i="2" a="1"/>
  <c r="Q259" i="2" s="1"/>
  <c r="R259" i="2" s="1" a="1"/>
  <c r="R259" i="2" s="1"/>
  <c r="Q260" i="2" a="1"/>
  <c r="Q260" i="2" s="1"/>
  <c r="R260" i="2" s="1" a="1"/>
  <c r="R260" i="2" s="1"/>
  <c r="Q261" i="2" a="1"/>
  <c r="Q261" i="2" s="1"/>
  <c r="R261" i="2" s="1" a="1"/>
  <c r="R261" i="2" s="1"/>
  <c r="Q262" i="2" a="1"/>
  <c r="Q262" i="2" s="1"/>
  <c r="R262" i="2" s="1" a="1"/>
  <c r="R262" i="2" s="1"/>
  <c r="Q263" i="2" a="1"/>
  <c r="Q263" i="2" s="1"/>
  <c r="R263" i="2" s="1" a="1"/>
  <c r="R263" i="2" s="1"/>
  <c r="Q264" i="2" a="1"/>
  <c r="Q264" i="2" s="1"/>
  <c r="R264" i="2" s="1" a="1"/>
  <c r="R264" i="2" s="1"/>
  <c r="Q265" i="2" a="1"/>
  <c r="Q265" i="2" s="1"/>
  <c r="R265" i="2" s="1" a="1"/>
  <c r="R265" i="2" s="1"/>
  <c r="Q266" i="2" a="1"/>
  <c r="Q266" i="2" s="1"/>
  <c r="R266" i="2" s="1" a="1"/>
  <c r="R266" i="2" s="1"/>
  <c r="Q267" i="2" a="1"/>
  <c r="Q267" i="2" s="1"/>
  <c r="R267" i="2" s="1" a="1"/>
  <c r="R267" i="2" s="1"/>
  <c r="Q268" i="2" a="1"/>
  <c r="Q268" i="2" s="1"/>
  <c r="R268" i="2" s="1" a="1"/>
  <c r="R268" i="2" s="1"/>
  <c r="Q269" i="2" a="1"/>
  <c r="Q269" i="2" s="1"/>
  <c r="R269" i="2" s="1" a="1"/>
  <c r="R269" i="2" s="1"/>
  <c r="Q270" i="2" a="1"/>
  <c r="Q270" i="2" s="1"/>
  <c r="R270" i="2" s="1" a="1"/>
  <c r="R270" i="2" s="1"/>
  <c r="Q271" i="2" a="1"/>
  <c r="Q271" i="2" s="1"/>
  <c r="R271" i="2" s="1" a="1"/>
  <c r="R271" i="2" s="1"/>
  <c r="Q272" i="2" a="1"/>
  <c r="Q272" i="2" s="1"/>
  <c r="R272" i="2" s="1" a="1"/>
  <c r="R272" i="2" s="1"/>
  <c r="Q273" i="2" a="1"/>
  <c r="Q273" i="2" s="1"/>
  <c r="R273" i="2" s="1" a="1"/>
  <c r="R273" i="2" s="1"/>
  <c r="Q274" i="2" a="1"/>
  <c r="Q274" i="2" s="1"/>
  <c r="R274" i="2" s="1" a="1"/>
  <c r="R274" i="2" s="1"/>
  <c r="Q275" i="2" a="1"/>
  <c r="Q275" i="2" s="1"/>
  <c r="R275" i="2" s="1" a="1"/>
  <c r="R275" i="2" s="1"/>
  <c r="Q276" i="2" a="1"/>
  <c r="Q276" i="2" s="1"/>
  <c r="R276" i="2" s="1" a="1"/>
  <c r="R276" i="2" s="1"/>
  <c r="Q277" i="2" a="1"/>
  <c r="Q277" i="2" s="1"/>
  <c r="R277" i="2" s="1" a="1"/>
  <c r="R277" i="2" s="1"/>
  <c r="Q278" i="2" a="1"/>
  <c r="Q278" i="2" s="1"/>
  <c r="R278" i="2" s="1" a="1"/>
  <c r="R278" i="2" s="1"/>
  <c r="Q279" i="2" a="1"/>
  <c r="Q279" i="2" s="1"/>
  <c r="R279" i="2" s="1" a="1"/>
  <c r="R279" i="2" s="1"/>
  <c r="Q280" i="2" a="1"/>
  <c r="Q280" i="2" s="1"/>
  <c r="R280" i="2" s="1" a="1"/>
  <c r="R280" i="2" s="1"/>
  <c r="Q281" i="2" a="1"/>
  <c r="Q281" i="2" s="1"/>
  <c r="R281" i="2" s="1" a="1"/>
  <c r="R281" i="2" s="1"/>
  <c r="Q282" i="2" a="1"/>
  <c r="Q282" i="2" s="1"/>
  <c r="R282" i="2" s="1" a="1"/>
  <c r="R282" i="2" s="1"/>
  <c r="Q283" i="2" a="1"/>
  <c r="Q283" i="2" s="1"/>
  <c r="R283" i="2" s="1" a="1"/>
  <c r="R283" i="2" s="1"/>
  <c r="Q284" i="2" a="1"/>
  <c r="Q284" i="2" s="1"/>
  <c r="R284" i="2" s="1" a="1"/>
  <c r="R284" i="2" s="1"/>
  <c r="Q285" i="2" a="1"/>
  <c r="Q285" i="2" s="1"/>
  <c r="R285" i="2" s="1" a="1"/>
  <c r="R285" i="2" s="1"/>
  <c r="Q286" i="2" a="1"/>
  <c r="Q286" i="2" s="1"/>
  <c r="R286" i="2" s="1" a="1"/>
  <c r="R286" i="2" s="1"/>
  <c r="Q287" i="2" a="1"/>
  <c r="Q287" i="2" s="1"/>
  <c r="R287" i="2" s="1" a="1"/>
  <c r="R287" i="2" s="1"/>
  <c r="Q288" i="2" a="1"/>
  <c r="Q288" i="2" s="1"/>
  <c r="R288" i="2" s="1" a="1"/>
  <c r="R288" i="2" s="1"/>
  <c r="Q289" i="2" a="1"/>
  <c r="Q289" i="2" s="1"/>
  <c r="R289" i="2" s="1" a="1"/>
  <c r="R289" i="2" s="1"/>
  <c r="Q290" i="2" a="1"/>
  <c r="Q290" i="2" s="1"/>
  <c r="R290" i="2" s="1" a="1"/>
  <c r="R290" i="2" s="1"/>
  <c r="Q291" i="2" a="1"/>
  <c r="Q291" i="2" s="1"/>
  <c r="R291" i="2" s="1" a="1"/>
  <c r="R291" i="2" s="1"/>
  <c r="Q292" i="2" a="1"/>
  <c r="Q292" i="2" s="1"/>
  <c r="R292" i="2" s="1" a="1"/>
  <c r="R292" i="2" s="1"/>
  <c r="Q293" i="2" a="1"/>
  <c r="Q293" i="2" s="1"/>
  <c r="R293" i="2" s="1" a="1"/>
  <c r="R293" i="2" s="1"/>
  <c r="Q294" i="2" a="1"/>
  <c r="Q294" i="2" s="1"/>
  <c r="R294" i="2" s="1" a="1"/>
  <c r="R294" i="2" s="1"/>
  <c r="Q295" i="2" a="1"/>
  <c r="Q295" i="2" s="1"/>
  <c r="R295" i="2" s="1" a="1"/>
  <c r="R295" i="2" s="1"/>
  <c r="Q296" i="2" a="1"/>
  <c r="Q296" i="2" s="1"/>
  <c r="R296" i="2" s="1" a="1"/>
  <c r="R296" i="2" s="1"/>
  <c r="Q297" i="2" a="1"/>
  <c r="Q297" i="2" s="1"/>
  <c r="R297" i="2" s="1" a="1"/>
  <c r="R297" i="2" s="1"/>
  <c r="Q298" i="2" a="1"/>
  <c r="Q298" i="2" s="1"/>
  <c r="R298" i="2" s="1" a="1"/>
  <c r="R298" i="2" s="1"/>
  <c r="Q299" i="2" a="1"/>
  <c r="Q299" i="2" s="1"/>
  <c r="R299" i="2" s="1" a="1"/>
  <c r="R299" i="2" s="1"/>
  <c r="Q300" i="2" a="1"/>
  <c r="Q300" i="2" s="1"/>
  <c r="R300" i="2" s="1" a="1"/>
  <c r="R300" i="2" s="1"/>
  <c r="Q301" i="2" a="1"/>
  <c r="Q301" i="2" s="1"/>
  <c r="R301" i="2" s="1" a="1"/>
  <c r="R301" i="2" s="1"/>
  <c r="Q302" i="2" a="1"/>
  <c r="Q302" i="2" s="1"/>
  <c r="R302" i="2" s="1" a="1"/>
  <c r="R302" i="2" s="1"/>
  <c r="Q303" i="2" a="1"/>
  <c r="Q303" i="2" s="1"/>
  <c r="R303" i="2" s="1" a="1"/>
  <c r="R303" i="2" s="1"/>
  <c r="Q304" i="2" a="1"/>
  <c r="Q304" i="2" s="1"/>
  <c r="R304" i="2" s="1" a="1"/>
  <c r="R304" i="2" s="1"/>
  <c r="Q305" i="2" a="1"/>
  <c r="Q305" i="2" s="1"/>
  <c r="R305" i="2" s="1" a="1"/>
  <c r="R305" i="2" s="1"/>
  <c r="Q306" i="2" a="1"/>
  <c r="Q306" i="2" s="1"/>
  <c r="R306" i="2" s="1" a="1"/>
  <c r="R306" i="2" s="1"/>
  <c r="Q307" i="2" a="1"/>
  <c r="Q307" i="2" s="1"/>
  <c r="R307" i="2" s="1" a="1"/>
  <c r="R307" i="2" s="1"/>
  <c r="Q308" i="2" a="1"/>
  <c r="Q308" i="2" s="1"/>
  <c r="R308" i="2" s="1" a="1"/>
  <c r="R308" i="2" s="1"/>
  <c r="Q309" i="2" a="1"/>
  <c r="Q309" i="2" s="1"/>
  <c r="R309" i="2" s="1" a="1"/>
  <c r="R309" i="2" s="1"/>
  <c r="Q310" i="2" a="1"/>
  <c r="Q310" i="2" s="1"/>
  <c r="R310" i="2" s="1" a="1"/>
  <c r="R310" i="2" s="1"/>
  <c r="Q311" i="2" a="1"/>
  <c r="Q311" i="2" s="1"/>
  <c r="R311" i="2" s="1" a="1"/>
  <c r="R311" i="2" s="1"/>
  <c r="Q312" i="2" a="1"/>
  <c r="Q312" i="2" s="1"/>
  <c r="R312" i="2" s="1" a="1"/>
  <c r="R312" i="2" s="1"/>
  <c r="Q313" i="2" a="1"/>
  <c r="Q313" i="2" s="1"/>
  <c r="R313" i="2" s="1" a="1"/>
  <c r="R313" i="2" s="1"/>
  <c r="Q314" i="2" a="1"/>
  <c r="Q314" i="2" s="1"/>
  <c r="R314" i="2" s="1" a="1"/>
  <c r="R314" i="2" s="1"/>
  <c r="Q315" i="2" a="1"/>
  <c r="Q315" i="2" s="1"/>
  <c r="R315" i="2" s="1" a="1"/>
  <c r="R315" i="2" s="1"/>
  <c r="Q316" i="2" a="1"/>
  <c r="Q316" i="2" s="1"/>
  <c r="R316" i="2" s="1" a="1"/>
  <c r="R316" i="2" s="1"/>
  <c r="Q317" i="2" a="1"/>
  <c r="Q317" i="2" s="1"/>
  <c r="R317" i="2" s="1" a="1"/>
  <c r="R317" i="2" s="1"/>
  <c r="Q318" i="2" a="1"/>
  <c r="Q318" i="2" s="1"/>
  <c r="R318" i="2" s="1" a="1"/>
  <c r="R318" i="2" s="1"/>
  <c r="Q319" i="2" a="1"/>
  <c r="Q319" i="2" s="1"/>
  <c r="R319" i="2" s="1" a="1"/>
  <c r="R319" i="2" s="1"/>
  <c r="Q320" i="2" a="1"/>
  <c r="Q320" i="2" s="1"/>
  <c r="R320" i="2" s="1" a="1"/>
  <c r="R320" i="2" s="1"/>
  <c r="Q321" i="2" a="1"/>
  <c r="Q321" i="2" s="1"/>
  <c r="R321" i="2" s="1" a="1"/>
  <c r="R321" i="2" s="1"/>
  <c r="Q322" i="2" a="1"/>
  <c r="Q322" i="2" s="1"/>
  <c r="R322" i="2" s="1" a="1"/>
  <c r="R322" i="2" s="1"/>
  <c r="Q323" i="2" a="1"/>
  <c r="Q323" i="2" s="1"/>
  <c r="R323" i="2" s="1" a="1"/>
  <c r="R323" i="2" s="1"/>
  <c r="Q324" i="2" a="1"/>
  <c r="Q324" i="2" s="1"/>
  <c r="R324" i="2" s="1" a="1"/>
  <c r="R324" i="2" s="1"/>
  <c r="Q325" i="2" a="1"/>
  <c r="Q325" i="2" s="1"/>
  <c r="R325" i="2" s="1" a="1"/>
  <c r="R325" i="2" s="1"/>
  <c r="Q326" i="2" a="1"/>
  <c r="Q326" i="2" s="1"/>
  <c r="R326" i="2" s="1" a="1"/>
  <c r="R326" i="2" s="1"/>
  <c r="Q327" i="2" a="1"/>
  <c r="Q327" i="2" s="1"/>
  <c r="R327" i="2" s="1" a="1"/>
  <c r="R327" i="2" s="1"/>
  <c r="Q328" i="2" a="1"/>
  <c r="Q328" i="2" s="1"/>
  <c r="R328" i="2" s="1" a="1"/>
  <c r="R328" i="2" s="1"/>
  <c r="Q329" i="2" a="1"/>
  <c r="Q329" i="2" s="1"/>
  <c r="R329" i="2" s="1" a="1"/>
  <c r="R329" i="2" s="1"/>
  <c r="Q330" i="2" a="1"/>
  <c r="Q330" i="2" s="1"/>
  <c r="R330" i="2" s="1" a="1"/>
  <c r="R330" i="2" s="1"/>
  <c r="Q331" i="2" a="1"/>
  <c r="Q331" i="2" s="1"/>
  <c r="R331" i="2" s="1" a="1"/>
  <c r="R331" i="2" s="1"/>
  <c r="Q332" i="2" a="1"/>
  <c r="Q332" i="2" s="1"/>
  <c r="R332" i="2" s="1" a="1"/>
  <c r="R332" i="2" s="1"/>
  <c r="Q333" i="2" a="1"/>
  <c r="Q333" i="2" s="1"/>
  <c r="R333" i="2" s="1" a="1"/>
  <c r="R333" i="2" s="1"/>
  <c r="Q334" i="2" a="1"/>
  <c r="Q334" i="2" s="1"/>
  <c r="R334" i="2" s="1" a="1"/>
  <c r="R334" i="2" s="1"/>
  <c r="Q335" i="2" a="1"/>
  <c r="Q335" i="2" s="1"/>
  <c r="R335" i="2" s="1" a="1"/>
  <c r="R335" i="2" s="1"/>
  <c r="Q336" i="2" a="1"/>
  <c r="Q336" i="2" s="1"/>
  <c r="R336" i="2" s="1" a="1"/>
  <c r="R336" i="2" s="1"/>
  <c r="Q337" i="2" a="1"/>
  <c r="Q337" i="2" s="1"/>
  <c r="R337" i="2" s="1" a="1"/>
  <c r="R337" i="2" s="1"/>
  <c r="Q338" i="2" a="1"/>
  <c r="Q338" i="2" s="1"/>
  <c r="R338" i="2" s="1" a="1"/>
  <c r="R338" i="2" s="1"/>
  <c r="Q339" i="2" a="1"/>
  <c r="Q339" i="2" s="1"/>
  <c r="R339" i="2" s="1" a="1"/>
  <c r="R339" i="2" s="1"/>
  <c r="Q340" i="2" a="1"/>
  <c r="Q340" i="2" s="1"/>
  <c r="R340" i="2" s="1" a="1"/>
  <c r="R340" i="2" s="1"/>
  <c r="Q341" i="2" a="1"/>
  <c r="Q341" i="2" s="1"/>
  <c r="R341" i="2" s="1" a="1"/>
  <c r="R341" i="2" s="1"/>
  <c r="Q342" i="2" a="1"/>
  <c r="Q342" i="2" s="1"/>
  <c r="R342" i="2" s="1" a="1"/>
  <c r="R342" i="2" s="1"/>
  <c r="Q343" i="2" a="1"/>
  <c r="Q343" i="2" s="1"/>
  <c r="R343" i="2" s="1" a="1"/>
  <c r="R343" i="2" s="1"/>
  <c r="Q344" i="2" a="1"/>
  <c r="Q344" i="2" s="1"/>
  <c r="R344" i="2" s="1" a="1"/>
  <c r="R344" i="2" s="1"/>
  <c r="Q345" i="2" a="1"/>
  <c r="Q345" i="2" s="1"/>
  <c r="R345" i="2" s="1" a="1"/>
  <c r="R345" i="2" s="1"/>
  <c r="Q346" i="2" a="1"/>
  <c r="Q346" i="2" s="1"/>
  <c r="R346" i="2" s="1" a="1"/>
  <c r="R346" i="2" s="1"/>
  <c r="Q347" i="2" a="1"/>
  <c r="Q347" i="2" s="1"/>
  <c r="R347" i="2" s="1" a="1"/>
  <c r="R347" i="2" s="1"/>
  <c r="Q348" i="2" a="1"/>
  <c r="Q348" i="2" s="1"/>
  <c r="R348" i="2" s="1" a="1"/>
  <c r="R348" i="2" s="1"/>
  <c r="Q349" i="2" a="1"/>
  <c r="Q349" i="2" s="1"/>
  <c r="R349" i="2" s="1" a="1"/>
  <c r="R349" i="2" s="1"/>
  <c r="Q350" i="2" a="1"/>
  <c r="Q350" i="2" s="1"/>
  <c r="R350" i="2" s="1" a="1"/>
  <c r="R350" i="2" s="1"/>
  <c r="Q351" i="2" a="1"/>
  <c r="Q351" i="2" s="1"/>
  <c r="R351" i="2" s="1" a="1"/>
  <c r="R351" i="2" s="1"/>
  <c r="Q352" i="2" a="1"/>
  <c r="Q352" i="2" s="1"/>
  <c r="R352" i="2" s="1" a="1"/>
  <c r="R352" i="2" s="1"/>
  <c r="Q353" i="2" a="1"/>
  <c r="Q353" i="2" s="1"/>
  <c r="R353" i="2" s="1" a="1"/>
  <c r="R353" i="2" s="1"/>
  <c r="Q354" i="2" a="1"/>
  <c r="Q354" i="2" s="1"/>
  <c r="R354" i="2" s="1" a="1"/>
  <c r="R354" i="2" s="1"/>
  <c r="Q355" i="2" a="1"/>
  <c r="Q355" i="2" s="1"/>
  <c r="R355" i="2" s="1" a="1"/>
  <c r="R355" i="2" s="1"/>
  <c r="Q356" i="2" a="1"/>
  <c r="Q356" i="2" s="1"/>
  <c r="R356" i="2" s="1" a="1"/>
  <c r="R356" i="2" s="1"/>
  <c r="Q357" i="2" a="1"/>
  <c r="Q357" i="2" s="1"/>
  <c r="R357" i="2" s="1" a="1"/>
  <c r="R357" i="2" s="1"/>
  <c r="Q358" i="2" a="1"/>
  <c r="Q358" i="2" s="1"/>
  <c r="R358" i="2" s="1" a="1"/>
  <c r="R358" i="2" s="1"/>
  <c r="Q359" i="2" a="1"/>
  <c r="Q359" i="2" s="1"/>
  <c r="R359" i="2" s="1" a="1"/>
  <c r="R359" i="2" s="1"/>
  <c r="Q360" i="2" a="1"/>
  <c r="Q360" i="2" s="1"/>
  <c r="R360" i="2" s="1" a="1"/>
  <c r="R360" i="2" s="1"/>
  <c r="Q361" i="2" a="1"/>
  <c r="Q361" i="2" s="1"/>
  <c r="R361" i="2" s="1" a="1"/>
  <c r="R361" i="2" s="1"/>
  <c r="Q362" i="2" a="1"/>
  <c r="Q362" i="2" s="1"/>
  <c r="R362" i="2" s="1" a="1"/>
  <c r="R362" i="2" s="1"/>
  <c r="Q363" i="2" a="1"/>
  <c r="Q363" i="2" s="1"/>
  <c r="R363" i="2" s="1" a="1"/>
  <c r="R363" i="2" s="1"/>
  <c r="Q364" i="2" a="1"/>
  <c r="Q364" i="2" s="1"/>
  <c r="R364" i="2" s="1" a="1"/>
  <c r="R364" i="2" s="1"/>
  <c r="Q365" i="2" a="1"/>
  <c r="Q365" i="2" s="1"/>
  <c r="R365" i="2" s="1" a="1"/>
  <c r="R365" i="2" s="1"/>
  <c r="Q366" i="2" a="1"/>
  <c r="Q366" i="2" s="1"/>
  <c r="R366" i="2" s="1" a="1"/>
  <c r="R366" i="2" s="1"/>
  <c r="Q367" i="2" a="1"/>
  <c r="Q367" i="2" s="1"/>
  <c r="R367" i="2" s="1" a="1"/>
  <c r="R367" i="2" s="1"/>
  <c r="Q368" i="2" a="1"/>
  <c r="Q368" i="2" s="1"/>
  <c r="R368" i="2" s="1" a="1"/>
  <c r="R368" i="2" s="1"/>
  <c r="Q369" i="2" a="1"/>
  <c r="Q369" i="2" s="1"/>
  <c r="R369" i="2" s="1" a="1"/>
  <c r="R369" i="2" s="1"/>
  <c r="Q370" i="2" a="1"/>
  <c r="Q370" i="2" s="1"/>
  <c r="R370" i="2" s="1" a="1"/>
  <c r="R370" i="2" s="1"/>
  <c r="Q371" i="2" a="1"/>
  <c r="Q371" i="2" s="1"/>
  <c r="R371" i="2" s="1" a="1"/>
  <c r="R371" i="2" s="1"/>
  <c r="Q372" i="2" a="1"/>
  <c r="Q372" i="2" s="1"/>
  <c r="R372" i="2" s="1" a="1"/>
  <c r="R372" i="2" s="1"/>
  <c r="Q373" i="2" a="1"/>
  <c r="Q373" i="2" s="1"/>
  <c r="R373" i="2" s="1" a="1"/>
  <c r="R373" i="2" s="1"/>
  <c r="Q374" i="2" a="1"/>
  <c r="Q374" i="2" s="1"/>
  <c r="R374" i="2" s="1" a="1"/>
  <c r="R374" i="2" s="1"/>
  <c r="Q375" i="2" a="1"/>
  <c r="Q375" i="2" s="1"/>
  <c r="R375" i="2" s="1" a="1"/>
  <c r="R375" i="2" s="1"/>
  <c r="Q376" i="2" a="1"/>
  <c r="Q376" i="2" s="1"/>
  <c r="R376" i="2" s="1" a="1"/>
  <c r="R376" i="2" s="1"/>
  <c r="Q377" i="2" a="1"/>
  <c r="Q377" i="2" s="1"/>
  <c r="R377" i="2" s="1" a="1"/>
  <c r="R377" i="2" s="1"/>
  <c r="Q378" i="2" a="1"/>
  <c r="Q378" i="2" s="1"/>
  <c r="R378" i="2" s="1" a="1"/>
  <c r="R378" i="2" s="1"/>
  <c r="Q379" i="2" a="1"/>
  <c r="Q379" i="2" s="1"/>
  <c r="R379" i="2" s="1" a="1"/>
  <c r="R379" i="2" s="1"/>
  <c r="Q380" i="2" a="1"/>
  <c r="Q380" i="2" s="1"/>
  <c r="R380" i="2" s="1" a="1"/>
  <c r="R380" i="2" s="1"/>
  <c r="Q381" i="2" a="1"/>
  <c r="Q381" i="2" s="1"/>
  <c r="R381" i="2" s="1" a="1"/>
  <c r="R381" i="2" s="1"/>
  <c r="Q382" i="2" a="1"/>
  <c r="Q382" i="2" s="1"/>
  <c r="R382" i="2" s="1" a="1"/>
  <c r="R382" i="2" s="1"/>
  <c r="Q383" i="2" a="1"/>
  <c r="Q383" i="2" s="1"/>
  <c r="R383" i="2" s="1" a="1"/>
  <c r="R383" i="2" s="1"/>
  <c r="Q384" i="2" a="1"/>
  <c r="Q384" i="2" s="1"/>
  <c r="R384" i="2" s="1" a="1"/>
  <c r="R384" i="2" s="1"/>
  <c r="Q385" i="2" a="1"/>
  <c r="Q385" i="2" s="1"/>
  <c r="R385" i="2" s="1" a="1"/>
  <c r="R385" i="2" s="1"/>
  <c r="Q386" i="2" a="1"/>
  <c r="Q386" i="2" s="1"/>
  <c r="R386" i="2" s="1" a="1"/>
  <c r="R386" i="2" s="1"/>
  <c r="Q387" i="2" a="1"/>
  <c r="Q387" i="2" s="1"/>
  <c r="R387" i="2" s="1" a="1"/>
  <c r="R387" i="2" s="1"/>
  <c r="Q388" i="2" a="1"/>
  <c r="Q388" i="2" s="1"/>
  <c r="R388" i="2" s="1" a="1"/>
  <c r="R388" i="2" s="1"/>
  <c r="Q389" i="2" a="1"/>
  <c r="Q389" i="2" s="1"/>
  <c r="R389" i="2" s="1" a="1"/>
  <c r="R389" i="2" s="1"/>
  <c r="Q390" i="2" a="1"/>
  <c r="Q390" i="2" s="1"/>
  <c r="R390" i="2" s="1" a="1"/>
  <c r="R390" i="2" s="1"/>
  <c r="Q391" i="2" a="1"/>
  <c r="Q391" i="2" s="1"/>
  <c r="R391" i="2" s="1" a="1"/>
  <c r="R391" i="2" s="1"/>
  <c r="Q392" i="2" a="1"/>
  <c r="Q392" i="2" s="1"/>
  <c r="R392" i="2" s="1" a="1"/>
  <c r="R392" i="2" s="1"/>
  <c r="Q393" i="2" a="1"/>
  <c r="Q393" i="2" s="1"/>
  <c r="R393" i="2" s="1" a="1"/>
  <c r="R393" i="2" s="1"/>
  <c r="Q394" i="2" a="1"/>
  <c r="Q394" i="2" s="1"/>
  <c r="R394" i="2" s="1" a="1"/>
  <c r="R394" i="2" s="1"/>
  <c r="Q395" i="2" a="1"/>
  <c r="Q395" i="2" s="1"/>
  <c r="R395" i="2" s="1" a="1"/>
  <c r="R395" i="2" s="1"/>
  <c r="Q396" i="2" a="1"/>
  <c r="Q396" i="2" s="1"/>
  <c r="R396" i="2" s="1" a="1"/>
  <c r="R396" i="2" s="1"/>
  <c r="Q397" i="2" a="1"/>
  <c r="Q397" i="2" s="1"/>
  <c r="R397" i="2" s="1" a="1"/>
  <c r="R397" i="2" s="1"/>
  <c r="Q398" i="2" a="1"/>
  <c r="Q398" i="2" s="1"/>
  <c r="R398" i="2" s="1" a="1"/>
  <c r="R398" i="2" s="1"/>
  <c r="Q399" i="2" a="1"/>
  <c r="Q399" i="2" s="1"/>
  <c r="R399" i="2" s="1" a="1"/>
  <c r="R399" i="2" s="1"/>
  <c r="Q400" i="2" a="1"/>
  <c r="Q400" i="2" s="1"/>
  <c r="R400" i="2" s="1" a="1"/>
  <c r="R400" i="2" s="1"/>
  <c r="Q401" i="2" a="1"/>
  <c r="Q401" i="2" s="1"/>
  <c r="R401" i="2" s="1" a="1"/>
  <c r="R401" i="2" s="1"/>
  <c r="Q402" i="2" a="1"/>
  <c r="Q402" i="2" s="1"/>
  <c r="R402" i="2" s="1" a="1"/>
  <c r="R402" i="2" s="1"/>
  <c r="Q403" i="2" a="1"/>
  <c r="Q403" i="2" s="1"/>
  <c r="R403" i="2" s="1" a="1"/>
  <c r="R403" i="2" s="1"/>
  <c r="Q404" i="2" a="1"/>
  <c r="Q404" i="2" s="1"/>
  <c r="R404" i="2" s="1" a="1"/>
  <c r="R404" i="2" s="1"/>
  <c r="Q405" i="2" a="1"/>
  <c r="Q405" i="2" s="1"/>
  <c r="R405" i="2" s="1" a="1"/>
  <c r="R405" i="2" s="1"/>
  <c r="Q406" i="2" a="1"/>
  <c r="Q406" i="2" s="1"/>
  <c r="R406" i="2" s="1" a="1"/>
  <c r="R406" i="2" s="1"/>
  <c r="Q407" i="2" a="1"/>
  <c r="Q407" i="2" s="1"/>
  <c r="R407" i="2" s="1" a="1"/>
  <c r="R407" i="2" s="1"/>
  <c r="Q408" i="2" a="1"/>
  <c r="Q408" i="2" s="1"/>
  <c r="R408" i="2" s="1" a="1"/>
  <c r="R408" i="2" s="1"/>
  <c r="Q409" i="2" a="1"/>
  <c r="Q409" i="2" s="1"/>
  <c r="R409" i="2" s="1" a="1"/>
  <c r="R409" i="2" s="1"/>
  <c r="Q410" i="2" a="1"/>
  <c r="Q410" i="2" s="1"/>
  <c r="R410" i="2" s="1" a="1"/>
  <c r="R410" i="2" s="1"/>
  <c r="Q411" i="2" a="1"/>
  <c r="Q411" i="2" s="1"/>
  <c r="R411" i="2" s="1" a="1"/>
  <c r="R411" i="2" s="1"/>
  <c r="Q412" i="2" a="1"/>
  <c r="Q412" i="2" s="1"/>
  <c r="R412" i="2" s="1" a="1"/>
  <c r="R412" i="2" s="1"/>
  <c r="Q413" i="2" a="1"/>
  <c r="Q413" i="2" s="1"/>
  <c r="R413" i="2" s="1" a="1"/>
  <c r="R413" i="2" s="1"/>
  <c r="Q414" i="2" a="1"/>
  <c r="Q414" i="2" s="1"/>
  <c r="R414" i="2" s="1" a="1"/>
  <c r="R414" i="2" s="1"/>
  <c r="Q415" i="2" a="1"/>
  <c r="Q415" i="2" s="1"/>
  <c r="R415" i="2" s="1" a="1"/>
  <c r="R415" i="2" s="1"/>
  <c r="Q416" i="2" a="1"/>
  <c r="Q416" i="2" s="1"/>
  <c r="R416" i="2" s="1" a="1"/>
  <c r="R416" i="2" s="1"/>
  <c r="Q417" i="2" a="1"/>
  <c r="Q417" i="2" s="1"/>
  <c r="R417" i="2" s="1" a="1"/>
  <c r="R417" i="2" s="1"/>
  <c r="Q418" i="2" a="1"/>
  <c r="Q418" i="2" s="1"/>
  <c r="R418" i="2" s="1" a="1"/>
  <c r="R418" i="2" s="1"/>
  <c r="Q419" i="2" a="1"/>
  <c r="Q419" i="2" s="1"/>
  <c r="R419" i="2" s="1" a="1"/>
  <c r="R419" i="2" s="1"/>
  <c r="Q420" i="2" a="1"/>
  <c r="Q420" i="2" s="1"/>
  <c r="R420" i="2" s="1" a="1"/>
  <c r="R420" i="2" s="1"/>
  <c r="Q421" i="2" a="1"/>
  <c r="Q421" i="2" s="1"/>
  <c r="R421" i="2" s="1" a="1"/>
  <c r="R421" i="2" s="1"/>
  <c r="Q422" i="2" a="1"/>
  <c r="Q422" i="2" s="1"/>
  <c r="R422" i="2" s="1" a="1"/>
  <c r="R422" i="2" s="1"/>
  <c r="Q423" i="2" a="1"/>
  <c r="Q423" i="2" s="1"/>
  <c r="R423" i="2" s="1" a="1"/>
  <c r="R423" i="2" s="1"/>
  <c r="Q424" i="2" a="1"/>
  <c r="Q424" i="2" s="1"/>
  <c r="R424" i="2" s="1" a="1"/>
  <c r="R424" i="2" s="1"/>
  <c r="Q425" i="2" a="1"/>
  <c r="Q425" i="2" s="1"/>
  <c r="R425" i="2" s="1" a="1"/>
  <c r="R425" i="2" s="1"/>
  <c r="Q426" i="2" a="1"/>
  <c r="Q426" i="2" s="1"/>
  <c r="R426" i="2" s="1" a="1"/>
  <c r="R426" i="2" s="1"/>
  <c r="Q427" i="2" a="1"/>
  <c r="Q427" i="2" s="1"/>
  <c r="R427" i="2" s="1" a="1"/>
  <c r="R427" i="2" s="1"/>
  <c r="Q428" i="2" a="1"/>
  <c r="Q428" i="2" s="1"/>
  <c r="R428" i="2" s="1" a="1"/>
  <c r="R428" i="2" s="1"/>
  <c r="Q429" i="2" a="1"/>
  <c r="Q429" i="2" s="1"/>
  <c r="R429" i="2" s="1" a="1"/>
  <c r="R429" i="2" s="1"/>
  <c r="Q430" i="2" a="1"/>
  <c r="Q430" i="2" s="1"/>
  <c r="R430" i="2" s="1" a="1"/>
  <c r="R430" i="2" s="1"/>
  <c r="Q431" i="2" a="1"/>
  <c r="Q431" i="2" s="1"/>
  <c r="R431" i="2" s="1" a="1"/>
  <c r="R431" i="2" s="1"/>
  <c r="Q432" i="2" a="1"/>
  <c r="Q432" i="2" s="1"/>
  <c r="R432" i="2" s="1" a="1"/>
  <c r="R432" i="2" s="1"/>
  <c r="Q433" i="2" a="1"/>
  <c r="Q433" i="2" s="1"/>
  <c r="R433" i="2" s="1" a="1"/>
  <c r="R433" i="2" s="1"/>
  <c r="Q434" i="2" a="1"/>
  <c r="Q434" i="2" s="1"/>
  <c r="R434" i="2" s="1" a="1"/>
  <c r="R434" i="2" s="1"/>
  <c r="Q435" i="2" a="1"/>
  <c r="Q435" i="2" s="1"/>
  <c r="R435" i="2" s="1" a="1"/>
  <c r="R435" i="2" s="1"/>
  <c r="Q436" i="2" a="1"/>
  <c r="Q436" i="2" s="1"/>
  <c r="R436" i="2" s="1" a="1"/>
  <c r="R436" i="2" s="1"/>
  <c r="Q437" i="2" a="1"/>
  <c r="Q437" i="2" s="1"/>
  <c r="R437" i="2" s="1" a="1"/>
  <c r="R437" i="2" s="1"/>
  <c r="Q438" i="2" a="1"/>
  <c r="Q438" i="2" s="1"/>
  <c r="R438" i="2" s="1" a="1"/>
  <c r="R438" i="2" s="1"/>
  <c r="Q439" i="2" a="1"/>
  <c r="Q439" i="2" s="1"/>
  <c r="R439" i="2" s="1" a="1"/>
  <c r="R439" i="2" s="1"/>
  <c r="Q440" i="2" a="1"/>
  <c r="Q440" i="2" s="1"/>
  <c r="R440" i="2" s="1" a="1"/>
  <c r="R440" i="2" s="1"/>
  <c r="Q441" i="2" a="1"/>
  <c r="Q441" i="2" s="1"/>
  <c r="R441" i="2" s="1" a="1"/>
  <c r="R441" i="2" s="1"/>
  <c r="Q442" i="2" a="1"/>
  <c r="Q442" i="2" s="1"/>
  <c r="R442" i="2" s="1" a="1"/>
  <c r="R442" i="2" s="1"/>
  <c r="Q443" i="2" a="1"/>
  <c r="Q443" i="2" s="1"/>
  <c r="R443" i="2" s="1" a="1"/>
  <c r="R443" i="2" s="1"/>
  <c r="Q444" i="2" a="1"/>
  <c r="Q444" i="2" s="1"/>
  <c r="R444" i="2" s="1" a="1"/>
  <c r="R444" i="2" s="1"/>
  <c r="Q445" i="2" a="1"/>
  <c r="Q445" i="2" s="1"/>
  <c r="R445" i="2" s="1" a="1"/>
  <c r="R445" i="2" s="1"/>
  <c r="Q446" i="2" a="1"/>
  <c r="Q446" i="2" s="1"/>
  <c r="R446" i="2" s="1" a="1"/>
  <c r="R446" i="2" s="1"/>
  <c r="Q447" i="2" a="1"/>
  <c r="Q447" i="2" s="1"/>
  <c r="R447" i="2" s="1" a="1"/>
  <c r="R447" i="2" s="1"/>
  <c r="Q448" i="2" a="1"/>
  <c r="Q448" i="2" s="1"/>
  <c r="R448" i="2" s="1" a="1"/>
  <c r="R448" i="2" s="1"/>
  <c r="Q449" i="2" a="1"/>
  <c r="Q449" i="2" s="1"/>
  <c r="R449" i="2" s="1" a="1"/>
  <c r="R449" i="2" s="1"/>
  <c r="Q450" i="2" a="1"/>
  <c r="Q450" i="2" s="1"/>
  <c r="R450" i="2" s="1" a="1"/>
  <c r="R450" i="2" s="1"/>
  <c r="Q451" i="2" a="1"/>
  <c r="Q451" i="2" s="1"/>
  <c r="R451" i="2" s="1" a="1"/>
  <c r="R451" i="2" s="1"/>
  <c r="Q452" i="2" a="1"/>
  <c r="Q452" i="2" s="1"/>
  <c r="R452" i="2" s="1" a="1"/>
  <c r="R452" i="2" s="1"/>
  <c r="Q453" i="2" a="1"/>
  <c r="Q453" i="2" s="1"/>
  <c r="R453" i="2" s="1" a="1"/>
  <c r="R453" i="2" s="1"/>
  <c r="Q454" i="2" a="1"/>
  <c r="Q454" i="2" s="1"/>
  <c r="R454" i="2" s="1" a="1"/>
  <c r="R454" i="2" s="1"/>
  <c r="Q455" i="2" a="1"/>
  <c r="Q455" i="2" s="1"/>
  <c r="R455" i="2" s="1" a="1"/>
  <c r="R455" i="2" s="1"/>
  <c r="Q456" i="2" a="1"/>
  <c r="Q456" i="2" s="1"/>
  <c r="R456" i="2" s="1" a="1"/>
  <c r="R456" i="2" s="1"/>
  <c r="Q457" i="2" a="1"/>
  <c r="Q457" i="2" s="1"/>
  <c r="R457" i="2" s="1" a="1"/>
  <c r="R457" i="2" s="1"/>
  <c r="Q458" i="2" a="1"/>
  <c r="Q458" i="2" s="1"/>
  <c r="R458" i="2" s="1" a="1"/>
  <c r="R458" i="2" s="1"/>
  <c r="Q459" i="2" a="1"/>
  <c r="Q459" i="2" s="1"/>
  <c r="R459" i="2" s="1" a="1"/>
  <c r="R459" i="2" s="1"/>
  <c r="Q460" i="2" a="1"/>
  <c r="Q460" i="2" s="1"/>
  <c r="R460" i="2" s="1" a="1"/>
  <c r="R460" i="2" s="1"/>
  <c r="Q461" i="2" a="1"/>
  <c r="Q461" i="2" s="1"/>
  <c r="R461" i="2" s="1" a="1"/>
  <c r="R461" i="2" s="1"/>
  <c r="Q462" i="2" a="1"/>
  <c r="Q462" i="2" s="1"/>
  <c r="R462" i="2" s="1" a="1"/>
  <c r="R462" i="2" s="1"/>
  <c r="Q463" i="2" a="1"/>
  <c r="Q463" i="2" s="1"/>
  <c r="R463" i="2" s="1" a="1"/>
  <c r="R463" i="2" s="1"/>
  <c r="Q464" i="2" a="1"/>
  <c r="Q464" i="2" s="1"/>
  <c r="R464" i="2" s="1" a="1"/>
  <c r="R464" i="2" s="1"/>
  <c r="Q465" i="2" a="1"/>
  <c r="Q465" i="2" s="1"/>
  <c r="R465" i="2" s="1" a="1"/>
  <c r="R465" i="2" s="1"/>
  <c r="Q466" i="2" a="1"/>
  <c r="Q466" i="2" s="1"/>
  <c r="R466" i="2" s="1" a="1"/>
  <c r="R466" i="2" s="1"/>
  <c r="Q467" i="2" a="1"/>
  <c r="Q467" i="2" s="1"/>
  <c r="R467" i="2" s="1" a="1"/>
  <c r="R467" i="2" s="1"/>
  <c r="Q468" i="2" a="1"/>
  <c r="Q468" i="2" s="1"/>
  <c r="R468" i="2" s="1" a="1"/>
  <c r="R468" i="2" s="1"/>
  <c r="Q469" i="2" a="1"/>
  <c r="Q469" i="2" s="1"/>
  <c r="R469" i="2" s="1" a="1"/>
  <c r="R469" i="2" s="1"/>
  <c r="Q470" i="2" a="1"/>
  <c r="Q470" i="2" s="1"/>
  <c r="R470" i="2" s="1" a="1"/>
  <c r="R470" i="2" s="1"/>
  <c r="Q471" i="2" a="1"/>
  <c r="Q471" i="2" s="1"/>
  <c r="R471" i="2" s="1" a="1"/>
  <c r="R471" i="2" s="1"/>
  <c r="Q472" i="2" a="1"/>
  <c r="Q472" i="2" s="1"/>
  <c r="R472" i="2" s="1" a="1"/>
  <c r="R472" i="2" s="1"/>
  <c r="Q473" i="2" a="1"/>
  <c r="Q473" i="2" s="1"/>
  <c r="R473" i="2" s="1" a="1"/>
  <c r="R473" i="2" s="1"/>
  <c r="Q474" i="2" a="1"/>
  <c r="Q474" i="2" s="1"/>
  <c r="R474" i="2" s="1" a="1"/>
  <c r="R474" i="2" s="1"/>
  <c r="Q475" i="2" a="1"/>
  <c r="Q475" i="2" s="1"/>
  <c r="R475" i="2" s="1" a="1"/>
  <c r="R475" i="2" s="1"/>
  <c r="Q476" i="2" a="1"/>
  <c r="Q476" i="2" s="1"/>
  <c r="R476" i="2" s="1" a="1"/>
  <c r="R476" i="2" s="1"/>
  <c r="Q477" i="2" a="1"/>
  <c r="Q477" i="2" s="1"/>
  <c r="R477" i="2" s="1" a="1"/>
  <c r="R477" i="2" s="1"/>
  <c r="Q478" i="2" a="1"/>
  <c r="Q478" i="2" s="1"/>
  <c r="R478" i="2" s="1" a="1"/>
  <c r="R478" i="2" s="1"/>
  <c r="Q479" i="2" a="1"/>
  <c r="Q479" i="2" s="1"/>
  <c r="R479" i="2" s="1" a="1"/>
  <c r="R479" i="2" s="1"/>
  <c r="Q480" i="2" a="1"/>
  <c r="Q480" i="2" s="1"/>
  <c r="R480" i="2" s="1" a="1"/>
  <c r="R480" i="2" s="1"/>
  <c r="Q481" i="2" a="1"/>
  <c r="Q481" i="2" s="1"/>
  <c r="R481" i="2" s="1" a="1"/>
  <c r="R481" i="2" s="1"/>
  <c r="Q482" i="2" a="1"/>
  <c r="Q482" i="2" s="1"/>
  <c r="R482" i="2" s="1" a="1"/>
  <c r="R482" i="2" s="1"/>
  <c r="Q483" i="2" a="1"/>
  <c r="Q483" i="2" s="1"/>
  <c r="R483" i="2" s="1" a="1"/>
  <c r="R483" i="2" s="1"/>
  <c r="Q484" i="2" a="1"/>
  <c r="Q484" i="2" s="1"/>
  <c r="R484" i="2" s="1" a="1"/>
  <c r="R484" i="2" s="1"/>
  <c r="Q485" i="2" a="1"/>
  <c r="Q485" i="2" s="1"/>
  <c r="R485" i="2" s="1" a="1"/>
  <c r="R485" i="2" s="1"/>
  <c r="Q486" i="2" a="1"/>
  <c r="Q486" i="2" s="1"/>
  <c r="R486" i="2" s="1" a="1"/>
  <c r="R486" i="2" s="1"/>
  <c r="Q487" i="2" a="1"/>
  <c r="Q487" i="2" s="1"/>
  <c r="R487" i="2" s="1" a="1"/>
  <c r="R487" i="2" s="1"/>
  <c r="Q488" i="2" a="1"/>
  <c r="Q488" i="2" s="1"/>
  <c r="R488" i="2" s="1" a="1"/>
  <c r="R488" i="2" s="1"/>
  <c r="Q489" i="2" a="1"/>
  <c r="Q489" i="2" s="1"/>
  <c r="R489" i="2" s="1" a="1"/>
  <c r="R489" i="2" s="1"/>
  <c r="Q490" i="2" a="1"/>
  <c r="Q490" i="2" s="1"/>
  <c r="R490" i="2" s="1" a="1"/>
  <c r="R490" i="2" s="1"/>
  <c r="Q491" i="2" a="1"/>
  <c r="Q491" i="2" s="1"/>
  <c r="R491" i="2" s="1" a="1"/>
  <c r="R491" i="2" s="1"/>
  <c r="Q492" i="2" a="1"/>
  <c r="Q492" i="2" s="1"/>
  <c r="R492" i="2" s="1" a="1"/>
  <c r="R492" i="2" s="1"/>
  <c r="Q493" i="2" a="1"/>
  <c r="Q493" i="2" s="1"/>
  <c r="R493" i="2" s="1" a="1"/>
  <c r="R493" i="2" s="1"/>
  <c r="Q494" i="2" a="1"/>
  <c r="Q494" i="2" s="1"/>
  <c r="R494" i="2" s="1" a="1"/>
  <c r="R494" i="2" s="1"/>
  <c r="Q495" i="2" a="1"/>
  <c r="Q495" i="2" s="1"/>
  <c r="R495" i="2" s="1" a="1"/>
  <c r="R495" i="2" s="1"/>
  <c r="Q496" i="2" a="1"/>
  <c r="Q496" i="2" s="1"/>
  <c r="R496" i="2" s="1" a="1"/>
  <c r="R496" i="2" s="1"/>
  <c r="Q497" i="2" a="1"/>
  <c r="Q497" i="2" s="1"/>
  <c r="R497" i="2" s="1" a="1"/>
  <c r="R497" i="2" s="1"/>
  <c r="Q498" i="2" a="1"/>
  <c r="Q498" i="2" s="1"/>
  <c r="R498" i="2" s="1" a="1"/>
  <c r="R498" i="2" s="1"/>
  <c r="Q499" i="2" a="1"/>
  <c r="Q499" i="2" s="1"/>
  <c r="R499" i="2" s="1" a="1"/>
  <c r="R499" i="2" s="1"/>
  <c r="Q500" i="2" a="1"/>
  <c r="Q500" i="2" s="1"/>
  <c r="R500" i="2" s="1" a="1"/>
  <c r="R500" i="2" s="1"/>
  <c r="Q501" i="2" a="1"/>
  <c r="Q501" i="2" s="1"/>
  <c r="R501" i="2" s="1" a="1"/>
  <c r="R501" i="2" s="1"/>
  <c r="Q502" i="2" a="1"/>
  <c r="Q502" i="2" s="1"/>
  <c r="R502" i="2" s="1" a="1"/>
  <c r="R502" i="2" s="1"/>
  <c r="Q503" i="2" a="1"/>
  <c r="Q503" i="2" s="1"/>
  <c r="R503" i="2" s="1" a="1"/>
  <c r="R503" i="2" s="1"/>
  <c r="Q504" i="2" a="1"/>
  <c r="Q504" i="2" s="1"/>
  <c r="R504" i="2" s="1" a="1"/>
  <c r="R504" i="2" s="1"/>
  <c r="Q505" i="2" a="1"/>
  <c r="Q505" i="2" s="1"/>
  <c r="R505" i="2" s="1" a="1"/>
  <c r="R505" i="2" s="1"/>
  <c r="Q506" i="2" a="1"/>
  <c r="Q506" i="2" s="1"/>
  <c r="R506" i="2" s="1" a="1"/>
  <c r="R506" i="2" s="1"/>
  <c r="Q507" i="2" a="1"/>
  <c r="Q507" i="2" s="1"/>
  <c r="R507" i="2" s="1" a="1"/>
  <c r="R507" i="2" s="1"/>
  <c r="Q508" i="2" a="1"/>
  <c r="Q508" i="2" s="1"/>
  <c r="R508" i="2" s="1" a="1"/>
  <c r="R508" i="2" s="1"/>
  <c r="Q509" i="2" a="1"/>
  <c r="Q509" i="2" s="1"/>
  <c r="R509" i="2" s="1" a="1"/>
  <c r="R509" i="2" s="1"/>
  <c r="Q510" i="2" a="1"/>
  <c r="Q510" i="2" s="1"/>
  <c r="R510" i="2" s="1" a="1"/>
  <c r="R510" i="2" s="1"/>
  <c r="Q511" i="2" a="1"/>
  <c r="Q511" i="2" s="1"/>
  <c r="R511" i="2" s="1" a="1"/>
  <c r="R511" i="2" s="1"/>
  <c r="Q512" i="2" a="1"/>
  <c r="Q512" i="2" s="1"/>
  <c r="R512" i="2" s="1" a="1"/>
  <c r="R512" i="2" s="1"/>
  <c r="Q513" i="2" a="1"/>
  <c r="Q513" i="2" s="1"/>
  <c r="R513" i="2" s="1" a="1"/>
  <c r="R513" i="2" s="1"/>
  <c r="Q514" i="2" a="1"/>
  <c r="Q514" i="2" s="1"/>
  <c r="R514" i="2" s="1" a="1"/>
  <c r="R514" i="2" s="1"/>
  <c r="Q515" i="2" a="1"/>
  <c r="Q515" i="2" s="1"/>
  <c r="R515" i="2" s="1" a="1"/>
  <c r="R515" i="2" s="1"/>
  <c r="Q516" i="2" a="1"/>
  <c r="Q516" i="2" s="1"/>
  <c r="R516" i="2" s="1" a="1"/>
  <c r="R516" i="2" s="1"/>
  <c r="Q517" i="2" a="1"/>
  <c r="Q517" i="2" s="1"/>
  <c r="R517" i="2" s="1" a="1"/>
  <c r="R517" i="2" s="1"/>
  <c r="Q518" i="2" a="1"/>
  <c r="Q518" i="2" s="1"/>
  <c r="R518" i="2" s="1" a="1"/>
  <c r="R518" i="2" s="1"/>
  <c r="Q519" i="2" a="1"/>
  <c r="Q519" i="2" s="1"/>
  <c r="R519" i="2" s="1" a="1"/>
  <c r="R519" i="2" s="1"/>
  <c r="Q520" i="2" a="1"/>
  <c r="Q520" i="2" s="1"/>
  <c r="R520" i="2" s="1" a="1"/>
  <c r="R520" i="2" s="1"/>
  <c r="Q521" i="2" a="1"/>
  <c r="Q521" i="2" s="1"/>
  <c r="R521" i="2" s="1" a="1"/>
  <c r="R521" i="2" s="1"/>
  <c r="Q522" i="2" a="1"/>
  <c r="Q522" i="2" s="1"/>
  <c r="R522" i="2" s="1" a="1"/>
  <c r="R522" i="2" s="1"/>
  <c r="Q523" i="2" a="1"/>
  <c r="Q523" i="2" s="1"/>
  <c r="R523" i="2" s="1" a="1"/>
  <c r="R523" i="2" s="1"/>
  <c r="Q524" i="2" a="1"/>
  <c r="Q524" i="2" s="1"/>
  <c r="R524" i="2" s="1" a="1"/>
  <c r="R524" i="2" s="1"/>
  <c r="Q525" i="2" a="1"/>
  <c r="Q525" i="2" s="1"/>
  <c r="R525" i="2" s="1" a="1"/>
  <c r="R525" i="2" s="1"/>
  <c r="Q526" i="2" a="1"/>
  <c r="Q526" i="2" s="1"/>
  <c r="R526" i="2" s="1" a="1"/>
  <c r="R526" i="2" s="1"/>
  <c r="Q527" i="2" a="1"/>
  <c r="Q527" i="2" s="1"/>
  <c r="R527" i="2" s="1" a="1"/>
  <c r="R527" i="2" s="1"/>
  <c r="Q528" i="2" a="1"/>
  <c r="Q528" i="2" s="1"/>
  <c r="R528" i="2" s="1" a="1"/>
  <c r="R528" i="2" s="1"/>
  <c r="Q529" i="2" a="1"/>
  <c r="Q529" i="2" s="1"/>
  <c r="R529" i="2" s="1" a="1"/>
  <c r="R529" i="2" s="1"/>
  <c r="Q530" i="2" a="1"/>
  <c r="Q530" i="2" s="1"/>
  <c r="R530" i="2" s="1" a="1"/>
  <c r="R530" i="2" s="1"/>
  <c r="Q531" i="2" a="1"/>
  <c r="Q531" i="2" s="1"/>
  <c r="R531" i="2" s="1" a="1"/>
  <c r="R531" i="2" s="1"/>
  <c r="Q532" i="2" a="1"/>
  <c r="Q532" i="2" s="1"/>
  <c r="R532" i="2" s="1" a="1"/>
  <c r="R532" i="2" s="1"/>
  <c r="Q533" i="2" a="1"/>
  <c r="Q533" i="2" s="1"/>
  <c r="R533" i="2" s="1" a="1"/>
  <c r="R533" i="2" s="1"/>
  <c r="Q534" i="2" a="1"/>
  <c r="Q534" i="2" s="1"/>
  <c r="R534" i="2" s="1" a="1"/>
  <c r="R534" i="2" s="1"/>
  <c r="Q535" i="2" a="1"/>
  <c r="Q535" i="2" s="1"/>
  <c r="R535" i="2" s="1" a="1"/>
  <c r="R535" i="2" s="1"/>
  <c r="Q536" i="2" a="1"/>
  <c r="Q536" i="2" s="1"/>
  <c r="R536" i="2" s="1" a="1"/>
  <c r="R536" i="2" s="1"/>
  <c r="Q537" i="2" a="1"/>
  <c r="Q537" i="2" s="1"/>
  <c r="R537" i="2" s="1" a="1"/>
  <c r="R537" i="2" s="1"/>
  <c r="Q538" i="2" a="1"/>
  <c r="Q538" i="2" s="1"/>
  <c r="R538" i="2" s="1" a="1"/>
  <c r="R538" i="2" s="1"/>
  <c r="Q539" i="2" a="1"/>
  <c r="Q539" i="2" s="1"/>
  <c r="R539" i="2" s="1" a="1"/>
  <c r="R539" i="2" s="1"/>
  <c r="Q540" i="2" a="1"/>
  <c r="Q540" i="2" s="1"/>
  <c r="R540" i="2" s="1" a="1"/>
  <c r="R540" i="2" s="1"/>
  <c r="Q541" i="2" a="1"/>
  <c r="Q541" i="2" s="1"/>
  <c r="R541" i="2" s="1" a="1"/>
  <c r="R541" i="2" s="1"/>
  <c r="Q542" i="2" a="1"/>
  <c r="Q542" i="2" s="1"/>
  <c r="R542" i="2" s="1" a="1"/>
  <c r="R542" i="2" s="1"/>
  <c r="Q543" i="2" a="1"/>
  <c r="Q543" i="2" s="1"/>
  <c r="R543" i="2" s="1" a="1"/>
  <c r="R543" i="2" s="1"/>
  <c r="Q544" i="2" a="1"/>
  <c r="Q544" i="2" s="1"/>
  <c r="R544" i="2" s="1" a="1"/>
  <c r="R544" i="2" s="1"/>
  <c r="Q545" i="2" a="1"/>
  <c r="Q545" i="2" s="1"/>
  <c r="R545" i="2" s="1" a="1"/>
  <c r="R545" i="2" s="1"/>
  <c r="Q546" i="2" a="1"/>
  <c r="Q546" i="2" s="1"/>
  <c r="R546" i="2" s="1" a="1"/>
  <c r="R546" i="2" s="1"/>
  <c r="Q547" i="2" a="1"/>
  <c r="Q547" i="2" s="1"/>
  <c r="R547" i="2" s="1" a="1"/>
  <c r="R547" i="2" s="1"/>
  <c r="Q548" i="2" a="1"/>
  <c r="Q548" i="2" s="1"/>
  <c r="R548" i="2" s="1" a="1"/>
  <c r="R548" i="2" s="1"/>
  <c r="Q549" i="2" a="1"/>
  <c r="Q549" i="2" s="1"/>
  <c r="R549" i="2" s="1" a="1"/>
  <c r="R549" i="2" s="1"/>
  <c r="Q550" i="2" a="1"/>
  <c r="Q550" i="2" s="1"/>
  <c r="R550" i="2" s="1" a="1"/>
  <c r="R550" i="2" s="1"/>
  <c r="Q551" i="2" a="1"/>
  <c r="Q551" i="2" s="1"/>
  <c r="R551" i="2" s="1" a="1"/>
  <c r="R551" i="2" s="1"/>
  <c r="Q552" i="2" a="1"/>
  <c r="Q552" i="2" s="1"/>
  <c r="R552" i="2" s="1" a="1"/>
  <c r="R552" i="2" s="1"/>
  <c r="Q553" i="2" a="1"/>
  <c r="Q553" i="2" s="1"/>
  <c r="R553" i="2" s="1" a="1"/>
  <c r="R553" i="2" s="1"/>
  <c r="Q554" i="2" a="1"/>
  <c r="Q554" i="2" s="1"/>
  <c r="R554" i="2" s="1" a="1"/>
  <c r="R554" i="2" s="1"/>
  <c r="Q555" i="2" a="1"/>
  <c r="Q555" i="2" s="1"/>
  <c r="R555" i="2" s="1" a="1"/>
  <c r="R555" i="2" s="1"/>
  <c r="Q556" i="2" a="1"/>
  <c r="Q556" i="2" s="1"/>
  <c r="R556" i="2" s="1" a="1"/>
  <c r="R556" i="2" s="1"/>
  <c r="Q557" i="2" a="1"/>
  <c r="Q557" i="2" s="1"/>
  <c r="R557" i="2" s="1" a="1"/>
  <c r="R557" i="2" s="1"/>
  <c r="Q558" i="2" a="1"/>
  <c r="Q558" i="2" s="1"/>
  <c r="R558" i="2" s="1" a="1"/>
  <c r="R558" i="2" s="1"/>
  <c r="Q559" i="2" a="1"/>
  <c r="Q559" i="2" s="1"/>
  <c r="R559" i="2" s="1" a="1"/>
  <c r="R559" i="2" s="1"/>
  <c r="Q560" i="2" a="1"/>
  <c r="Q560" i="2" s="1"/>
  <c r="R560" i="2" s="1" a="1"/>
  <c r="R560" i="2" s="1"/>
  <c r="Q561" i="2" a="1"/>
  <c r="Q561" i="2" s="1"/>
  <c r="R561" i="2" s="1" a="1"/>
  <c r="R561" i="2" s="1"/>
  <c r="Q562" i="2" a="1"/>
  <c r="Q562" i="2" s="1"/>
  <c r="R562" i="2" s="1" a="1"/>
  <c r="R562" i="2" s="1"/>
  <c r="Q563" i="2" a="1"/>
  <c r="Q563" i="2" s="1"/>
  <c r="R563" i="2" s="1" a="1"/>
  <c r="R563" i="2" s="1"/>
  <c r="Q564" i="2" a="1"/>
  <c r="Q564" i="2" s="1"/>
  <c r="R564" i="2" s="1" a="1"/>
  <c r="R564" i="2" s="1"/>
  <c r="Q565" i="2" a="1"/>
  <c r="Q565" i="2" s="1"/>
  <c r="R565" i="2" s="1" a="1"/>
  <c r="R565" i="2" s="1"/>
  <c r="Q566" i="2" a="1"/>
  <c r="Q566" i="2" s="1"/>
  <c r="R566" i="2" s="1" a="1"/>
  <c r="R566" i="2" s="1"/>
  <c r="Q567" i="2" a="1"/>
  <c r="Q567" i="2" s="1"/>
  <c r="R567" i="2" s="1" a="1"/>
  <c r="R567" i="2" s="1"/>
  <c r="Q568" i="2" a="1"/>
  <c r="Q568" i="2" s="1"/>
  <c r="R568" i="2" s="1" a="1"/>
  <c r="R568" i="2" s="1"/>
  <c r="Q569" i="2" a="1"/>
  <c r="Q569" i="2" s="1"/>
  <c r="R569" i="2" s="1" a="1"/>
  <c r="R569" i="2" s="1"/>
  <c r="Q570" i="2" a="1"/>
  <c r="Q570" i="2" s="1"/>
  <c r="R570" i="2" s="1" a="1"/>
  <c r="R570" i="2" s="1"/>
  <c r="Q571" i="2" a="1"/>
  <c r="Q571" i="2" s="1"/>
  <c r="R571" i="2" s="1" a="1"/>
  <c r="R571" i="2" s="1"/>
  <c r="Q572" i="2" a="1"/>
  <c r="Q572" i="2" s="1"/>
  <c r="R572" i="2" s="1" a="1"/>
  <c r="R572" i="2" s="1"/>
  <c r="Q573" i="2" a="1"/>
  <c r="Q573" i="2" s="1"/>
  <c r="R573" i="2" s="1" a="1"/>
  <c r="R573" i="2" s="1"/>
  <c r="Q574" i="2" a="1"/>
  <c r="Q574" i="2" s="1"/>
  <c r="R574" i="2" s="1" a="1"/>
  <c r="R574" i="2" s="1"/>
  <c r="Q575" i="2" a="1"/>
  <c r="Q575" i="2" s="1"/>
  <c r="R575" i="2" s="1" a="1"/>
  <c r="R575" i="2" s="1"/>
  <c r="Q576" i="2" a="1"/>
  <c r="Q576" i="2" s="1"/>
  <c r="R576" i="2" s="1" a="1"/>
  <c r="R576" i="2" s="1"/>
  <c r="Q577" i="2" a="1"/>
  <c r="Q577" i="2" s="1"/>
  <c r="R577" i="2" s="1" a="1"/>
  <c r="R577" i="2" s="1"/>
  <c r="Q578" i="2" a="1"/>
  <c r="Q578" i="2" s="1"/>
  <c r="R578" i="2" s="1" a="1"/>
  <c r="R578" i="2" s="1"/>
  <c r="Q579" i="2" a="1"/>
  <c r="Q579" i="2" s="1"/>
  <c r="R579" i="2" s="1" a="1"/>
  <c r="R579" i="2" s="1"/>
  <c r="Q580" i="2" a="1"/>
  <c r="Q580" i="2" s="1"/>
  <c r="R580" i="2" s="1" a="1"/>
  <c r="R580" i="2" s="1"/>
  <c r="Q581" i="2" a="1"/>
  <c r="Q581" i="2" s="1"/>
  <c r="R581" i="2" s="1" a="1"/>
  <c r="R581" i="2" s="1"/>
  <c r="Q582" i="2" a="1"/>
  <c r="Q582" i="2" s="1"/>
  <c r="R582" i="2" s="1" a="1"/>
  <c r="R582" i="2" s="1"/>
  <c r="Q583" i="2" a="1"/>
  <c r="Q583" i="2" s="1"/>
  <c r="R583" i="2" s="1" a="1"/>
  <c r="R583" i="2" s="1"/>
  <c r="Q584" i="2" a="1"/>
  <c r="Q584" i="2" s="1"/>
  <c r="R584" i="2" s="1" a="1"/>
  <c r="R584" i="2" s="1"/>
  <c r="Q585" i="2" a="1"/>
  <c r="Q585" i="2" s="1"/>
  <c r="R585" i="2" s="1" a="1"/>
  <c r="R585" i="2" s="1"/>
  <c r="Q586" i="2" a="1"/>
  <c r="Q586" i="2" s="1"/>
  <c r="R586" i="2" s="1" a="1"/>
  <c r="R586" i="2" s="1"/>
  <c r="Q587" i="2" a="1"/>
  <c r="Q587" i="2" s="1"/>
  <c r="R587" i="2" s="1" a="1"/>
  <c r="R587" i="2" s="1"/>
  <c r="Q588" i="2" a="1"/>
  <c r="Q588" i="2" s="1"/>
  <c r="R588" i="2" s="1" a="1"/>
  <c r="R588" i="2" s="1"/>
  <c r="Q589" i="2" a="1"/>
  <c r="Q589" i="2" s="1"/>
  <c r="R589" i="2" s="1" a="1"/>
  <c r="R589" i="2" s="1"/>
  <c r="Q590" i="2" a="1"/>
  <c r="Q590" i="2" s="1"/>
  <c r="R590" i="2" s="1" a="1"/>
  <c r="R590" i="2" s="1"/>
  <c r="Q591" i="2" a="1"/>
  <c r="Q591" i="2" s="1"/>
  <c r="R591" i="2" s="1" a="1"/>
  <c r="R591" i="2" s="1"/>
  <c r="Q592" i="2" a="1"/>
  <c r="Q592" i="2" s="1"/>
  <c r="R592" i="2" s="1" a="1"/>
  <c r="R592" i="2" s="1"/>
  <c r="Q593" i="2" a="1"/>
  <c r="Q593" i="2" s="1"/>
  <c r="R593" i="2" s="1" a="1"/>
  <c r="R593" i="2" s="1"/>
  <c r="Q594" i="2" a="1"/>
  <c r="Q594" i="2" s="1"/>
  <c r="R594" i="2" s="1" a="1"/>
  <c r="R594" i="2" s="1"/>
  <c r="Q595" i="2" a="1"/>
  <c r="Q595" i="2" s="1"/>
  <c r="R595" i="2" s="1" a="1"/>
  <c r="R595" i="2" s="1"/>
  <c r="Q596" i="2" a="1"/>
  <c r="Q596" i="2" s="1"/>
  <c r="R596" i="2" s="1" a="1"/>
  <c r="R596" i="2" s="1"/>
  <c r="Q597" i="2" a="1"/>
  <c r="Q597" i="2" s="1"/>
  <c r="R597" i="2" s="1" a="1"/>
  <c r="R597" i="2" s="1"/>
  <c r="Q598" i="2" a="1"/>
  <c r="Q598" i="2" s="1"/>
  <c r="R598" i="2" s="1" a="1"/>
  <c r="R598" i="2" s="1"/>
  <c r="Q599" i="2" a="1"/>
  <c r="Q599" i="2" s="1"/>
  <c r="R599" i="2" s="1" a="1"/>
  <c r="R599" i="2" s="1"/>
  <c r="Q600" i="2" a="1"/>
  <c r="Q600" i="2" s="1"/>
  <c r="R600" i="2" s="1" a="1"/>
  <c r="R600" i="2" s="1"/>
  <c r="Q601" i="2" a="1"/>
  <c r="Q601" i="2" s="1"/>
  <c r="R601" i="2" s="1" a="1"/>
  <c r="R601" i="2" s="1"/>
  <c r="Q602" i="2" a="1"/>
  <c r="Q602" i="2" s="1"/>
  <c r="R602" i="2" s="1" a="1"/>
  <c r="R602" i="2" s="1"/>
  <c r="Q603" i="2" a="1"/>
  <c r="Q603" i="2" s="1"/>
  <c r="R603" i="2" s="1" a="1"/>
  <c r="R603" i="2" s="1"/>
  <c r="Q604" i="2" a="1"/>
  <c r="Q604" i="2" s="1"/>
  <c r="R604" i="2" s="1" a="1"/>
  <c r="R604" i="2" s="1"/>
  <c r="Q605" i="2" a="1"/>
  <c r="Q605" i="2" s="1"/>
  <c r="R605" i="2" s="1" a="1"/>
  <c r="R605" i="2" s="1"/>
  <c r="Q606" i="2" a="1"/>
  <c r="Q606" i="2" s="1"/>
  <c r="R606" i="2" s="1" a="1"/>
  <c r="R606" i="2" s="1"/>
  <c r="Q607" i="2" a="1"/>
  <c r="Q607" i="2" s="1"/>
  <c r="R607" i="2" s="1" a="1"/>
  <c r="R607" i="2" s="1"/>
  <c r="Q608" i="2" a="1"/>
  <c r="Q608" i="2" s="1"/>
  <c r="R608" i="2" s="1" a="1"/>
  <c r="R608" i="2" s="1"/>
  <c r="Q609" i="2" a="1"/>
  <c r="Q609" i="2" s="1"/>
  <c r="R609" i="2" s="1" a="1"/>
  <c r="R609" i="2" s="1"/>
  <c r="Q610" i="2" a="1"/>
  <c r="Q610" i="2" s="1"/>
  <c r="R610" i="2" s="1" a="1"/>
  <c r="R610" i="2" s="1"/>
  <c r="Q611" i="2" a="1"/>
  <c r="Q611" i="2" s="1"/>
  <c r="R611" i="2" s="1" a="1"/>
  <c r="R611" i="2" s="1"/>
  <c r="Q612" i="2" a="1"/>
  <c r="Q612" i="2" s="1"/>
  <c r="R612" i="2" s="1" a="1"/>
  <c r="R612" i="2" s="1"/>
  <c r="Q613" i="2" a="1"/>
  <c r="Q613" i="2" s="1"/>
  <c r="R613" i="2" s="1" a="1"/>
  <c r="R613" i="2" s="1"/>
  <c r="Q614" i="2" a="1"/>
  <c r="Q614" i="2" s="1"/>
  <c r="R614" i="2" s="1" a="1"/>
  <c r="R614" i="2" s="1"/>
  <c r="Q615" i="2" a="1"/>
  <c r="Q615" i="2" s="1"/>
  <c r="R615" i="2" s="1" a="1"/>
  <c r="R615" i="2" s="1"/>
  <c r="Q616" i="2" a="1"/>
  <c r="Q616" i="2" s="1"/>
  <c r="R616" i="2" s="1" a="1"/>
  <c r="R616" i="2" s="1"/>
  <c r="Q617" i="2" a="1"/>
  <c r="Q617" i="2" s="1"/>
  <c r="R617" i="2" s="1" a="1"/>
  <c r="R617" i="2" s="1"/>
  <c r="Q618" i="2" a="1"/>
  <c r="Q618" i="2" s="1"/>
  <c r="R618" i="2" s="1" a="1"/>
  <c r="R618" i="2" s="1"/>
  <c r="Q619" i="2" a="1"/>
  <c r="Q619" i="2" s="1"/>
  <c r="R619" i="2" s="1" a="1"/>
  <c r="R619" i="2" s="1"/>
  <c r="Q620" i="2" a="1"/>
  <c r="Q620" i="2" s="1"/>
  <c r="R620" i="2" s="1" a="1"/>
  <c r="R620" i="2" s="1"/>
  <c r="Q621" i="2" a="1"/>
  <c r="Q621" i="2" s="1"/>
  <c r="R621" i="2" s="1" a="1"/>
  <c r="R621" i="2" s="1"/>
  <c r="Q622" i="2" a="1"/>
  <c r="Q622" i="2" s="1"/>
  <c r="R622" i="2" s="1" a="1"/>
  <c r="R622" i="2" s="1"/>
  <c r="Q623" i="2" a="1"/>
  <c r="Q623" i="2" s="1"/>
  <c r="R623" i="2" s="1" a="1"/>
  <c r="R623" i="2" s="1"/>
  <c r="Q624" i="2" a="1"/>
  <c r="Q624" i="2" s="1"/>
  <c r="R624" i="2" s="1" a="1"/>
  <c r="R624" i="2" s="1"/>
  <c r="Q625" i="2" a="1"/>
  <c r="Q625" i="2" s="1"/>
  <c r="R625" i="2" s="1" a="1"/>
  <c r="R625" i="2" s="1"/>
  <c r="Q626" i="2" a="1"/>
  <c r="Q626" i="2" s="1"/>
  <c r="R626" i="2" s="1" a="1"/>
  <c r="R626" i="2" s="1"/>
  <c r="Q627" i="2" a="1"/>
  <c r="Q627" i="2" s="1"/>
  <c r="R627" i="2" s="1" a="1"/>
  <c r="R627" i="2" s="1"/>
  <c r="Q628" i="2" a="1"/>
  <c r="Q628" i="2" s="1"/>
  <c r="R628" i="2" s="1" a="1"/>
  <c r="R628" i="2" s="1"/>
  <c r="Q629" i="2" a="1"/>
  <c r="Q629" i="2" s="1"/>
  <c r="R629" i="2" s="1" a="1"/>
  <c r="R629" i="2" s="1"/>
  <c r="Q630" i="2" a="1"/>
  <c r="Q630" i="2" s="1"/>
  <c r="R630" i="2" s="1" a="1"/>
  <c r="R630" i="2" s="1"/>
  <c r="Q631" i="2" a="1"/>
  <c r="Q631" i="2" s="1"/>
  <c r="R631" i="2" s="1" a="1"/>
  <c r="R631" i="2" s="1"/>
  <c r="Q632" i="2" a="1"/>
  <c r="Q632" i="2" s="1"/>
  <c r="R632" i="2" s="1" a="1"/>
  <c r="R632" i="2" s="1"/>
  <c r="Q633" i="2" a="1"/>
  <c r="Q633" i="2" s="1"/>
  <c r="R633" i="2" s="1" a="1"/>
  <c r="R633" i="2" s="1"/>
  <c r="Q634" i="2" a="1"/>
  <c r="Q634" i="2" s="1"/>
  <c r="R634" i="2" s="1" a="1"/>
  <c r="R634" i="2" s="1"/>
  <c r="Q635" i="2" a="1"/>
  <c r="Q635" i="2" s="1"/>
  <c r="R635" i="2" s="1" a="1"/>
  <c r="R635" i="2" s="1"/>
  <c r="Q636" i="2" a="1"/>
  <c r="Q636" i="2" s="1"/>
  <c r="R636" i="2" s="1" a="1"/>
  <c r="R636" i="2" s="1"/>
  <c r="Q637" i="2" a="1"/>
  <c r="Q637" i="2" s="1"/>
  <c r="R637" i="2" s="1" a="1"/>
  <c r="R637" i="2" s="1"/>
  <c r="Q638" i="2" a="1"/>
  <c r="Q638" i="2" s="1"/>
  <c r="R638" i="2" s="1" a="1"/>
  <c r="R638" i="2" s="1"/>
  <c r="Q639" i="2" a="1"/>
  <c r="Q639" i="2" s="1"/>
  <c r="R639" i="2" s="1" a="1"/>
  <c r="R639" i="2" s="1"/>
  <c r="Q640" i="2" a="1"/>
  <c r="Q640" i="2" s="1"/>
  <c r="R640" i="2" s="1" a="1"/>
  <c r="R640" i="2" s="1"/>
  <c r="Q641" i="2" a="1"/>
  <c r="Q641" i="2" s="1"/>
  <c r="R641" i="2" s="1" a="1"/>
  <c r="R641" i="2" s="1"/>
  <c r="Q642" i="2" a="1"/>
  <c r="Q642" i="2" s="1"/>
  <c r="R642" i="2" s="1" a="1"/>
  <c r="R642" i="2" s="1"/>
  <c r="Q643" i="2" a="1"/>
  <c r="Q643" i="2" s="1"/>
  <c r="R643" i="2" s="1" a="1"/>
  <c r="R643" i="2" s="1"/>
  <c r="Q644" i="2" a="1"/>
  <c r="Q644" i="2" s="1"/>
  <c r="R644" i="2" s="1" a="1"/>
  <c r="R644" i="2" s="1"/>
  <c r="Q645" i="2" a="1"/>
  <c r="Q645" i="2" s="1"/>
  <c r="R645" i="2" s="1" a="1"/>
  <c r="R645" i="2" s="1"/>
  <c r="Q646" i="2" a="1"/>
  <c r="Q646" i="2" s="1"/>
  <c r="R646" i="2" s="1" a="1"/>
  <c r="R646" i="2" s="1"/>
  <c r="Q647" i="2" a="1"/>
  <c r="Q647" i="2" s="1"/>
  <c r="R647" i="2" s="1" a="1"/>
  <c r="R647" i="2" s="1"/>
  <c r="Q648" i="2" a="1"/>
  <c r="Q648" i="2" s="1"/>
  <c r="R648" i="2" s="1" a="1"/>
  <c r="R648" i="2" s="1"/>
  <c r="Q649" i="2" a="1"/>
  <c r="Q649" i="2" s="1"/>
  <c r="R649" i="2" s="1" a="1"/>
  <c r="R649" i="2" s="1"/>
  <c r="Q650" i="2" a="1"/>
  <c r="Q650" i="2" s="1"/>
  <c r="R650" i="2" s="1" a="1"/>
  <c r="R650" i="2" s="1"/>
  <c r="Q651" i="2" a="1"/>
  <c r="Q651" i="2" s="1"/>
  <c r="R651" i="2" s="1" a="1"/>
  <c r="R651" i="2" s="1"/>
  <c r="Q652" i="2" a="1"/>
  <c r="Q652" i="2" s="1"/>
  <c r="R652" i="2" s="1" a="1"/>
  <c r="R652" i="2" s="1"/>
  <c r="Q653" i="2" a="1"/>
  <c r="Q653" i="2" s="1"/>
  <c r="R653" i="2" s="1" a="1"/>
  <c r="R653" i="2" s="1"/>
  <c r="Q654" i="2" a="1"/>
  <c r="Q654" i="2" s="1"/>
  <c r="R654" i="2" s="1" a="1"/>
  <c r="R654" i="2" s="1"/>
  <c r="Q655" i="2" a="1"/>
  <c r="Q655" i="2" s="1"/>
  <c r="R655" i="2" s="1" a="1"/>
  <c r="R655" i="2" s="1"/>
  <c r="Q656" i="2" a="1"/>
  <c r="Q656" i="2" s="1"/>
  <c r="R656" i="2" s="1" a="1"/>
  <c r="R656" i="2" s="1"/>
  <c r="Q657" i="2" a="1"/>
  <c r="Q657" i="2" s="1"/>
  <c r="R657" i="2" s="1" a="1"/>
  <c r="R657" i="2" s="1"/>
  <c r="Q658" i="2" a="1"/>
  <c r="Q658" i="2" s="1"/>
  <c r="R658" i="2" s="1" a="1"/>
  <c r="R658" i="2" s="1"/>
  <c r="Q659" i="2" a="1"/>
  <c r="Q659" i="2" s="1"/>
  <c r="R659" i="2" s="1" a="1"/>
  <c r="R659" i="2" s="1"/>
  <c r="Q660" i="2" a="1"/>
  <c r="Q660" i="2" s="1"/>
  <c r="R660" i="2" s="1" a="1"/>
  <c r="R660" i="2" s="1"/>
  <c r="Q661" i="2" a="1"/>
  <c r="Q661" i="2" s="1"/>
  <c r="R661" i="2" s="1" a="1"/>
  <c r="R661" i="2" s="1"/>
  <c r="Q662" i="2" a="1"/>
  <c r="Q662" i="2" s="1"/>
  <c r="R662" i="2" s="1" a="1"/>
  <c r="R662" i="2" s="1"/>
  <c r="Q663" i="2" a="1"/>
  <c r="Q663" i="2" s="1"/>
  <c r="R663" i="2" s="1" a="1"/>
  <c r="R663" i="2" s="1"/>
  <c r="Q664" i="2" a="1"/>
  <c r="Q664" i="2" s="1"/>
  <c r="R664" i="2" s="1" a="1"/>
  <c r="R664" i="2" s="1"/>
  <c r="Q665" i="2" a="1"/>
  <c r="Q665" i="2" s="1"/>
  <c r="R665" i="2" s="1" a="1"/>
  <c r="R665" i="2" s="1"/>
  <c r="Q666" i="2" a="1"/>
  <c r="Q666" i="2" s="1"/>
  <c r="R666" i="2" s="1" a="1"/>
  <c r="R666" i="2" s="1"/>
  <c r="Q667" i="2" a="1"/>
  <c r="Q667" i="2" s="1"/>
  <c r="R667" i="2" s="1" a="1"/>
  <c r="R667" i="2" s="1"/>
  <c r="Q668" i="2" a="1"/>
  <c r="Q668" i="2" s="1"/>
  <c r="R668" i="2" s="1" a="1"/>
  <c r="R668" i="2" s="1"/>
  <c r="Q669" i="2" a="1"/>
  <c r="Q669" i="2" s="1"/>
  <c r="R669" i="2" s="1" a="1"/>
  <c r="R669" i="2" s="1"/>
  <c r="Q670" i="2" a="1"/>
  <c r="Q670" i="2" s="1"/>
  <c r="R670" i="2" s="1" a="1"/>
  <c r="R670" i="2" s="1"/>
  <c r="Q671" i="2" a="1"/>
  <c r="Q671" i="2" s="1"/>
  <c r="R671" i="2" s="1" a="1"/>
  <c r="R671" i="2" s="1"/>
  <c r="Q672" i="2" a="1"/>
  <c r="Q672" i="2" s="1"/>
  <c r="R672" i="2" s="1" a="1"/>
  <c r="R672" i="2" s="1"/>
  <c r="Q673" i="2" a="1"/>
  <c r="Q673" i="2" s="1"/>
  <c r="R673" i="2" s="1" a="1"/>
  <c r="R673" i="2" s="1"/>
  <c r="Q674" i="2" a="1"/>
  <c r="Q674" i="2" s="1"/>
  <c r="R674" i="2" s="1" a="1"/>
  <c r="R674" i="2" s="1"/>
  <c r="Q675" i="2" a="1"/>
  <c r="Q675" i="2" s="1"/>
  <c r="R675" i="2" s="1" a="1"/>
  <c r="R675" i="2" s="1"/>
  <c r="Q676" i="2" a="1"/>
  <c r="Q676" i="2" s="1"/>
  <c r="R676" i="2" s="1" a="1"/>
  <c r="R676" i="2" s="1"/>
  <c r="Q677" i="2" a="1"/>
  <c r="Q677" i="2" s="1"/>
  <c r="R677" i="2" s="1" a="1"/>
  <c r="R677" i="2" s="1"/>
  <c r="Q678" i="2" a="1"/>
  <c r="Q678" i="2" s="1"/>
  <c r="R678" i="2" s="1" a="1"/>
  <c r="R678" i="2" s="1"/>
  <c r="Q679" i="2" a="1"/>
  <c r="Q679" i="2" s="1"/>
  <c r="R679" i="2" s="1" a="1"/>
  <c r="R679" i="2" s="1"/>
  <c r="Q680" i="2" a="1"/>
  <c r="Q680" i="2" s="1"/>
  <c r="R680" i="2" s="1" a="1"/>
  <c r="R680" i="2" s="1"/>
  <c r="Q681" i="2" a="1"/>
  <c r="Q681" i="2" s="1"/>
  <c r="R681" i="2" s="1" a="1"/>
  <c r="R681" i="2" s="1"/>
  <c r="Q682" i="2" a="1"/>
  <c r="Q682" i="2" s="1"/>
  <c r="R682" i="2" s="1" a="1"/>
  <c r="R682" i="2" s="1"/>
  <c r="Q683" i="2" a="1"/>
  <c r="Q683" i="2" s="1"/>
  <c r="R683" i="2" s="1" a="1"/>
  <c r="R683" i="2" s="1"/>
  <c r="Q684" i="2" a="1"/>
  <c r="Q684" i="2" s="1"/>
  <c r="R684" i="2" s="1" a="1"/>
  <c r="R684" i="2" s="1"/>
  <c r="Q685" i="2" a="1"/>
  <c r="Q685" i="2" s="1"/>
  <c r="R685" i="2" s="1" a="1"/>
  <c r="R685" i="2" s="1"/>
  <c r="Q686" i="2" a="1"/>
  <c r="Q686" i="2" s="1"/>
  <c r="R686" i="2" s="1" a="1"/>
  <c r="R686" i="2" s="1"/>
  <c r="Q687" i="2" a="1"/>
  <c r="Q687" i="2" s="1"/>
  <c r="R687" i="2" s="1" a="1"/>
  <c r="R687" i="2" s="1"/>
  <c r="Q688" i="2" a="1"/>
  <c r="Q688" i="2" s="1"/>
  <c r="R688" i="2" s="1" a="1"/>
  <c r="R688" i="2" s="1"/>
  <c r="Q689" i="2" a="1"/>
  <c r="Q689" i="2" s="1"/>
  <c r="R689" i="2" s="1" a="1"/>
  <c r="R689" i="2" s="1"/>
  <c r="Q690" i="2" a="1"/>
  <c r="Q690" i="2" s="1"/>
  <c r="R690" i="2" s="1" a="1"/>
  <c r="R690" i="2" s="1"/>
  <c r="Q691" i="2" a="1"/>
  <c r="Q691" i="2" s="1"/>
  <c r="R691" i="2" s="1" a="1"/>
  <c r="R691" i="2" s="1"/>
  <c r="Q692" i="2" a="1"/>
  <c r="Q692" i="2" s="1"/>
  <c r="R692" i="2" s="1" a="1"/>
  <c r="R692" i="2" s="1"/>
  <c r="Q693" i="2" a="1"/>
  <c r="Q693" i="2" s="1"/>
  <c r="R693" i="2" s="1" a="1"/>
  <c r="R693" i="2" s="1"/>
  <c r="Q694" i="2" a="1"/>
  <c r="Q694" i="2" s="1"/>
  <c r="R694" i="2" s="1" a="1"/>
  <c r="R694" i="2" s="1"/>
  <c r="Q695" i="2" a="1"/>
  <c r="Q695" i="2" s="1"/>
  <c r="R695" i="2" s="1" a="1"/>
  <c r="R695" i="2" s="1"/>
  <c r="Q696" i="2" a="1"/>
  <c r="Q696" i="2" s="1"/>
  <c r="R696" i="2" s="1" a="1"/>
  <c r="R696" i="2" s="1"/>
  <c r="Q697" i="2" a="1"/>
  <c r="Q697" i="2" s="1"/>
  <c r="R697" i="2" s="1" a="1"/>
  <c r="R697" i="2" s="1"/>
  <c r="Q698" i="2" a="1"/>
  <c r="Q698" i="2" s="1"/>
  <c r="R698" i="2" s="1" a="1"/>
  <c r="R698" i="2" s="1"/>
  <c r="Q699" i="2" a="1"/>
  <c r="Q699" i="2" s="1"/>
  <c r="R699" i="2" s="1" a="1"/>
  <c r="R699" i="2" s="1"/>
  <c r="Q700" i="2" a="1"/>
  <c r="Q700" i="2" s="1"/>
  <c r="R700" i="2" s="1" a="1"/>
  <c r="R700" i="2" s="1"/>
  <c r="Q701" i="2" a="1"/>
  <c r="Q701" i="2" s="1"/>
  <c r="R701" i="2" s="1" a="1"/>
  <c r="R701" i="2" s="1"/>
  <c r="Q702" i="2" a="1"/>
  <c r="Q702" i="2" s="1"/>
  <c r="R702" i="2" s="1" a="1"/>
  <c r="R702" i="2" s="1"/>
  <c r="Q703" i="2" a="1"/>
  <c r="Q703" i="2" s="1"/>
  <c r="R703" i="2" s="1" a="1"/>
  <c r="R703" i="2" s="1"/>
  <c r="Q704" i="2" a="1"/>
  <c r="Q704" i="2" s="1"/>
  <c r="R704" i="2" s="1" a="1"/>
  <c r="R704" i="2" s="1"/>
  <c r="Q705" i="2" a="1"/>
  <c r="Q705" i="2" s="1"/>
  <c r="R705" i="2" s="1" a="1"/>
  <c r="R705" i="2" s="1"/>
  <c r="Q706" i="2" a="1"/>
  <c r="Q706" i="2" s="1"/>
  <c r="R706" i="2" s="1" a="1"/>
  <c r="R706" i="2" s="1"/>
  <c r="Q707" i="2" a="1"/>
  <c r="Q707" i="2" s="1"/>
  <c r="R707" i="2" s="1" a="1"/>
  <c r="R707" i="2" s="1"/>
  <c r="Q708" i="2" a="1"/>
  <c r="Q708" i="2" s="1"/>
  <c r="R708" i="2" s="1" a="1"/>
  <c r="R708" i="2" s="1"/>
  <c r="Q709" i="2" a="1"/>
  <c r="Q709" i="2" s="1"/>
  <c r="R709" i="2" s="1" a="1"/>
  <c r="R709" i="2" s="1"/>
  <c r="Q710" i="2" a="1"/>
  <c r="Q710" i="2" s="1"/>
  <c r="R710" i="2" s="1" a="1"/>
  <c r="R710" i="2" s="1"/>
  <c r="Q711" i="2" a="1"/>
  <c r="Q711" i="2" s="1"/>
  <c r="R711" i="2" s="1" a="1"/>
  <c r="R711" i="2" s="1"/>
  <c r="Q712" i="2" a="1"/>
  <c r="Q712" i="2" s="1"/>
  <c r="R712" i="2" s="1" a="1"/>
  <c r="R712" i="2" s="1"/>
  <c r="Q713" i="2" a="1"/>
  <c r="Q713" i="2" s="1"/>
  <c r="R713" i="2" s="1" a="1"/>
  <c r="R713" i="2" s="1"/>
  <c r="Q714" i="2" a="1"/>
  <c r="Q714" i="2" s="1"/>
  <c r="R714" i="2" s="1" a="1"/>
  <c r="R714" i="2" s="1"/>
  <c r="Q715" i="2" a="1"/>
  <c r="Q715" i="2" s="1"/>
  <c r="R715" i="2" s="1" a="1"/>
  <c r="R715" i="2" s="1"/>
  <c r="Q716" i="2" a="1"/>
  <c r="Q716" i="2" s="1"/>
  <c r="R716" i="2" s="1" a="1"/>
  <c r="R716" i="2" s="1"/>
  <c r="Q717" i="2" a="1"/>
  <c r="Q717" i="2" s="1"/>
  <c r="R717" i="2" s="1" a="1"/>
  <c r="R717" i="2" s="1"/>
  <c r="Q718" i="2" a="1"/>
  <c r="Q718" i="2" s="1"/>
  <c r="R718" i="2" s="1" a="1"/>
  <c r="R718" i="2" s="1"/>
  <c r="Q719" i="2" a="1"/>
  <c r="Q719" i="2" s="1"/>
  <c r="R719" i="2" s="1" a="1"/>
  <c r="R719" i="2" s="1"/>
  <c r="Q720" i="2" a="1"/>
  <c r="Q720" i="2" s="1"/>
  <c r="R720" i="2" s="1" a="1"/>
  <c r="R720" i="2" s="1"/>
  <c r="Q721" i="2" a="1"/>
  <c r="Q721" i="2" s="1"/>
  <c r="R721" i="2" s="1" a="1"/>
  <c r="R721" i="2" s="1"/>
  <c r="Q722" i="2" a="1"/>
  <c r="Q722" i="2" s="1"/>
  <c r="R722" i="2" s="1" a="1"/>
  <c r="R722" i="2" s="1"/>
  <c r="Q723" i="2" a="1"/>
  <c r="Q723" i="2" s="1"/>
  <c r="R723" i="2" s="1" a="1"/>
  <c r="R723" i="2" s="1"/>
  <c r="Q724" i="2" a="1"/>
  <c r="Q724" i="2" s="1"/>
  <c r="R724" i="2" s="1" a="1"/>
  <c r="R724" i="2" s="1"/>
  <c r="Q725" i="2" a="1"/>
  <c r="Q725" i="2" s="1"/>
  <c r="R725" i="2" s="1" a="1"/>
  <c r="R725" i="2" s="1"/>
  <c r="Q726" i="2" a="1"/>
  <c r="Q726" i="2" s="1"/>
  <c r="R726" i="2" s="1" a="1"/>
  <c r="R726" i="2" s="1"/>
  <c r="Q727" i="2" a="1"/>
  <c r="Q727" i="2" s="1"/>
  <c r="R727" i="2" s="1" a="1"/>
  <c r="R727" i="2" s="1"/>
  <c r="Q728" i="2" a="1"/>
  <c r="Q728" i="2" s="1"/>
  <c r="R728" i="2" s="1" a="1"/>
  <c r="R728" i="2" s="1"/>
  <c r="Q729" i="2" a="1"/>
  <c r="Q729" i="2" s="1"/>
  <c r="R729" i="2" s="1" a="1"/>
  <c r="R729" i="2" s="1"/>
  <c r="Q730" i="2" a="1"/>
  <c r="Q730" i="2" s="1"/>
  <c r="R730" i="2" s="1" a="1"/>
  <c r="R730" i="2" s="1"/>
  <c r="Q731" i="2" a="1"/>
  <c r="Q731" i="2" s="1"/>
  <c r="R731" i="2" s="1" a="1"/>
  <c r="R731" i="2" s="1"/>
  <c r="Q732" i="2" a="1"/>
  <c r="Q732" i="2" s="1"/>
  <c r="R732" i="2" s="1" a="1"/>
  <c r="R732" i="2" s="1"/>
  <c r="Q733" i="2" a="1"/>
  <c r="Q733" i="2" s="1"/>
  <c r="R733" i="2" s="1" a="1"/>
  <c r="R733" i="2" s="1"/>
  <c r="Q734" i="2" a="1"/>
  <c r="Q734" i="2" s="1"/>
  <c r="R734" i="2" s="1" a="1"/>
  <c r="R734" i="2" s="1"/>
  <c r="Q735" i="2" a="1"/>
  <c r="Q735" i="2" s="1"/>
  <c r="R735" i="2" s="1" a="1"/>
  <c r="R735" i="2" s="1"/>
  <c r="Q736" i="2" a="1"/>
  <c r="Q736" i="2" s="1"/>
  <c r="R736" i="2" s="1" a="1"/>
  <c r="R736" i="2" s="1"/>
  <c r="Q737" i="2" a="1"/>
  <c r="Q737" i="2" s="1"/>
  <c r="R737" i="2" s="1" a="1"/>
  <c r="R737" i="2" s="1"/>
  <c r="Q738" i="2" a="1"/>
  <c r="Q738" i="2" s="1"/>
  <c r="R738" i="2" s="1" a="1"/>
  <c r="R738" i="2" s="1"/>
  <c r="Q739" i="2" a="1"/>
  <c r="Q739" i="2" s="1"/>
  <c r="R739" i="2" s="1" a="1"/>
  <c r="R739" i="2" s="1"/>
  <c r="Q740" i="2" a="1"/>
  <c r="Q740" i="2" s="1"/>
  <c r="R740" i="2" s="1" a="1"/>
  <c r="R740" i="2" s="1"/>
  <c r="Q741" i="2" a="1"/>
  <c r="Q741" i="2" s="1"/>
  <c r="R741" i="2" s="1" a="1"/>
  <c r="R741" i="2" s="1"/>
  <c r="Q742" i="2" a="1"/>
  <c r="Q742" i="2" s="1"/>
  <c r="R742" i="2" s="1" a="1"/>
  <c r="R742" i="2" s="1"/>
  <c r="Q743" i="2" a="1"/>
  <c r="Q743" i="2" s="1"/>
  <c r="R743" i="2" s="1" a="1"/>
  <c r="R743" i="2" s="1"/>
  <c r="Q744" i="2" a="1"/>
  <c r="Q744" i="2" s="1"/>
  <c r="R744" i="2" s="1" a="1"/>
  <c r="R744" i="2" s="1"/>
  <c r="Q745" i="2" a="1"/>
  <c r="Q745" i="2" s="1"/>
  <c r="R745" i="2" s="1" a="1"/>
  <c r="R745" i="2" s="1"/>
  <c r="Q746" i="2" a="1"/>
  <c r="Q746" i="2" s="1"/>
  <c r="R746" i="2" s="1" a="1"/>
  <c r="R746" i="2" s="1"/>
  <c r="Q747" i="2" a="1"/>
  <c r="Q747" i="2" s="1"/>
  <c r="R747" i="2" s="1" a="1"/>
  <c r="R747" i="2" s="1"/>
  <c r="Q748" i="2" a="1"/>
  <c r="Q748" i="2" s="1"/>
  <c r="R748" i="2" s="1" a="1"/>
  <c r="R748" i="2" s="1"/>
  <c r="Q749" i="2" a="1"/>
  <c r="Q749" i="2" s="1"/>
  <c r="R749" i="2" s="1" a="1"/>
  <c r="R749" i="2" s="1"/>
  <c r="Q750" i="2" a="1"/>
  <c r="Q750" i="2" s="1"/>
  <c r="R750" i="2" s="1" a="1"/>
  <c r="R750" i="2" s="1"/>
  <c r="Q751" i="2" a="1"/>
  <c r="Q751" i="2" s="1"/>
  <c r="R751" i="2" s="1" a="1"/>
  <c r="R751" i="2" s="1"/>
  <c r="Q752" i="2" a="1"/>
  <c r="Q752" i="2" s="1"/>
  <c r="R752" i="2" s="1" a="1"/>
  <c r="R752" i="2" s="1"/>
  <c r="Q753" i="2" a="1"/>
  <c r="Q753" i="2" s="1"/>
  <c r="R753" i="2" s="1" a="1"/>
  <c r="R753" i="2" s="1"/>
  <c r="Q754" i="2" a="1"/>
  <c r="Q754" i="2" s="1"/>
  <c r="R754" i="2" s="1" a="1"/>
  <c r="R754" i="2" s="1"/>
  <c r="Q755" i="2" a="1"/>
  <c r="Q755" i="2" s="1"/>
  <c r="R755" i="2" s="1" a="1"/>
  <c r="R755" i="2" s="1"/>
  <c r="Q756" i="2" a="1"/>
  <c r="Q756" i="2" s="1"/>
  <c r="R756" i="2" s="1" a="1"/>
  <c r="R756" i="2" s="1"/>
  <c r="Q757" i="2" a="1"/>
  <c r="Q757" i="2" s="1"/>
  <c r="R757" i="2" s="1" a="1"/>
  <c r="R757" i="2" s="1"/>
  <c r="Q758" i="2" a="1"/>
  <c r="Q758" i="2" s="1"/>
  <c r="R758" i="2" s="1" a="1"/>
  <c r="R758" i="2" s="1"/>
  <c r="Q759" i="2" a="1"/>
  <c r="Q759" i="2" s="1"/>
  <c r="R759" i="2" s="1" a="1"/>
  <c r="R759" i="2" s="1"/>
  <c r="Q760" i="2" a="1"/>
  <c r="Q760" i="2" s="1"/>
  <c r="R760" i="2" s="1" a="1"/>
  <c r="R760" i="2" s="1"/>
  <c r="Q761" i="2" a="1"/>
  <c r="Q761" i="2" s="1"/>
  <c r="R761" i="2" s="1" a="1"/>
  <c r="R761" i="2" s="1"/>
  <c r="Q762" i="2" a="1"/>
  <c r="Q762" i="2" s="1"/>
  <c r="R762" i="2" s="1" a="1"/>
  <c r="R762" i="2" s="1"/>
  <c r="Q763" i="2" a="1"/>
  <c r="Q763" i="2" s="1"/>
  <c r="R763" i="2" s="1" a="1"/>
  <c r="R763" i="2" s="1"/>
  <c r="Q764" i="2" a="1"/>
  <c r="Q764" i="2" s="1"/>
  <c r="R764" i="2" s="1" a="1"/>
  <c r="R764" i="2" s="1"/>
  <c r="Q765" i="2" a="1"/>
  <c r="Q765" i="2" s="1"/>
  <c r="R765" i="2" s="1" a="1"/>
  <c r="R765" i="2" s="1"/>
  <c r="Q766" i="2" a="1"/>
  <c r="Q766" i="2" s="1"/>
  <c r="R766" i="2" s="1" a="1"/>
  <c r="R766" i="2" s="1"/>
  <c r="Q767" i="2" a="1"/>
  <c r="Q767" i="2" s="1"/>
  <c r="R767" i="2" s="1" a="1"/>
  <c r="R767" i="2" s="1"/>
  <c r="Q768" i="2" a="1"/>
  <c r="Q768" i="2" s="1"/>
  <c r="R768" i="2" s="1" a="1"/>
  <c r="R768" i="2" s="1"/>
  <c r="Q769" i="2" a="1"/>
  <c r="Q769" i="2" s="1"/>
  <c r="R769" i="2" s="1" a="1"/>
  <c r="R769" i="2" s="1"/>
  <c r="Q770" i="2" a="1"/>
  <c r="Q770" i="2" s="1"/>
  <c r="R770" i="2" s="1" a="1"/>
  <c r="R770" i="2" s="1"/>
  <c r="Q771" i="2" a="1"/>
  <c r="Q771" i="2" s="1"/>
  <c r="R771" i="2" s="1" a="1"/>
  <c r="R771" i="2" s="1"/>
  <c r="Q772" i="2" a="1"/>
  <c r="Q772" i="2" s="1"/>
  <c r="R772" i="2" s="1" a="1"/>
  <c r="R772" i="2" s="1"/>
  <c r="Q773" i="2" a="1"/>
  <c r="Q773" i="2" s="1"/>
  <c r="R773" i="2" s="1" a="1"/>
  <c r="R773" i="2" s="1"/>
  <c r="Q774" i="2" a="1"/>
  <c r="Q774" i="2" s="1"/>
  <c r="R774" i="2" s="1" a="1"/>
  <c r="R774" i="2" s="1"/>
  <c r="Q775" i="2" a="1"/>
  <c r="Q775" i="2" s="1"/>
  <c r="R775" i="2" s="1" a="1"/>
  <c r="R775" i="2" s="1"/>
  <c r="Q776" i="2" a="1"/>
  <c r="Q776" i="2" s="1"/>
  <c r="R776" i="2" s="1" a="1"/>
  <c r="R776" i="2" s="1"/>
  <c r="Q777" i="2" a="1"/>
  <c r="Q777" i="2" s="1"/>
  <c r="R777" i="2" s="1" a="1"/>
  <c r="R777" i="2" s="1"/>
  <c r="Q778" i="2" a="1"/>
  <c r="Q778" i="2" s="1"/>
  <c r="R778" i="2" s="1" a="1"/>
  <c r="R778" i="2" s="1"/>
  <c r="Q779" i="2" a="1"/>
  <c r="Q779" i="2" s="1"/>
  <c r="R779" i="2" s="1" a="1"/>
  <c r="R779" i="2" s="1"/>
  <c r="Q780" i="2" a="1"/>
  <c r="Q780" i="2" s="1"/>
  <c r="R780" i="2" s="1" a="1"/>
  <c r="R780" i="2" s="1"/>
  <c r="Q781" i="2" a="1"/>
  <c r="Q781" i="2" s="1"/>
  <c r="R781" i="2" s="1" a="1"/>
  <c r="R781" i="2" s="1"/>
  <c r="Q782" i="2" a="1"/>
  <c r="Q782" i="2" s="1"/>
  <c r="R782" i="2" s="1" a="1"/>
  <c r="R782" i="2" s="1"/>
  <c r="Q783" i="2" a="1"/>
  <c r="Q783" i="2" s="1"/>
  <c r="R783" i="2" s="1" a="1"/>
  <c r="R783" i="2" s="1"/>
  <c r="Q784" i="2" a="1"/>
  <c r="Q784" i="2" s="1"/>
  <c r="R784" i="2" s="1" a="1"/>
  <c r="R784" i="2" s="1"/>
  <c r="Q785" i="2" a="1"/>
  <c r="Q785" i="2" s="1"/>
  <c r="R785" i="2" s="1" a="1"/>
  <c r="R785" i="2" s="1"/>
  <c r="Q786" i="2" a="1"/>
  <c r="Q786" i="2" s="1"/>
  <c r="R786" i="2" s="1" a="1"/>
  <c r="R786" i="2" s="1"/>
  <c r="Q787" i="2" a="1"/>
  <c r="Q787" i="2" s="1"/>
  <c r="R787" i="2" s="1" a="1"/>
  <c r="R787" i="2" s="1"/>
  <c r="Q788" i="2" a="1"/>
  <c r="Q788" i="2" s="1"/>
  <c r="R788" i="2" s="1" a="1"/>
  <c r="R788" i="2" s="1"/>
  <c r="Q789" i="2" a="1"/>
  <c r="Q789" i="2" s="1"/>
  <c r="R789" i="2" s="1" a="1"/>
  <c r="R789" i="2" s="1"/>
  <c r="Q790" i="2" a="1"/>
  <c r="Q790" i="2" s="1"/>
  <c r="R790" i="2" s="1" a="1"/>
  <c r="R790" i="2" s="1"/>
  <c r="Q791" i="2" a="1"/>
  <c r="Q791" i="2" s="1"/>
  <c r="R791" i="2" s="1" a="1"/>
  <c r="R791" i="2" s="1"/>
  <c r="Q792" i="2" a="1"/>
  <c r="Q792" i="2" s="1"/>
  <c r="R792" i="2" s="1" a="1"/>
  <c r="R792" i="2" s="1"/>
  <c r="Q793" i="2" a="1"/>
  <c r="Q793" i="2" s="1"/>
  <c r="R793" i="2" s="1" a="1"/>
  <c r="R793" i="2" s="1"/>
  <c r="Q794" i="2" a="1"/>
  <c r="Q794" i="2" s="1"/>
  <c r="R794" i="2" s="1" a="1"/>
  <c r="R794" i="2" s="1"/>
  <c r="Q795" i="2" a="1"/>
  <c r="Q795" i="2" s="1"/>
  <c r="R795" i="2" s="1" a="1"/>
  <c r="R795" i="2" s="1"/>
  <c r="Q796" i="2" a="1"/>
  <c r="Q796" i="2" s="1"/>
  <c r="R796" i="2" s="1" a="1"/>
  <c r="R796" i="2" s="1"/>
  <c r="Q797" i="2" a="1"/>
  <c r="Q797" i="2" s="1"/>
  <c r="R797" i="2" s="1" a="1"/>
  <c r="R797" i="2" s="1"/>
  <c r="Q798" i="2" a="1"/>
  <c r="Q798" i="2" s="1"/>
  <c r="R798" i="2" s="1" a="1"/>
  <c r="R798" i="2" s="1"/>
  <c r="Q799" i="2" a="1"/>
  <c r="Q799" i="2" s="1"/>
  <c r="R799" i="2" s="1" a="1"/>
  <c r="R799" i="2" s="1"/>
  <c r="Q800" i="2" a="1"/>
  <c r="Q800" i="2" s="1"/>
  <c r="R800" i="2" s="1" a="1"/>
  <c r="R800" i="2" s="1"/>
  <c r="Q801" i="2" a="1"/>
  <c r="Q801" i="2" s="1"/>
  <c r="R801" i="2" s="1" a="1"/>
  <c r="R801" i="2" s="1"/>
  <c r="Q802" i="2" a="1"/>
  <c r="Q802" i="2" s="1"/>
  <c r="R802" i="2" s="1" a="1"/>
  <c r="R802" i="2" s="1"/>
  <c r="Q803" i="2" a="1"/>
  <c r="Q803" i="2" s="1"/>
  <c r="R803" i="2" s="1" a="1"/>
  <c r="R803" i="2" s="1"/>
  <c r="Q804" i="2" a="1"/>
  <c r="Q804" i="2" s="1"/>
  <c r="R804" i="2" s="1" a="1"/>
  <c r="R804" i="2" s="1"/>
  <c r="Q805" i="2" a="1"/>
  <c r="Q805" i="2" s="1"/>
  <c r="R805" i="2" s="1" a="1"/>
  <c r="R805" i="2" s="1"/>
  <c r="Q806" i="2" a="1"/>
  <c r="Q806" i="2" s="1"/>
  <c r="R806" i="2" s="1" a="1"/>
  <c r="R806" i="2" s="1"/>
  <c r="Q807" i="2" a="1"/>
  <c r="Q807" i="2" s="1"/>
  <c r="R807" i="2" s="1" a="1"/>
  <c r="R807" i="2" s="1"/>
  <c r="Q808" i="2" a="1"/>
  <c r="Q808" i="2" s="1"/>
  <c r="R808" i="2" s="1" a="1"/>
  <c r="R808" i="2" s="1"/>
  <c r="Q809" i="2" a="1"/>
  <c r="Q809" i="2" s="1"/>
  <c r="R809" i="2" s="1" a="1"/>
  <c r="R809" i="2" s="1"/>
  <c r="Q810" i="2" a="1"/>
  <c r="Q810" i="2" s="1"/>
  <c r="R810" i="2" s="1" a="1"/>
  <c r="R810" i="2" s="1"/>
  <c r="Q811" i="2" a="1"/>
  <c r="Q811" i="2" s="1"/>
  <c r="R811" i="2" s="1" a="1"/>
  <c r="R811" i="2" s="1"/>
  <c r="Q812" i="2" a="1"/>
  <c r="Q812" i="2" s="1"/>
  <c r="R812" i="2" s="1" a="1"/>
  <c r="R812" i="2" s="1"/>
  <c r="Q813" i="2" a="1"/>
  <c r="Q813" i="2" s="1"/>
  <c r="R813" i="2" s="1" a="1"/>
  <c r="R813" i="2" s="1"/>
  <c r="Q814" i="2" a="1"/>
  <c r="Q814" i="2" s="1"/>
  <c r="R814" i="2" s="1" a="1"/>
  <c r="R814" i="2" s="1"/>
  <c r="Q815" i="2" a="1"/>
  <c r="Q815" i="2" s="1"/>
  <c r="R815" i="2" s="1" a="1"/>
  <c r="R815" i="2" s="1"/>
  <c r="Q816" i="2" a="1"/>
  <c r="Q816" i="2" s="1"/>
  <c r="R816" i="2" s="1" a="1"/>
  <c r="R816" i="2" s="1"/>
  <c r="Q817" i="2" a="1"/>
  <c r="Q817" i="2" s="1"/>
  <c r="R817" i="2" s="1" a="1"/>
  <c r="R817" i="2" s="1"/>
  <c r="Q818" i="2" a="1"/>
  <c r="Q818" i="2" s="1"/>
  <c r="R818" i="2" s="1" a="1"/>
  <c r="R818" i="2" s="1"/>
  <c r="Q819" i="2" a="1"/>
  <c r="Q819" i="2" s="1"/>
  <c r="R819" i="2" s="1" a="1"/>
  <c r="R819" i="2" s="1"/>
  <c r="Q820" i="2" a="1"/>
  <c r="Q820" i="2" s="1"/>
  <c r="R820" i="2" s="1" a="1"/>
  <c r="R820" i="2" s="1"/>
  <c r="Q821" i="2" a="1"/>
  <c r="Q821" i="2" s="1"/>
  <c r="R821" i="2" s="1" a="1"/>
  <c r="R821" i="2" s="1"/>
  <c r="Q822" i="2" a="1"/>
  <c r="Q822" i="2" s="1"/>
  <c r="R822" i="2" s="1" a="1"/>
  <c r="R822" i="2" s="1"/>
  <c r="Q823" i="2" a="1"/>
  <c r="Q823" i="2" s="1"/>
  <c r="R823" i="2" s="1" a="1"/>
  <c r="R823" i="2" s="1"/>
  <c r="Q824" i="2" a="1"/>
  <c r="Q824" i="2" s="1"/>
  <c r="R824" i="2" s="1" a="1"/>
  <c r="R824" i="2" s="1"/>
  <c r="Q825" i="2" a="1"/>
  <c r="Q825" i="2" s="1"/>
  <c r="R825" i="2" s="1" a="1"/>
  <c r="R825" i="2" s="1"/>
  <c r="Q826" i="2" a="1"/>
  <c r="Q826" i="2" s="1"/>
  <c r="R826" i="2" s="1" a="1"/>
  <c r="R826" i="2" s="1"/>
  <c r="Q827" i="2" a="1"/>
  <c r="Q827" i="2" s="1"/>
  <c r="R827" i="2" s="1" a="1"/>
  <c r="R827" i="2" s="1"/>
  <c r="Q828" i="2" a="1"/>
  <c r="Q828" i="2" s="1"/>
  <c r="R828" i="2" s="1" a="1"/>
  <c r="R828" i="2" s="1"/>
  <c r="Q829" i="2" a="1"/>
  <c r="Q829" i="2" s="1"/>
  <c r="R829" i="2" s="1" a="1"/>
  <c r="R829" i="2" s="1"/>
  <c r="Q830" i="2" a="1"/>
  <c r="Q830" i="2" s="1"/>
  <c r="R830" i="2" s="1" a="1"/>
  <c r="R830" i="2" s="1"/>
  <c r="Q831" i="2" a="1"/>
  <c r="Q831" i="2" s="1"/>
  <c r="R831" i="2" s="1" a="1"/>
  <c r="R831" i="2" s="1"/>
  <c r="Q832" i="2" a="1"/>
  <c r="Q832" i="2" s="1"/>
  <c r="R832" i="2" s="1" a="1"/>
  <c r="R832" i="2" s="1"/>
  <c r="Q833" i="2" a="1"/>
  <c r="Q833" i="2" s="1"/>
  <c r="R833" i="2" s="1" a="1"/>
  <c r="R833" i="2" s="1"/>
  <c r="Q834" i="2" a="1"/>
  <c r="Q834" i="2" s="1"/>
  <c r="R834" i="2" s="1" a="1"/>
  <c r="R834" i="2" s="1"/>
  <c r="Q835" i="2" a="1"/>
  <c r="Q835" i="2" s="1"/>
  <c r="R835" i="2" s="1" a="1"/>
  <c r="R835" i="2" s="1"/>
  <c r="Q836" i="2" a="1"/>
  <c r="Q836" i="2" s="1"/>
  <c r="R836" i="2" s="1" a="1"/>
  <c r="R836" i="2" s="1"/>
  <c r="Q837" i="2" a="1"/>
  <c r="Q837" i="2" s="1"/>
  <c r="R837" i="2" s="1" a="1"/>
  <c r="R837" i="2" s="1"/>
  <c r="Q838" i="2" a="1"/>
  <c r="Q838" i="2" s="1"/>
  <c r="R838" i="2" s="1" a="1"/>
  <c r="R838" i="2" s="1"/>
  <c r="Q839" i="2" a="1"/>
  <c r="Q839" i="2" s="1"/>
  <c r="R839" i="2" s="1" a="1"/>
  <c r="R839" i="2" s="1"/>
  <c r="Q840" i="2" a="1"/>
  <c r="Q840" i="2" s="1"/>
  <c r="R840" i="2" s="1" a="1"/>
  <c r="R840" i="2" s="1"/>
  <c r="Q841" i="2" a="1"/>
  <c r="Q841" i="2" s="1"/>
  <c r="R841" i="2" s="1" a="1"/>
  <c r="R841" i="2" s="1"/>
  <c r="Q842" i="2" a="1"/>
  <c r="Q842" i="2" s="1"/>
  <c r="R842" i="2" s="1" a="1"/>
  <c r="R842" i="2" s="1"/>
  <c r="Q843" i="2" a="1"/>
  <c r="Q843" i="2" s="1"/>
  <c r="R843" i="2" s="1" a="1"/>
  <c r="R843" i="2" s="1"/>
  <c r="Q844" i="2" a="1"/>
  <c r="Q844" i="2" s="1"/>
  <c r="R844" i="2" s="1" a="1"/>
  <c r="R844" i="2" s="1"/>
  <c r="Q845" i="2" a="1"/>
  <c r="Q845" i="2" s="1"/>
  <c r="R845" i="2" s="1" a="1"/>
  <c r="R845" i="2" s="1"/>
  <c r="Q846" i="2" a="1"/>
  <c r="Q846" i="2" s="1"/>
  <c r="R846" i="2" s="1" a="1"/>
  <c r="R846" i="2" s="1"/>
  <c r="Q847" i="2" a="1"/>
  <c r="Q847" i="2" s="1"/>
  <c r="R847" i="2" s="1" a="1"/>
  <c r="R847" i="2" s="1"/>
  <c r="Q848" i="2" a="1"/>
  <c r="Q848" i="2" s="1"/>
  <c r="R848" i="2" s="1" a="1"/>
  <c r="R848" i="2" s="1"/>
  <c r="Q849" i="2" a="1"/>
  <c r="Q849" i="2" s="1"/>
  <c r="R849" i="2" s="1" a="1"/>
  <c r="R849" i="2" s="1"/>
  <c r="Q850" i="2" a="1"/>
  <c r="Q850" i="2" s="1"/>
  <c r="R850" i="2" s="1" a="1"/>
  <c r="R850" i="2" s="1"/>
  <c r="Q851" i="2" a="1"/>
  <c r="Q851" i="2" s="1"/>
  <c r="R851" i="2" s="1" a="1"/>
  <c r="R851" i="2" s="1"/>
  <c r="Q852" i="2" a="1"/>
  <c r="Q852" i="2" s="1"/>
  <c r="R852" i="2" s="1" a="1"/>
  <c r="R852" i="2" s="1"/>
  <c r="Q853" i="2" a="1"/>
  <c r="Q853" i="2" s="1"/>
  <c r="R853" i="2" s="1" a="1"/>
  <c r="R853" i="2" s="1"/>
  <c r="Q854" i="2" a="1"/>
  <c r="Q854" i="2" s="1"/>
  <c r="R854" i="2" s="1" a="1"/>
  <c r="R854" i="2" s="1"/>
  <c r="Q855" i="2" a="1"/>
  <c r="Q855" i="2" s="1"/>
  <c r="R855" i="2" s="1" a="1"/>
  <c r="R855" i="2" s="1"/>
  <c r="Q856" i="2" a="1"/>
  <c r="Q856" i="2" s="1"/>
  <c r="R856" i="2" s="1" a="1"/>
  <c r="R856" i="2" s="1"/>
  <c r="Q857" i="2" a="1"/>
  <c r="Q857" i="2" s="1"/>
  <c r="R857" i="2" s="1" a="1"/>
  <c r="R857" i="2" s="1"/>
  <c r="Q858" i="2" a="1"/>
  <c r="Q858" i="2" s="1"/>
  <c r="R858" i="2" s="1" a="1"/>
  <c r="R858" i="2" s="1"/>
  <c r="Q859" i="2" a="1"/>
  <c r="Q859" i="2" s="1"/>
  <c r="R859" i="2" s="1" a="1"/>
  <c r="R859" i="2" s="1"/>
  <c r="Q860" i="2" a="1"/>
  <c r="Q860" i="2" s="1"/>
  <c r="R860" i="2" s="1" a="1"/>
  <c r="R860" i="2" s="1"/>
  <c r="Q861" i="2" a="1"/>
  <c r="Q861" i="2" s="1"/>
  <c r="R861" i="2" s="1" a="1"/>
  <c r="R861" i="2" s="1"/>
  <c r="Q862" i="2" a="1"/>
  <c r="Q862" i="2" s="1"/>
  <c r="R862" i="2" s="1" a="1"/>
  <c r="R862" i="2" s="1"/>
  <c r="Q863" i="2" a="1"/>
  <c r="Q863" i="2" s="1"/>
  <c r="R863" i="2" s="1" a="1"/>
  <c r="R863" i="2" s="1"/>
  <c r="Q864" i="2" a="1"/>
  <c r="Q864" i="2" s="1"/>
  <c r="R864" i="2" s="1" a="1"/>
  <c r="R864" i="2" s="1"/>
  <c r="Q865" i="2" a="1"/>
  <c r="Q865" i="2" s="1"/>
  <c r="R865" i="2" s="1" a="1"/>
  <c r="R865" i="2" s="1"/>
  <c r="Q866" i="2" a="1"/>
  <c r="Q866" i="2" s="1"/>
  <c r="R866" i="2" s="1" a="1"/>
  <c r="R866" i="2" s="1"/>
  <c r="Q867" i="2" a="1"/>
  <c r="Q867" i="2" s="1"/>
  <c r="R867" i="2" s="1" a="1"/>
  <c r="R867" i="2" s="1"/>
  <c r="Q868" i="2" a="1"/>
  <c r="Q868" i="2" s="1"/>
  <c r="R868" i="2" s="1" a="1"/>
  <c r="R868" i="2" s="1"/>
  <c r="Q869" i="2" a="1"/>
  <c r="Q869" i="2" s="1"/>
  <c r="R869" i="2" s="1" a="1"/>
  <c r="R869" i="2" s="1"/>
  <c r="Q870" i="2" a="1"/>
  <c r="Q870" i="2" s="1"/>
  <c r="R870" i="2" s="1" a="1"/>
  <c r="R870" i="2" s="1"/>
  <c r="Q871" i="2" a="1"/>
  <c r="Q871" i="2" s="1"/>
  <c r="R871" i="2" s="1" a="1"/>
  <c r="R871" i="2" s="1"/>
  <c r="Q872" i="2" a="1"/>
  <c r="Q872" i="2" s="1"/>
  <c r="R872" i="2" s="1" a="1"/>
  <c r="R872" i="2" s="1"/>
  <c r="Q873" i="2" a="1"/>
  <c r="Q873" i="2" s="1"/>
  <c r="R873" i="2" s="1" a="1"/>
  <c r="R873" i="2" s="1"/>
  <c r="Q874" i="2" a="1"/>
  <c r="Q874" i="2" s="1"/>
  <c r="R874" i="2" s="1" a="1"/>
  <c r="R874" i="2" s="1"/>
  <c r="Q875" i="2" a="1"/>
  <c r="Q875" i="2" s="1"/>
  <c r="R875" i="2" s="1" a="1"/>
  <c r="R875" i="2" s="1"/>
  <c r="Q876" i="2" a="1"/>
  <c r="Q876" i="2" s="1"/>
  <c r="R876" i="2" s="1" a="1"/>
  <c r="R876" i="2" s="1"/>
  <c r="Q877" i="2" a="1"/>
  <c r="Q877" i="2" s="1"/>
  <c r="R877" i="2" s="1" a="1"/>
  <c r="R877" i="2" s="1"/>
  <c r="Q878" i="2" a="1"/>
  <c r="Q878" i="2" s="1"/>
  <c r="R878" i="2" s="1" a="1"/>
  <c r="R878" i="2" s="1"/>
  <c r="Q879" i="2" a="1"/>
  <c r="Q879" i="2" s="1"/>
  <c r="R879" i="2" s="1" a="1"/>
  <c r="R879" i="2" s="1"/>
  <c r="Q880" i="2" a="1"/>
  <c r="Q880" i="2" s="1"/>
  <c r="R880" i="2" s="1" a="1"/>
  <c r="R880" i="2" s="1"/>
  <c r="Q881" i="2" a="1"/>
  <c r="Q881" i="2" s="1"/>
  <c r="R881" i="2" s="1" a="1"/>
  <c r="R881" i="2" s="1"/>
  <c r="Q882" i="2" a="1"/>
  <c r="Q882" i="2" s="1"/>
  <c r="R882" i="2" s="1" a="1"/>
  <c r="R882" i="2" s="1"/>
  <c r="Q883" i="2" a="1"/>
  <c r="Q883" i="2" s="1"/>
  <c r="R883" i="2" s="1" a="1"/>
  <c r="R883" i="2" s="1"/>
  <c r="Q884" i="2" a="1"/>
  <c r="Q884" i="2" s="1"/>
  <c r="R884" i="2" s="1" a="1"/>
  <c r="R884" i="2" s="1"/>
  <c r="Q885" i="2" a="1"/>
  <c r="Q885" i="2" s="1"/>
  <c r="R885" i="2" s="1" a="1"/>
  <c r="R885" i="2" s="1"/>
  <c r="Q886" i="2" a="1"/>
  <c r="Q886" i="2" s="1"/>
  <c r="R886" i="2" s="1" a="1"/>
  <c r="R886" i="2" s="1"/>
  <c r="Q887" i="2" a="1"/>
  <c r="Q887" i="2" s="1"/>
  <c r="R887" i="2" s="1" a="1"/>
  <c r="R887" i="2" s="1"/>
  <c r="Q888" i="2" a="1"/>
  <c r="Q888" i="2" s="1"/>
  <c r="R888" i="2" s="1" a="1"/>
  <c r="R888" i="2" s="1"/>
  <c r="Q889" i="2" a="1"/>
  <c r="Q889" i="2" s="1"/>
  <c r="R889" i="2" s="1" a="1"/>
  <c r="R889" i="2" s="1"/>
  <c r="Q890" i="2" a="1"/>
  <c r="Q890" i="2" s="1"/>
  <c r="R890" i="2" s="1" a="1"/>
  <c r="R890" i="2" s="1"/>
  <c r="Q891" i="2" a="1"/>
  <c r="Q891" i="2" s="1"/>
  <c r="R891" i="2" s="1" a="1"/>
  <c r="R891" i="2" s="1"/>
  <c r="Q892" i="2" a="1"/>
  <c r="Q892" i="2" s="1"/>
  <c r="R892" i="2" s="1" a="1"/>
  <c r="R892" i="2" s="1"/>
  <c r="Q893" i="2" a="1"/>
  <c r="Q893" i="2" s="1"/>
  <c r="R893" i="2" s="1" a="1"/>
  <c r="R893" i="2" s="1"/>
  <c r="Q894" i="2" a="1"/>
  <c r="Q894" i="2" s="1"/>
  <c r="R894" i="2" s="1" a="1"/>
  <c r="R894" i="2" s="1"/>
  <c r="Q895" i="2" a="1"/>
  <c r="Q895" i="2" s="1"/>
  <c r="R895" i="2" s="1" a="1"/>
  <c r="R895" i="2" s="1"/>
  <c r="Q896" i="2" a="1"/>
  <c r="Q896" i="2" s="1"/>
  <c r="R896" i="2" s="1" a="1"/>
  <c r="R896" i="2" s="1"/>
  <c r="Q897" i="2" a="1"/>
  <c r="Q897" i="2" s="1"/>
  <c r="R897" i="2" s="1" a="1"/>
  <c r="R897" i="2" s="1"/>
  <c r="Q898" i="2" a="1"/>
  <c r="Q898" i="2" s="1"/>
  <c r="R898" i="2" s="1" a="1"/>
  <c r="R898" i="2" s="1"/>
  <c r="Q899" i="2" a="1"/>
  <c r="Q899" i="2" s="1"/>
  <c r="R899" i="2" s="1" a="1"/>
  <c r="R899" i="2" s="1"/>
  <c r="Q900" i="2" a="1"/>
  <c r="Q900" i="2" s="1"/>
  <c r="R900" i="2" s="1" a="1"/>
  <c r="R900" i="2" s="1"/>
  <c r="Q901" i="2" a="1"/>
  <c r="Q901" i="2" s="1"/>
  <c r="R901" i="2" s="1" a="1"/>
  <c r="R901" i="2" s="1"/>
  <c r="Q902" i="2" a="1"/>
  <c r="Q902" i="2" s="1"/>
  <c r="R902" i="2" s="1" a="1"/>
  <c r="R902" i="2" s="1"/>
  <c r="Q903" i="2" a="1"/>
  <c r="Q903" i="2" s="1"/>
  <c r="R903" i="2" s="1" a="1"/>
  <c r="R903" i="2" s="1"/>
  <c r="Q904" i="2" a="1"/>
  <c r="Q904" i="2" s="1"/>
  <c r="R904" i="2" s="1" a="1"/>
  <c r="R904" i="2" s="1"/>
  <c r="Q905" i="2" a="1"/>
  <c r="Q905" i="2" s="1"/>
  <c r="R905" i="2" s="1" a="1"/>
  <c r="R905" i="2" s="1"/>
  <c r="Q906" i="2" a="1"/>
  <c r="Q906" i="2" s="1"/>
  <c r="R906" i="2" s="1" a="1"/>
  <c r="R906" i="2" s="1"/>
  <c r="D11" i="3"/>
  <c r="E11" i="3"/>
  <c r="F11" i="3"/>
  <c r="G11" i="3"/>
  <c r="H11" i="3"/>
  <c r="I11" i="3"/>
  <c r="J11" i="3"/>
  <c r="K11" i="3"/>
  <c r="L11" i="3"/>
  <c r="M11" i="3"/>
  <c r="C11" i="3"/>
  <c r="C10" i="3" a="1"/>
  <c r="C10" i="3" s="1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C4" i="3"/>
  <c r="F8" i="6"/>
  <c r="I8" i="6"/>
  <c r="D8" i="6"/>
  <c r="C8" i="6"/>
  <c r="N11" i="3" l="1"/>
  <c r="E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DA3716-955D-465B-9947-B78667A3798D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<sst xmlns="http://schemas.openxmlformats.org/spreadsheetml/2006/main" count="6698" uniqueCount="1904">
  <si>
    <t>c5ef7249-09ea-4c77-accc-d0ede4a0e196</t>
  </si>
  <si>
    <t>95609aa8-afc1-4f88-9115-9f65576bfe25</t>
  </si>
  <si>
    <t>8df8f95e-7126-48c5-9596-5f0089800d8f</t>
  </si>
  <si>
    <t>90d7e0da-d2f5-4cb6-937c-5c1c043801bc</t>
  </si>
  <si>
    <t>e29e8d57-637e-4f0c-978a-831b7621e4f6</t>
  </si>
  <si>
    <t>a6c9a9ad-0949-4c7d-84bf-8934bdeb28a6</t>
  </si>
  <si>
    <t>39994d80-fc21-42b2-8bdd-ba36d192496a</t>
  </si>
  <si>
    <t>bc2533a8-17b7-4574-8244-d207ed5bfd35</t>
  </si>
  <si>
    <t>23bed105-fe48-444f-8666-22328f0f0c68</t>
  </si>
  <si>
    <t>dbd5f3a0-d426-4743-bafe-9fffc38ffbd0</t>
  </si>
  <si>
    <t>5e115b7f-4430-4d3a-9740-80a2b0bbda14</t>
  </si>
  <si>
    <t>04cf3108-ce84-4e66-a255-e1cacce81662</t>
  </si>
  <si>
    <t>631d8bac-52fa-456c-a3f9-638d273cafee</t>
  </si>
  <si>
    <t>af8df5e8-5e4d-4047-a9f2-2a131775a491</t>
  </si>
  <si>
    <t>46654de5-86a4-46e5-8694-f8798f36885c</t>
  </si>
  <si>
    <t>dc9a516f-86ef-43a3-a2ce-090fdb7f8fb3</t>
  </si>
  <si>
    <t>933c791a-8089-4f20-a0e5-8d1e02195877</t>
  </si>
  <si>
    <t>accdf57d-bc49-47da-b6bd-92e7b15a3e92</t>
  </si>
  <si>
    <t>d746b5ad-3e60-48f2-87c8-9bb1edada1bb</t>
  </si>
  <si>
    <t>a7881bc0-4cb6-47b1-930a-11164fe74411</t>
  </si>
  <si>
    <t>16643133-c393-4b6e-ac8c-e971fa0793f4</t>
  </si>
  <si>
    <t>84f68c4b-cc10-41fa-8208-3ae7559deca0</t>
  </si>
  <si>
    <t>3343e136-5072-42ff-bbcf-d9e1483c04e3</t>
  </si>
  <si>
    <t>94691fe7-f201-4716-b000-231a5ce9bf5c</t>
  </si>
  <si>
    <t>23b49ece-9609-4549-b07b-1496dd5f2e71</t>
  </si>
  <si>
    <t>6e7b22ec-ebb9-41f4-bbe1-e5d008bce4fb</t>
  </si>
  <si>
    <t>9de35274-daaf-4e36-af44-3f901f303c60</t>
  </si>
  <si>
    <t>97b32755-044b-4e75-b114-f20673dd9063</t>
  </si>
  <si>
    <t>878330b9-e589-4326-a1bf-b6b52fe118f8</t>
  </si>
  <si>
    <t>1982d03b-f137-4c06-be09-b945e8c1037a</t>
  </si>
  <si>
    <t>d45c8199-5ce5-4afd-aaf0-ecbe244b57f1</t>
  </si>
  <si>
    <t>bd95797e-ceaa-450b-8737-dd65739bdd3c</t>
  </si>
  <si>
    <t>33e557af-e4a1-4ef4-aa28-e9460f29f9ef</t>
  </si>
  <si>
    <t>838fa387-c028-4dc2-bc48-8b2c609fe6dd</t>
  </si>
  <si>
    <t>1792c415-5cae-445a-96d6-be7eceadaf6f</t>
  </si>
  <si>
    <t>5efa1166-bdc9-4f78-a5ff-0a4b4f4bdf33</t>
  </si>
  <si>
    <t>a711bd7e-c078-4db1-8d36-b2345177b433</t>
  </si>
  <si>
    <t>05f624b3-9c30-4661-bf4d-ceb3a61d99a4</t>
  </si>
  <si>
    <t>1ac4cc9c-4439-4dda-8295-d20082e12f6f</t>
  </si>
  <si>
    <t>bc6a93bc-12cc-4909-8d78-d10f78a28ac9</t>
  </si>
  <si>
    <t>b1a6ed80-f9df-4018-8cca-166efec229f0</t>
  </si>
  <si>
    <t>f561a5e2-242f-44d4-ab27-8b7651695784</t>
  </si>
  <si>
    <t>b560455a-d94f-4628-abd3-b083960b81c7</t>
  </si>
  <si>
    <t>7530b85b-71e7-464f-bea4-c35ab31f92b7</t>
  </si>
  <si>
    <t>fd21750b-fc8c-440f-9787-4f2e6e7716ce</t>
  </si>
  <si>
    <t>9895f3e6-3a5a-4e86-88c4-b60283d19846</t>
  </si>
  <si>
    <t>e1096934-93c1-4a2e-9491-c8c288aa858a</t>
  </si>
  <si>
    <t>39b6bf5e-093b-4e4f-84c9-36aae5b0efd7</t>
  </si>
  <si>
    <t>78796c2e-aa3c-4bae-882a-173a48f38165</t>
  </si>
  <si>
    <t>6b5beb37-1e42-43c1-a4d5-dbd978af0290</t>
  </si>
  <si>
    <t>374a4faa-f014-4632-96d3-c22de7dda804</t>
  </si>
  <si>
    <t>bd1f5da0-26dd-4108-b359-e933b7445137</t>
  </si>
  <si>
    <t>abd287e8-d858-4bc5-b63d-67f121a4a191</t>
  </si>
  <si>
    <t>6abc0df5-895e-4bc4-ae86-e94d17ef4b96</t>
  </si>
  <si>
    <t>0b35bee8-47d8-47ba-89e4-165f9c37b884</t>
  </si>
  <si>
    <t>6c3e464b-4ac4-42e0-80f0-fa9f036315a1</t>
  </si>
  <si>
    <t>a64d2bee-548e-4c26-90ed-41b102792a4c</t>
  </si>
  <si>
    <t>59ebba0f-00d1-46cf-a45f-8f3436f45e6c</t>
  </si>
  <si>
    <t>03983122-14f8-438a-9ec6-97c1474d816d</t>
  </si>
  <si>
    <t>4df50c5b-61b8-4a45-b90a-80bfd56374e6</t>
  </si>
  <si>
    <t>6758ae51-9358-4ddf-8124-9e5ecca4511e</t>
  </si>
  <si>
    <t>a949266b-ad02-415a-ba38-4ede9fd7198c</t>
  </si>
  <si>
    <t>8b1ef8bc-2e26-4210-b8e6-fd090dc86b7e</t>
  </si>
  <si>
    <t>ebd920f4-1160-4153-8946-918deaa8a2f0</t>
  </si>
  <si>
    <t>c8ff102d-f228-4122-9008-fcd5b801eddc</t>
  </si>
  <si>
    <t>145cba88-eea9-4934-a200-37265f4c60b1</t>
  </si>
  <si>
    <t>5f2000ca-a0b7-4c94-9ab5-bbd98c57f78e</t>
  </si>
  <si>
    <t>f4517415-58b9-4e51-bdee-b4685d045193</t>
  </si>
  <si>
    <t>36e110c4-e938-4f47-aab9-570d66a34cec</t>
  </si>
  <si>
    <t>fa40dd7c-0827-401d-b34d-c016b2cc4548</t>
  </si>
  <si>
    <t>2051e87f-5de5-4005-98bb-9a65dab61e60</t>
  </si>
  <si>
    <t>cbbaa1c5-80da-4c9a-851f-dcb422beab99</t>
  </si>
  <si>
    <t>8f67b2b6-0896-4d93-925b-4d9612c4fe8f</t>
  </si>
  <si>
    <t>51c9a6b7-7840-45b1-976b-4b8cf8ccfe45</t>
  </si>
  <si>
    <t>4726fe5d-9e51-465c-8123-0368236606a8</t>
  </si>
  <si>
    <t>495655db-9178-4e1e-b89f-75e3a3de7bac</t>
  </si>
  <si>
    <t>c1a09288-c37b-45fa-bd17-5707780b236e</t>
  </si>
  <si>
    <t>98c53c4a-785b-4f0d-8f00-72d22e454fe8</t>
  </si>
  <si>
    <t>d6b4af1e-c7b9-4cff-b0a3-777b54091281</t>
  </si>
  <si>
    <t>7d8eaf17-c2fa-418d-9326-0c8e4e46db82</t>
  </si>
  <si>
    <t>bc376052-1ff1-443b-a643-16f2433ea006</t>
  </si>
  <si>
    <t>a02fad90-005e-4e0b-9cf5-f8f8576d8402</t>
  </si>
  <si>
    <t>2ea7fc8c-cd0b-4929-98a4-8b22a6f860c5</t>
  </si>
  <si>
    <t>9b454153-8cfd-4df4-93f1-71ac9a6c1c0e</t>
  </si>
  <si>
    <t>4ee44ec7-6cb7-40a7-9b0c-98a9aa081a19</t>
  </si>
  <si>
    <t>a68e87ac-d8ec-440e-90b7-b395a8cb089d</t>
  </si>
  <si>
    <t>d50aad8e-4d82-4498-b500-36fa3a0862d4</t>
  </si>
  <si>
    <t>b1df9da6-305f-4294-9506-08a9187e3841</t>
  </si>
  <si>
    <t>8c3afcfe-535e-46d1-a063-f02ac40465b1</t>
  </si>
  <si>
    <t>69dc96c5-e945-4e9b-bcfb-86f03feec281</t>
  </si>
  <si>
    <t>95e9191f-d949-4e6e-96ad-8b068483e30a</t>
  </si>
  <si>
    <t>0d438cfa-2035-4d4f-bb50-8c718c38c033</t>
  </si>
  <si>
    <t>907038eb-8264-461d-b63b-83b23c69bbd6</t>
  </si>
  <si>
    <t>0cb7fdf3-0785-454a-aace-2bd9a3c2fe53</t>
  </si>
  <si>
    <t>02451cd1-8ca4-4ece-84ec-ed5d08410fd4</t>
  </si>
  <si>
    <t>5ff843d9-f798-49c7-8401-66ce98313835</t>
  </si>
  <si>
    <t>368b8b5a-d17f-44a0-9511-a41046380682</t>
  </si>
  <si>
    <t>1bc53c60-5c29-4205-b8ac-f2ca1470f6f1</t>
  </si>
  <si>
    <t>ae2743d2-bc8b-4c04-b3ee-bb78fc5d28fa</t>
  </si>
  <si>
    <t>587029bd-cc4e-46f0-a0cb-1bdd92e5f7ac</t>
  </si>
  <si>
    <t>1ace6d6a-f284-400c-a71f-57038bde37e0</t>
  </si>
  <si>
    <t>4393d7ea-61f1-4a2a-9da6-7cec7c209000</t>
  </si>
  <si>
    <t>b6f0034b-8c29-46d2-b3ad-a141ae16350f</t>
  </si>
  <si>
    <t>f31b7334-d2ee-437e-8965-be4965d16ab4</t>
  </si>
  <si>
    <t>fe8af49b-937d-443e-b8f2-41fbae0168fb</t>
  </si>
  <si>
    <t>eee74937-3da2-4d26-b60b-4adc4e8a4af3</t>
  </si>
  <si>
    <t>226bcabe-6698-44b1-a0e8-b23622c64e93</t>
  </si>
  <si>
    <t>91236c81-b3e0-4ede-9de1-65911a3fb971</t>
  </si>
  <si>
    <t>18cafca3-aed8-46ad-91e5-d682720fa64e</t>
  </si>
  <si>
    <t>48ba27ce-6718-4f54-97b6-9733273f4740</t>
  </si>
  <si>
    <t>6968b535-87b8-40de-b5e8-a21ce26104aa</t>
  </si>
  <si>
    <t>b6d99ce7-9bce-4f69-9ab7-67e6650c9d75</t>
  </si>
  <si>
    <t>22b10c95-4560-4e88-a58b-bb7df416cd74</t>
  </si>
  <si>
    <t>c028a68d-ecae-4a65-a311-69bd616388bd</t>
  </si>
  <si>
    <t>1e0fb905-6904-4f6a-9885-39997913b5bb</t>
  </si>
  <si>
    <t>9a8a9ec5-d626-4c28-80c4-8c121020fdfa</t>
  </si>
  <si>
    <t>fef84fbf-fa9f-4083-ae7e-7b2abfc43ded</t>
  </si>
  <si>
    <t>004f3800-1038-4374-8ab2-5b67730bd203</t>
  </si>
  <si>
    <t>8716bbc9-4709-4945-8f3c-47026af74577</t>
  </si>
  <si>
    <t>4841c32d-dfb1-4e39-acff-3a21f04ff6de</t>
  </si>
  <si>
    <t>c0f3725a-bdd0-4536-9e7f-7ec047cbdb1d</t>
  </si>
  <si>
    <t>be8c4c02-1854-4e43-aa76-0e2c4875b7b9</t>
  </si>
  <si>
    <t>736e2f2b-be6f-4494-8282-c0ed6f6e08ea</t>
  </si>
  <si>
    <t>b30f3cb9-d5d6-4895-82ce-5aeff9e8fb45</t>
  </si>
  <si>
    <t>a4f2d20c-21c0-4e07-879a-fdf4f3da5420</t>
  </si>
  <si>
    <t>587373cb-8a38-4ba7-a0eb-20fa75dc5f0a</t>
  </si>
  <si>
    <t>2284523a-fca4-4d40-8694-10e0cec85f5f</t>
  </si>
  <si>
    <t>86b49aeb-3491-45b5-b3b6-d6e40b3cc1e0</t>
  </si>
  <si>
    <t>08cca14f-4050-47b0-96aa-7956e7d2fea7</t>
  </si>
  <si>
    <t>af10e557-dc77-4eef-a65e-9a35e66cf0f0</t>
  </si>
  <si>
    <t>9b0870c2-8d37-4ed1-a0de-e90a1e32aa4e</t>
  </si>
  <si>
    <t>c109552f-5119-419a-aec5-30243f253f07</t>
  </si>
  <si>
    <t>d43dc275-7460-4a82-9f2b-7dc47b69491e</t>
  </si>
  <si>
    <t>12674c97-ab7b-4204-b500-83f3a5b31efb</t>
  </si>
  <si>
    <t>403412a7-e364-4be4-b129-b79d7eed712a</t>
  </si>
  <si>
    <t>6160709e-adc9-45a7-a2a6-71e9aac0b07e</t>
  </si>
  <si>
    <t>3694c908-8b8e-4243-9621-31c66fead614</t>
  </si>
  <si>
    <t>03926e70-d70d-43aa-8b5d-1f93a6b678fd</t>
  </si>
  <si>
    <t>01d44252-484e-4117-9f34-0b2b70b13766</t>
  </si>
  <si>
    <t>3725b268-ed99-41f0-b1dc-97a1fa3e5a66</t>
  </si>
  <si>
    <t>cff1bf59-106a-46c7-a048-e4229532516c</t>
  </si>
  <si>
    <t>19e96c6f-5660-417a-95ac-82ae414d4cbb</t>
  </si>
  <si>
    <t>040c7940-86d0-4b60-a932-59056a92fcd0</t>
  </si>
  <si>
    <t>d78b37c5-4c8d-4999-b8a0-8565ed189d91</t>
  </si>
  <si>
    <t>8f91e35e-fd3e-4ce0-adcb-32c9cc9d500f</t>
  </si>
  <si>
    <t>5482356d-ae3c-44c9-b290-a040ea72eb9c</t>
  </si>
  <si>
    <t>20ccafb9-4aae-49ba-a3ed-afcecb67fb7e</t>
  </si>
  <si>
    <t>e674fc55-0c7f-4265-90da-db8c0d080304</t>
  </si>
  <si>
    <t>33ec7941-2f57-4cab-b0f7-c410726e3f9e</t>
  </si>
  <si>
    <t>7dbb7a1a-b0a6-4207-bc63-cf018eabd41c</t>
  </si>
  <si>
    <t>dda79c82-1504-426b-b529-6fbf2d14fc28</t>
  </si>
  <si>
    <t>4105d396-22b9-419c-8279-1f20273b2ca8</t>
  </si>
  <si>
    <t>c1cc6a3f-1ae2-46d4-8616-57c0b0e230a6</t>
  </si>
  <si>
    <t>6fe3dd05-dab7-4ee6-a6b5-ddeb7a83f0a6</t>
  </si>
  <si>
    <t>7d8967f7-5444-457f-bbd8-fc07dd6a1f54</t>
  </si>
  <si>
    <t>87f9ac91-9e7a-4f64-bc31-e388fefd974a</t>
  </si>
  <si>
    <t>85e0fca1-684b-4038-a797-5657d977c7d1</t>
  </si>
  <si>
    <t>5d6c6d66-9272-4f52-996f-bdf76748a1f2</t>
  </si>
  <si>
    <t>cf863e5f-1dce-4e70-a1c9-18b8f3c3075a</t>
  </si>
  <si>
    <t>e144bab2-ec4b-4659-a3a9-cc4e172b7363</t>
  </si>
  <si>
    <t>c8103415-8a46-438b-9bf3-714d8aa5a14b</t>
  </si>
  <si>
    <t>ffad4486-2d43-4bf5-9a88-a7c64ea61b52</t>
  </si>
  <si>
    <t>0d5fa954-effc-420f-96d7-4a62139935a4</t>
  </si>
  <si>
    <t>119a2f98-9831-44bc-a050-5e68bbbb525a</t>
  </si>
  <si>
    <t>b27d28cf-5584-4e62-aeb1-7f7656bd3422</t>
  </si>
  <si>
    <t>09cc7f2d-367d-4c57-bf09-c7df5f0bda49</t>
  </si>
  <si>
    <t>2f452854-bb40-47f6-9f31-082a90b6c5ce</t>
  </si>
  <si>
    <t>7cd7242a-bb35-4b65-8f39-be19c2243035</t>
  </si>
  <si>
    <t>4919c1d3-836a-4488-a1a5-cc62ec231fd8</t>
  </si>
  <si>
    <t>90903ae9-e89b-4f9b-aece-bf2e56921e6e</t>
  </si>
  <si>
    <t>44dbce99-0a77-40c0-9c78-3847c040f673</t>
  </si>
  <si>
    <t>2f6f0009-30e3-4c07-bec8-59dd04afefda</t>
  </si>
  <si>
    <t>9133e8a5-ea72-4417-9a64-794668a23aee</t>
  </si>
  <si>
    <t>c7e48fe2-c5e5-4b4c-b43c-61ccf4fed466</t>
  </si>
  <si>
    <t>00a5fcc5-57b6-4a1f-85ee-7ce9064512ef</t>
  </si>
  <si>
    <t>12e99c13-9a86-49db-b0b1-0d54dc97119b</t>
  </si>
  <si>
    <t>0e5f6a16-6312-4af1-a44c-44b54dc3047d</t>
  </si>
  <si>
    <t>62b9bc2e-5136-4d48-8498-94dc6d33e55e</t>
  </si>
  <si>
    <t>537e90c4-5119-4c71-8499-40828f155d40</t>
  </si>
  <si>
    <t>ab65965d-c71e-4b39-a623-9f78a6d7bdbd</t>
  </si>
  <si>
    <t>04558095-d557-464e-8422-3cd8cf101a79</t>
  </si>
  <si>
    <t>35859eee-f01d-4162-8426-9ec49b3d84d9</t>
  </si>
  <si>
    <t>f503005f-05d9-4755-87f8-2b26043d156f</t>
  </si>
  <si>
    <t>edd0fdf8-6475-4537-91ba-4133245beacc</t>
  </si>
  <si>
    <t>813bc285-6ea0-4d5c-bb89-ca118b102d9e</t>
  </si>
  <si>
    <t>4873095c-aec6-4baa-8dfe-40645aab17af</t>
  </si>
  <si>
    <t>2453f7b3-f079-4884-8fa0-79600a4ea6c6</t>
  </si>
  <si>
    <t>eeb0b807-7342-4109-8aba-4cccc7baa89c</t>
  </si>
  <si>
    <t>56901418-164c-477d-a327-3135907ddb0e</t>
  </si>
  <si>
    <t>59536eb4-018d-4cec-8110-24632389abe3</t>
  </si>
  <si>
    <t>99ba9b80-ea4e-4a3b-8f70-b87ab6b2218b</t>
  </si>
  <si>
    <t>5bc3fe8e-42ba-4d89-8a3b-cd845a091e2c</t>
  </si>
  <si>
    <t>c1357c9a-8b4b-497d-bc35-d6c2085e8820</t>
  </si>
  <si>
    <t>23fbd1fb-086c-412c-9151-4910d064df33</t>
  </si>
  <si>
    <t>02142371-fd9a-4096-b918-a149514dc91d</t>
  </si>
  <si>
    <t>217015c4-3253-45c8-8bff-1e4a842b154c</t>
  </si>
  <si>
    <t>5bcc223d-b34f-4eb3-ba2d-92b2b1c6e171</t>
  </si>
  <si>
    <t>ccdcbd1c-5d7a-4fae-94d1-6e7f3a103336</t>
  </si>
  <si>
    <t>8405b16d-d08b-4bb5-9d7f-c4f9ac96b7a1</t>
  </si>
  <si>
    <t>0c619072-dacc-4df7-8d2e-515cb6bfbc2f</t>
  </si>
  <si>
    <t>4cbb448b-966f-4ab8-b621-589a4df8b955</t>
  </si>
  <si>
    <t>7c67f720-12c5-43f1-9165-8d297579d6da</t>
  </si>
  <si>
    <t>f162e954-13bc-412b-aba2-2746d8e49ef0</t>
  </si>
  <si>
    <t>1c619f2b-a0b6-4d2b-99e3-2f9924f32db2</t>
  </si>
  <si>
    <t>159d186f-57ce-4c1b-ba6f-4a14e7b5d983</t>
  </si>
  <si>
    <t>bb500bc5-21e8-4112-866e-543018801c00</t>
  </si>
  <si>
    <t>d0e58412-275f-4939-bf82-e55ffa0fd6e9</t>
  </si>
  <si>
    <t>e51b426a-7c0d-4f31-8ac4-58f91714e03a</t>
  </si>
  <si>
    <t>bb4b63bf-814c-4dc4-825d-78836f75c1f0</t>
  </si>
  <si>
    <t>d1d47537-a89c-43c5-ba84-65f6fe439dc7</t>
  </si>
  <si>
    <t>036ef382-6dad-4cf3-a64d-d976a7658a68</t>
  </si>
  <si>
    <t>b989771d-1ada-4e65-9260-fbb0b431a730</t>
  </si>
  <si>
    <t>b9dc82ac-037e-422a-b85a-73ec59628ead</t>
  </si>
  <si>
    <t>a80f1795-42d2-43bf-be59-8ed1e0f7a0a4</t>
  </si>
  <si>
    <t>5916ab51-0acf-42ff-a3cd-79ef907f3fb5</t>
  </si>
  <si>
    <t>993a6f5f-b28e-408a-9ed9-3c2559b62af0</t>
  </si>
  <si>
    <t>b59ec3ea-7d37-41a3-b87a-3aa8595bab1b</t>
  </si>
  <si>
    <t>d7084c7f-75cb-44a7-8b15-8f8983204c8f</t>
  </si>
  <si>
    <t>76830495-995b-4784-8ce4-e24bff411f39</t>
  </si>
  <si>
    <t>db666ec6-18cf-44c7-9908-d5243600c8f5</t>
  </si>
  <si>
    <t>98c30bc0-ed70-4047-9db6-497dcda46839</t>
  </si>
  <si>
    <t>b7f898b8-28ec-4539-a219-7a71135fabd1</t>
  </si>
  <si>
    <t>81e18105-ae51-4247-a5c3-eba217246ff5</t>
  </si>
  <si>
    <t>7d6845c1-2630-45f8-9ecb-00edb0d79fc7</t>
  </si>
  <si>
    <t>df3a9c44-2076-42fc-8e16-ce799f87ccd1</t>
  </si>
  <si>
    <t>4ed21cb3-c28c-4f91-a4c9-4bbd1999115b</t>
  </si>
  <si>
    <t>e753db4b-3e9d-4567-b21e-991795374b0a</t>
  </si>
  <si>
    <t>680e2958-aa9c-4d18-98bf-726fbce3383e</t>
  </si>
  <si>
    <t>d8e57f3e-dd7b-46bc-bccc-977864d5f698</t>
  </si>
  <si>
    <t>44cdb98a-969a-4a1b-9533-015b5df9e192</t>
  </si>
  <si>
    <t>d052edf3-da90-4843-8b08-f92b5c3ffd4e</t>
  </si>
  <si>
    <t>1aa9e065-e1ff-4163-80bf-3ee01f8b0291</t>
  </si>
  <si>
    <t>1905ced3-2243-4860-9403-baea9343cb7c</t>
  </si>
  <si>
    <t>40e47b92-929f-45fb-999c-1c5d86c0e7f0</t>
  </si>
  <si>
    <t>55635a6b-35d4-486f-98a4-a5377dca926e</t>
  </si>
  <si>
    <t>bc1c00ad-6704-44dd-ae6a-f542ce8d4e7c</t>
  </si>
  <si>
    <t>03f9dd44-2924-430d-bad0-b9f8d18ae77c</t>
  </si>
  <si>
    <t>a9872a3c-09b8-4df2-92ea-742e0f224d87</t>
  </si>
  <si>
    <t>89d66821-f0ee-4708-96de-8e219cee0432</t>
  </si>
  <si>
    <t>d814742d-aa05-4682-ad2c-7b31cafaa924</t>
  </si>
  <si>
    <t>0c89844a-2185-4a2a-804f-edc244967385</t>
  </si>
  <si>
    <t>e2ceb57b-a520-4f89-a674-011f126b2e02</t>
  </si>
  <si>
    <t>fc3b58ee-c5e8-4d40-bbe7-2545b6950a22</t>
  </si>
  <si>
    <t>237fbada-a6e1-472d-bb14-4a8abe427faa</t>
  </si>
  <si>
    <t>e086deaa-3ecd-4deb-a14c-6dfca63c28e2</t>
  </si>
  <si>
    <t>753fff8a-7540-42cf-a479-b9a01508903c</t>
  </si>
  <si>
    <t>3ad0fae6-c1d3-4e01-a8c0-f3f59aa924c6</t>
  </si>
  <si>
    <t>fca5d9a6-1ebf-42fd-bb03-09db2e4592d2</t>
  </si>
  <si>
    <t>f055f879-3995-4fae-8acc-6e637875b0ad</t>
  </si>
  <si>
    <t>9a9349fc-6d97-43ce-8f93-acd459a73be0</t>
  </si>
  <si>
    <t>3409fe92-637a-46ef-92cf-a4bc09713c4d</t>
  </si>
  <si>
    <t>67e18d37-8d99-44b1-9e63-c29aa38398e3</t>
  </si>
  <si>
    <t>10fa2739-01c8-4030-a448-ad78a838191b</t>
  </si>
  <si>
    <t>7f4f6fd5-0589-473d-a572-4f9ca192322c</t>
  </si>
  <si>
    <t>5f0f4ede-a695-4cae-a709-880580a42555</t>
  </si>
  <si>
    <t>a90fcd11-8637-428a-a72d-121336f29aff</t>
  </si>
  <si>
    <t>77c3a84f-5c3a-4eea-8b12-ca0446a6012b</t>
  </si>
  <si>
    <t>211aec53-b2b2-4f8a-93af-174cba442ef6</t>
  </si>
  <si>
    <t>ee517cc2-65c8-4ef9-9140-d49f8e7c46a5</t>
  </si>
  <si>
    <t>d551dd47-a884-41f3-89a5-841d711a8a31</t>
  </si>
  <si>
    <t>2f2b11dd-5e53-424c-9241-d5a739055766</t>
  </si>
  <si>
    <t>5f9cd071-6655-4f8d-93af-baa93f780373</t>
  </si>
  <si>
    <t>5b73c6dd-857d-47f3-937d-4bd0dff0c4d8</t>
  </si>
  <si>
    <t>ddf7610c-85f4-455f-8934-67100bfa79cc</t>
  </si>
  <si>
    <t>5c5b4810-12d1-4028-9ee4-eab80aa159b9</t>
  </si>
  <si>
    <t>d95ee65b-d351-4a77-aa07-08b8742ad1c9</t>
  </si>
  <si>
    <t>564936b5-f1c4-498f-b27d-b76a3485b079</t>
  </si>
  <si>
    <t>e6dcc4f6-4faa-46a1-832b-fb94de5aa13d</t>
  </si>
  <si>
    <t>cbee260e-f404-456f-9ca1-d52d1c260261</t>
  </si>
  <si>
    <t>0f23ebf7-485d-4bbe-b221-3f7de93d737d</t>
  </si>
  <si>
    <t>adb08a5f-64fd-41b6-b833-d4deb87d8a4c</t>
  </si>
  <si>
    <t>74775e6c-d5cd-499c-9811-243e912a51d5</t>
  </si>
  <si>
    <t>7029e1fd-bda3-4a11-b53e-a0a7fbd11713</t>
  </si>
  <si>
    <t>e06bd99f-e925-4a16-a8aa-c6b9e89dae11</t>
  </si>
  <si>
    <t>10a14811-3b08-4924-9f24-5486e3898933</t>
  </si>
  <si>
    <t>77947bdf-d41f-4100-ab49-ab1bf04c497d</t>
  </si>
  <si>
    <t>e9e77624-1db1-44ea-8686-cb935eee541d</t>
  </si>
  <si>
    <t>43abdfb6-dc75-4d60-854d-034ebd09e84e</t>
  </si>
  <si>
    <t>5a122756-927a-40ba-851e-7f944f86c434</t>
  </si>
  <si>
    <t>b7a5e4df-4158-4ce1-a32a-1d6681c7ac43</t>
  </si>
  <si>
    <t>b677f0d2-823a-4a0e-ab78-f8481598c939</t>
  </si>
  <si>
    <t>1d47b9f9-2ba6-44ea-ab2a-fcd4a752c126</t>
  </si>
  <si>
    <t>1360f5d7-734a-4f23-bf57-724027e1ec51</t>
  </si>
  <si>
    <t>0a129181-0d48-4aae-b33a-0b0b4e03ac4a</t>
  </si>
  <si>
    <t>fb7cd85f-d283-4fed-984a-d9cdc56976b3</t>
  </si>
  <si>
    <t>a6b0faa1-8366-40b3-a993-c812a6da1a52</t>
  </si>
  <si>
    <t>0a3edade-828b-450a-91c2-56d5a8fea5f9</t>
  </si>
  <si>
    <t>1e9841e8-74a1-4bdd-b38f-cb63b21ab577</t>
  </si>
  <si>
    <t>b6bfac39-21c5-4bbd-8e97-2848db6032b5</t>
  </si>
  <si>
    <t>a001a8eb-4f41-47a3-84bb-34fda78d32a4</t>
  </si>
  <si>
    <t>23947c6d-5167-4268-bb97-8664cfff0523</t>
  </si>
  <si>
    <t>639b98f0-2978-4cf9-b982-5b6d6eaf48a8</t>
  </si>
  <si>
    <t>06e27fb5-2d5b-40d3-b8fe-1049ca31ab26</t>
  </si>
  <si>
    <t>c7ef6e17-bdcf-418c-aaed-3a37dc133e92</t>
  </si>
  <si>
    <t>5e40445b-a6b5-4b14-8dd4-9d9d10d692b5</t>
  </si>
  <si>
    <t>1ff5df75-ec4c-471a-a11f-68027b91bd6d</t>
  </si>
  <si>
    <t>9caa9235-1054-4987-9532-fa919ab18a9a</t>
  </si>
  <si>
    <t>2137e9e6-2f0f-44d7-9377-c58336ee7450</t>
  </si>
  <si>
    <t>d48cec22-6d11-42a7-b19d-67f617a0227c</t>
  </si>
  <si>
    <t>246f7aeb-55ce-4eb5-bfb7-57a83ffac369</t>
  </si>
  <si>
    <t>d64a2178-f78c-4491-8e48-59e2733f8323</t>
  </si>
  <si>
    <t>2c79575a-abea-4032-a809-e4a4b42bc0d4</t>
  </si>
  <si>
    <t>c893a98e-7427-45f2-863c-33a43b627924</t>
  </si>
  <si>
    <t>86c3ece3-c43e-4ff1-a314-e32537e50f65</t>
  </si>
  <si>
    <t>93f9aa52-a583-4af8-89ea-f6066ab84c2a</t>
  </si>
  <si>
    <t>9d8ab9ff-e261-47ab-a907-e282b550d161</t>
  </si>
  <si>
    <t>4de44150-1be6-4559-91d7-47f2ecd9aa1d</t>
  </si>
  <si>
    <t>63a9651d-6c82-4ab1-b41a-3a737515879b</t>
  </si>
  <si>
    <t>05b4fa59-2b34-4af4-af0e-c04f550ed1f3</t>
  </si>
  <si>
    <t>f5e8b468-3238-4f01-a8b7-1fde3bd450b4</t>
  </si>
  <si>
    <t>d1d3e08e-0575-4924-a112-2e0a6ed09603</t>
  </si>
  <si>
    <t>013ae441-e1a2-4214-aa2d-b2c129a2f80b</t>
  </si>
  <si>
    <t>e92502fa-cabe-4ed2-a529-c2a9a88ed0b5</t>
  </si>
  <si>
    <t>71f4e40d-b3d7-4c81-b8d9-32c17bf9084d</t>
  </si>
  <si>
    <t>104e1208-dc31-4e1f-a58f-cdd89de34abd</t>
  </si>
  <si>
    <t>d34d3605-3da5-4c15-a144-541d88d83605</t>
  </si>
  <si>
    <t>812e1297-fb95-42e5-9dcd-26c5d4fc7aad</t>
  </si>
  <si>
    <t>05cf06fd-9a42-4526-b1c9-dfb5a9828ed5</t>
  </si>
  <si>
    <t>6ebcb538-a7e7-4285-b086-4d0801301d6c</t>
  </si>
  <si>
    <t>c9516833-59ec-4e8e-9b9e-a7d64dc78dc4</t>
  </si>
  <si>
    <t>7c03b855-5d0a-4f32-9fc4-f014f2625699</t>
  </si>
  <si>
    <t>a1f57fe3-5628-4192-997b-5689315bcad3</t>
  </si>
  <si>
    <t>4faaab81-2bdc-4d50-bc47-3bfcc8af0bc4</t>
  </si>
  <si>
    <t>6f0075e3-330f-468b-9b92-d66dc2a408c3</t>
  </si>
  <si>
    <t>d26962e5-36ad-4f93-8fc7-d2440053de8a</t>
  </si>
  <si>
    <t>59453ed5-6a15-48b1-a435-185bc1330188</t>
  </si>
  <si>
    <t>95d98462-8e8a-4251-b88a-b3e6c79cb1dd</t>
  </si>
  <si>
    <t>32c7b766-d8fc-4d49-9be8-6de7df16ee10</t>
  </si>
  <si>
    <t>4b7c0384-e277-4e25-b307-1269e2634955</t>
  </si>
  <si>
    <t>36d83a03-838a-4321-8875-0cd72b6554ed</t>
  </si>
  <si>
    <t>58ce944d-ac27-4093-8590-91ae0d72d7d8</t>
  </si>
  <si>
    <t>ed9b9b00-fbc3-449d-86fb-58fe2c00c47e</t>
  </si>
  <si>
    <t>bb223c6d-8c59-4ad9-bf05-5b71eab73df4</t>
  </si>
  <si>
    <t>9948e4e1-da0a-4e45-936d-3a53a70e9de8</t>
  </si>
  <si>
    <t>50f3bcea-5347-4570-963f-41cf410ed411</t>
  </si>
  <si>
    <t>fbd8f9d7-f1e3-400e-b118-cc08fd363b41</t>
  </si>
  <si>
    <t>5e965fdb-a741-400f-8209-46d5915e2b53</t>
  </si>
  <si>
    <t>076d029a-fa7e-462f-adfc-efddbe271050</t>
  </si>
  <si>
    <t>6926e032-db6a-4a7b-8828-35b08fffc5c3</t>
  </si>
  <si>
    <t>a1922695-6f06-4ba3-b5ed-c221799cb1d6</t>
  </si>
  <si>
    <t>ed230ba9-a879-4198-bc25-83380c2026dc</t>
  </si>
  <si>
    <t>70c60e63-c09e-41c5-91c0-b22089356eaf</t>
  </si>
  <si>
    <t>a3310a21-1081-4deb-8d37-8c167ed74b2f</t>
  </si>
  <si>
    <t>85fb4860-5f28-4dbb-9f5d-8862dab7df1c</t>
  </si>
  <si>
    <t>c2127dc5-ed8a-4115-86e5-50fb1c0e12fc</t>
  </si>
  <si>
    <t>ee7f07de-ffe7-4ff3-95b2-368067b641e5</t>
  </si>
  <si>
    <t>1e69e3b9-edb8-4a4e-8c6d-1afe20fcdd61</t>
  </si>
  <si>
    <t>fb91130c-c72d-4bba-a006-ef269b33f138</t>
  </si>
  <si>
    <t>d4c70b2d-28aa-4752-b35d-5e4463f843cd</t>
  </si>
  <si>
    <t>8cef0586-9eac-46f2-bfdf-37564c987bc7</t>
  </si>
  <si>
    <t>70c014ab-a590-4ece-9737-796f51e80528</t>
  </si>
  <si>
    <t>45ce3913-be29-4f4c-b833-0ab47c63f361</t>
  </si>
  <si>
    <t>3ed06c04-2c3d-47b1-a3fa-f903a7e3401e</t>
  </si>
  <si>
    <t>e072474c-b11b-4b88-a169-9712f4b711eb</t>
  </si>
  <si>
    <t>529462fe-c3be-468f-a674-795854ecb1ce</t>
  </si>
  <si>
    <t>47f62c7a-c311-4fe3-8566-69967711117a</t>
  </si>
  <si>
    <t>aeef49c6-bc99-4459-ab79-1bd2cdbd9492</t>
  </si>
  <si>
    <t>395ee37d-6570-462f-84d9-be37c392e9bc</t>
  </si>
  <si>
    <t>41056581-523b-40ac-88a8-d6120c365ac4</t>
  </si>
  <si>
    <t>753ccf40-f6c1-4af1-a3ea-e72b94d20ed8</t>
  </si>
  <si>
    <t>31aed58c-00b2-4037-92ff-2fab46ba32a0</t>
  </si>
  <si>
    <t>1cea0841-a13f-4204-a797-09754e0cff9b</t>
  </si>
  <si>
    <t>9b256372-6848-41ad-8a9d-885bb2e3be7f</t>
  </si>
  <si>
    <t>38f8cc41-3f2b-407b-8df4-0a41c047973c</t>
  </si>
  <si>
    <t>a36d1c0a-3b89-442e-9aeb-00a96b49ba5f</t>
  </si>
  <si>
    <t>1d706b40-5036-4c76-8253-c2bdab232022</t>
  </si>
  <si>
    <t>21728262-ed6a-4996-8373-386537b19bb8</t>
  </si>
  <si>
    <t>916afada-ba7f-4c57-8eb1-6419df971afe</t>
  </si>
  <si>
    <t>30a7ef5a-81ae-4e3b-b257-c39393b15893</t>
  </si>
  <si>
    <t>9ac61407-5666-48f4-8fcc-53f75117ebb2</t>
  </si>
  <si>
    <t>a92ada3d-10cd-4dd7-be56-f32264b87e52</t>
  </si>
  <si>
    <t>b2701750-9b71-45b5-9f81-6cb5daa3ba68</t>
  </si>
  <si>
    <t>7b801830-a19b-4b8c-a574-0fdbcf2e4c95</t>
  </si>
  <si>
    <t>a615dc97-6944-4841-9d83-9a20bd40e34b</t>
  </si>
  <si>
    <t>56f7aab1-4dd0-47e0-b987-dc2980f12d25</t>
  </si>
  <si>
    <t>d48b1202-5949-4fff-a488-03e5a043c77c</t>
  </si>
  <si>
    <t>36b6f7a2-4344-46d6-8214-ccd24e5d693e</t>
  </si>
  <si>
    <t>884aad40-c31f-4a04-a6cd-07e511e22ff2</t>
  </si>
  <si>
    <t>fa617cd4-6feb-4374-b868-745f19be9e95</t>
  </si>
  <si>
    <t>cf377ac4-fcb9-4626-85ff-9f5b8e51ccd2</t>
  </si>
  <si>
    <t>1adeb21a-98be-4749-aeb3-2c6d3fad5c84</t>
  </si>
  <si>
    <t>74e3683c-1e86-43c9-a2cb-f5f00806e454</t>
  </si>
  <si>
    <t>8909c42b-b8d5-4b27-98ea-7c774d5e5e73</t>
  </si>
  <si>
    <t>f8b54cc0-cfdb-42da-8859-7bf25e210428</t>
  </si>
  <si>
    <t>e242f460-43ce-4f98-95f5-4b49508f783d</t>
  </si>
  <si>
    <t>d4110c3b-1873-486a-bfea-9ed38acc67fc</t>
  </si>
  <si>
    <t>5e5cc522-1265-413e-881c-ba2b25b3e00b</t>
  </si>
  <si>
    <t>09d977be-b032-44fd-a58c-520cebe76bf3</t>
  </si>
  <si>
    <t>2862f918-b5a4-4a62-9fc5-2f9728372f41</t>
  </si>
  <si>
    <t>ed53c894-648c-4849-ac01-2c1e40c372da</t>
  </si>
  <si>
    <t>34eb8f03-a801-42f5-8c4b-1f0e1145425b</t>
  </si>
  <si>
    <t>9bbf5b5d-494c-4b85-9dda-88f7a1ffce4d</t>
  </si>
  <si>
    <t>ea42ee90-05b0-4124-8b84-d81e733efe02</t>
  </si>
  <si>
    <t>0ca5e374-212d-40e8-bc06-468d0b794841</t>
  </si>
  <si>
    <t>1d3e44ea-4c55-42c2-ad73-2adb6d883b6c</t>
  </si>
  <si>
    <t>deea463d-9a37-4442-8666-e25d12564e11</t>
  </si>
  <si>
    <t>0bc17e27-6678-4b60-96c9-c8f0302e9e1c</t>
  </si>
  <si>
    <t>69056c58-b419-42c0-9d09-d31c0e2f60cd</t>
  </si>
  <si>
    <t>cb12e457-62fb-4a80-974d-65fc326dc856</t>
  </si>
  <si>
    <t>c656472e-3106-4928-97b9-a18ef3983a06</t>
  </si>
  <si>
    <t>4c0ed261-92e1-444a-902b-d759a20b2d59</t>
  </si>
  <si>
    <t>713cc570-fe4b-496c-a6af-1d1aa00ca75e</t>
  </si>
  <si>
    <t>5034a7ca-7829-4a5b-989e-222bb7267a0b</t>
  </si>
  <si>
    <t>066a531d-99ce-47dd-bb8c-7929d9fe93e4</t>
  </si>
  <si>
    <t>7a83cfee-1bab-4273-b668-dc2e435228c5</t>
  </si>
  <si>
    <t>569f88a1-4ac9-4fb4-bca5-5d15656ac272</t>
  </si>
  <si>
    <t>e0e49fd3-202b-4c52-a41e-6774504a94c4</t>
  </si>
  <si>
    <t>657c7bf1-3259-4716-b3c1-2f15e0eb287c</t>
  </si>
  <si>
    <t>da700d95-7ea5-451f-ae3c-fe1c8c34875a</t>
  </si>
  <si>
    <t>7acc2230-b17b-46e7-a373-c9af7d533cc7</t>
  </si>
  <si>
    <t>641531d5-1647-40fb-a1ff-155a9cb3bb23</t>
  </si>
  <si>
    <t>248ceb07-2472-4ba4-ab26-293304a067b7</t>
  </si>
  <si>
    <t>8de2a39e-bac2-42bc-acac-3b2498251251</t>
  </si>
  <si>
    <t>4fffa002-e327-4d61-a850-bd9ebdff6c7e</t>
  </si>
  <si>
    <t>a4992d3d-0b97-45cd-af90-16d078a68603</t>
  </si>
  <si>
    <t>a0d4d5ac-72fe-42ad-88ea-06a90b60f542</t>
  </si>
  <si>
    <t>d31ea91a-ee3d-4b83-a2e5-c7f64d120f73</t>
  </si>
  <si>
    <t>6571657f-9d4b-425e-bf7a-cba1df843c21</t>
  </si>
  <si>
    <t>293a5129-9e8f-407d-af8a-b76a77f38ee2</t>
  </si>
  <si>
    <t>aab4c02d-82ae-4ce7-a490-d05dc2760ed0</t>
  </si>
  <si>
    <t>5471e5cb-2551-431f-ae17-39eb65a5f91c</t>
  </si>
  <si>
    <t>f5f774f4-acf1-4213-8edc-72dd9b136cec</t>
  </si>
  <si>
    <t>fa2611a6-bd50-427f-9f1f-042029f71794</t>
  </si>
  <si>
    <t>f7161383-acc1-4d60-90f3-e8d2f17c6438</t>
  </si>
  <si>
    <t>857060a8-118d-4848-96eb-0be4ab3aedd5</t>
  </si>
  <si>
    <t>ad4d2dd1-d8e2-49c8-96a8-981bd39adc80</t>
  </si>
  <si>
    <t>925a7a60-3727-4489-8e8f-8a286f380811</t>
  </si>
  <si>
    <t>5cbb65f2-9cb0-420e-9757-9401d07e829c</t>
  </si>
  <si>
    <t>dc22227c-2d2d-4e76-8a40-84fcaee86ff2</t>
  </si>
  <si>
    <t>7ca5a92e-d56d-4782-9113-92308df95f8a</t>
  </si>
  <si>
    <t>7f8d9057-9cd7-4639-bc29-db620a9262ce</t>
  </si>
  <si>
    <t>3b9ebea2-51d9-40f0-9575-f1a92bcb706d</t>
  </si>
  <si>
    <t>96120620-4567-4d9c-92fc-3a44a274f207</t>
  </si>
  <si>
    <t>fbf748af-a4f6-4e9e-befb-adeca61ba24d</t>
  </si>
  <si>
    <t>21bce7ac-9d14-412e-8c26-76fdfc956497</t>
  </si>
  <si>
    <t>72cc45f4-033f-4332-bce9-5709cc236475</t>
  </si>
  <si>
    <t>3c45073d-0f5b-40fd-bf68-cea87ec3d203</t>
  </si>
  <si>
    <t>e01c024d-fc9f-4e2d-9b5d-49cff75314be</t>
  </si>
  <si>
    <t>acf79ff5-231e-4163-b144-51bc50e3ed6a</t>
  </si>
  <si>
    <t>7a6b72a2-4e05-498c-a80f-3605445c455a</t>
  </si>
  <si>
    <t>7dc83d4d-b264-455f-bc67-9973b098c4df</t>
  </si>
  <si>
    <t>ae856e10-8aa8-4886-b3a6-fbdf7b9a7a9c</t>
  </si>
  <si>
    <t>3d148e03-85d3-4006-b439-35a09fbd8caf</t>
  </si>
  <si>
    <t>0d75ff34-09d1-438c-ad2b-b22864d476a8</t>
  </si>
  <si>
    <t>975286b5-a870-48b4-881a-1fd5d83456b9</t>
  </si>
  <si>
    <t>384a0268-4211-4c03-a9ad-fb91d234e3d9</t>
  </si>
  <si>
    <t>69e92c23-0e71-474e-8375-efe65fbf08b7</t>
  </si>
  <si>
    <t>01cdbc3e-19d9-4d81-8ba0-bae9c349e860</t>
  </si>
  <si>
    <t>997d6481-1a7d-4b99-a3f3-a7bf04de7f1e</t>
  </si>
  <si>
    <t>3781f281-e9c7-43a5-9022-58269f834e27</t>
  </si>
  <si>
    <t>1045fa1e-daf0-4e1d-ad52-d0421f832256</t>
  </si>
  <si>
    <t>0d7b462a-4e7c-472e-abe0-db1fc62ffe1e</t>
  </si>
  <si>
    <t>21015499-7aae-479d-9436-23f40d10d1cc</t>
  </si>
  <si>
    <t>a35819f5-2719-4cfc-9f1a-26a2e3d6065e</t>
  </si>
  <si>
    <t>19d266ae-2389-4ceb-9d07-33987f6769ff</t>
  </si>
  <si>
    <t>a265a161-aee8-4f24-b143-a3b7b3319500</t>
  </si>
  <si>
    <t>ef005cb4-285b-4728-be10-32f1c3aed96c</t>
  </si>
  <si>
    <t>72d643f5-fa17-46a2-b95d-7a46520d8c6d</t>
  </si>
  <si>
    <t>74db2ba9-cc9a-4467-9aec-ddf9bb66100e</t>
  </si>
  <si>
    <t>acb3197b-01a7-462c-8886-b51f0e78075d</t>
  </si>
  <si>
    <t>b11750cc-76cd-4f9d-b3da-fd09e5af29a3</t>
  </si>
  <si>
    <t>87be2e39-9ed2-4970-8097-b6c75f51a3cd</t>
  </si>
  <si>
    <t>8d5c571d-afc9-48b7-a776-80a006c0de44</t>
  </si>
  <si>
    <t>9185ac35-2b68-4768-8f3f-486bc887fd49</t>
  </si>
  <si>
    <t>55e7331f-c1be-4081-93b7-149fe1855b2a</t>
  </si>
  <si>
    <t>636b1b6b-881e-404f-8c5c-856860bb7cb9</t>
  </si>
  <si>
    <t>1169ca58-376f-46f9-a977-bf4d2c04b49d</t>
  </si>
  <si>
    <t>3e2648d4-3c6f-4313-9c24-061dc5d20a07</t>
  </si>
  <si>
    <t>0e787c63-6927-46a9-a0e2-e10d9ea4dc34</t>
  </si>
  <si>
    <t>f2087eed-3156-4ab8-b721-4ed8e8a14405</t>
  </si>
  <si>
    <t>8b1a4395-1da7-446d-965c-befdddc857b0</t>
  </si>
  <si>
    <t>fdcf69d8-d8c9-4609-9487-ba89a2b7eba4</t>
  </si>
  <si>
    <t>6194af74-323b-4a57-929d-a0c1b410934f</t>
  </si>
  <si>
    <t>124361e6-092a-4c18-9a9b-51bca8b3cd90</t>
  </si>
  <si>
    <t>2a6cbf1e-476b-4b8e-99a3-8af1bc000cab</t>
  </si>
  <si>
    <t>54c417fb-0577-4851-bdae-31f294aac559</t>
  </si>
  <si>
    <t>b92a2772-9029-4d88-92c2-98a2ad96deab</t>
  </si>
  <si>
    <t>7e24482a-3c9f-4a28-9371-22855f546bf2</t>
  </si>
  <si>
    <t>32cda208-9fd8-400c-bb52-2a1d9ee433d9</t>
  </si>
  <si>
    <t>e579f162-8c75-42d8-a0bc-719229a1552d</t>
  </si>
  <si>
    <t>6c845f4a-d9a7-461c-9c29-e286ed513df8</t>
  </si>
  <si>
    <t>49941763-c922-490c-ba5f-6f6afcafbbb1</t>
  </si>
  <si>
    <t>03c73692-fd46-4135-b07b-22d13d96165a</t>
  </si>
  <si>
    <t>460ac170-4f96-4d29-b1b6-e37ead87c40f</t>
  </si>
  <si>
    <t>12fdaa8f-e94e-4ec3-84ef-bb98d0aa4e97</t>
  </si>
  <si>
    <t>6aa1cf68-6ff6-4993-94b3-2b1dd31ec14b</t>
  </si>
  <si>
    <t>d9768b27-73bf-4a37-acdb-d965481d146f</t>
  </si>
  <si>
    <t>c90a3269-53f0-44b8-aec3-7d4fe7182e1e</t>
  </si>
  <si>
    <t>e87be733-daba-4931-b4eb-3d3b2809c3ff</t>
  </si>
  <si>
    <t>3490fae8-0465-4dac-8332-7cdd637e9208</t>
  </si>
  <si>
    <t>651f6507-8fad-4de4-8b96-6789c75ddca8</t>
  </si>
  <si>
    <t>311500e6-09c9-4a1b-93f9-d50d65511e95</t>
  </si>
  <si>
    <t>f738c820-28bb-40c0-9438-735218a79123</t>
  </si>
  <si>
    <t>77cbd699-ceec-4576-b59e-07af1fbf72e6</t>
  </si>
  <si>
    <t>cdf43054-de42-4bf2-aeab-37511b522ea0</t>
  </si>
  <si>
    <t>4f6c823d-4747-4fe2-925f-a91f7216a341</t>
  </si>
  <si>
    <t>5d6f7026-bc1b-4521-a672-2531555fd6a3</t>
  </si>
  <si>
    <t>e73eaa03-de84-4bf1-9553-06b88e884fde</t>
  </si>
  <si>
    <t>c8b5f207-a828-46c1-a724-baffae3ace44</t>
  </si>
  <si>
    <t>cdc6af78-0abc-4267-8232-9bc9494a1860</t>
  </si>
  <si>
    <t>7522729c-042d-428a-83b8-03afeb31da72</t>
  </si>
  <si>
    <t>42887872-bd04-41f1-8f60-ba952613f0ef</t>
  </si>
  <si>
    <t>243fd66d-8747-4a91-9d39-b61a73008426</t>
  </si>
  <si>
    <t>7d4c9b2e-4cef-41ff-bcd5-de1cec6fdd9c</t>
  </si>
  <si>
    <t>b8522a2d-b1d7-47ce-ac76-6b72cca6a039</t>
  </si>
  <si>
    <t>85a30079-e2ca-4244-913d-802c77ca6b41</t>
  </si>
  <si>
    <t>c5f877ba-ae58-4538-b48f-104225a3af9c</t>
  </si>
  <si>
    <t>7f73d346-3280-4b7f-8933-d20d5c42eb1d</t>
  </si>
  <si>
    <t>d1efb347-937b-4848-9b15-d0e09b810b38</t>
  </si>
  <si>
    <t>956c42e1-bb93-4483-a551-4170b15e0d6a</t>
  </si>
  <si>
    <t>5a10cc23-3389-44b0-9cfa-4faf4fb22e58</t>
  </si>
  <si>
    <t>a3604600-7951-4130-9620-bbf72363c5a1</t>
  </si>
  <si>
    <t>15156048-2150-457e-873b-67289ec4628f</t>
  </si>
  <si>
    <t>64915154-8b62-44a8-be4a-a8308b588397</t>
  </si>
  <si>
    <t>1317c938-c155-4687-9385-3e19674c9353</t>
  </si>
  <si>
    <t>98aff7a8-5722-483e-8b19-f7be4e0fca1b</t>
  </si>
  <si>
    <t>32981336-a3db-4780-aed5-a33e7d39e2da</t>
  </si>
  <si>
    <t>10d34fba-6caa-4601-b69d-666d8c561cae</t>
  </si>
  <si>
    <t>78f74383-b490-4f16-b9fe-faf9738cd4dc</t>
  </si>
  <si>
    <t>01ee344a-5861-4d21-95fe-305212b6138a</t>
  </si>
  <si>
    <t>8590cc6a-4710-4539-af18-89b9d9777218</t>
  </si>
  <si>
    <t>1ff408ad-9c77-4bb9-b89d-a2fecfb6dedc</t>
  </si>
  <si>
    <t>8700d650-a421-4666-9e2e-0fcfa8355848</t>
  </si>
  <si>
    <t>bf17f748-41a4-46f4-b412-c1e0d517ba56</t>
  </si>
  <si>
    <t>f73b76e7-77ac-45cb-8ea9-674f7a7808e2</t>
  </si>
  <si>
    <t>23df91b2-0e35-476c-9ee4-22f7b561c2e3</t>
  </si>
  <si>
    <t>898948ad-565d-4a36-8e5a-fdc168412498</t>
  </si>
  <si>
    <t>15b41b8a-d6ef-419e-9bce-eefba721de8d</t>
  </si>
  <si>
    <t>5e176bbe-50d2-4a37-9f52-a0d46807a92b</t>
  </si>
  <si>
    <t>293100a7-7903-4e98-9637-b43a238f52fe</t>
  </si>
  <si>
    <t>7f70216c-f3e5-4606-890f-633f47d38ca3</t>
  </si>
  <si>
    <t>92a71bca-d3fc-481d-ab96-713d343d3646</t>
  </si>
  <si>
    <t>b89a8805-e877-4d68-81a5-79883eb6fbe6</t>
  </si>
  <si>
    <t>41228555-466c-45d7-b3f4-15502389a8a8</t>
  </si>
  <si>
    <t>5e81df94-62ba-453a-a6ea-f29cf6985811</t>
  </si>
  <si>
    <t>08f254d0-2adc-409e-b88c-10e082c11e9d</t>
  </si>
  <si>
    <t>606c8285-969d-4efe-a5e7-434a73a05dda</t>
  </si>
  <si>
    <t>3ff6ac30-cffc-49b6-b5d9-6eceb954b1b3</t>
  </si>
  <si>
    <t>d376dc8c-7655-4766-a971-abe7a5498c08</t>
  </si>
  <si>
    <t>4ff9d20b-9e3e-4821-a72b-40af8927022a</t>
  </si>
  <si>
    <t>5138ef5d-56f5-4da7-98f4-328040a526f6</t>
  </si>
  <si>
    <t>2d9a0f99-218a-4410-bc72-467cd4109b1d</t>
  </si>
  <si>
    <t>39f12047-ebcb-451d-92e2-3b2c85f44e6a</t>
  </si>
  <si>
    <t>e7f9d33e-0c44-429b-bf83-18b8cca7d869</t>
  </si>
  <si>
    <t>7b471e33-460b-4e26-b494-08c8727fe6dd</t>
  </si>
  <si>
    <t>67e1ae95-e1e1-4866-8d45-ebb0935f0de6</t>
  </si>
  <si>
    <t>a03ddb21-d89f-4c2a-8cf8-3c27eacdf374</t>
  </si>
  <si>
    <t>eaa74bff-e5b3-405d-93de-fa4d71019433</t>
  </si>
  <si>
    <t>a45a452a-70d2-43c4-8306-423dda301428</t>
  </si>
  <si>
    <t>629012a9-963a-48c3-88b7-87618e068414</t>
  </si>
  <si>
    <t>046f3da6-ac89-4b60-ab54-49621ddf8eda</t>
  </si>
  <si>
    <t>272f6759-42b9-44b5-8101-8dd499c21501</t>
  </si>
  <si>
    <t>df640f72-390a-4865-83c7-6c76a728f605</t>
  </si>
  <si>
    <t>74261433-7b65-47fe-98a0-47053010be0c</t>
  </si>
  <si>
    <t>d093cdee-09b0-4e8a-ba3c-565bf96931dd</t>
  </si>
  <si>
    <t>89b1494d-d030-4afd-a37e-d19242db325f</t>
  </si>
  <si>
    <t>b2421bdd-53c2-487e-855e-ed8d7f333709</t>
  </si>
  <si>
    <t>1520fafa-c0ce-42ba-a159-c46f0165cbc5</t>
  </si>
  <si>
    <t>9075233f-aaae-481c-a95d-ffdf5dd85c53</t>
  </si>
  <si>
    <t>86e11453-a62b-4050-98f3-9b8ce55dc9ea</t>
  </si>
  <si>
    <t>10da5d56-9115-4b9b-ad3e-8f7522df6625</t>
  </si>
  <si>
    <t>32e3e7b8-1a2d-45b5-bd37-5d34f2f8e1e6</t>
  </si>
  <si>
    <t>8df13ac7-af80-4317-badc-b5489889f26b</t>
  </si>
  <si>
    <t>7c7ba1a5-f54f-46e2-ba12-fe459c8f4f50</t>
  </si>
  <si>
    <t>a8f414c8-c478-45c4-b77d-391cf5b3aa7e</t>
  </si>
  <si>
    <t>1494a61f-583b-4037-9936-e12c45876366</t>
  </si>
  <si>
    <t>651a70ce-0dc1-4757-91cf-0fe8eec86c8b</t>
  </si>
  <si>
    <t>211de8cd-9f67-43dd-aab7-9fe35ab9935e</t>
  </si>
  <si>
    <t>e394e024-230f-40d9-b0dc-4ccdaa49f0c5</t>
  </si>
  <si>
    <t>58eebb66-ceb7-4338-b538-4e91c9009b82</t>
  </si>
  <si>
    <t>1ef94f42-8f1b-463e-9c44-eec3050f9bb4</t>
  </si>
  <si>
    <t>1d7b1295-105a-44ea-8d78-04efd239f789</t>
  </si>
  <si>
    <t>380c17eb-5889-4521-8896-d6bbab0c0bb6</t>
  </si>
  <si>
    <t>e6fead2e-88c2-4815-b1a2-cbd3ecdbd3ae</t>
  </si>
  <si>
    <t>ea4201e0-40a8-47f3-b238-027ac5050666</t>
  </si>
  <si>
    <t>0228a8c6-70d3-4585-acac-61986feaa369</t>
  </si>
  <si>
    <t>c742d6b8-e9b4-4c4a-aaf3-30f91309e108</t>
  </si>
  <si>
    <t>a9ca9998-8c80-4514-b0dd-14c548738d57</t>
  </si>
  <si>
    <t>275e6277-490e-426b-8225-7b294d215c2f</t>
  </si>
  <si>
    <t>37e38b3d-254c-4713-8d56-6ec741f1e673</t>
  </si>
  <si>
    <t>7c297753-859d-4479-83ab-a36386453908</t>
  </si>
  <si>
    <t>62bf43b2-7c33-43e1-835c-15cf9480abed</t>
  </si>
  <si>
    <t>fc070fc9-586a-4493-b276-4bc342ef82a9</t>
  </si>
  <si>
    <t>39d55ad7-af1a-4246-b1a8-58aae2c76866</t>
  </si>
  <si>
    <t>006cbf0a-cb2e-427a-bf1e-a4a5c50d1f30</t>
  </si>
  <si>
    <t>6cea9472-111c-407a-bf2f-b1215f848687</t>
  </si>
  <si>
    <t>1d8db960-2ea8-4875-922f-3a687c2f8ebb</t>
  </si>
  <si>
    <t>f9ba7f72-0ee0-4da8-ad2c-8188e5e15de4</t>
  </si>
  <si>
    <t>2f0f39d7-4787-4001-8478-c25565cae1b5</t>
  </si>
  <si>
    <t>44529d8e-9605-4beb-871b-2034b1ee4a5d</t>
  </si>
  <si>
    <t>93436d1f-78fc-4012-b63f-a30883ac919f</t>
  </si>
  <si>
    <t>07e41bf1-ce13-4caf-a78c-c3a85cea6f6c</t>
  </si>
  <si>
    <t>e50ae584-bcd2-416c-bed9-230d6a8b44b5</t>
  </si>
  <si>
    <t>f399ff8a-f418-45cb-9a19-0b4b5ae74010</t>
  </si>
  <si>
    <t>82ca6f29-eb22-4220-bac5-f215cbfc38c7</t>
  </si>
  <si>
    <t>f89267fd-4df4-440c-b55a-cf78bba9b460</t>
  </si>
  <si>
    <t>209c61d6-5db0-4f0a-b84f-0875e7bb9a1a</t>
  </si>
  <si>
    <t>7652ae59-c197-4a93-a339-2ecc785f1f03</t>
  </si>
  <si>
    <t>a1d03008-c090-4597-b410-cd50e30ff15f</t>
  </si>
  <si>
    <t>fa7babfc-d736-43fd-9719-559e5a2bd2e7</t>
  </si>
  <si>
    <t>502e0600-643f-4aff-8687-de74d12dabf9</t>
  </si>
  <si>
    <t>28a0215b-7d8c-4faf-b8bf-6fb092d683ae</t>
  </si>
  <si>
    <t>99bf0034-7f33-4f38-b502-dcf506a11dd7</t>
  </si>
  <si>
    <t>ee7e09fd-e22b-4586-a0e7-fcc008183aac</t>
  </si>
  <si>
    <t>c90e54a8-6f39-453d-9c58-1d07270e37b0</t>
  </si>
  <si>
    <t>5a5b78e5-583b-4e5b-889e-3c82177f45e7</t>
  </si>
  <si>
    <t>299c83b2-9b0c-4e83-a45f-6e4bd572a453</t>
  </si>
  <si>
    <t>a9d7665a-4c68-4458-8441-42cccfcb030f</t>
  </si>
  <si>
    <t>9ab068cb-d8da-4e53-84bf-b2a71ee64582</t>
  </si>
  <si>
    <t>dbcc1517-37b9-4a61-b3c9-6d76ce0b74b2</t>
  </si>
  <si>
    <t>fda25435-af10-4f0d-88ab-777bea8b2d6e</t>
  </si>
  <si>
    <t>d3953a47-be8c-4520-8c09-bc77c64cbd7c</t>
  </si>
  <si>
    <t>4b1abeef-8eee-4cab-a950-5308aa9bc820</t>
  </si>
  <si>
    <t>f7b6a84e-5418-4be9-bd6d-052305b98c86</t>
  </si>
  <si>
    <t>f65c7f1e-3f78-4547-91d8-ce5fe163acaf</t>
  </si>
  <si>
    <t>dfd847f7-6927-4cff-b4b2-fea35f1395ee</t>
  </si>
  <si>
    <t>5d1c8d01-f109-4b3f-b2de-d49eaf5e3da2</t>
  </si>
  <si>
    <t>1aa0e721-202a-48e7-a354-2b57bbb572b6</t>
  </si>
  <si>
    <t>4c4c3543-cba7-4ba5-b76b-0644d879f485</t>
  </si>
  <si>
    <t>549dfadd-0e23-4d5b-a361-966c2bcdf0d3</t>
  </si>
  <si>
    <t>39a4a97e-9dc3-4131-872c-1f36a5596e90</t>
  </si>
  <si>
    <t>eb5183f5-f51f-440a-876c-e427a6b9fab3</t>
  </si>
  <si>
    <t>aa719ffd-2e21-415b-89c6-04868c41e9e3</t>
  </si>
  <si>
    <t>7225ddf4-0094-48e2-b7b9-50d3b2e40cb4</t>
  </si>
  <si>
    <t>293e43c1-7548-45d1-800d-80f0e5877225</t>
  </si>
  <si>
    <t>2b4a77d8-1721-45b0-a967-9b4c63121a14</t>
  </si>
  <si>
    <t>cf8524f5-51a9-4491-b1d2-eec3fe5f442b</t>
  </si>
  <si>
    <t>08ae85dc-91b1-4409-9a5d-54e64ed6b558</t>
  </si>
  <si>
    <t>097fbeaf-765d-4f5e-96e8-efe67a785c72</t>
  </si>
  <si>
    <t>b3e5e0d4-f4e0-4c83-8fb8-d7f7445c2dc4</t>
  </si>
  <si>
    <t>eec9ebb6-b1ef-4627-beec-22e80632425a</t>
  </si>
  <si>
    <t>f8cfb9c4-35f5-4fc3-84e5-46e9300e5797</t>
  </si>
  <si>
    <t>be65b6bf-a324-4c8c-acd5-ba25f785b7e9</t>
  </si>
  <si>
    <t>8202c069-84b3-4dc5-838e-12bca9749817</t>
  </si>
  <si>
    <t>41199d72-1dd8-4602-9e4c-1adb08305860</t>
  </si>
  <si>
    <t>dfbc6e79-fd75-4f31-a096-7c6502c16651</t>
  </si>
  <si>
    <t>a4e802a8-1966-41a5-ac55-98ed24ffb1cb</t>
  </si>
  <si>
    <t>0053bce8-bdf0-4292-8695-596806243807</t>
  </si>
  <si>
    <t>016c9add-def6-402e-8bf1-1dcc80c5bf41</t>
  </si>
  <si>
    <t>00fadc98-99df-48d3-913a-f188c204caca</t>
  </si>
  <si>
    <t>f402d5d4-e479-4df6-943d-83ed10bf1ccb</t>
  </si>
  <si>
    <t>f54aa029-e607-4dcd-95d7-9b1f14f1ee83</t>
  </si>
  <si>
    <t>e3cfd1a3-3a1a-4e52-88b6-b62a3bed3df3</t>
  </si>
  <si>
    <t>e033d44d-2e5e-4394-b3f1-7e6d2691cb82</t>
  </si>
  <si>
    <t>1093ed58-ba46-4bd3-a175-e4beb0d24d8c</t>
  </si>
  <si>
    <t>b50b2471-3411-4809-a532-9e8ee5edda7e</t>
  </si>
  <si>
    <t>38bf13d9-a4da-44f5-8b7a-a0789fb0cdab</t>
  </si>
  <si>
    <t>1eaa4b0b-ddff-4223-a18a-9ad251d4033e</t>
  </si>
  <si>
    <t>c4be3557-57fc-489c-9f60-9293c5a9ef8e</t>
  </si>
  <si>
    <t>28005fa0-eab5-40d0-bd3b-d9d7c89396de</t>
  </si>
  <si>
    <t>9a05a931-a8bc-4a62-ad3f-9622d63ca7f9</t>
  </si>
  <si>
    <t>c63c9c9e-f315-48ff-8eb2-ea351881a10f</t>
  </si>
  <si>
    <t>cc0a69e2-0922-46ed-91b4-c5a054368eaa</t>
  </si>
  <si>
    <t>a89b44c2-f88f-4d77-83d0-fbcadf5cb0e0</t>
  </si>
  <si>
    <t>d56dc6d1-9061-4310-88a4-d1fbb6b7153c</t>
  </si>
  <si>
    <t>bc00d626-a6c8-4849-832b-26d1652cd9a5</t>
  </si>
  <si>
    <t>ce861e9c-c973-4490-82e0-2aedc11b35a0</t>
  </si>
  <si>
    <t>b5a5650e-e7ec-4bf1-aa85-2abec194de43</t>
  </si>
  <si>
    <t>9d98ee7e-1184-4cc6-83c6-776a4afe13ea</t>
  </si>
  <si>
    <t>76786e0d-17a8-4fe2-a25a-a5e55c950282</t>
  </si>
  <si>
    <t>c3f1355a-bbdf-4003-95f2-88e4c2c69724</t>
  </si>
  <si>
    <t>952db28c-7c45-4b89-85cd-db5541c23fe7</t>
  </si>
  <si>
    <t>283f1789-5480-4201-b23e-d4209da21dfd</t>
  </si>
  <si>
    <t>39fad8ae-71fa-42e7-ba91-bee866c5ebc7</t>
  </si>
  <si>
    <t>130428f2-62af-486a-a0b1-d13eac079ebe</t>
  </si>
  <si>
    <t>98591952-d667-4cac-819f-bdf3d18ca10e</t>
  </si>
  <si>
    <t>15fdabfd-c378-4321-9ce1-a7c8bfeffe91</t>
  </si>
  <si>
    <t>2f3faf33-2c1e-45cc-8378-81572d98c122</t>
  </si>
  <si>
    <t>0e285047-3c49-4dea-9590-cb0844e4da18</t>
  </si>
  <si>
    <t>d664b4e0-4827-43db-99eb-5960877a11d0</t>
  </si>
  <si>
    <t>2c77b2a2-789c-430a-9457-20c3cbe9bacd</t>
  </si>
  <si>
    <t>20ceaf3c-2751-430a-9d85-6a423065465e</t>
  </si>
  <si>
    <t>89f119d1-481c-4dee-87a2-9f186de8c9c4</t>
  </si>
  <si>
    <t>d4526d90-375f-4470-9732-ed0afa4871cd</t>
  </si>
  <si>
    <t>c79aa7fb-6ed8-4f3a-897d-5cacf880c947</t>
  </si>
  <si>
    <t>8378aba2-b9de-4192-8f37-ede47bb9bfef</t>
  </si>
  <si>
    <t>3145fb9e-ce67-4698-90a3-348b86e5bff8</t>
  </si>
  <si>
    <t>31aac840-a310-4423-8199-b6e9d41d41de</t>
  </si>
  <si>
    <t>cf8c9d2e-776b-4cdc-a787-b08243064a4c</t>
  </si>
  <si>
    <t>48885f3c-7673-4686-8e9f-574aa755f5b1</t>
  </si>
  <si>
    <t>fc12a5bf-8d9c-40d6-945b-704ece17eff3</t>
  </si>
  <si>
    <t>09f0ed8c-237f-433e-9bc7-c14986cc3401</t>
  </si>
  <si>
    <t>ec24622d-2114-42aa-a18b-3fa3754a1788</t>
  </si>
  <si>
    <t>1f1804ae-20da-4c4a-a070-336f7896b3f9</t>
  </si>
  <si>
    <t>1d16a7a7-605b-4876-a6ae-48c5f58a94b5</t>
  </si>
  <si>
    <t>feaddb22-1137-41be-aafe-152077af70c1</t>
  </si>
  <si>
    <t>16816c45-df3a-418c-98e7-87b466de42e0</t>
  </si>
  <si>
    <t>aa338a9d-6ee3-4da2-a455-be75ab63f5b1</t>
  </si>
  <si>
    <t>73d7b481-0732-4b6a-9315-8ccece0ea840</t>
  </si>
  <si>
    <t>b3744f0d-b78e-4b9e-9576-da99a0234d84</t>
  </si>
  <si>
    <t>44932997-051f-43b9-996d-cc6439944167</t>
  </si>
  <si>
    <t>27efa4c4-2885-4589-8dba-5febef45c2a2</t>
  </si>
  <si>
    <t>68a7138d-12b5-4d66-9bda-98d563a4c01e</t>
  </si>
  <si>
    <t>161c6239-d304-4811-9169-98919c36fb3f</t>
  </si>
  <si>
    <t>9f2a8173-5046-4b38-8826-b47239e19187</t>
  </si>
  <si>
    <t>df29595f-4a0a-4edd-9eb7-df2900d81869</t>
  </si>
  <si>
    <t>7d6474a5-300d-4562-847e-60af5554f989</t>
  </si>
  <si>
    <t>bece1999-87f8-4b50-b028-e09fd8a3e1ca</t>
  </si>
  <si>
    <t>023493e3-4cff-4da4-b09f-179663c3fda8</t>
  </si>
  <si>
    <t>cecf7f3f-a298-41c3-86ca-36c456c47e43</t>
  </si>
  <si>
    <t>6144d71a-273c-490d-bedd-ada7b90c7e85</t>
  </si>
  <si>
    <t>80384ce8-c859-423a-9600-49b62c815e9e</t>
  </si>
  <si>
    <t>fc5d959a-49cd-4217-8596-039ab366338a</t>
  </si>
  <si>
    <t>41ecafbd-c77b-45a6-99eb-07846ab8f7ca</t>
  </si>
  <si>
    <t>ddab1dbf-af55-4792-adcc-1adc6a558f77</t>
  </si>
  <si>
    <t>7b839c25-5bdf-465d-be29-4489e80c5c33</t>
  </si>
  <si>
    <t>135d694c-0757-4306-ba29-466bab231cd6</t>
  </si>
  <si>
    <t>d56735ba-9f34-4a1f-8273-c56f133aa053</t>
  </si>
  <si>
    <t>74d0d408-80ea-4646-a21e-cf50bfe51ab1</t>
  </si>
  <si>
    <t>01f869e9-f70a-441d-a2ac-6d0d8aa620cc</t>
  </si>
  <si>
    <t>60ae5505-6b39-4a75-9c53-5c7642f06137</t>
  </si>
  <si>
    <t>1295f41c-8fd8-400a-9e5f-c50762ed7118</t>
  </si>
  <si>
    <t>b23bccdc-40b7-4f73-8e72-f710a8f535cb</t>
  </si>
  <si>
    <t>e0c94248-81d0-4a99-9024-14083cec7094</t>
  </si>
  <si>
    <t>59809bcd-95d4-4188-b6aa-7f142d8c69b4</t>
  </si>
  <si>
    <t>ede682f1-8e7d-41f6-915d-512f8ce63dcb</t>
  </si>
  <si>
    <t>7f19d331-987f-4a4c-bd7f-c060548a72fb</t>
  </si>
  <si>
    <t>9aa65040-f1d5-421b-bfa9-c824d415e5dd</t>
  </si>
  <si>
    <t>024fda81-cf4f-44a0-8fa2-faec36f1502e</t>
  </si>
  <si>
    <t>4c1cc3af-02ff-44d6-844d-a9fc5ddd1eee</t>
  </si>
  <si>
    <t>ecdfdea3-9f24-433e-9659-cf4c45a8f698</t>
  </si>
  <si>
    <t>3310ecad-b07d-49aa-8c40-bb84130b3871</t>
  </si>
  <si>
    <t>9eb36d49-1799-49cf-a4d3-f421c04487d1</t>
  </si>
  <si>
    <t>9122fa84-2108-45e1-bc95-fd9dc279c392</t>
  </si>
  <si>
    <t>85b9c972-7c36-4b92-a121-a481743d71bb</t>
  </si>
  <si>
    <t>26e5747c-71b0-4315-80ef-a5559d132508</t>
  </si>
  <si>
    <t>c834c4db-c039-4729-8613-4917186faa8f</t>
  </si>
  <si>
    <t>6ad32b15-bcd2-467d-aa06-12fdebdb0151</t>
  </si>
  <si>
    <t>f5c098b5-22e0-4843-a995-be87c154c166</t>
  </si>
  <si>
    <t>31f9090f-34f5-4a77-8888-61696b2a3068</t>
  </si>
  <si>
    <t>e54ab246-6bcf-48ec-9163-ef428013543d</t>
  </si>
  <si>
    <t>301ae9c2-22cb-40a8-af20-473ec3b67a06</t>
  </si>
  <si>
    <t>fd845c74-9bce-4304-a1f4-bfb8bd413ce5</t>
  </si>
  <si>
    <t>fe16c78b-c7ef-420a-b308-b629326e9f28</t>
  </si>
  <si>
    <t>1cfcef1b-04d9-445f-b216-da76cda4cd07</t>
  </si>
  <si>
    <t>470139fc-9f35-4ea5-a2bb-429b72f746d2</t>
  </si>
  <si>
    <t>fe5d6ece-c54b-4b82-9ea1-053d8909a7d3</t>
  </si>
  <si>
    <t>eecd5748-691c-4d6f-9ca7-3b9b830ed472</t>
  </si>
  <si>
    <t>58f1961a-20e4-4b3f-9f52-fbda94c00b0e</t>
  </si>
  <si>
    <t>3ee4fe09-739b-4f69-933f-220de5c986ac</t>
  </si>
  <si>
    <t>3fdefc53-3af9-43f9-bf9e-47459bffbb3b</t>
  </si>
  <si>
    <t>2136c7c5-f91f-42d3-9339-16b9018b7f98</t>
  </si>
  <si>
    <t>4f67065b-f295-4082-ae95-12e47d235ddd</t>
  </si>
  <si>
    <t>c0cd3377-0d32-432a-814b-343692efa0b2</t>
  </si>
  <si>
    <t>6ec8e3ff-75bb-4e60-9e98-84c063bba89c</t>
  </si>
  <si>
    <t>e107d805-b698-4b62-8970-aad67c6ec82f</t>
  </si>
  <si>
    <t>a80aff04-ef0b-46f8-bb0e-23d0a6284395</t>
  </si>
  <si>
    <t>f9ef6c4f-44dc-4faa-a460-c383a172be16</t>
  </si>
  <si>
    <t>c0d7f05a-36cd-46b5-b8a6-8fe7c88c182e</t>
  </si>
  <si>
    <t>9f07f107-c280-406e-bf90-9783e06ba9d0</t>
  </si>
  <si>
    <t>648ac23c-1fb1-4521-8224-fb7f7c1e25ff</t>
  </si>
  <si>
    <t>fd5b4b20-5996-4049-a875-3dd2f5b1ad8f</t>
  </si>
  <si>
    <t>ec90c7f9-8719-4020-a694-674dbaa40a39</t>
  </si>
  <si>
    <t>2cd40def-dfcb-45b3-9063-45846cf3197e</t>
  </si>
  <si>
    <t>23779cce-1ae0-4942-a1a8-4a56d1fc7198</t>
  </si>
  <si>
    <t>7fff6901-6028-4b2a-bef7-c5bba5f1bc19</t>
  </si>
  <si>
    <t>4e6d7b8e-5c5f-44f6-9b55-306762550a11</t>
  </si>
  <si>
    <t>50404ff2-0fa7-481c-9f57-59686d8e05c2</t>
  </si>
  <si>
    <t>a6bd7f06-77fd-45f1-a816-ce3cf5174f1d</t>
  </si>
  <si>
    <t>799b8e7c-c43b-4a5b-b465-0a86eed7e1e7</t>
  </si>
  <si>
    <t>2ceccece-7395-4eac-a309-e7dea1c61113</t>
  </si>
  <si>
    <t>39da4de7-9e47-4a69-91c1-17c1812052f8</t>
  </si>
  <si>
    <t>3d5ff080-6f6d-4f78-9f21-98e954d402c9</t>
  </si>
  <si>
    <t>04f37b04-0f44-4d86-8823-a96ae37c4199</t>
  </si>
  <si>
    <t>13b99a59-2206-4c71-a470-974c2e8f9270</t>
  </si>
  <si>
    <t>499968c7-bf49-4739-a7b6-236af773f132</t>
  </si>
  <si>
    <t>68ae0e70-e33e-4253-944d-8d8313e10e68</t>
  </si>
  <si>
    <t>07e9e701-89a8-41fd-affe-d0c23f3af1b3</t>
  </si>
  <si>
    <t>4bdf2db3-b39b-417d-bd4a-35e382f7309b</t>
  </si>
  <si>
    <t>59aa0fbe-3ff7-4450-852e-01f4b5f6a209</t>
  </si>
  <si>
    <t>23340e40-e83e-457b-a185-4a78bf0ddb78</t>
  </si>
  <si>
    <t>fecc7d79-51eb-4f3d-8542-6d540e7d8fe1</t>
  </si>
  <si>
    <t>083d2246-3aa1-478a-b849-7fd8cb9b9052</t>
  </si>
  <si>
    <t>fc25f58e-c7c4-4895-b8cf-9e4a105cc278</t>
  </si>
  <si>
    <t>7c3d7fbb-e692-4576-9d8d-11743435a077</t>
  </si>
  <si>
    <t>8af98391-af50-4c92-8f10-1c27826b21ba</t>
  </si>
  <si>
    <t>825d01c6-2499-4c37-98c8-05e68805959d</t>
  </si>
  <si>
    <t>cff784c3-ec90-41a2-9acd-d937ffea7d19</t>
  </si>
  <si>
    <t>ae483f19-1b63-4a77-9c8c-ba2ecf3e9019</t>
  </si>
  <si>
    <t>b0b21b46-34f8-4cdc-b9bb-126f95129a62</t>
  </si>
  <si>
    <t>806539b9-3b8a-4feb-81f5-0117313ba2b8</t>
  </si>
  <si>
    <t>9a8a320c-d473-46b9-81b2-411ff4c6c992</t>
  </si>
  <si>
    <t>25d62190-b3e0-44a8-ae2c-962b271e98e6</t>
  </si>
  <si>
    <t>5a69ccb3-6323-4f2b-bb93-e393f58330cb</t>
  </si>
  <si>
    <t>d72fa479-cd49-4ecf-bd5d-69c275fe9fa1</t>
  </si>
  <si>
    <t>6bf3722c-4338-4414-b893-7257b7c6fe74</t>
  </si>
  <si>
    <t>1fb9422f-c9f4-4a31-ad33-f45c533a031a</t>
  </si>
  <si>
    <t>d5e6cff6-96c5-4383-a0d4-18fca9c882fc</t>
  </si>
  <si>
    <t>bdf54ea6-7f84-4c46-8f85-caa9a2585e40</t>
  </si>
  <si>
    <t>ab7afbf4-09b6-4dc8-ad70-524a7bbaabd7</t>
  </si>
  <si>
    <t>5ea08c07-8341-4a51-af9b-0d19e3859d82</t>
  </si>
  <si>
    <t>348ff247-a5ed-4748-94d2-2c81edf7fa0a</t>
  </si>
  <si>
    <t>e75d7ee9-b156-4903-b2f4-64a95591e0cc</t>
  </si>
  <si>
    <t>472ca254-ce2c-4d29-8f39-ff252c407575</t>
  </si>
  <si>
    <t>fce90d81-ae38-4658-bf2b-362714017dbd</t>
  </si>
  <si>
    <t>3d63c173-37c0-4b3d-a288-f2fb2eb8e9f9</t>
  </si>
  <si>
    <t>b40c8730-5683-4078-b42a-1859184b7dd7</t>
  </si>
  <si>
    <t>e0849aff-ee51-4e2a-bc82-f0e21d10cca4</t>
  </si>
  <si>
    <t>87000785-216a-4ddb-9e86-c9bfe4f003f2</t>
  </si>
  <si>
    <t>1659ac4a-3d07-47d3-9300-d31e996a7670</t>
  </si>
  <si>
    <t>e8551b2e-6f83-45b5-88cc-883a6df6e1eb</t>
  </si>
  <si>
    <t>438268e6-e881-403e-9549-25e97a5bab68</t>
  </si>
  <si>
    <t>b69626af-3beb-477f-ba4f-08c4f5c33dc9</t>
  </si>
  <si>
    <t>597711a1-22f3-4cca-b5da-c4b7764d2743</t>
  </si>
  <si>
    <t>02c4c29e-fc8f-418c-ab79-9cd2ffc4757e</t>
  </si>
  <si>
    <t>e3635fe6-91b7-4612-b41a-f87318ccf311</t>
  </si>
  <si>
    <t>8bd2405d-16ef-41e9-b1b5-5f5a5e07ba65</t>
  </si>
  <si>
    <t>d29100aa-f8b4-4ec0-85e6-96e83fefe597</t>
  </si>
  <si>
    <t>9c9aed3b-c06a-4cd3-856a-689640dc17fc</t>
  </si>
  <si>
    <t>84a9d61e-6048-48a1-9757-63483d39a283</t>
  </si>
  <si>
    <t>d5fc8be9-b7f5-480d-803a-1eab24d77e9c</t>
  </si>
  <si>
    <t>26cbef72-35b3-4739-80b5-4103ca352db9</t>
  </si>
  <si>
    <t>cf204b00-406f-411e-8d56-c7d6fbbbd61a</t>
  </si>
  <si>
    <t>62912ecb-827a-472c-98fd-41d07989072f</t>
  </si>
  <si>
    <t>7f208f12-9109-4345-b1d4-4b700d8653a8</t>
  </si>
  <si>
    <t>55c2bb0c-fe4a-484e-8639-603e5573ef9e</t>
  </si>
  <si>
    <t>43f4eca7-9a1c-47b8-a929-ef5b50eb3ce1</t>
  </si>
  <si>
    <t>54acf3ec-682a-4c03-9e6a-9dd83c417e14</t>
  </si>
  <si>
    <t>fbd39a48-99fd-43b0-a1e2-d25399078457</t>
  </si>
  <si>
    <t>fb5181f9-4db3-46f8-b24b-9b4f7ecf68ff</t>
  </si>
  <si>
    <t>419426b1-0431-4f58-a314-7974d2d173ff</t>
  </si>
  <si>
    <t>d3e4ddd4-5d87-4cf1-8e51-0397886c2b4f</t>
  </si>
  <si>
    <t>195833dc-16cb-42d7-86e2-d7a5b441b273</t>
  </si>
  <si>
    <t>30d9db63-ca99-4641-923b-98cb0a867343</t>
  </si>
  <si>
    <t>fbe066e4-81b8-4f57-8379-5ddd527cdab6</t>
  </si>
  <si>
    <t>f709b42a-9908-4930-85d9-ff4826c42c82</t>
  </si>
  <si>
    <t>736b5797-397b-4c13-99e6-096282d13b71</t>
  </si>
  <si>
    <t>37b9e229-6ec9-49ce-bca9-fdefc8aafe9c</t>
  </si>
  <si>
    <t>2339c186-9d0f-46f6-aa88-7cb4a210506a</t>
  </si>
  <si>
    <t>8f2a92d9-67bd-41fa-b53a-4edbcfe0c8de</t>
  </si>
  <si>
    <t>e9edcad0-68cb-4e8b-914c-62751667dde6</t>
  </si>
  <si>
    <t>e46dcffd-88cf-40dd-9a45-65a16f8bc9f0</t>
  </si>
  <si>
    <t>86714700-db91-4452-9a2e-8dea4103ef8f</t>
  </si>
  <si>
    <t>47ba6c69-0a93-4916-a965-b36153cadf35</t>
  </si>
  <si>
    <t>76b98622-39e2-41de-941a-c6b9eff46b1f</t>
  </si>
  <si>
    <t>8ff0e71a-6f63-4c46-9f3f-0cdc8208912d</t>
  </si>
  <si>
    <t>57bdc553-ac1f-4c69-a661-959b5ac9e664</t>
  </si>
  <si>
    <t>7bf87acf-d36d-40aa-a814-7db63ea1e444</t>
  </si>
  <si>
    <t>cc5b07a8-76ca-4844-be7d-045edd4df492</t>
  </si>
  <si>
    <t>cd208934-5fb5-4f6d-a89a-b9e687ebba41</t>
  </si>
  <si>
    <t>f4089a2d-9eaa-445d-85dd-a7789158d55f</t>
  </si>
  <si>
    <t>bc77245e-ea05-4458-941c-defdabb8b52a</t>
  </si>
  <si>
    <t>4deb54a3-cebd-47e1-a743-3c9651dad8bc</t>
  </si>
  <si>
    <t>875a60ab-66b0-4bf1-8c18-94fad6ece1f1</t>
  </si>
  <si>
    <t>0c55e527-e26c-4b26-b523-233faf6f1271</t>
  </si>
  <si>
    <t>32baebf1-8c39-43b8-90e8-290c199246f0</t>
  </si>
  <si>
    <t>485b3edd-d9fc-413a-955c-b469ae96f80e</t>
  </si>
  <si>
    <t>90dec29d-afc8-4c39-a34f-df62d1586275</t>
  </si>
  <si>
    <t>2d4d2d88-7dc2-4d46-a15e-d3baf6e0d193</t>
  </si>
  <si>
    <t>8067b79b-5907-4594-97ac-d43358226fd0</t>
  </si>
  <si>
    <t>506eb820-fc13-431f-998a-977e177516f2</t>
  </si>
  <si>
    <t>74e91135-d507-4881-8de6-471541ab02fc</t>
  </si>
  <si>
    <t>2a8912e1-7c43-454c-ae45-69e032cbcac5</t>
  </si>
  <si>
    <t>daa95cc5-5514-49f8-99ff-7cf828251e50</t>
  </si>
  <si>
    <t>90c6529f-046b-493a-8003-752af44bb31e</t>
  </si>
  <si>
    <t>1a1b4cb2-c6a4-4b1e-b328-117903dadba8</t>
  </si>
  <si>
    <t>ead62927-a298-4056-9cef-e3e30356574f</t>
  </si>
  <si>
    <t>11f6ce35-c09d-4e94-9a89-ada9c43fdf8f</t>
  </si>
  <si>
    <t>e77eda96-c59e-4d3c-b091-7fd67e7213bd</t>
  </si>
  <si>
    <t>94553dde-1b7a-41e4-913d-92154fe4d346</t>
  </si>
  <si>
    <t>36f960ff-9f4b-4446-8829-c1bae5978062</t>
  </si>
  <si>
    <t>f8d7bcbd-5a30-44a5-a9bf-b0a8fe3a8ca4</t>
  </si>
  <si>
    <t>b03ae90a-670b-44f4-ad97-8a6e63654db2</t>
  </si>
  <si>
    <t>eef7e104-ff17-4a30-8de3-38ae92fe743f</t>
  </si>
  <si>
    <t>8ebc5886-94b6-44f0-9545-3460a43637eb</t>
  </si>
  <si>
    <t>a7e9bef7-4555-48f4-9ef7-4eee9e8d1625</t>
  </si>
  <si>
    <t>8fd51a6c-97d0-45ee-ad13-d7c064e8589f</t>
  </si>
  <si>
    <t>4870f842-fb9b-47d9-bd88-32d85e043f3c</t>
  </si>
  <si>
    <t>de0f05b3-70d8-4eb6-92ec-cd3dac679236</t>
  </si>
  <si>
    <t>91ff686b-1a9a-4db8-9d23-597b23e39cad</t>
  </si>
  <si>
    <t>e0c19b6f-bc55-4385-9779-240a612a0dec</t>
  </si>
  <si>
    <t>dd176457-5c07-4df5-85ef-b5429658463c</t>
  </si>
  <si>
    <t>115bd820-350c-4a96-8922-afb429caa65d</t>
  </si>
  <si>
    <t>9e30be92-5a5a-4396-bdf9-44d4a0a54f39</t>
  </si>
  <si>
    <t>33010948-74ca-4ccc-9f22-93a2a6ccb60d</t>
  </si>
  <si>
    <t>60d62cd5-c21c-4b0b-b172-6eccafcd5adb</t>
  </si>
  <si>
    <t>40b5dbb8-8c51-4b7f-99ad-036b88bd03fa</t>
  </si>
  <si>
    <t>419c6f2f-690c-49c0-8397-ba5906bf9648</t>
  </si>
  <si>
    <t>ec37025d-f5fc-4faa-9395-746d8476bc61</t>
  </si>
  <si>
    <t>7b606376-f221-4997-9738-0d860e52c5d8</t>
  </si>
  <si>
    <t>9e7489fa-1e08-4a7d-a009-6c364a4fcd0c</t>
  </si>
  <si>
    <t>7dacd7e6-89f5-486b-b26d-4bb6e7e9d505</t>
  </si>
  <si>
    <t>21510834-e0e3-4204-956b-5afe13171872</t>
  </si>
  <si>
    <t>4ac8e680-b076-4311-a8cb-f8a8a0d3fde7</t>
  </si>
  <si>
    <t>252835f8-332f-453f-bada-b6247942720f</t>
  </si>
  <si>
    <t>6fee7436-f768-4c82-bf81-7e1cad70d18f</t>
  </si>
  <si>
    <t>7433afaa-c3f9-4738-afb2-b78dd43d60d7</t>
  </si>
  <si>
    <t>f33149da-1741-4bb7-aba2-74fdf4a998ee</t>
  </si>
  <si>
    <t>7fdc1cf2-0628-4d43-b67f-9a06341a1e26</t>
  </si>
  <si>
    <t>a44165d7-7687-4c3f-8de5-bb3c98140b8a</t>
  </si>
  <si>
    <t>d21ee789-c8d8-42ee-9fbe-89dedbfe8f08</t>
  </si>
  <si>
    <t>362d18dc-6ca7-4494-852e-3be9032c5943</t>
  </si>
  <si>
    <t>3a0dcbcc-4ad5-499a-a8e4-80b7acf4d970</t>
  </si>
  <si>
    <t>76553a34-de8a-497a-bd87-509597c077d1</t>
  </si>
  <si>
    <t>38041d3d-06a2-4541-aa8b-68d52cafad22</t>
  </si>
  <si>
    <t>774201ab-6d22-4d82-b35c-ab588f4cc552</t>
  </si>
  <si>
    <t>6e152cce-4d04-466a-aaf7-1ce54d871149</t>
  </si>
  <si>
    <t>bb495390-4f9a-4cfc-a7fa-479994789d96</t>
  </si>
  <si>
    <t>b28ac24c-d04b-45cd-9d31-bd91ceb7e814</t>
  </si>
  <si>
    <t>8457414c-b2f5-452b-9980-30e2d72934e2</t>
  </si>
  <si>
    <t>e343c6b1-6349-42e6-93d8-c22368d46788</t>
  </si>
  <si>
    <t>f235e879-8698-4745-b229-2b4fdb427723</t>
  </si>
  <si>
    <t>2ce0e1be-9509-41d4-b5b2-5b3e659473a8</t>
  </si>
  <si>
    <t>a5827fc7-ef47-4b67-afa1-27195b42a48a</t>
  </si>
  <si>
    <t>82e026de-e31d-4e3b-885a-33fb70c2279b</t>
  </si>
  <si>
    <t>687278bb-3847-4693-ae61-c671d0165ea5</t>
  </si>
  <si>
    <t>a5aeca44-32d1-4cf0-937d-1fba3b55d382</t>
  </si>
  <si>
    <t>d4c4a30f-1c21-40ba-a121-0fcaf36f2989</t>
  </si>
  <si>
    <t>76f20b88-7c1f-42e1-baa4-372f523e7a14</t>
  </si>
  <si>
    <t>77073e5a-fd1e-413a-8664-05b8ef8d7801</t>
  </si>
  <si>
    <t>8b058e3f-6ac2-4286-8c90-639a8648f84b</t>
  </si>
  <si>
    <t>52c6cc16-bfc1-4f4c-bc04-85b956466b0d</t>
  </si>
  <si>
    <t>65c98d17-ced5-4d3c-a772-80d95738540b</t>
  </si>
  <si>
    <t>03cba34f-c539-4727-82c6-08cf063ea6cd</t>
  </si>
  <si>
    <t>97395c5d-3441-43d1-8eb0-0b8c38462cfd</t>
  </si>
  <si>
    <t>9b66482b-ca62-487b-8f7f-c7b01596f028</t>
  </si>
  <si>
    <t>ebc2668c-a84d-450d-b3fa-dfb607fb1b2f</t>
  </si>
  <si>
    <t>9884651b-f3d8-4c38-9eb6-70dd4f667525</t>
  </si>
  <si>
    <t>4f3e76b8-3d86-4e07-8dfb-fd3db71697c8</t>
  </si>
  <si>
    <t>78dfc8cb-7d24-4c91-9bc0-ca79765e6c62</t>
  </si>
  <si>
    <t>093dc39e-4780-436b-9aed-71c2cdca9a37</t>
  </si>
  <si>
    <t>561969ca-0113-4100-b7da-6a0b4a2681a5</t>
  </si>
  <si>
    <t>94e6ce68-8bb1-4bef-8f13-b5f595dfd5a6</t>
  </si>
  <si>
    <t>fd20b3ab-93d5-406d-b641-dfe06a26cda0</t>
  </si>
  <si>
    <t>210a8234-b816-4fc4-804b-883a7efdefd6</t>
  </si>
  <si>
    <t>629f2fce-6151-4161-b388-49af841d5ac6</t>
  </si>
  <si>
    <t>4737825a-30b4-4fe2-958d-fc3063425f01</t>
  </si>
  <si>
    <t>24ac2cf2-3e26-47bd-bf5f-fd11b9fa171b</t>
  </si>
  <si>
    <t>a262883f-b3b2-441e-b0ee-7aff0ed75af6</t>
  </si>
  <si>
    <t>b8ff5fbb-7bf0-41c5-84b2-a1d32421e383</t>
  </si>
  <si>
    <t>2a4051ba-6fc7-4087-a1d2-24f2b3a30a5f</t>
  </si>
  <si>
    <t>096704b1-0e35-48bb-bf3a-0f90ec067daf</t>
  </si>
  <si>
    <t>07e209f0-571b-4dfb-8132-4891759ae400</t>
  </si>
  <si>
    <t>10de6f46-acaf-474d-875c-6348ad73a331</t>
  </si>
  <si>
    <t>a9a39312-8d22-4619-8d26-ad7ed6e30528</t>
  </si>
  <si>
    <t>069f2900-604b-436d-b7a3-f18b69ec3d3a</t>
  </si>
  <si>
    <t>15900bb4-35c9-4db0-be2b-2920e9073d54</t>
  </si>
  <si>
    <t>9680f181-6354-4a76-8865-b18f4bf49a05</t>
  </si>
  <si>
    <t>aa0466aa-d94f-4dbf-b805-805641c637f2</t>
  </si>
  <si>
    <t>d38fe0e9-03b2-4745-94bd-b53ee3ec45ec</t>
  </si>
  <si>
    <t>f00c6931-3a53-479e-9af9-a369cae5b016</t>
  </si>
  <si>
    <t>825ea158-7a88-4327-8c45-85f8dbb3e5b6</t>
  </si>
  <si>
    <t>2d7df403-aeb1-4740-8786-86563408c4d3</t>
  </si>
  <si>
    <t>cccba992-f812-4d74-b6f4-f4d60079dc82</t>
  </si>
  <si>
    <t>271e2f68-f74c-4f56-9a21-fab03023b727</t>
  </si>
  <si>
    <t>c9f16dac-2d1e-44db-8c2f-5dfe10fd0d28</t>
  </si>
  <si>
    <t>93275082-19b2-4078-bb03-a06cbbcd9227</t>
  </si>
  <si>
    <t>096def45-564c-4720-b467-bf26aa31b943</t>
  </si>
  <si>
    <t>5c4decc2-625e-4349-8e9e-3b07a660cddb</t>
  </si>
  <si>
    <t>fb910c63-fda9-4145-99ce-8a63735162ae</t>
  </si>
  <si>
    <t>4f0e74ed-5273-4c74-8ba7-41906161e02d</t>
  </si>
  <si>
    <t>581e6b19-680b-4174-b47e-25041700e15e</t>
  </si>
  <si>
    <t>e1104364-ad0d-42a5-9857-82e9c3b98fab</t>
  </si>
  <si>
    <t>a01dee4a-4430-4bcf-bce1-be4c4e45a8a8</t>
  </si>
  <si>
    <t>186d549f-c866-43c1-9ae4-e71c4ac23c23</t>
  </si>
  <si>
    <t>78b9dbd1-7021-470b-aa2d-fd035f8298cb</t>
  </si>
  <si>
    <t>1bf49302-1be0-4fe9-ac49-adb8ead20040</t>
  </si>
  <si>
    <t>1c984576-f048-4081-9dd5-38d15d0e5b40</t>
  </si>
  <si>
    <t>a8e3bd51-5ffd-4368-b125-d7a2a0737c3b</t>
  </si>
  <si>
    <t>b3276dba-9d8f-4484-bce0-59e97f7b8b9a</t>
  </si>
  <si>
    <t>57108764-69ca-414a-8b2a-c8f5de33fed3</t>
  </si>
  <si>
    <t>fe07c969-eaa9-45ec-b55d-b4bdb7c4d86c</t>
  </si>
  <si>
    <t>459ead70-ff8d-44c1-9164-63f89db68fd2</t>
  </si>
  <si>
    <t>3710df9a-8755-49ad-8257-9ecc65c7b83d</t>
  </si>
  <si>
    <t>cf4d48c0-06fe-4ca3-b654-c3b0a7d387eb</t>
  </si>
  <si>
    <t>52704829-ccfe-4404-8153-b48ac555e898</t>
  </si>
  <si>
    <t>a4e42e28-10af-414c-b724-55784023eab7</t>
  </si>
  <si>
    <t>f6048317-89d0-47ca-837a-772c100816ab</t>
  </si>
  <si>
    <t>12981b80-d97e-4bc7-86ac-7a3f11320801</t>
  </si>
  <si>
    <t>45ed4394-baf3-432d-817f-12db12e3d17b</t>
  </si>
  <si>
    <t>c19a7580-0b7a-48e4-9c01-3684c69e1a5d</t>
  </si>
  <si>
    <t>95b7babb-6e49-4c16-ab20-ab59b152d2c6</t>
  </si>
  <si>
    <t>44b2a0fd-ebe8-44ec-baf0-256a482367fc</t>
  </si>
  <si>
    <t>f50fef68-23f5-44bf-a860-6e6703837dc6</t>
  </si>
  <si>
    <t>e63e033c-9520-42d7-8682-62b9bf405559</t>
  </si>
  <si>
    <t>a4b4aaf0-13db-470a-a087-0363026955e2</t>
  </si>
  <si>
    <t>ef9ada20-195e-46dd-9496-5f7b920a5f60</t>
  </si>
  <si>
    <t>51070e83-4d5f-43f5-8bed-7db7c25a4fee</t>
  </si>
  <si>
    <t>47a66d76-2c6c-47ef-bb0b-886dcc9ccadf</t>
  </si>
  <si>
    <t>6b3405e5-52fa-4090-849c-a69efb3dc1fe</t>
  </si>
  <si>
    <t>0079c6d2-894f-42e5-a2d9-66f8a894b2c8</t>
  </si>
  <si>
    <t>987e07be-191f-40a7-837c-d750c7c7140b</t>
  </si>
  <si>
    <t>e6105e25-c94e-4894-87be-25e0e7c819f3</t>
  </si>
  <si>
    <t>eef35817-fe14-4f0a-b131-badbf1ae63d2</t>
  </si>
  <si>
    <t>7f1bbadd-4ac3-4ff2-939b-610281fc7b7d</t>
  </si>
  <si>
    <t>359fe425-cf9e-4a28-82d8-1867322d0e67</t>
  </si>
  <si>
    <t>f340e4aa-a54f-4245-8ee7-f1a810bcdfc6</t>
  </si>
  <si>
    <t>59804e0e-762b-4f52-a28f-69497474c73b</t>
  </si>
  <si>
    <t>a57838db-86f9-49e9-9261-506cf067259d</t>
  </si>
  <si>
    <t>c3081452-cf64-4c06-8ef5-540e8d7a7d3f</t>
  </si>
  <si>
    <t>628a942b-5238-47fc-be68-12898b0f9471</t>
  </si>
  <si>
    <t>874be1c6-39c5-4245-af7a-7acefb1f14db</t>
  </si>
  <si>
    <t>2f5b0f43-235a-4b69-a3b8-79cfbd6d9482</t>
  </si>
  <si>
    <t>9d657b0d-453f-47cb-879b-78af624856fc</t>
  </si>
  <si>
    <t>b9229637-2812-43d7-96dd-3c9388d71a9a</t>
  </si>
  <si>
    <t>d88639f6-fb41-43e8-b7b2-de3e3a413cfa</t>
  </si>
  <si>
    <t>ab63ce6b-b9f7-43f6-b726-053572576937</t>
  </si>
  <si>
    <t>a5ba6f34-bbb2-4651-8002-b3cff698b88a</t>
  </si>
  <si>
    <t>97504e40-9d6e-45c2-a56c-66bf74dc9dae</t>
  </si>
  <si>
    <t>bc0d47d5-526e-45f4-9525-4d8d5c3d2ce6</t>
  </si>
  <si>
    <t>6b504641-5c72-4be6-ad45-1b0f3cdc8d38</t>
  </si>
  <si>
    <t>3194e505-7978-4f70-9ab1-4c49a341e451</t>
  </si>
  <si>
    <t>4af22457-f7fd-4b95-9afc-424a1f24755a</t>
  </si>
  <si>
    <t>267df49f-f6ba-4332-88d6-4f11f4da4021</t>
  </si>
  <si>
    <t>569aa6df-7314-4977-80c5-f1d22b9cc56c</t>
  </si>
  <si>
    <t>c42a296a-84f8-466f-9a2e-f3f24f70b78a</t>
  </si>
  <si>
    <t>d32297e9-e431-4e5c-a2a0-74de015a1d2b</t>
  </si>
  <si>
    <t>d200b2af-9e74-48a4-aa99-65355b0fdc6b</t>
  </si>
  <si>
    <t>d1b4b439-f138-413d-a3eb-082f934b553a</t>
  </si>
  <si>
    <t>352c3972-fed7-4d4a-a952-07987f6f7222</t>
  </si>
  <si>
    <t>a1ac63bc-8e60-41e9-b199-29b13c8f24c2</t>
  </si>
  <si>
    <t>478833bc-aa14-45d4-847e-789c784995d8</t>
  </si>
  <si>
    <t>68778a17-703a-4912-bd24-73afb961a563</t>
  </si>
  <si>
    <t>ef3739ec-14af-48c1-b7b5-0f74661346f7</t>
  </si>
  <si>
    <t>8a817464-c4cc-4e9f-9e2e-1203c36a7485</t>
  </si>
  <si>
    <t>eb7d63d6-a2f0-46a4-a86f-5daab85ea052</t>
  </si>
  <si>
    <t>c634cd9d-596a-4ac4-9766-55bade2db31b</t>
  </si>
  <si>
    <t>f5500241-27a3-472d-96cb-e64f214691c7</t>
  </si>
  <si>
    <t>289e8abd-9c36-45df-b642-814bdcfabd0f</t>
  </si>
  <si>
    <t>a8a635da-9947-422a-960e-513cf726a265</t>
  </si>
  <si>
    <t>a2ec5a17-3e92-4d63-921a-a07d51d13aed</t>
  </si>
  <si>
    <t>906ea5ee-7ea9-4f5b-9a09-6915b276cf74</t>
  </si>
  <si>
    <t>c7b74736-e64c-47cf-989e-026bd2189a18</t>
  </si>
  <si>
    <t>10a9ac6a-9175-4396-a161-d0d8be3b98bb</t>
  </si>
  <si>
    <t>da012814-6180-4acf-968f-5a3942a9aaa0</t>
  </si>
  <si>
    <t>4772ba5c-933d-46ce-8250-f8049b59c8cd</t>
  </si>
  <si>
    <t>3cc451ec-e272-4489-b517-cb3f22f84310</t>
  </si>
  <si>
    <t>20d8057f-78eb-487d-9a76-6f02bee4528b</t>
  </si>
  <si>
    <t>7ed7215d-2e5f-455a-b11a-ff763ec057a4</t>
  </si>
  <si>
    <t>43626b6e-59f0-4c7c-bce6-64f6eac9273b</t>
  </si>
  <si>
    <t>3605f38b-4cf5-4801-954d-b1a13b5da853</t>
  </si>
  <si>
    <t>0c28d723-b6c2-4a9f-b3a2-acaa27fdfd1e</t>
  </si>
  <si>
    <t>579c787b-0ead-4f45-b224-abe8feb46432</t>
  </si>
  <si>
    <t>57de6c43-088d-4b5b-a0ad-d9803bdac803</t>
  </si>
  <si>
    <t>67dde4bc-10fc-430a-a6ed-83002a26fdac</t>
  </si>
  <si>
    <t>d26ebf63-60f3-4a93-8f0d-282d92ebb610</t>
  </si>
  <si>
    <t>e80548e5-da52-41fa-bbd3-e027f5b85fda</t>
  </si>
  <si>
    <t>8e268d7a-cfbe-45b4-86eb-94e8044600ba</t>
  </si>
  <si>
    <t>3afbdfae-440e-479a-9f44-6d6fac8f6fae</t>
  </si>
  <si>
    <t>c62f1c74-25df-4c9e-876b-8d8ffe46b5ed</t>
  </si>
  <si>
    <t>acd335b2-cd9c-45ce-a1ef-cfbecf9bef36</t>
  </si>
  <si>
    <t>10d58759-8fde-498e-831b-dfe90e7e3f95</t>
  </si>
  <si>
    <t>f4469e4d-8bcb-40d5-aac9-0d37044792a3</t>
  </si>
  <si>
    <t>7bbf3dd2-4f81-45be-9b0d-0321604729b1</t>
  </si>
  <si>
    <t>b2cb37c9-f96b-485c-8914-5c2175d90b26</t>
  </si>
  <si>
    <t>6e763e62-bcc3-4c9e-8c2b-beb9d688c814</t>
  </si>
  <si>
    <t>711b600e-697d-4ffa-8674-d9c65dff88ef</t>
  </si>
  <si>
    <t>0abb7c6c-0c27-41c0-9087-2d721480df49</t>
  </si>
  <si>
    <t>54e7a5c6-6dfb-4c1b-a93c-8dd40f593522</t>
  </si>
  <si>
    <t>96a1acbc-c431-47b5-b82a-2e8a12b1674d</t>
  </si>
  <si>
    <t>c9e68a4c-a0dd-4b60-8aaa-b06998208f97</t>
  </si>
  <si>
    <t>942ed1e5-478d-4188-a3f8-5bfc90dea345</t>
  </si>
  <si>
    <t>3d71fcf1-01bd-4d2a-968b-c1937c313694</t>
  </si>
  <si>
    <t>6093fc08-4785-4e06-a002-0bfe57d0fd21</t>
  </si>
  <si>
    <t>d110eb5b-3b9e-4409-9a26-77c09e1c5fb2</t>
  </si>
  <si>
    <t>72eb141a-d972-4e2b-9a5d-a52c0e552b38</t>
  </si>
  <si>
    <t>085f9b4e-dbe3-4921-8224-49a86547885a</t>
  </si>
  <si>
    <t>7106fbbc-3bc6-41ab-9e0e-ea1e8a5d2791</t>
  </si>
  <si>
    <t>966af59c-4ce7-4d00-aa3e-001dba00263a</t>
  </si>
  <si>
    <t>43a7d33b-701e-422f-9fcb-d720c1eb4f5c</t>
  </si>
  <si>
    <t>13545755-f0e0-41a9-9ef2-1d5da1f6bffc</t>
  </si>
  <si>
    <t>a0555783-e976-4f4c-a925-ff7fac4ba86c</t>
  </si>
  <si>
    <t>7008501a-adaa-4623-8385-1c75b52c5226</t>
  </si>
  <si>
    <t>ecbf6c88-8e3c-4dd4-b992-f309f51ced1d</t>
  </si>
  <si>
    <t>4c442828-0f69-423f-a57a-5a1c80111f7b</t>
  </si>
  <si>
    <t>a0e591c8-a762-4df8-960d-52777f841866</t>
  </si>
  <si>
    <t>7aa0e260-cd4c-43b1-a779-713e6c12a9d2</t>
  </si>
  <si>
    <t>c9294e71-95d9-424e-a2f7-569112248037</t>
  </si>
  <si>
    <t>46d0557d-f3fa-4acd-9b4c-dbbd92db5c94</t>
  </si>
  <si>
    <t>9fba90ca-8f01-4f6b-bafc-c8b104e19f47</t>
  </si>
  <si>
    <t>e5016b4d-fd37-42e5-865a-abcfd3cd6153</t>
  </si>
  <si>
    <t>dc186ee4-dd79-40b6-8ca4-d1fb5ee57fab</t>
  </si>
  <si>
    <t>4451a3cc-14a5-47ce-9a10-38e106440e78</t>
  </si>
  <si>
    <t>c2a40de4-41de-4650-a91e-7c068c180172</t>
  </si>
  <si>
    <t>c028ae28-7ef0-4c44-bd74-4b0184aec5fd</t>
  </si>
  <si>
    <t>2148e293-0096-4425-9b91-c87014744905</t>
  </si>
  <si>
    <t>32cd82e1-b101-416f-beae-b7a339df5382</t>
  </si>
  <si>
    <t>fb07176f-a261-4781-8f25-6b00610a59b1</t>
  </si>
  <si>
    <t>48d477a1-e1db-4523-9471-72ec4eec39b1</t>
  </si>
  <si>
    <t>6cf0055d-d40a-40e2-b24a-eb6f88df7802</t>
  </si>
  <si>
    <t>7ed1fe74-5401-4a84-a61f-d2d8fae9224d</t>
  </si>
  <si>
    <t>453de6a9-a8d0-45a5-80f6-82356d915f1a</t>
  </si>
  <si>
    <t>390a1090-7464-46b0-aaf8-dd0a7773917d</t>
  </si>
  <si>
    <t>53497f45-05e3-44eb-98be-dd5e7e4588ff</t>
  </si>
  <si>
    <t>b8ba9e92-ef29-464a-bceb-f91605688cf6</t>
  </si>
  <si>
    <t>8cc103fc-a69d-4508-9b85-f8397f89e066</t>
  </si>
  <si>
    <t>02d37a57-304d-4ccc-b95e-84d40f3855d7</t>
  </si>
  <si>
    <t>63105e85-b117-42e9-8893-3e9fae57bad6</t>
  </si>
  <si>
    <t>b8efd517-dec6-4c34-bb7e-4634c382fde3</t>
  </si>
  <si>
    <t>b2570f81-7959-4b69-b976-cb19d334654e</t>
  </si>
  <si>
    <t>868ac880-6657-4a8f-97de-8bf974abda9a</t>
  </si>
  <si>
    <t>f3066a77-dd08-462d-bedb-c85208bc3694</t>
  </si>
  <si>
    <t>252836c2-cb4c-4e96-a772-947cede48ad9</t>
  </si>
  <si>
    <t>c2d6ec1f-abea-4ba5-93f2-0cadcdf9687a</t>
  </si>
  <si>
    <t>ad1ee3da-1732-47d3-96db-dbfff58a9b03</t>
  </si>
  <si>
    <t>b4655274-de1f-43d0-99a8-4ea57c9eaf22</t>
  </si>
  <si>
    <t>477639e4-8b72-44d9-b93b-ee30dba69b24</t>
  </si>
  <si>
    <t>a4a8b668-9d01-4a5a-b486-fa743db7e56c</t>
  </si>
  <si>
    <t>175a7713-8cb2-40c8-ad7c-8072f5b3cff0</t>
  </si>
  <si>
    <t>7807f03e-427b-4cca-ae96-d54bb1de1ae0</t>
  </si>
  <si>
    <t>94cc95f6-b769-4067-ac54-c457e6df60df</t>
  </si>
  <si>
    <t>58c1396a-2212-4bf3-a407-c9e58df5b5ab</t>
  </si>
  <si>
    <t>331c3cf2-139b-4852-8076-3755cbfbe078</t>
  </si>
  <si>
    <t>5fce3c3b-bb68-443a-8a2d-9ef0d9757ea1</t>
  </si>
  <si>
    <t>09558b4c-3d19-48d7-b8f3-5249daf3b4b6</t>
  </si>
  <si>
    <t>0eb001be-3876-49a9-89f6-2ea4ebf9be10</t>
  </si>
  <si>
    <t>96ce933e-3016-480a-9fe6-27b21a5f8309</t>
  </si>
  <si>
    <t>53e4ac59-3b20-4b91-a313-2c9361baca54</t>
  </si>
  <si>
    <t>6e5136f8-8f09-4725-a145-3056b17a262c</t>
  </si>
  <si>
    <t>dac74883-7304-4b0f-87c6-d1f2ef05ec02</t>
  </si>
  <si>
    <t>61fcb898-a0fa-4127-8193-d113aa9aad0d</t>
  </si>
  <si>
    <t>a17dc449-07c4-412b-8576-c349f3835ecb</t>
  </si>
  <si>
    <t>90aa368b-46bb-438c-b6f9-896ac1233057</t>
  </si>
  <si>
    <t>3be9bf05-7c96-4709-b09e-3ab96a68adc6</t>
  </si>
  <si>
    <t>47a704dd-fa40-4fc2-9254-47b26cee64f1</t>
  </si>
  <si>
    <t>aa97ba29-3638-48d7-8bf9-a4559295c673</t>
  </si>
  <si>
    <t>d7be8c55-6c58-4342-90ec-2278900c7b1c</t>
  </si>
  <si>
    <t>406c4bcc-1c47-4ffa-ba34-57bacea5e500</t>
  </si>
  <si>
    <t>6a0ec18d-ae8f-4bc4-8f9a-012bdd5aca50</t>
  </si>
  <si>
    <t>52762281-f429-4e04-9766-71b775f70e95</t>
  </si>
  <si>
    <t>59ad7e85-5378-4b32-9440-686988bf7ed0</t>
  </si>
  <si>
    <t>03fc9cce-48a3-450c-b9cf-cfa804e0197d</t>
  </si>
  <si>
    <t>fbc69cfa-aa5e-4a92-94ae-11122e5a1a6f</t>
  </si>
  <si>
    <t>07b90b45-d999-494d-82ac-4b577e21ef6e</t>
  </si>
  <si>
    <t>bd88533a-9f28-4431-9158-c9973a04b593</t>
  </si>
  <si>
    <t>da29ddaa-7870-4f4d-baea-4e19a4080118</t>
  </si>
  <si>
    <t>45ae3d99-84db-4338-9e4a-6b3a1c7b799d</t>
  </si>
  <si>
    <t>b55c6a62-d7e9-4f50-baea-378294de5345</t>
  </si>
  <si>
    <t>1104be89-5a7e-4263-9d70-4267b4334ad4</t>
  </si>
  <si>
    <t>44a0694c-db26-4815-a47a-64f5f0952690</t>
  </si>
  <si>
    <t>c9864e94-74dd-4c09-803f-ffaee127fe2a</t>
  </si>
  <si>
    <t>c4d37fac-4937-4960-8644-a2a2b9e3330a</t>
  </si>
  <si>
    <t>5c81a2de-fe25-425a-b6b1-6c2aca61df7c</t>
  </si>
  <si>
    <t>ebca15e6-c53d-41b0-b5dc-93edb35d733a</t>
  </si>
  <si>
    <t>3688d217-c445-427e-9dba-3c7122ad047e</t>
  </si>
  <si>
    <t>8a027a14-61bd-4504-b686-24063fdcefa8</t>
  </si>
  <si>
    <t>e5cb3c0d-e689-4371-938e-da062c1b8e7f</t>
  </si>
  <si>
    <t>b06839fb-9e6c-43ed-b4f7-229e5ef422d9</t>
  </si>
  <si>
    <t>a6f520ae-b170-4eae-877e-74c055f2920c</t>
  </si>
  <si>
    <t>96d11a99-2654-4d1d-a791-0ec649eb0726</t>
  </si>
  <si>
    <t>29192aa3-f80f-4f18-a8c1-2f08851bde85</t>
  </si>
  <si>
    <t>6a5a516f-eb38-40c5-b1c0-9870b7702bc7</t>
  </si>
  <si>
    <t>3d9dc9c1-18b7-4b6c-ba04-96a9954ba861</t>
  </si>
  <si>
    <t>5089b6e1-4d89-40f5-9352-d97f62a39e07</t>
  </si>
  <si>
    <t>db147d08-40fd-428e-8584-4b8c6796056f</t>
  </si>
  <si>
    <t>ac35f91e-9319-4506-b018-265d45c7b874</t>
  </si>
  <si>
    <t>568a71a1-241b-4ece-968a-c2253a3e97b8</t>
  </si>
  <si>
    <t>79b01ebc-dba4-472b-a0f3-3f68fc76bfda</t>
  </si>
  <si>
    <t>fa9c9ad2-a334-4abd-a2eb-504e2ed9c5e3</t>
  </si>
  <si>
    <t>a07ad7c1-2b07-4587-b413-56b82db21637</t>
  </si>
  <si>
    <t>e5f062fe-297a-4602-ab7d-60ca58cc2f83</t>
  </si>
  <si>
    <t>f1fe2e0d-0c2f-43cf-beb1-724ec4a2cf8c</t>
  </si>
  <si>
    <t>f17352e0-94eb-4025-9441-c3dd67b17ec7</t>
  </si>
  <si>
    <t>8d0f7346-aa5c-49b0-87ae-cdcaae0c8cc0</t>
  </si>
  <si>
    <t>7212fea2-19f8-48d4-a444-1e89c08c5373</t>
  </si>
  <si>
    <t>c17af529-2fd4-4643-8c25-6f70643e017b</t>
  </si>
  <si>
    <t>c480de76-b183-495b-8b46-f8813a4a7139</t>
  </si>
  <si>
    <t>4daeaad0-da05-495b-87e7-b1d90b8b631a</t>
  </si>
  <si>
    <t>7f43c7af-f90b-46b8-8a32-3ee8d8e337b9</t>
  </si>
  <si>
    <t>62543e20-837e-43b6-90f2-1b774fad1ed0</t>
  </si>
  <si>
    <t>a527c872-b8ed-413b-b368-7bd9eafa2024</t>
  </si>
  <si>
    <t>3f99f996-d657-4274-bded-5ca4c7603d7e</t>
  </si>
  <si>
    <t>ac5140c6-d779-4731-a1f4-a7f12b224b38</t>
  </si>
  <si>
    <t>e49a985b-e0cb-4784-866c-6ef5da21a426</t>
  </si>
  <si>
    <t>5145e576-b1d6-4ae2-b485-2ac54669f772</t>
  </si>
  <si>
    <t>31178dcc-ee22-47c8-8464-f160f5b7a9c4</t>
  </si>
  <si>
    <t>30707ecc-3cb0-41cf-9105-ea114f454b0a</t>
  </si>
  <si>
    <t>a75ffd18-338d-41ef-b2aa-94a6163faa7d</t>
  </si>
  <si>
    <t>3f4f78d5-8a08-4214-bae3-20f809b31dfb</t>
  </si>
  <si>
    <t>29c0ee22-ff98-4098-8fd1-e2317efdb7d5</t>
  </si>
  <si>
    <t>4f7175fc-5a2b-468f-8021-c9584f483078</t>
  </si>
  <si>
    <t>51255bfe-0e6d-4bb1-806a-04b71c9aa7b9</t>
  </si>
  <si>
    <t>e87eb500-0331-4135-926e-4273b04baa98</t>
  </si>
  <si>
    <t>6f882100-3ee7-471a-840b-b386b1565f97</t>
  </si>
  <si>
    <t>99f1b407-5238-40af-aead-c683b3577d23</t>
  </si>
  <si>
    <t>d257de92-3964-43a5-b49a-cfca51c0152e</t>
  </si>
  <si>
    <t>942b038a-f91b-48bb-8fe6-3c43b6351aaf</t>
  </si>
  <si>
    <t>9a936b04-9465-400f-8ce6-716bef97577d</t>
  </si>
  <si>
    <t>28edb269-8558-4833-9b84-263dec118641</t>
  </si>
  <si>
    <t>59e79510-131b-493f-9512-74b8edfb14c0</t>
  </si>
  <si>
    <t>8a569b8d-f3fe-434c-b5bf-81cb6ae4f20f</t>
  </si>
  <si>
    <t>da7ba139-e9bd-4db1-b3b8-f03a2c728629</t>
  </si>
  <si>
    <t>ba5d805c-4962-49d8-8afe-35cb4417d44a</t>
  </si>
  <si>
    <t>aec9ac5b-1eb8-485d-a039-cb8c3d4781c3</t>
  </si>
  <si>
    <t>71d97913-2de2-4dec-84ba-a556eb742c56</t>
  </si>
  <si>
    <t>1b674395-48d8-4702-847e-1f2d646d1b2c</t>
  </si>
  <si>
    <t>262a3e06-2ab4-4a43-8fc7-1f21e2d1ada4</t>
  </si>
  <si>
    <t>9cb67dd9-378c-4397-82cb-fe75ab481cbf</t>
  </si>
  <si>
    <t>16aaff1e-4723-44dc-bae7-1256e3cd8e0e</t>
  </si>
  <si>
    <t>ff36c3c8-1dd3-4987-8031-58209e0e96d2</t>
  </si>
  <si>
    <t>fe6a5ae1-1f55-41f7-b8d0-dbf471db3051</t>
  </si>
  <si>
    <t>b9d7dd71-8804-49c1-b3a7-4383caa4d85b</t>
  </si>
  <si>
    <t>9ee5dc41-234b-4a30-9e05-5abd73ca4205</t>
  </si>
  <si>
    <t>08966235-334b-42c0-9f99-bbeec5454a10</t>
  </si>
  <si>
    <t>d26b1590-34df-4737-94e7-406b9a62e952</t>
  </si>
  <si>
    <t>e283c44c-74dc-44d2-a104-0841cda4497b</t>
  </si>
  <si>
    <t>89db19f3-4031-4be2-8158-9bc2b9a3f443</t>
  </si>
  <si>
    <t>7a64d2f2-edc2-4f86-9314-d9b59f5c634e</t>
  </si>
  <si>
    <t>916d59a4-1c1b-4a41-ba19-a93198f32674</t>
  </si>
  <si>
    <t>5a54f110-64a3-4a51-b672-b73f3f7a94e7</t>
  </si>
  <si>
    <t>309f01f7-bb71-4709-a29f-b04a66394513</t>
  </si>
  <si>
    <t>0dc63762-c3fb-417c-84e9-af7c6280e7e0</t>
  </si>
  <si>
    <t>fe650eeb-2e65-4093-8ed0-46c6aded6974</t>
  </si>
  <si>
    <t>f086aaac-138c-4d45-b754-09b12592b233</t>
  </si>
  <si>
    <t>a3a7ce61-a1a6-4607-bb89-640d5ef4fe2e</t>
  </si>
  <si>
    <t>a694c2ed-cfcf-4b4c-ac66-af7c2f0a72ff</t>
  </si>
  <si>
    <t>9520c231-14fa-4ac1-ae35-9696c73a9e9b</t>
  </si>
  <si>
    <t>57fda22d-1b72-449e-a834-1cd965a6664c</t>
  </si>
  <si>
    <t>4a2c3356-2324-45b9-8520-af44fb5edc2e</t>
  </si>
  <si>
    <t>8ef6f853-e3fe-4106-b49c-4edc4dbc4ee8</t>
  </si>
  <si>
    <t>e2d3b99b-58a9-443c-a614-114fe7c4f226</t>
  </si>
  <si>
    <t>aa9d70d0-d5b9-43dd-9ac2-cce10ab6b15d</t>
  </si>
  <si>
    <t>e601ff89-f30e-490c-8e4a-297d14917aee</t>
  </si>
  <si>
    <t>6c53c07a-fbda-4fc4-9675-f857b94fa53a</t>
  </si>
  <si>
    <t>de548285-b17c-4739-997a-935135071377</t>
  </si>
  <si>
    <t>e93510c0-bb8c-41f1-900a-eb21e0ef2368</t>
  </si>
  <si>
    <t>f43ce545-0320-44ef-a403-61b59b62b65d</t>
  </si>
  <si>
    <t>624ca4bc-be39-43ba-b1e4-3dad9a64e5bf</t>
  </si>
  <si>
    <t>47220f8c-3aff-4cbe-8bcb-c6e7cc6cf864</t>
  </si>
  <si>
    <t>5e28891e-8b6d-4465-8862-5044a1efa185</t>
  </si>
  <si>
    <t>7c9ba983-4cac-40d4-a5b2-1a0738b5e3ae</t>
  </si>
  <si>
    <t>af1d80a6-76a1-4901-a1e9-de3a68ab0019</t>
  </si>
  <si>
    <t>884ef1d8-7170-4d25-866b-302edf6758c4</t>
  </si>
  <si>
    <t>f58f3771-2527-40d1-a21c-f30ee895eb44</t>
  </si>
  <si>
    <t>8082dd59-6008-48ce-a9dd-cc42e0ffc987</t>
  </si>
  <si>
    <t>ff5b8fc7-7835-4866-9f92-4723b1fe2e4d</t>
  </si>
  <si>
    <t>370712e1-c011-46c4-8d38-c5898ec17a8f</t>
  </si>
  <si>
    <t>48785a84-ea65-4214-b903-d5e2882e9aeb</t>
  </si>
  <si>
    <t>cc82079c-af0d-4f35-9a29-2ae7551f7d75</t>
  </si>
  <si>
    <t>6b67b1b0-7b5b-443f-b075-77fedefa8cc2</t>
  </si>
  <si>
    <t>c307af5d-26a6-4bc5-9296-a644e3f6ea8a</t>
  </si>
  <si>
    <t>1832eb2b-550e-4e22-99e6-d15b3c5e1697</t>
  </si>
  <si>
    <t>c34ce42a-c4b0-421d-8df7-bd663b834cdb</t>
  </si>
  <si>
    <t>783aa50a-4d8c-48ea-9155-97154ede0e31</t>
  </si>
  <si>
    <t>23194f79-5f29-4b0e-8a98-1f417dc10b19</t>
  </si>
  <si>
    <t>8cbcc219-0e76-43dd-9eb6-105ac7bbc3cd</t>
  </si>
  <si>
    <t>dc25e4db-785e-478e-b70e-2d7d1db347be</t>
  </si>
  <si>
    <t>62a5a6eb-3aac-43f2-b600-523e6512a4c2</t>
  </si>
  <si>
    <t>2893f02d-406f-4836-818a-25ba8a852aba</t>
  </si>
  <si>
    <t>a487952f-3be7-4800-9bfa-cd054e4a6acb</t>
  </si>
  <si>
    <t>2bb033f7-f2e8-4db1-a213-dc365f2e1bd4</t>
  </si>
  <si>
    <t>4987f6e3-a784-4dd2-b2d9-5efab7f7e1c3</t>
  </si>
  <si>
    <t>d4f5c5c4-180c-41e2-a284-b49705ab1212</t>
  </si>
  <si>
    <t>587f720e-0aa9-4d84-b608-18eb8d9ca263</t>
  </si>
  <si>
    <t>fc181a26-fe9f-49ca-8f82-fa57114097df</t>
  </si>
  <si>
    <t>a33909fe-9be9-4eea-990a-2ddb6dc2272f</t>
  </si>
  <si>
    <t>2b3fa08c-1c33-4ed7-b2be-3c45cb2f0356</t>
  </si>
  <si>
    <t>8ee2a612-eb1d-4d54-92f8-7dc2c25d528a</t>
  </si>
  <si>
    <t>6f5e1cde-92b0-4791-a030-bf2c9e8c8f90</t>
  </si>
  <si>
    <t>1d2eea10-386f-4f02-a08d-7179bac3ed0f</t>
  </si>
  <si>
    <t>b6a9bbb6-9540-406c-8c46-9ddfdc7fc8e9</t>
  </si>
  <si>
    <t>595a4603-3b11-45ec-a020-93dfe33069a5</t>
  </si>
  <si>
    <t>f090981d-b767-4437-9572-6e221475865e</t>
  </si>
  <si>
    <t>83df4039-c54d-4d17-9634-36ec8441c3c2</t>
  </si>
  <si>
    <t>8d782f6b-9f48-45de-8d3d-ceec5f27a746</t>
  </si>
  <si>
    <t>ce934f2c-ca80-4dc1-a885-6bf5368daf01</t>
  </si>
  <si>
    <t>8017c545-df43-482b-97ed-e65a2061afcc</t>
  </si>
  <si>
    <t>84b3ffe6-031c-4efa-9230-710837f3706b</t>
  </si>
  <si>
    <t>9d87d74b-ebf9-4d6a-99bf-c46c309f52e1</t>
  </si>
  <si>
    <t>73d8deea-6284-419f-ae7b-de4369ef001e</t>
  </si>
  <si>
    <t>63bfbcaf-0121-4899-be8b-c8336c65e7bd</t>
  </si>
  <si>
    <t>e247ec9b-4b34-4694-86dc-671853a5837e</t>
  </si>
  <si>
    <t>db4226e0-5003-4efe-9453-457c0dfd8fee</t>
  </si>
  <si>
    <t>b7b40431-60f5-4964-8fe6-69b0f039f742</t>
  </si>
  <si>
    <t>a0014668-aac3-475d-ac6a-bcc9b8a99c28</t>
  </si>
  <si>
    <t>8606e0a7-df4c-4dd5-b1b1-a206bc610b2b</t>
  </si>
  <si>
    <t>1645f8b3-3a52-45a7-88c1-d228235bfefd</t>
  </si>
  <si>
    <t>67b93dbe-4415-4c3e-ba95-f1769c27db5d</t>
  </si>
  <si>
    <t>09216339-975e-4614-8d9d-58cfae66dc9c</t>
  </si>
  <si>
    <t>e9539f84-3f15-4cc8-8665-e5b9b3f6aab6</t>
  </si>
  <si>
    <t>eb9819b2-cbf1-4324-9911-51cf835db6b6</t>
  </si>
  <si>
    <t>3432b8f1-3f3b-409f-81d3-b788d6369cc4</t>
  </si>
  <si>
    <t>334e2d10-124d-4805-b675-7c5353acf970</t>
  </si>
  <si>
    <t>887efde8-4ade-4b77-ba54-0857f80c03c8</t>
  </si>
  <si>
    <t>c8a0e2b4-85ac-42d3-b6a5-d5e856fb0e26</t>
  </si>
  <si>
    <t>1db924ff-f86f-4729-926b-902d2773e375</t>
  </si>
  <si>
    <t>67ddfaea-c824-46c1-a02e-690fc3e7bbec</t>
  </si>
  <si>
    <t>a1047f20-9b1a-46db-8182-07d22829ba62</t>
  </si>
  <si>
    <t>5f25404e-f687-4dcb-9201-1085315d32a5</t>
  </si>
  <si>
    <t>eb19501f-6bec-43a8-b2ad-c23dd12a8054</t>
  </si>
  <si>
    <t>7dbb2de7-8228-4e15-b175-f8062155c6ae</t>
  </si>
  <si>
    <t>335f29d3-6b08-4c48-8ade-d921df870f86</t>
  </si>
  <si>
    <t>456b359b-514e-438f-9e19-3582f943182f</t>
  </si>
  <si>
    <t>4fb04c0f-cb65-4fcf-9e75-c84e1fb10389</t>
  </si>
  <si>
    <t>3a584ae9-58f6-4cc9-956d-b64d53e4b394</t>
  </si>
  <si>
    <t>15555d3c-7bcb-40f1-a7b3-53c4f3972b33</t>
  </si>
  <si>
    <t>bee75065-f894-4c6b-8e30-3e70246a1a00</t>
  </si>
  <si>
    <t>32630d74-ae29-434a-89bc-024bff5b914a</t>
  </si>
  <si>
    <t>6f71230e-c429-44d4-a712-119c704391a7</t>
  </si>
  <si>
    <t>3c544520-d70f-41f5-8a8a-1f1b55c455c9</t>
  </si>
  <si>
    <t>fcdaf8d8-d5c1-453d-b954-0d88a88ee98c</t>
  </si>
  <si>
    <t>cd8e352a-6700-4a75-b981-bb8879dda4e6</t>
  </si>
  <si>
    <t>39bec8e7-019f-43f3-8d3e-3b56df4d4575</t>
  </si>
  <si>
    <t>17cee708-51bc-4cd5-b879-5b1ed368c67d</t>
  </si>
  <si>
    <t>a1645baa-b3a9-4987-a471-0d7ec9b7b95e</t>
  </si>
  <si>
    <t>707cbc40-2d1c-433e-831f-fa8f72de816c</t>
  </si>
  <si>
    <t>982d316e-5765-4640-89bb-5bed7594220f</t>
  </si>
  <si>
    <t>0d1e383b-206b-4c1b-98aa-b56f3be9e4ae</t>
  </si>
  <si>
    <t>f52076b8-a3d5-43f6-8757-d4fd894f75f9</t>
  </si>
  <si>
    <t>3c92c8a8-cdd5-4319-97ec-0f4ac210f0b0</t>
  </si>
  <si>
    <t>755ee336-31ef-41d9-b13f-40f213de1088</t>
  </si>
  <si>
    <t>0cccce90-70fa-4bc7-b7a9-82fc700a7553</t>
  </si>
  <si>
    <t>16960c7b-07af-43a7-9bd7-20a3812b7e7f</t>
  </si>
  <si>
    <t>b6621959-5f38-4dd9-b137-9122f933f6d2</t>
  </si>
  <si>
    <t>279e9c20-7ec8-44f0-be45-686de066d11b</t>
  </si>
  <si>
    <t>83d989cc-687f-4db3-8ee7-c4e9f9214c01</t>
  </si>
  <si>
    <t>00c3b75b-acfe-425e-8314-69a46df1f386</t>
  </si>
  <si>
    <t>60e155b1-c142-486e-a8d3-1da85288970d</t>
  </si>
  <si>
    <t>fae7bfaa-c287-4eb2-ac6c-851497d16c79</t>
  </si>
  <si>
    <t>6ec3bfec-d053-43ca-a148-11ef27c43734</t>
  </si>
  <si>
    <t>ea45a945-d27f-438d-93e5-0594e5a3fa0d</t>
  </si>
  <si>
    <t>aebbe294-a809-4c3e-baee-0a7bcf050d93</t>
  </si>
  <si>
    <t>79f64bfe-7cfb-4dd4-b799-95a7db4a4b13</t>
  </si>
  <si>
    <t>a1891806-0e44-471f-9500-ea708ec23163</t>
  </si>
  <si>
    <t>b03c0be7-9c73-4775-b077-3030af2395ed</t>
  </si>
  <si>
    <t>bb90faea-2eab-4574-9e79-97afd93ac669</t>
  </si>
  <si>
    <t>12bd7a18-3b55-4843-8733-4017211dcd2e</t>
  </si>
  <si>
    <t>72b541cb-cc02-4e88-8bff-6864250cfa7b</t>
  </si>
  <si>
    <t>70d3bf90-5131-4b33-9447-931cf008e789</t>
  </si>
  <si>
    <t>c7d22e65-e03f-4a7f-b21e-33213fc201b7</t>
  </si>
  <si>
    <t>0525bf2d-1ce6-446f-a4b9-18a9e302dc67</t>
  </si>
  <si>
    <t>51b0475c-a99f-4ee7-94d7-526729965cc6</t>
  </si>
  <si>
    <t>053d6f2f-f0c7-4eef-98d3-f95b1642e724</t>
  </si>
  <si>
    <t>2a533191-8bcb-4cf0-8175-7f36ac95ada2</t>
  </si>
  <si>
    <t>469f53de-9ed9-4c9b-b2d3-d9a774eb4226</t>
  </si>
  <si>
    <t>9a913479-3556-443f-857d-bd721315a52c</t>
  </si>
  <si>
    <t>8559b65c-1e35-418e-9352-22e10fefad8e</t>
  </si>
  <si>
    <t>7a6a0aa0-f425-4519-86a5-a908b0e10b2b</t>
  </si>
  <si>
    <t>a79ae4dd-e8d2-4eff-904b-e60644b8eef3</t>
  </si>
  <si>
    <t>cec3b558-79b9-4ad6-bb98-9aa7ee4bd965</t>
  </si>
  <si>
    <t>b810ce3a-65f7-40e1-8d8f-6d0ee3496368</t>
  </si>
  <si>
    <t>744905d7-07c8-4d87-bafb-089e39f05c45</t>
  </si>
  <si>
    <t>9e8eb299-34a4-411f-831a-5346825cd598</t>
  </si>
  <si>
    <t>19321c5d-e980-4766-a18c-c242eabf89d5</t>
  </si>
  <si>
    <t>8995dfa1-c7b9-4575-907a-d448c289b511</t>
  </si>
  <si>
    <t>4845dfe6-6a80-4a01-9252-0a3b96e9b236</t>
  </si>
  <si>
    <t>528b4a8d-e6a9-43a8-a0bb-040273058537</t>
  </si>
  <si>
    <t>007821bf-9c90-4286-83d3-cb17f3256c9d</t>
  </si>
  <si>
    <t>056cb76e-bc04-4468-b5f1-46c3c8b20907</t>
  </si>
  <si>
    <t>7b275152-a9bc-4f8b-bc52-1c5d92cd27da</t>
  </si>
  <si>
    <t>64b51f57-0d96-4e26-8342-81541b080b7b</t>
  </si>
  <si>
    <t>56bbea52-0eae-47c1-9c3c-4f84c9dba9da</t>
  </si>
  <si>
    <t>0ed98585-f44f-4865-94e6-39ef74c01ec3</t>
  </si>
  <si>
    <t>dcd4bbd5-1712-4487-aced-d01a3dc57af9</t>
  </si>
  <si>
    <t>31527d8e-7737-4dde-b13b-1d5e44224477</t>
  </si>
  <si>
    <t>a2613584-be5b-42ac-a0b4-bd01396edc9a</t>
  </si>
  <si>
    <t>46a206a9-4695-408a-8344-4dadb0bc7517</t>
  </si>
  <si>
    <t>aecdf1ee-32ef-41d8-aed8-c57cdd879899</t>
  </si>
  <si>
    <t>62451ee5-6ad2-47c5-8dec-0c845d82e5db</t>
  </si>
  <si>
    <t>c43ad3d0-edcf-406e-85dd-0beba0d58e6f</t>
  </si>
  <si>
    <t>d98e74ce-3db9-4257-a76f-9b88ed80bb9c</t>
  </si>
  <si>
    <t>e1a6e94d-7dfc-4e77-9801-f74aac8784bf</t>
  </si>
  <si>
    <t>3d19eb39-59f7-4e70-b1f9-7c76c78d3dba</t>
  </si>
  <si>
    <t>f086c494-16b1-4d4c-9fde-b507e7e54292</t>
  </si>
  <si>
    <t>786e12b1-34f2-40aa-b901-28dc354f9cd9</t>
  </si>
  <si>
    <t>08442476-d97b-4195-9202-93dffd709ac9</t>
  </si>
  <si>
    <t>4b2aade2-9d0b-4a4f-91e1-7a84a600bdfc</t>
  </si>
  <si>
    <t>22b6a722-ec5a-47bc-800b-855050586e30</t>
  </si>
  <si>
    <t>a27efd59-33c7-4037-8c55-f56b1d3c0f82</t>
  </si>
  <si>
    <t>b310ef5b-2314-403a-b5d1-f5fd2b4dc08f</t>
  </si>
  <si>
    <t>d2653aca-7e09-4940-bcf7-beb0328f50f4</t>
  </si>
  <si>
    <t>4aba40ca-78c8-468d-90b0-c27ef0adc20c</t>
  </si>
  <si>
    <t>b769851f-56b0-46dc-abea-32192bddcf50</t>
  </si>
  <si>
    <t>91dd3afe-f9cb-47c3-a967-a5235b5e63af</t>
  </si>
  <si>
    <t>7b49add8-9932-41dd-b8d8-e0e3b60731fc</t>
  </si>
  <si>
    <t>1588bcc0-1635-4819-be04-b11b1d53ce0d</t>
  </si>
  <si>
    <t>2acfbf2d-b25c-4713-91f7-38e81bf7ff0a</t>
  </si>
  <si>
    <t>6bb0d571-17a4-44c7-84d7-920108cf790b</t>
  </si>
  <si>
    <t>ad4f4164-354d-4c2e-8fa6-babfd88af28c</t>
  </si>
  <si>
    <t>edccb204-4917-4850-962e-7afd475d9b20</t>
  </si>
  <si>
    <t>f64c6b8e-4646-4de2-a0aa-e9ce69be949e</t>
  </si>
  <si>
    <t>ce80c0a6-ed2e-40c6-8ca8-9a9e9697bfc6</t>
  </si>
  <si>
    <t>52404fad-fa73-4255-a90d-5a58a655acb1</t>
  </si>
  <si>
    <t>1a07d892-f2c7-4d82-a6c2-769eed472a66</t>
  </si>
  <si>
    <t>b4ed3ea6-a9b6-41df-b182-a78059c6b78b</t>
  </si>
  <si>
    <t>9bcef384-2860-46da-81f1-7e7405cd2f24</t>
  </si>
  <si>
    <t>374b2e59-376e-4f4b-9a0e-395521d22e92</t>
  </si>
  <si>
    <t>7a1aa0fb-8741-48f1-8619-34ff361be31c</t>
  </si>
  <si>
    <t>82ccef2f-36f3-40c6-b0f4-25bee061edd0</t>
  </si>
  <si>
    <t>a814fcc5-5376-46d6-b230-a28c05d03e69</t>
  </si>
  <si>
    <t>f4b365c9-6308-45b5-a0b0-7c5fcc485b02</t>
  </si>
  <si>
    <t>9339dc47-8ea6-4e30-8989-74f483668797</t>
  </si>
  <si>
    <t>636e9cea-30ce-484e-8ca5-15e753d473de</t>
  </si>
  <si>
    <t>c7977b27-a82e-4187-9639-424bbcf150d7</t>
  </si>
  <si>
    <t>6bac7dbb-9a41-41f7-adc1-5ceea6dbeb4b</t>
  </si>
  <si>
    <t>6c1f96dd-ed1b-49f1-bc73-cd16c40791e8</t>
  </si>
  <si>
    <t>a1918701-571d-4187-9ef0-077abee301e7</t>
  </si>
  <si>
    <t>17fd7e4f-a5cd-4513-a0f6-e45d909a3e27</t>
  </si>
  <si>
    <t>8809686c-be18-43d9-b34e-d0a0806230c1</t>
  </si>
  <si>
    <t>3b675452-eaa6-44bc-bb80-b7b2f563f0e2</t>
  </si>
  <si>
    <t>1a777d7e-f8cc-4647-9e94-5831122526a3</t>
  </si>
  <si>
    <t>64acdf31-5d58-43bf-8a59-d6c2325a2c22</t>
  </si>
  <si>
    <t>8c978f2a-d9d7-41a1-86c2-0be4aa739af3</t>
  </si>
  <si>
    <t>38a377cf-37e0-4f0b-a910-ae483cb6bf54</t>
  </si>
  <si>
    <t>0b4376fb-d8b9-49b0-a155-17b656c31c03</t>
  </si>
  <si>
    <t>96b2879f-93d2-4b48-ad2c-fd4c8acdc346</t>
  </si>
  <si>
    <t>0d2b3251-4a31-4a68-8a24-e1f8b8ead5cd</t>
  </si>
  <si>
    <t>cd79a0de-38fe-44f7-ad2e-88e20370ca9e</t>
  </si>
  <si>
    <t>7073b85d-e40b-4e31-8848-83359fd352ec</t>
  </si>
  <si>
    <t>25699f72-3245-4c6f-9afe-c0c3b2048195</t>
  </si>
  <si>
    <t>30182d93-de32-40bd-8754-a4a49fe49017</t>
  </si>
  <si>
    <t>472dc9b6-ace2-45d0-bcf5-ad10f58113f4</t>
  </si>
  <si>
    <t>6515a026-d127-43bf-b68d-e78405c5c112</t>
  </si>
  <si>
    <t>4dffe31a-313c-45ab-b47f-15000af0c531</t>
  </si>
  <si>
    <t>e94c4647-108b-4966-a8a4-1b5309e7d4c8</t>
  </si>
  <si>
    <t>bfe7da6b-34c1-412a-a491-7959f26479a6</t>
  </si>
  <si>
    <t>3c4d48ba-1659-4671-9cf4-c8742f9bd17f</t>
  </si>
  <si>
    <t>346b495f-287a-4327-9753-d4c90c2a6cb3</t>
  </si>
  <si>
    <t>21a61a66-156e-4cfc-bf3e-f938a188db50</t>
  </si>
  <si>
    <t>6c11b423-e525-4c3e-a018-3d764f44e401</t>
  </si>
  <si>
    <t>e73bb058-83ac-4a12-bec5-c59f79077cc9</t>
  </si>
  <si>
    <t>217ce91c-b28f-4f4b-a05a-240a905b5ecd</t>
  </si>
  <si>
    <t>a149ba6e-1afd-49c4-bc8b-1fbac896ac38</t>
  </si>
  <si>
    <t>c1f4b76c-5505-4ea0-820d-8fb0483c7412</t>
  </si>
  <si>
    <t>ae07de5d-87a9-40db-bc60-1920c282d594</t>
  </si>
  <si>
    <t>56d41156-0a42-4335-8c70-661dff744d27</t>
  </si>
  <si>
    <t>39291335-1c3f-4719-a69d-623a48981461</t>
  </si>
  <si>
    <t>8bc44d44-b225-49f2-a9ab-6d89ca008510</t>
  </si>
  <si>
    <t>6a88172a-03bd-4dbe-94fd-d1738e5d633e</t>
  </si>
  <si>
    <t>8ea952e0-e262-46ca-9a4a-72cffcbf5cb2</t>
  </si>
  <si>
    <t>86ae0aa9-4eb1-43df-a4f3-0cef64f080a7</t>
  </si>
  <si>
    <t>7feb2b66-6afd-4a69-8a3d-b8700b953603</t>
  </si>
  <si>
    <t>d90bdd5d-5402-416f-bf2c-6aa8e1a501df</t>
  </si>
  <si>
    <t>76842660-a67d-40da-b9be-01ad1469f628</t>
  </si>
  <si>
    <t>34467fdc-c86e-43f7-ae9c-8fa743863e8d</t>
  </si>
  <si>
    <t>06a03816-34df-491c-a7e6-bb01a0e4d6f7</t>
  </si>
  <si>
    <t>c8603b48-64a6-4513-939d-c7f2aaadfab5</t>
  </si>
  <si>
    <t>bc3482f0-6946-46d0-ae6e-2b39002e5711</t>
  </si>
  <si>
    <t>0cd5e1f3-7b12-40ef-9c98-2f907b9edc54</t>
  </si>
  <si>
    <t>353037d9-5aa8-45c4-b933-e0f66b6da077</t>
  </si>
  <si>
    <t>7dc2639b-a4b5-4eee-b39a-709b1d43b2f0</t>
  </si>
  <si>
    <t>92892862-1b81-4ab5-9068-dfa2e9058a32</t>
  </si>
  <si>
    <t>7117b38b-1404-4cb0-b176-2dbd8db35552</t>
  </si>
  <si>
    <t>034b0ec5-571f-45d6-8698-bc0c840342ba</t>
  </si>
  <si>
    <t>817d5d59-4e68-4b63-90ec-271d7b6627b7</t>
  </si>
  <si>
    <t>99eecbec-8b2d-4315-b566-4158660f1720</t>
  </si>
  <si>
    <t>fa101c53-1e0f-4afa-930f-0f8ac5896fef</t>
  </si>
  <si>
    <t>b2484f2e-b63b-4f29-88d4-671255b28759</t>
  </si>
  <si>
    <t>cfd670b0-7fa1-4bca-b41c-d7b847ffac28</t>
  </si>
  <si>
    <t>c5a01c96-e4c6-41db-9549-cd6d3d203e96</t>
  </si>
  <si>
    <t>49e9424b-956f-4cd2-a157-a72da74183e7</t>
  </si>
  <si>
    <t>207147fc-3a3d-4af0-8766-d773736297e9</t>
  </si>
  <si>
    <t>418bbbf7-3971-4ad6-8637-a93223f4d01e</t>
  </si>
  <si>
    <t>ee9b2f13-6ca3-4b34-827c-9f38909bc704</t>
  </si>
  <si>
    <t>7f74f39f-0ea2-4e91-975e-6c1fe95e30fd</t>
  </si>
  <si>
    <t>e49f94ea-771d-49d5-8f71-b6deb29a6c13</t>
  </si>
  <si>
    <t>0ece0217-4932-48de-b3aa-a7a01698dd5a</t>
  </si>
  <si>
    <t>b51e2934-cf09-416d-b6c7-e3b0d489c40f</t>
  </si>
  <si>
    <t>6923ef9d-dc3d-4175-bc47-0364dafe6336</t>
  </si>
  <si>
    <t>06882a5a-914e-4b39-9c92-37acf0c57e6e</t>
  </si>
  <si>
    <t>223b5d80-eb47-43c4-a53a-7863568786e6</t>
  </si>
  <si>
    <t>43fbc9b0-7232-4183-8f56-0090fb98bbbb</t>
  </si>
  <si>
    <t>009be652-858c-4fbe-a597-e7a1dda26e79</t>
  </si>
  <si>
    <t>5fef21ca-d5e8-4c35-bda9-ea45d3d44009</t>
  </si>
  <si>
    <t>c6137293-73ac-4b35-8c8e-6ca1a7b299d4</t>
  </si>
  <si>
    <t>5fd68ef9-c74e-4a31-b09e-8f2ceb7fc698</t>
  </si>
  <si>
    <t>98d65696-d6f2-4e7a-8e54-f81a2ac1e7e7</t>
  </si>
  <si>
    <t>c95a1083-8479-46f6-b44a-4fccb490ccd4</t>
  </si>
  <si>
    <t>f48fb130-6abd-45d4-9eb6-9e3508660716</t>
  </si>
  <si>
    <t>9ed0af15-b624-4244-87d1-c5f538afb965</t>
  </si>
  <si>
    <t>70821c1b-dd80-4614-8c7f-e3daf3031b34</t>
  </si>
  <si>
    <t>c58ac80c-b48a-4103-858d-ba1d0c07d1cf</t>
  </si>
  <si>
    <t>93589c8e-8f28-4025-bd3a-d158ced882a6</t>
  </si>
  <si>
    <t>1074708e-7551-459c-bcb0-9b451d35316d</t>
  </si>
  <si>
    <t>f3b6d244-261d-438e-8105-9ea52b06bc10</t>
  </si>
  <si>
    <t>6955c052-9599-4e59-ac5c-8cc3071784e9</t>
  </si>
  <si>
    <t>195083e7-a35c-4347-af6c-cc622d5c3335</t>
  </si>
  <si>
    <t>b50879ff-6335-4c0c-af52-85ba2cc0fbfa</t>
  </si>
  <si>
    <t>cca5f34a-ebfd-4ae8-aa6e-ab4d83b96ad4</t>
  </si>
  <si>
    <t>354311f6-6102-4f17-96f8-e53e8df8cbaa</t>
  </si>
  <si>
    <t>942dbf7e-4ba1-40a2-a38d-e2da42174006</t>
  </si>
  <si>
    <t>f2ad8b04-aa70-4484-b0ed-8bd23590af27</t>
  </si>
  <si>
    <t>fe0c6677-fbc2-4a0d-b8aa-14c88373fd5d</t>
  </si>
  <si>
    <t>c06373fc-0fc8-47e8-82e7-a19d2ad5dcea</t>
  </si>
  <si>
    <t>2626acc2-902b-406d-bc70-1c2fd9dd19be</t>
  </si>
  <si>
    <t>7d0f886c-d8ce-4d8a-b03e-b6352ddf6a31</t>
  </si>
  <si>
    <t>aa500fed-359c-459d-8060-b57c3436991d</t>
  </si>
  <si>
    <t>2b00d5cf-cb2e-47e3-b099-59295803f978</t>
  </si>
  <si>
    <t>55ecd497-1bc7-4544-9deb-71468a1ea92e</t>
  </si>
  <si>
    <t>6128e604-9953-486a-9c36-a1ede3931290</t>
  </si>
  <si>
    <t>a348c95e-1bdd-4004-9d1a-c2a35e78348f</t>
  </si>
  <si>
    <t>04de9430-ee06-49fb-93c7-bd60da894f80</t>
  </si>
  <si>
    <t>f5d08602-204a-4e9a-b39b-8e02829f3817</t>
  </si>
  <si>
    <t>9adcd3c6-e6b8-4ab0-be81-9a60f3db1349</t>
  </si>
  <si>
    <t>f0a7db81-58c6-49c1-9325-7a8820b6a1c8</t>
  </si>
  <si>
    <t>3b6ea1e8-e0f8-40f1-8a5b-6780834527c9</t>
  </si>
  <si>
    <t>6c6a82f3-1291-4647-8c6e-8abeef5abc6e</t>
  </si>
  <si>
    <t>0add1acf-e9de-4f9f-9e0c-9db53b023316</t>
  </si>
  <si>
    <t>1dba3e33-0883-4383-b11e-4803122f13d6</t>
  </si>
  <si>
    <t>dd1ed5cb-930f-4195-bdea-6b0a821d9360</t>
  </si>
  <si>
    <t>3ab92f4f-82d1-40bd-b840-54985515e6fd</t>
  </si>
  <si>
    <t>0d5ddc98-b9e8-403c-8759-dfa6be1f5306</t>
  </si>
  <si>
    <t>6ab70d26-b79a-41de-92fd-adaad92e32f1</t>
  </si>
  <si>
    <t>f5e7d116-d137-4b5d-990b-ed96e339dafb</t>
  </si>
  <si>
    <t>c267953e-99e8-496a-a486-f9244c0ffef4</t>
  </si>
  <si>
    <t>132705cd-53fe-4525-a247-c21d52b5fcdc</t>
  </si>
  <si>
    <t>d2f0a030-7c64-4e40-8c93-56f00da8292e</t>
  </si>
  <si>
    <t>08afef36-fd44-449b-bd55-01a086b6768c</t>
  </si>
  <si>
    <t>8c3c15a7-3e8c-4f8f-a03b-cca3f32d6957</t>
  </si>
  <si>
    <t>8936c822-8a37-44c7-b941-ebc70c0b937a</t>
  </si>
  <si>
    <t>189e1724-6e79-49fe-aaed-e83e59f5809f</t>
  </si>
  <si>
    <t>6d363b3d-f9a9-4232-a616-efd0e2dad43e</t>
  </si>
  <si>
    <t>adb3d1bb-8203-495f-9e8b-18ee7f382a05</t>
  </si>
  <si>
    <t>1d691736-c4bc-4c78-9882-d64a7b28f510</t>
  </si>
  <si>
    <t>67cdb076-a8d6-4ea6-8400-fe872c865052</t>
  </si>
  <si>
    <t>0fb624d2-89a1-4c1d-8afa-e47a023c1cf1</t>
  </si>
  <si>
    <t>eaebc752-98b3-4741-8329-4d243ec6a515</t>
  </si>
  <si>
    <t>8ba676a2-1b13-4d81-b544-f691869e9c02</t>
  </si>
  <si>
    <t>83bde3f8-0ebd-403e-9987-01d78280b8a1</t>
  </si>
  <si>
    <t>e731a360-826e-464a-9b44-ae213568d6ba</t>
  </si>
  <si>
    <t>ab39d840-f572-4a32-8218-c3d66a569981</t>
  </si>
  <si>
    <t>bb4c3c42-4957-4f29-ac74-bb8a6eb6137d</t>
  </si>
  <si>
    <t>f7269b9f-8bf6-4923-8697-ef0b227e27ce</t>
  </si>
  <si>
    <t>b34c2e96-67ec-4443-86d3-a0db15d4e025</t>
  </si>
  <si>
    <t>4889c2fc-f956-4fda-96a9-cf6b47bd1dab</t>
  </si>
  <si>
    <t>e33dd88a-865b-4672-8242-a2baf47ee0c8</t>
  </si>
  <si>
    <t>a6caf16e-706d-4ae8-b39e-132169b21b88</t>
  </si>
  <si>
    <t>89d2a599-bc3e-43d2-a3e1-54d426732aac</t>
  </si>
  <si>
    <t>763ae498-af34-48f5-83c3-9d7f57bb9455</t>
  </si>
  <si>
    <t>6d7921ea-54ae-4cdc-ac82-da46da51ded3</t>
  </si>
  <si>
    <t>da5628fe-0491-499b-9ba8-14632a9025be</t>
  </si>
  <si>
    <t>6eec43d4-8fba-4267-ab88-3263a3b98d06</t>
  </si>
  <si>
    <t>1ed5af96-fc1f-4578-9b2f-aff161770fa3</t>
  </si>
  <si>
    <t>84d6ea31-5bcf-4822-879d-a9b1dbe82b70</t>
  </si>
  <si>
    <t>9f59513b-e411-41f8-8e78-492e06517990</t>
  </si>
  <si>
    <t>b7085f8e-56c9-4f8c-bd77-d34f93f42b38</t>
  </si>
  <si>
    <t>c9ad0cde-830a-4901-9250-5dd7adb887ed</t>
  </si>
  <si>
    <t>d006853a-207d-49e9-acce-9d3088b394cf</t>
  </si>
  <si>
    <t>4e7373df-c8bf-45fd-ae1d-ebb26b075461</t>
  </si>
  <si>
    <t>9e79281a-4ce2-40de-b9ab-7f7502f32dd2</t>
  </si>
  <si>
    <t>ec74e759-8d0a-4f37-8ca3-ad4438204379</t>
  </si>
  <si>
    <t>9ba70a34-b60b-43ea-b994-d1b8f93a499b</t>
  </si>
  <si>
    <t>a2e069c3-53ef-49a8-8096-5afa10067044</t>
  </si>
  <si>
    <t>d4a12a89-5361-4b6c-8bc6-7ded173b1f1c</t>
  </si>
  <si>
    <t>33d0a9e3-eafc-474d-9ec4-80c80e92bf6a</t>
  </si>
  <si>
    <t>8b9749f3-230b-40e1-b2e7-d727df5d83c5</t>
  </si>
  <si>
    <t>6b55e651-8bee-4406-a8ce-3457b2cfb410</t>
  </si>
  <si>
    <t>67602a06-4400-4beb-8390-420620560ea0</t>
  </si>
  <si>
    <t>72e22447-af6a-4a5c-a3de-9c3c928b92e5</t>
  </si>
  <si>
    <t>350541a1-3a3e-47d9-a040-4152213a6bf6</t>
  </si>
  <si>
    <t>77f30586-6553-4659-8903-f0c533075adb</t>
  </si>
  <si>
    <t>fb30ff27-5336-4801-be95-a05cc1284fff</t>
  </si>
  <si>
    <t>441bf69f-f8ca-4b09-b92a-0fe8694fe6c8</t>
  </si>
  <si>
    <t>431c7e8e-4e5c-4cc0-aebe-e047da47baa5</t>
  </si>
  <si>
    <t>12d93b64-3f71-42a0-ae2c-3cfcb5f73086</t>
  </si>
  <si>
    <t>8a8771de-b322-4b37-be13-d19c7d5daaff</t>
  </si>
  <si>
    <t>3918bd32-5af8-4b19-a020-06bbd2314a42</t>
  </si>
  <si>
    <t>f42bae15-445d-4ae9-a5bf-cac6ea3a798e</t>
  </si>
  <si>
    <t>325007b6-c203-4e7b-bf6e-91608cd59370</t>
  </si>
  <si>
    <t>56a1832f-146e-4556-9dea-7591e2a6fcd4</t>
  </si>
  <si>
    <t>7bd282a6-1a1f-402f-a55c-96e8c65ad793</t>
  </si>
  <si>
    <t>11ffb50b-a9a9-4162-b852-1c4953a4c752</t>
  </si>
  <si>
    <t>3eb85cd0-e742-4e00-ba87-f489ac8676ca</t>
  </si>
  <si>
    <t>6c1871c2-f0c7-45fc-bb45-2bf2600adce5</t>
  </si>
  <si>
    <t>1e41da65-be81-4207-8fd4-5c26b168e68c</t>
  </si>
  <si>
    <t>1e5744eb-bc59-43b4-9691-c64af56189f9</t>
  </si>
  <si>
    <t>88c6627f-35b0-4314-9203-6ee7afe9464c</t>
  </si>
  <si>
    <t>6d7575c6-de16-4c76-84f9-5d3a822bcd06</t>
  </si>
  <si>
    <t>048fd968-6ece-47d5-b55e-c62bdcb3976a</t>
  </si>
  <si>
    <t>e24c36dd-8d57-4423-bec1-999a6a6ca598</t>
  </si>
  <si>
    <t>37ed5a7b-8e0e-4896-97f3-c6151ac033c3</t>
  </si>
  <si>
    <t>cedc0e43-dd5f-43a7-98ee-98a22591a375</t>
  </si>
  <si>
    <t>2d7a6016-5ef7-4103-afb1-c909d40c3b57</t>
  </si>
  <si>
    <t>b39a266d-2e65-4dbb-8ee0-898ddf41e50a</t>
  </si>
  <si>
    <t>370926e6-e89d-449e-94ad-17b788f40176</t>
  </si>
  <si>
    <t>9fc3e37c-6737-49a2-b482-70fc9ef76dc4</t>
  </si>
  <si>
    <t>2fef80f4-d951-4feb-8fe2-ba298c2c2164</t>
  </si>
  <si>
    <t>bc63b111-277e-4556-adac-0d82ee63ee47</t>
  </si>
  <si>
    <t>a6810763-bc5f-4da2-955d-3d7b9a83577a</t>
  </si>
  <si>
    <t>220b9274-e48e-41ae-a012-3b1c46468cc6</t>
  </si>
  <si>
    <t>913f1e23-6e62-46ad-88cb-c837d6c96f63</t>
  </si>
  <si>
    <t>2d70ea47-7e25-43f2-8d32-1db73a222c0e</t>
  </si>
  <si>
    <t>1a547de1-236e-43cd-9ad4-87f2aa49beb2</t>
  </si>
  <si>
    <t>63320a79-14dd-42b8-8329-e8315134d489</t>
  </si>
  <si>
    <t>3c5771e6-b66d-458f-b2fd-87a03ac2ee5e</t>
  </si>
  <si>
    <t>8bf0c561-0353-401f-8281-0d66021ef132</t>
  </si>
  <si>
    <t>44f51b02-36d8-455f-8522-a9778b666cb6</t>
  </si>
  <si>
    <t>25a39bcb-e5bf-429c-bc72-e859ad43e16c</t>
  </si>
  <si>
    <t>b3236047-0e7d-43b1-acb8-b77581801f4c</t>
  </si>
  <si>
    <t>4f15f0ff-ac37-48f5-ad28-5ec80faae34a</t>
  </si>
  <si>
    <t>6a2b03e5-2ad5-4f94-8f6e-328656fa276e</t>
  </si>
  <si>
    <t>3d55f720-822c-4af7-bc74-0ecd9b1df887</t>
  </si>
  <si>
    <t>95cdd175-1daf-45ed-92b3-cc5fd3f43303</t>
  </si>
  <si>
    <t>6492aa48-e520-4265-89a2-d0fd6e8462ba</t>
  </si>
  <si>
    <t>aab2e613-3df4-4333-9f2b-67c72fcdae73</t>
  </si>
  <si>
    <t>333d9d77-040e-4c85-b0d2-d9efc06b793f</t>
  </si>
  <si>
    <t>6cc64ba6-60a5-4446-8b37-532108b5dc65</t>
  </si>
  <si>
    <t>56507a62-0864-441f-be15-ac4491e1629d</t>
  </si>
  <si>
    <t>d1d0348b-e875-4381-9256-d6e7421e98a3</t>
  </si>
  <si>
    <t>8bb1fed1-4bbc-4cc6-be06-a5aa1a85672f</t>
  </si>
  <si>
    <t>368b49a4-bf99-4b8c-b9f5-e29fe4cb31f7</t>
  </si>
  <si>
    <t>9f12d6f1-f832-4673-95fb-a4085dacacf9</t>
  </si>
  <si>
    <t>3f803e8d-aeb2-4c4b-b125-df226c144fd1</t>
  </si>
  <si>
    <t>7b556e57-c3bf-454f-a09a-4c835d7706e5</t>
  </si>
  <si>
    <t>726d9270-83ef-465b-b47f-18ef11eeae95</t>
  </si>
  <si>
    <t>fd5ac5d6-7d08-4b50-a34c-c48247db91bc</t>
  </si>
  <si>
    <t>b71bd89e-c251-49b6-b506-e7fac88a3248</t>
  </si>
  <si>
    <t>eed67c04-754e-47ad-b463-10e0531b2c9f</t>
  </si>
  <si>
    <t>b6962bcc-e250-40db-8772-8ea3fe8216dc</t>
  </si>
  <si>
    <t>245eea6a-09ef-48c0-8a2c-3f62192b3b83</t>
  </si>
  <si>
    <t>a386a479-ceee-4340-b338-8cd030a1f686</t>
  </si>
  <si>
    <t>ab4fb002-4d18-42df-bafc-54d258a03a74</t>
  </si>
  <si>
    <t>e0f7e9ae-fc77-4ef7-a0a4-e34a3fb68d39</t>
  </si>
  <si>
    <t>02f16cda-1f7d-463b-9999-3a946ffb9196</t>
  </si>
  <si>
    <t>ae1b541c-ee31-4132-985f-be7f7da5d316</t>
  </si>
  <si>
    <t>43437486-3774-4435-a4f8-f243cf5be6b5</t>
  </si>
  <si>
    <t>f742fc9b-0d60-4f57-a84a-8dc20c73493e</t>
  </si>
  <si>
    <t>76eeaee2-5712-49b8-a675-39c299a58d24</t>
  </si>
  <si>
    <t>09e72851-9656-4d29-83b7-a5517c4e21af</t>
  </si>
  <si>
    <t>08b428b2-2401-40b7-aa65-f7d0ca9d33fa</t>
  </si>
  <si>
    <t>571281e8-bc15-4366-b724-40eaeed58721</t>
  </si>
  <si>
    <t>31d3fd7f-626e-47ce-a72f-e43112384b26</t>
  </si>
  <si>
    <t>ab8b582e-d00e-4dc4-8339-714f0461ecff</t>
  </si>
  <si>
    <t>dedd6490-1c23-430a-85ae-5448cb11f70a</t>
  </si>
  <si>
    <t>5381791b-f70a-4d64-82b1-9c8d84a55df5</t>
  </si>
  <si>
    <t>5fd44176-bcc3-47ff-9130-22ec33a7bab4</t>
  </si>
  <si>
    <t>f67656bc-5da4-4d8b-8890-a66dd8b10702</t>
  </si>
  <si>
    <t>722c11af-47ad-4c1c-9958-43e6722df2f3</t>
  </si>
  <si>
    <t>17b266f3-142f-459f-953c-b777503c9586</t>
  </si>
  <si>
    <t>bab71f17-beb4-41ef-a59e-e05baca62da3</t>
  </si>
  <si>
    <t>e33f31ee-0957-4805-b235-1b4cf935719a</t>
  </si>
  <si>
    <t>80a15398-053a-49bb-9294-e8cfa8240fd0</t>
  </si>
  <si>
    <t>14466454-36c7-40ab-a709-1754e2fd7fa9</t>
  </si>
  <si>
    <t>ab25aa98-e4eb-46d4-8f88-a3e6eb8ac026</t>
  </si>
  <si>
    <t>145497d8-8e4e-4996-92bd-9b6433bc1c19</t>
  </si>
  <si>
    <t>d338cc68-bbec-4b0d-83a9-9fab9b23d154</t>
  </si>
  <si>
    <t>cd8e4634-c87f-4f3c-abc9-ccf8818b954e</t>
  </si>
  <si>
    <t>78fce96b-d1c6-4888-9e45-d7ea0f07488f</t>
  </si>
  <si>
    <t>70ea2df1-5b31-4bc1-9d46-bb12b487b875</t>
  </si>
  <si>
    <t>fa31fa4b-d7d3-4f55-859a-dc6bd9ebad1d</t>
  </si>
  <si>
    <t>1855d5d7-1fec-4993-9b4b-ddb88ff0d13a</t>
  </si>
  <si>
    <t>ed32e8e9-82b5-485c-8264-29bac2d19a05</t>
  </si>
  <si>
    <t>ca6f64ea-1620-4a08-a062-0a2959516d2b</t>
  </si>
  <si>
    <t>d113fe6c-fdb2-4edb-ac57-8b22cdd37e32</t>
  </si>
  <si>
    <t>024994ff-c422-4c88-907b-d6fd24eb67c2</t>
  </si>
  <si>
    <t>0c3b4486-c557-4c20-a9d4-d27cda6e7c98</t>
  </si>
  <si>
    <t>029db50c-7d7a-44d7-8465-bc74c9acf91f</t>
  </si>
  <si>
    <t>4c4e4aaf-15ad-43ec-8c07-58e1e0316b6c</t>
  </si>
  <si>
    <t>6f6266bc-6b6e-4b5f-8a91-b50e80392fa6</t>
  </si>
  <si>
    <t>0773fc13-0e8b-4981-b5fd-af7a8e0fe097</t>
  </si>
  <si>
    <t>de24e4ea-06e0-4368-a7d5-42ad3ed22ba8</t>
  </si>
  <si>
    <t>d39cf249-5ad1-499a-af8d-7aa19cada327</t>
  </si>
  <si>
    <t>d8f276cf-f849-41fb-af8d-50cb7fde2115</t>
  </si>
  <si>
    <t>f093ed8d-dad1-4862-8d24-5d3afe6f76fb</t>
  </si>
  <si>
    <t>3ef6078c-5559-4d80-a78e-27bfe23eff9c</t>
  </si>
  <si>
    <t>6a0fc8df-8acb-4d42-bc52-3e54fb8383da</t>
  </si>
  <si>
    <t>461d9aef-e43e-44a5-b25c-59e7d2414483</t>
  </si>
  <si>
    <t>27e000b7-5c20-42de-9f5c-304aa4acf215</t>
  </si>
  <si>
    <t>4be27ccf-e539-45b4-a4b9-a640e5a80803</t>
  </si>
  <si>
    <t>bb56972a-bad9-4cc1-afc5-0e2662256a8d</t>
  </si>
  <si>
    <t>99a72019-38df-4b8f-95e3-4660a6f24603</t>
  </si>
  <si>
    <t>61bc580d-170e-465a-b842-c193007aabfa</t>
  </si>
  <si>
    <t>5987d3a8-9466-46c1-938f-9bc13f7538b2</t>
  </si>
  <si>
    <t>4408b300-4657-40d0-8f63-1e420a40d8de</t>
  </si>
  <si>
    <t>5c3c3a06-c016-4896-95d1-5a31d6a996a7</t>
  </si>
  <si>
    <t>a61d6886-3c88-4ec7-a19a-10ccf28915f9</t>
  </si>
  <si>
    <t>511db072-8f45-4947-b813-9e3cf1ce6086</t>
  </si>
  <si>
    <t>349347cf-5609-41f1-adc1-4b5b79f1849f</t>
  </si>
  <si>
    <t>a521ddec-3895-4391-85e5-15e5abca3a85</t>
  </si>
  <si>
    <t>9e7cc24c-130b-414b-991f-723a3c11de1c</t>
  </si>
  <si>
    <t>e1b08329-9aea-4a43-ac67-92d588628982</t>
  </si>
  <si>
    <t>1e4d7e8f-e51e-43ad-a725-f091597c8d57</t>
  </si>
  <si>
    <t>f7a4c2fd-4515-4075-ae6d-571879eb141b</t>
  </si>
  <si>
    <t>2cc04cd9-95ef-4fd3-b1da-05b8b04c111a</t>
  </si>
  <si>
    <t>8820d097-81fd-46ee-b61b-2d2e9b022317</t>
  </si>
  <si>
    <t>aec651b5-8e1e-49b2-b0df-83ae4f07cc49</t>
  </si>
  <si>
    <t>564f6c9b-1463-4d74-8f61-ee37d05ce9d6</t>
  </si>
  <si>
    <t>d33b804e-8dbe-4894-802c-c2dcd6e550ee</t>
  </si>
  <si>
    <t>ca14dda6-4e25-418f-9887-f8acab354402</t>
  </si>
  <si>
    <t>6f27ff8c-b351-49ac-a927-a0a01e767a42</t>
  </si>
  <si>
    <t>b8c59152-6e43-4566-80f1-e7cfdf6b952e</t>
  </si>
  <si>
    <t>a8af0a1b-9f5a-44b5-8c84-d2f049e291ca</t>
  </si>
  <si>
    <t>26792787-04a2-4f42-b8d0-1b546b6b3ae7</t>
  </si>
  <si>
    <t>2713f209-4570-4a12-971a-23ab69e532dd</t>
  </si>
  <si>
    <t>5caddc8e-53d8-495a-b99c-8c63b55eec38</t>
  </si>
  <si>
    <t>de8d48aa-45a0-4bad-b8db-a54d7dec0e00</t>
  </si>
  <si>
    <t>48dc0896-0798-4730-b8ab-1fbebed3f4d4</t>
  </si>
  <si>
    <t>8b6c5030-e8b1-4fc6-aac2-cc1cedd9357e</t>
  </si>
  <si>
    <t>6476a8de-41c4-4c0a-bdf8-9a06f92379a1</t>
  </si>
  <si>
    <t>890b7c0c-3765-4d01-905f-deb36ebf6ecc</t>
  </si>
  <si>
    <t>b4e44679-426e-4634-b4ff-6f102393a953</t>
  </si>
  <si>
    <t>e8fe7365-b51c-4201-b9c0-cd2faa387745</t>
  </si>
  <si>
    <t>5f4657c3-2abc-4048-a85c-2b08ab467cee</t>
  </si>
  <si>
    <t>6daa3f3c-5d44-45a5-b798-5db1c06bfd35</t>
  </si>
  <si>
    <t>1edc1d48-1593-427b-9a9a-81449f8de810</t>
  </si>
  <si>
    <t>5880b204-2d18-4431-b9fe-ccc9f0258fac</t>
  </si>
  <si>
    <t>834e822b-7b71-49e5-a8fa-7d7d9426fea3</t>
  </si>
  <si>
    <t>0d07c375-a871-441d-8cb1-06eb1eb82564</t>
  </si>
  <si>
    <t>a420b03e-f122-4143-91d9-38652c4e2fe6</t>
  </si>
  <si>
    <t>35ea80aa-e29a-47a4-8442-7c847b84a193</t>
  </si>
  <si>
    <t>2517f959-4e35-49c4-aa3d-8335a338cb35</t>
  </si>
  <si>
    <t>3ced7b20-6e47-4612-8c98-a249ba614525</t>
  </si>
  <si>
    <t>e7f806ba-da45-4f97-b6ae-0989646b44e1</t>
  </si>
  <si>
    <t>05bea0d1-47b9-4c1e-955d-da458b6259db</t>
  </si>
  <si>
    <t>908aa777-6a1b-4a5f-884c-5a9954492563</t>
  </si>
  <si>
    <t>69d22a84-cef5-4c65-af28-bf7c9b1312b8</t>
  </si>
  <si>
    <t>d1f9ead8-2edf-4faa-9a08-2f1eb147eb8a</t>
  </si>
  <si>
    <t>5dd34087-5d57-4571-af93-f942604bf163</t>
  </si>
  <si>
    <t>d13b48d7-fc62-44ce-a6bf-29ea0f53e01c</t>
  </si>
  <si>
    <t>2592937f-b1aa-42d3-b15f-cc14ab4a0b2c</t>
  </si>
  <si>
    <t>db988ba1-e870-47d3-b3d7-c22de0c3739c</t>
  </si>
  <si>
    <t>fc5eff36-493e-40c0-a7a0-dcf4fba26d88</t>
  </si>
  <si>
    <t>141eb755-0b79-4e85-894f-3efb9004f1e4</t>
  </si>
  <si>
    <t>079dce28-6c1f-4dbb-962a-9eea5b33c0c7</t>
  </si>
  <si>
    <t>bc10c8d5-72c9-47d0-bb50-556ee2f31f9b</t>
  </si>
  <si>
    <t>a5e38f3d-3bd4-4dd1-8eeb-b49dc2aca4c6</t>
  </si>
  <si>
    <t>7a982956-a1df-4131-8e94-163766a44740</t>
  </si>
  <si>
    <t>64bb2951-ee28-4c8e-9803-8897df2763b8</t>
  </si>
  <si>
    <t>5085a6f6-5aa0-4541-8f8d-0b559a3fb333</t>
  </si>
  <si>
    <t>8dab00a1-d9c7-42bf-9036-3ed44d96fed1</t>
  </si>
  <si>
    <t>d4bdc0d2-8510-4ad0-b020-cee8b2986586</t>
  </si>
  <si>
    <t>a22915da-d8f5-46d4-82d9-17ff230dfaab</t>
  </si>
  <si>
    <t>71f9a0bd-3e4f-4643-90a4-9977347077db</t>
  </si>
  <si>
    <t>06701ebf-ca85-495e-bb9a-72143274bc32</t>
  </si>
  <si>
    <t>8744e33b-fd79-4258-b98e-5bc7d278d032</t>
  </si>
  <si>
    <t>7eec6b45-c350-400f-80de-815486ae22ae</t>
  </si>
  <si>
    <t>73982cab-2415-4d55-8cce-a091c14c549b</t>
  </si>
  <si>
    <t>bfe83bcc-8c5a-424e-a713-2ab9c228f741</t>
  </si>
  <si>
    <t>c642044f-a374-4f4f-8b60-fcd9d0b1fa6a</t>
  </si>
  <si>
    <t>04b9e7a6-d456-4d8c-a2e5-6ca539f9d173</t>
  </si>
  <si>
    <t>1af7e56b-70c6-4a7f-ac76-fc38ba0e9eb9</t>
  </si>
  <si>
    <t>73bf4c58-15ea-4744-8e05-7932f6ec743e</t>
  </si>
  <si>
    <t>3048848f-f4e1-4c0a-8533-cee4f605f286</t>
  </si>
  <si>
    <t>8865dfd4-ded7-4ce5-92e5-573897ff9ee4</t>
  </si>
  <si>
    <t>96490e3e-3591-43cb-8031-52b0de9476cf</t>
  </si>
  <si>
    <t>96cc158c-5241-49c1-90a3-1d7d23de18dc</t>
  </si>
  <si>
    <t>94a1ce2a-340e-475b-adbc-47622238ed87</t>
  </si>
  <si>
    <t>07d40dfd-85ac-420c-bce9-3d616e318d37</t>
  </si>
  <si>
    <t>26d78095-2081-460d-bf4d-6ebb86b1b2f5</t>
  </si>
  <si>
    <t>6167c737-c597-469a-b00a-4240c0933baf</t>
  </si>
  <si>
    <t>941fbe2d-9b23-4f37-af7c-125de8526655</t>
  </si>
  <si>
    <t>a9a354c8-82f8-41d6-ac25-7c56fce5da2d</t>
  </si>
  <si>
    <t>ab0f9583-6fcd-4aa3-bb02-a344917ff155</t>
  </si>
  <si>
    <t>ef947e8e-4d45-49a0-9cdd-15dc063abf16</t>
  </si>
  <si>
    <t>5983f215-5226-4708-b8a6-771fa40b703f</t>
  </si>
  <si>
    <t>29d459a6-d882-40cf-bf7b-43c84e4b2635</t>
  </si>
  <si>
    <t>69eecfe1-42fe-48a4-8244-b4ff834b96ec</t>
  </si>
  <si>
    <t>568ed5e4-37c4-47e8-aae4-d560bc2f028b</t>
  </si>
  <si>
    <t>8aa3d4b5-b3c4-42f7-ac58-55b20e59df28</t>
  </si>
  <si>
    <t>bc86ddb3-8b5a-40ae-bf75-2828324054d8</t>
  </si>
  <si>
    <t>45550f04-bb01-4ede-a8aa-abad393bd362</t>
  </si>
  <si>
    <t>d3d292aa-4ad2-4624-b071-436b66727979</t>
  </si>
  <si>
    <t>953693c4-21f3-49cd-aef9-e6d6a27da048</t>
  </si>
  <si>
    <t>03d686f1-bec6-4419-84c0-d541592a25dc</t>
  </si>
  <si>
    <t>422ff9f9-1a1b-428f-bb0a-b71be923ea5e</t>
  </si>
  <si>
    <t>91aab98a-dc5d-444b-999e-c22aff991d43</t>
  </si>
  <si>
    <t>36fa9d24-86c3-4280-824f-f2c412f573df</t>
  </si>
  <si>
    <t>d78ffc35-4e88-4010-9cf4-173773d167ff</t>
  </si>
  <si>
    <t>0ab9cf65-3c71-4d29-8687-27d7ab1c83cc</t>
  </si>
  <si>
    <t>c6745fb7-fb1b-4149-ba02-f3a7696f7c4f</t>
  </si>
  <si>
    <t>d152c7d0-9693-47fa-8abd-ebb50906787f</t>
  </si>
  <si>
    <t>cac1cee3-e818-464b-b328-9ddcec563ac8</t>
  </si>
  <si>
    <t>111ea60b-92ad-49a5-b355-46304e041e1d</t>
  </si>
  <si>
    <t>d7716b57-f294-4991-b4f5-47382da296f2</t>
  </si>
  <si>
    <t>f8c2d31c-a737-44eb-88aa-5aebe325ca31</t>
  </si>
  <si>
    <t>27eaffca-c590-4063-beb5-1cb69415687c</t>
  </si>
  <si>
    <t>b77dc351-533e-4b87-8861-bc8ba6bfed38</t>
  </si>
  <si>
    <t>6e2bb3bc-ba36-4887-baad-3ba86d4e6b54</t>
  </si>
  <si>
    <t>57a316af-b126-4ec8-a507-a51cd23c9ebc</t>
  </si>
  <si>
    <t>813174b9-0150-43e4-bd9d-821978108886</t>
  </si>
  <si>
    <t>c372749e-6e30-4af5-992d-094c52b1cf27</t>
  </si>
  <si>
    <t>5ae278fa-1493-47fb-b460-cb3ea1d1f67a</t>
  </si>
  <si>
    <t>813b948a-81b0-4941-9315-ce79b4121c44</t>
  </si>
  <si>
    <t>5ec45e34-72c2-4171-bb78-7244887696a8</t>
  </si>
  <si>
    <t>8232dc41-5a53-4bb5-88da-b1eb1c571080</t>
  </si>
  <si>
    <t>6c4c1f0d-6641-4792-a09c-c0e65c7f22ef</t>
  </si>
  <si>
    <t>9494743a-f9f8-41fb-8062-d415bb052109</t>
  </si>
  <si>
    <t>1fcf28bc-d0a2-44a2-a8b6-e6a3e9bff187</t>
  </si>
  <si>
    <t>953e18dc-907d-4a0b-bc10-5d4483103575</t>
  </si>
  <si>
    <t>793ee02c-0fa9-4d92-b46e-8b4fe70a5704</t>
  </si>
  <si>
    <t>49e83dea-a165-4532-a323-e26d81a39889</t>
  </si>
  <si>
    <t>5bcd94a6-3dfd-41c5-b965-4fd18eb87f23</t>
  </si>
  <si>
    <t>1f9ca9da-42cf-4729-bc7b-241e46008db9</t>
  </si>
  <si>
    <t>c646c269-8501-4a7e-9c82-fb025d55ff3b</t>
  </si>
  <si>
    <t>fcf23205-ff0f-4b6f-8a2b-9eeedfb2e958</t>
  </si>
  <si>
    <t>aeec7fe7-f367-443b-bc64-14921b3cb13e</t>
  </si>
  <si>
    <t>e8ecdd33-3af2-4268-998b-270d26945e41</t>
  </si>
  <si>
    <t>bb5b68e5-4ab4-4ad9-a185-bcf985c67984</t>
  </si>
  <si>
    <t>a6cf5719-dcfe-4dba-bd1f-129395b68e3b</t>
  </si>
  <si>
    <t>9aa66804-19d1-4d41-b09e-678e14d33ee3</t>
  </si>
  <si>
    <t>e45a94e7-e566-4aa3-9a45-4d5c53516c1c</t>
  </si>
  <si>
    <t>0cc309f0-7908-41ff-8cb4-205185dded05</t>
  </si>
  <si>
    <t>27cd7873-fb89-47f0-82c6-d81b6eaa2ae9</t>
  </si>
  <si>
    <t>fc4943cd-9e65-47fe-bf4a-eb53b2cd6175</t>
  </si>
  <si>
    <t>ec74a126-c779-408d-9c19-c89fc229dbcd</t>
  </si>
  <si>
    <t>0dc1c46f-4e93-484f-872d-445df830b71b</t>
  </si>
  <si>
    <t>d4e67fb7-23c6-42d2-9ab4-37f603386405</t>
  </si>
  <si>
    <t>6436378e-b03f-4901-9876-b1a45e989031</t>
  </si>
  <si>
    <t>d332dbcf-45ec-4bf5-82ef-a6e371c9bdf0</t>
  </si>
  <si>
    <t>5d43a619-3ace-4dcf-b0f8-daa1c84ad552</t>
  </si>
  <si>
    <t>53e73d11-6635-4137-a219-44ca2049443a</t>
  </si>
  <si>
    <t>d91bdbb3-1b9f-40d4-911e-5863d54cd830</t>
  </si>
  <si>
    <t>573870e0-2e27-4689-ad98-4be3d1dd50fc</t>
  </si>
  <si>
    <t>49f40887-ff31-40a2-ba18-8a63a6baaa4b</t>
  </si>
  <si>
    <t>22707f9e-968d-4cc5-a431-63406b836552</t>
  </si>
  <si>
    <t>c21bfaab-b7c1-432c-b64d-d715a6fbb68f</t>
  </si>
  <si>
    <t>46c823d3-6e58-4523-89c5-ec550f3be8be</t>
  </si>
  <si>
    <t>b4c27332-467c-4a49-bcb4-f6c888b8e1af</t>
  </si>
  <si>
    <t>e80728ec-f9c6-4210-82ef-22052a46e9d8</t>
  </si>
  <si>
    <t>b15dc563-b3fe-4aa1-8a99-34563f33de30</t>
  </si>
  <si>
    <t>d7817dd1-a2d1-4df1-906c-48b59f533aae</t>
  </si>
  <si>
    <t>9aa65a13-0eab-406f-adf2-6d4ce959f640</t>
  </si>
  <si>
    <t>a4577afa-6095-4d12-bba6-e76c712faae8</t>
  </si>
  <si>
    <t>6232ce3e-667a-41af-994e-aa0630cd5e5a</t>
  </si>
  <si>
    <t>fc2edad2-51a7-448d-be86-a77b0620b2a5</t>
  </si>
  <si>
    <t>539814fe-5922-46f9-a5cb-2703b01fc5be</t>
  </si>
  <si>
    <t>b8867754-aa0b-4bca-b73a-dc6259b9eaea</t>
  </si>
  <si>
    <t>e779238c-ef05-4810-9eed-d280e623d967</t>
  </si>
  <si>
    <t>26b642fe-aeaf-4114-b8dd-5571c6975fa3</t>
  </si>
  <si>
    <t>f97a70f9-2a85-482d-9286-33b33980337f</t>
  </si>
  <si>
    <t>Basic</t>
  </si>
  <si>
    <t>Standard</t>
  </si>
  <si>
    <t>Premium</t>
  </si>
  <si>
    <t>UK</t>
  </si>
  <si>
    <t>France</t>
  </si>
  <si>
    <t>USA</t>
  </si>
  <si>
    <t>Canada</t>
  </si>
  <si>
    <t>Germany</t>
  </si>
  <si>
    <t>India</t>
  </si>
  <si>
    <t>Unknown</t>
  </si>
  <si>
    <t>Male</t>
  </si>
  <si>
    <t>Other</t>
  </si>
  <si>
    <t>Female</t>
  </si>
  <si>
    <t>Tablet</t>
  </si>
  <si>
    <t>Mobile</t>
  </si>
  <si>
    <t>Desktop</t>
  </si>
  <si>
    <t>2 Years</t>
  </si>
  <si>
    <t>1 Year</t>
  </si>
  <si>
    <t>6 Months</t>
  </si>
  <si>
    <t>1 Month</t>
  </si>
  <si>
    <t>Número de serie</t>
  </si>
  <si>
    <t>Tipo de suscripción</t>
  </si>
  <si>
    <t>Fecha ingreso</t>
  </si>
  <si>
    <t>Fecha último pago</t>
  </si>
  <si>
    <t>ID usuario</t>
  </si>
  <si>
    <t>País</t>
  </si>
  <si>
    <t>Edad</t>
  </si>
  <si>
    <t>Género</t>
  </si>
  <si>
    <t>Dispositivo</t>
  </si>
  <si>
    <t>Duración del plan</t>
  </si>
  <si>
    <t>Ingresos mensuales</t>
  </si>
  <si>
    <t>Usuarios</t>
  </si>
  <si>
    <t>Duplicados</t>
  </si>
  <si>
    <t>Duración del plan (Mes)</t>
  </si>
  <si>
    <t>Plan duración</t>
  </si>
  <si>
    <t>Meses contratados</t>
  </si>
  <si>
    <t>Ingresos totales</t>
  </si>
  <si>
    <t>Semana ingreso</t>
  </si>
  <si>
    <t>Cuenta de ID usuario</t>
  </si>
  <si>
    <t>Ventas</t>
  </si>
  <si>
    <t>Beneficios</t>
  </si>
  <si>
    <t>Suma de Ingresos mensuales</t>
  </si>
  <si>
    <t>Mes suscripción</t>
  </si>
  <si>
    <t>Año suscripción</t>
  </si>
  <si>
    <t>mayo</t>
  </si>
  <si>
    <t>Etiquetas de fila</t>
  </si>
  <si>
    <t>Total general</t>
  </si>
  <si>
    <t>2021</t>
  </si>
  <si>
    <t>2022</t>
  </si>
  <si>
    <t>2023</t>
  </si>
  <si>
    <t>2024</t>
  </si>
  <si>
    <t>jun</t>
  </si>
  <si>
    <t>abr</t>
  </si>
  <si>
    <t>may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</si>
  <si>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</si>
  <si>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</si>
  <si>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</si>
  <si>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</si>
  <si>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</si>
  <si>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</si>
  <si>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</si>
  <si>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</si>
  <si>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</si>
  <si>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lunes</t>
  </si>
  <si>
    <t>martes</t>
  </si>
  <si>
    <t>miércoles</t>
  </si>
  <si>
    <t>jueves</t>
  </si>
  <si>
    <t>viernes</t>
  </si>
  <si>
    <t>sábado</t>
  </si>
  <si>
    <t>domingo</t>
  </si>
  <si>
    <t>Día de la semana</t>
  </si>
  <si>
    <t>Fecha suscripción</t>
  </si>
  <si>
    <t>KPIs</t>
  </si>
  <si>
    <t>15-24</t>
  </si>
  <si>
    <t>25-34</t>
  </si>
  <si>
    <t>35-44</t>
  </si>
  <si>
    <t>45-54</t>
  </si>
  <si>
    <t>55-64</t>
  </si>
  <si>
    <t>65-74</t>
  </si>
  <si>
    <t>Anual</t>
  </si>
  <si>
    <t>Bienal</t>
  </si>
  <si>
    <t>Mensual</t>
  </si>
  <si>
    <t>Semestral</t>
  </si>
  <si>
    <t>Promedio de Edad</t>
  </si>
  <si>
    <t>Mín. de Edad</t>
  </si>
  <si>
    <t>Máx. de Edad</t>
  </si>
  <si>
    <t>Desvest de Edad</t>
  </si>
  <si>
    <t>Var de Edad</t>
  </si>
  <si>
    <t>Valores</t>
  </si>
  <si>
    <t>Valores nulos</t>
  </si>
  <si>
    <t>(Todas)</t>
  </si>
  <si>
    <t>Ventas último mes</t>
  </si>
  <si>
    <t>Ingresos último mes</t>
  </si>
  <si>
    <t>Suma de Ingresos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</si>
</sst>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" fontId="0" fillId="0" borderId="0" xfId="0" applyNumberFormat="1"/>
    <xf numFmtId="3" fontId="0" fillId="0" borderId="0" xfId="0" applyNumberFormat="1"/>
    <xf numFmtId="44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2" borderId="0" xfId="0" applyFont="1" applyFill="1"/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44" fontId="0" fillId="0" borderId="0" xfId="1" applyFont="1"/>
    <xf numFmtId="0" fontId="1" fillId="2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numFmt numFmtId="34" formatCode="_-* #,##0.00\ &quot;€&quot;_-;\-* #,##0.00\ &quot;€&quot;_-;_-* &quot;-&quot;??\ &quot;€&quot;_-;_-@_-"/>
    </dxf>
    <dxf>
      <numFmt numFmtId="3" formatCode="#,##0"/>
    </dxf>
    <dxf>
      <numFmt numFmtId="34" formatCode="_-* #,##0.00\ &quot;€&quot;_-;\-* #,##0.00\ &quot;€&quot;_-;_-* &quot;-&quot;??\ &quot;€&quot;_-;_-@_-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9" formatCode="dd/mm/yyyy"/>
    </dxf>
    <dxf>
      <numFmt numFmtId="19" formatCode="dd/mm/yyyy"/>
    </dxf>
    <dxf>
      <numFmt numFmtId="1" formatCode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microsoft.com/office/2007/relationships/slicerCache" Target="slicerCaches/slicerCache6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microsoft.com/office/2007/relationships/slicerCache" Target="slicerCaches/slicerCache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dinámicas!Tipo_Sub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dinámicas'!$D$13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203-4DF9-9F1A-FD27917843D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203-4DF9-9F1A-FD27917843D8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03-4DF9-9F1A-FD27917843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dinámicas'!$C$14:$C$17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'Tablas dinámicas'!$D$14:$D$17</c:f>
              <c:numCache>
                <c:formatCode>General</c:formatCode>
                <c:ptCount val="3"/>
                <c:pt idx="0">
                  <c:v>316</c:v>
                </c:pt>
                <c:pt idx="1">
                  <c:v>291</c:v>
                </c:pt>
                <c:pt idx="2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3-4DF9-9F1A-FD27917843D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dinámicas!Tipo_Sub_B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dinámicas'!$G$13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4-4284-8DB4-5515C30FED0A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6EF-408F-A8F5-8CD93CE1247E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4-4284-8DB4-5515C30FED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dinámicas'!$F$14:$F$17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'Tablas dinámicas'!$G$14:$G$17</c:f>
              <c:numCache>
                <c:formatCode>0</c:formatCode>
                <c:ptCount val="3"/>
                <c:pt idx="0">
                  <c:v>151805.38000000012</c:v>
                </c:pt>
                <c:pt idx="1">
                  <c:v>158729.04</c:v>
                </c:pt>
                <c:pt idx="2">
                  <c:v>164015.34000000003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4-4284-8DB4-5515C30FED0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dinámicas'!$D$25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'Tablas dinámicas'!$C$26:$C$67</c:f>
              <c:multiLvlStrCache>
                <c:ptCount val="37"/>
                <c:lvl>
                  <c:pt idx="0">
                    <c:v>jun</c:v>
                  </c:pt>
                  <c:pt idx="1">
                    <c:v>jul</c:v>
                  </c:pt>
                  <c:pt idx="2">
                    <c:v>ago</c:v>
                  </c:pt>
                  <c:pt idx="3">
                    <c:v>sep</c:v>
                  </c:pt>
                  <c:pt idx="4">
                    <c:v>oct</c:v>
                  </c:pt>
                  <c:pt idx="5">
                    <c:v>nov</c:v>
                  </c:pt>
                  <c:pt idx="6">
                    <c:v>dic</c:v>
                  </c:pt>
                  <c:pt idx="7">
                    <c:v>ene</c:v>
                  </c:pt>
                  <c:pt idx="8">
                    <c:v>feb</c:v>
                  </c:pt>
                  <c:pt idx="9">
                    <c:v>mar</c:v>
                  </c:pt>
                  <c:pt idx="10">
                    <c:v>abr</c:v>
                  </c:pt>
                  <c:pt idx="11">
                    <c:v>may</c:v>
                  </c:pt>
                  <c:pt idx="12">
                    <c:v>jun</c:v>
                  </c:pt>
                  <c:pt idx="13">
                    <c:v>jul</c:v>
                  </c:pt>
                  <c:pt idx="14">
                    <c:v>ago</c:v>
                  </c:pt>
                  <c:pt idx="15">
                    <c:v>sep</c:v>
                  </c:pt>
                  <c:pt idx="16">
                    <c:v>oct</c:v>
                  </c:pt>
                  <c:pt idx="17">
                    <c:v>nov</c:v>
                  </c:pt>
                  <c:pt idx="18">
                    <c:v>dic</c:v>
                  </c:pt>
                  <c:pt idx="19">
                    <c:v>ene</c:v>
                  </c:pt>
                  <c:pt idx="20">
                    <c:v>feb</c:v>
                  </c:pt>
                  <c:pt idx="21">
                    <c:v>mar</c:v>
                  </c:pt>
                  <c:pt idx="22">
                    <c:v>abr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ago</c:v>
                  </c:pt>
                  <c:pt idx="27">
                    <c:v>sep</c:v>
                  </c:pt>
                  <c:pt idx="28">
                    <c:v>oct</c:v>
                  </c:pt>
                  <c:pt idx="29">
                    <c:v>nov</c:v>
                  </c:pt>
                  <c:pt idx="30">
                    <c:v>dic</c:v>
                  </c:pt>
                  <c:pt idx="31">
                    <c:v>ene</c:v>
                  </c:pt>
                  <c:pt idx="32">
                    <c:v>feb</c:v>
                  </c:pt>
                  <c:pt idx="33">
                    <c:v>mar</c:v>
                  </c:pt>
                  <c:pt idx="34">
                    <c:v>abr</c:v>
                  </c:pt>
                  <c:pt idx="35">
                    <c:v>may</c:v>
                  </c:pt>
                  <c:pt idx="36">
                    <c:v>jun</c:v>
                  </c:pt>
                </c:lvl>
                <c:lvl>
                  <c:pt idx="0">
                    <c:v>2021</c:v>
                  </c:pt>
                  <c:pt idx="7">
                    <c:v>2022</c:v>
                  </c:pt>
                  <c:pt idx="19">
                    <c:v>2023</c:v>
                  </c:pt>
                  <c:pt idx="31">
                    <c:v>2024</c:v>
                  </c:pt>
                </c:lvl>
              </c:multiLvlStrCache>
            </c:multiLvlStrRef>
          </c:cat>
          <c:val>
            <c:numRef>
              <c:f>'Tablas dinámicas'!$D$26:$D$67</c:f>
              <c:numCache>
                <c:formatCode>General</c:formatCode>
                <c:ptCount val="37"/>
                <c:pt idx="0">
                  <c:v>12</c:v>
                </c:pt>
                <c:pt idx="1">
                  <c:v>23</c:v>
                </c:pt>
                <c:pt idx="2">
                  <c:v>39</c:v>
                </c:pt>
                <c:pt idx="3">
                  <c:v>27</c:v>
                </c:pt>
                <c:pt idx="4">
                  <c:v>32</c:v>
                </c:pt>
                <c:pt idx="5">
                  <c:v>18</c:v>
                </c:pt>
                <c:pt idx="6">
                  <c:v>29</c:v>
                </c:pt>
                <c:pt idx="7">
                  <c:v>26</c:v>
                </c:pt>
                <c:pt idx="8">
                  <c:v>17</c:v>
                </c:pt>
                <c:pt idx="9">
                  <c:v>23</c:v>
                </c:pt>
                <c:pt idx="10">
                  <c:v>25</c:v>
                </c:pt>
                <c:pt idx="11">
                  <c:v>34</c:v>
                </c:pt>
                <c:pt idx="12">
                  <c:v>26</c:v>
                </c:pt>
                <c:pt idx="13">
                  <c:v>19</c:v>
                </c:pt>
                <c:pt idx="14">
                  <c:v>28</c:v>
                </c:pt>
                <c:pt idx="15">
                  <c:v>29</c:v>
                </c:pt>
                <c:pt idx="16">
                  <c:v>21</c:v>
                </c:pt>
                <c:pt idx="17">
                  <c:v>27</c:v>
                </c:pt>
                <c:pt idx="18">
                  <c:v>30</c:v>
                </c:pt>
                <c:pt idx="19">
                  <c:v>15</c:v>
                </c:pt>
                <c:pt idx="20">
                  <c:v>26</c:v>
                </c:pt>
                <c:pt idx="21">
                  <c:v>20</c:v>
                </c:pt>
                <c:pt idx="22">
                  <c:v>30</c:v>
                </c:pt>
                <c:pt idx="23">
                  <c:v>28</c:v>
                </c:pt>
                <c:pt idx="24">
                  <c:v>27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23</c:v>
                </c:pt>
                <c:pt idx="29">
                  <c:v>27</c:v>
                </c:pt>
                <c:pt idx="30">
                  <c:v>28</c:v>
                </c:pt>
                <c:pt idx="31">
                  <c:v>27</c:v>
                </c:pt>
                <c:pt idx="32">
                  <c:v>24</c:v>
                </c:pt>
                <c:pt idx="33">
                  <c:v>23</c:v>
                </c:pt>
                <c:pt idx="34">
                  <c:v>29</c:v>
                </c:pt>
                <c:pt idx="35">
                  <c:v>18</c:v>
                </c:pt>
                <c:pt idx="3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DA-4F51-A60A-B92679726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321416"/>
        <c:axId val="586322856"/>
      </c:lineChart>
      <c:catAx>
        <c:axId val="586321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6322856"/>
        <c:crosses val="autoZero"/>
        <c:auto val="1"/>
        <c:lblAlgn val="ctr"/>
        <c:lblOffset val="100"/>
        <c:noMultiLvlLbl val="0"/>
      </c:catAx>
      <c:valAx>
        <c:axId val="58632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6321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dinámicas'!$G$25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'Tablas dinámicas'!$F$26:$F$67</c:f>
              <c:multiLvlStrCache>
                <c:ptCount val="37"/>
                <c:lvl>
                  <c:pt idx="0">
                    <c:v>jun</c:v>
                  </c:pt>
                  <c:pt idx="1">
                    <c:v>jul</c:v>
                  </c:pt>
                  <c:pt idx="2">
                    <c:v>ago</c:v>
                  </c:pt>
                  <c:pt idx="3">
                    <c:v>sep</c:v>
                  </c:pt>
                  <c:pt idx="4">
                    <c:v>oct</c:v>
                  </c:pt>
                  <c:pt idx="5">
                    <c:v>nov</c:v>
                  </c:pt>
                  <c:pt idx="6">
                    <c:v>dic</c:v>
                  </c:pt>
                  <c:pt idx="7">
                    <c:v>ene</c:v>
                  </c:pt>
                  <c:pt idx="8">
                    <c:v>feb</c:v>
                  </c:pt>
                  <c:pt idx="9">
                    <c:v>mar</c:v>
                  </c:pt>
                  <c:pt idx="10">
                    <c:v>abr</c:v>
                  </c:pt>
                  <c:pt idx="11">
                    <c:v>may</c:v>
                  </c:pt>
                  <c:pt idx="12">
                    <c:v>jun</c:v>
                  </c:pt>
                  <c:pt idx="13">
                    <c:v>jul</c:v>
                  </c:pt>
                  <c:pt idx="14">
                    <c:v>ago</c:v>
                  </c:pt>
                  <c:pt idx="15">
                    <c:v>sep</c:v>
                  </c:pt>
                  <c:pt idx="16">
                    <c:v>oct</c:v>
                  </c:pt>
                  <c:pt idx="17">
                    <c:v>nov</c:v>
                  </c:pt>
                  <c:pt idx="18">
                    <c:v>dic</c:v>
                  </c:pt>
                  <c:pt idx="19">
                    <c:v>ene</c:v>
                  </c:pt>
                  <c:pt idx="20">
                    <c:v>feb</c:v>
                  </c:pt>
                  <c:pt idx="21">
                    <c:v>mar</c:v>
                  </c:pt>
                  <c:pt idx="22">
                    <c:v>abr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ago</c:v>
                  </c:pt>
                  <c:pt idx="27">
                    <c:v>sep</c:v>
                  </c:pt>
                  <c:pt idx="28">
                    <c:v>oct</c:v>
                  </c:pt>
                  <c:pt idx="29">
                    <c:v>nov</c:v>
                  </c:pt>
                  <c:pt idx="30">
                    <c:v>dic</c:v>
                  </c:pt>
                  <c:pt idx="31">
                    <c:v>ene</c:v>
                  </c:pt>
                  <c:pt idx="32">
                    <c:v>feb</c:v>
                  </c:pt>
                  <c:pt idx="33">
                    <c:v>mar</c:v>
                  </c:pt>
                  <c:pt idx="34">
                    <c:v>abr</c:v>
                  </c:pt>
                  <c:pt idx="35">
                    <c:v>may</c:v>
                  </c:pt>
                  <c:pt idx="36">
                    <c:v>jun</c:v>
                  </c:pt>
                </c:lvl>
                <c:lvl>
                  <c:pt idx="0">
                    <c:v>2021</c:v>
                  </c:pt>
                  <c:pt idx="7">
                    <c:v>2022</c:v>
                  </c:pt>
                  <c:pt idx="19">
                    <c:v>2023</c:v>
                  </c:pt>
                  <c:pt idx="31">
                    <c:v>2024</c:v>
                  </c:pt>
                </c:lvl>
              </c:multiLvlStrCache>
            </c:multiLvlStrRef>
          </c:cat>
          <c:val>
            <c:numRef>
              <c:f>'Tablas dinámicas'!$G$26:$G$67</c:f>
              <c:numCache>
                <c:formatCode>0</c:formatCode>
                <c:ptCount val="37"/>
                <c:pt idx="0">
                  <c:v>12878.240000000002</c:v>
                </c:pt>
                <c:pt idx="1">
                  <c:v>18265.8</c:v>
                </c:pt>
                <c:pt idx="2">
                  <c:v>33320.439999999995</c:v>
                </c:pt>
                <c:pt idx="3">
                  <c:v>27231.08</c:v>
                </c:pt>
                <c:pt idx="4">
                  <c:v>25746.45</c:v>
                </c:pt>
                <c:pt idx="5">
                  <c:v>13126.889999999998</c:v>
                </c:pt>
                <c:pt idx="6">
                  <c:v>23196.109999999993</c:v>
                </c:pt>
                <c:pt idx="7">
                  <c:v>16609.98</c:v>
                </c:pt>
                <c:pt idx="8">
                  <c:v>14219.740000000002</c:v>
                </c:pt>
                <c:pt idx="9">
                  <c:v>17701.41</c:v>
                </c:pt>
                <c:pt idx="10">
                  <c:v>26653.549999999996</c:v>
                </c:pt>
                <c:pt idx="11">
                  <c:v>22658.07</c:v>
                </c:pt>
                <c:pt idx="12">
                  <c:v>17874.14</c:v>
                </c:pt>
                <c:pt idx="13">
                  <c:v>15258.119999999997</c:v>
                </c:pt>
                <c:pt idx="14">
                  <c:v>19018.37</c:v>
                </c:pt>
                <c:pt idx="15">
                  <c:v>16445.22</c:v>
                </c:pt>
                <c:pt idx="16">
                  <c:v>8780.94</c:v>
                </c:pt>
                <c:pt idx="17">
                  <c:v>14795.810000000001</c:v>
                </c:pt>
                <c:pt idx="18">
                  <c:v>18576.43</c:v>
                </c:pt>
                <c:pt idx="19">
                  <c:v>7976.67</c:v>
                </c:pt>
                <c:pt idx="20">
                  <c:v>11594.360000000002</c:v>
                </c:pt>
                <c:pt idx="21">
                  <c:v>11565.19</c:v>
                </c:pt>
                <c:pt idx="22">
                  <c:v>13232.529999999999</c:v>
                </c:pt>
                <c:pt idx="23">
                  <c:v>11000.260000000002</c:v>
                </c:pt>
                <c:pt idx="24">
                  <c:v>8898.1400000000031</c:v>
                </c:pt>
                <c:pt idx="25">
                  <c:v>4965.7500000000009</c:v>
                </c:pt>
                <c:pt idx="26">
                  <c:v>6931.27</c:v>
                </c:pt>
                <c:pt idx="27">
                  <c:v>5608.92</c:v>
                </c:pt>
                <c:pt idx="28">
                  <c:v>5476.9000000000005</c:v>
                </c:pt>
                <c:pt idx="29">
                  <c:v>5353.24</c:v>
                </c:pt>
                <c:pt idx="30">
                  <c:v>5358.829999999999</c:v>
                </c:pt>
                <c:pt idx="31">
                  <c:v>4129.0000000000009</c:v>
                </c:pt>
                <c:pt idx="32">
                  <c:v>3332.9999999999995</c:v>
                </c:pt>
                <c:pt idx="33">
                  <c:v>2469.4200000000005</c:v>
                </c:pt>
                <c:pt idx="34">
                  <c:v>2461.420000000001</c:v>
                </c:pt>
                <c:pt idx="35">
                  <c:v>1174.83</c:v>
                </c:pt>
                <c:pt idx="36">
                  <c:v>663.2399999999999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D-4E9B-8D4A-7AC1C5085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319976"/>
        <c:axId val="586320336"/>
      </c:lineChart>
      <c:catAx>
        <c:axId val="586319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6320336"/>
        <c:crosses val="autoZero"/>
        <c:auto val="1"/>
        <c:lblAlgn val="ctr"/>
        <c:lblOffset val="100"/>
        <c:noMultiLvlLbl val="0"/>
      </c:catAx>
      <c:valAx>
        <c:axId val="58632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6319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dinámicas'!$D$73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dinámicas'!$C$74:$C$81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'Tablas dinámicas'!$D$74:$D$81</c:f>
              <c:numCache>
                <c:formatCode>General</c:formatCode>
                <c:ptCount val="7"/>
                <c:pt idx="0">
                  <c:v>132</c:v>
                </c:pt>
                <c:pt idx="1">
                  <c:v>125</c:v>
                </c:pt>
                <c:pt idx="2">
                  <c:v>126</c:v>
                </c:pt>
                <c:pt idx="3">
                  <c:v>131</c:v>
                </c:pt>
                <c:pt idx="4">
                  <c:v>128</c:v>
                </c:pt>
                <c:pt idx="5">
                  <c:v>140</c:v>
                </c:pt>
                <c:pt idx="6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F-44BF-B06F-68123927C3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240704"/>
        <c:axId val="134238184"/>
      </c:barChart>
      <c:catAx>
        <c:axId val="13424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238184"/>
        <c:crosses val="autoZero"/>
        <c:auto val="1"/>
        <c:lblAlgn val="ctr"/>
        <c:lblOffset val="100"/>
        <c:noMultiLvlLbl val="0"/>
      </c:catAx>
      <c:valAx>
        <c:axId val="13423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24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dinámicas!TablaDinámica4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dinámicas'!$G$73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dinámicas'!$F$74:$F$81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'Tablas dinámicas'!$G$74:$G$81</c:f>
              <c:numCache>
                <c:formatCode>0</c:formatCode>
                <c:ptCount val="7"/>
                <c:pt idx="0">
                  <c:v>81678.679999999935</c:v>
                </c:pt>
                <c:pt idx="1">
                  <c:v>60641.599999999991</c:v>
                </c:pt>
                <c:pt idx="2">
                  <c:v>70933.819999999992</c:v>
                </c:pt>
                <c:pt idx="3">
                  <c:v>57879.479999999981</c:v>
                </c:pt>
                <c:pt idx="4">
                  <c:v>61588.240000000005</c:v>
                </c:pt>
                <c:pt idx="5">
                  <c:v>68329.649999999994</c:v>
                </c:pt>
                <c:pt idx="6">
                  <c:v>73498.289999999979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F-4DEE-932A-6141D98B36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7708824"/>
        <c:axId val="1087709544"/>
      </c:barChart>
      <c:catAx>
        <c:axId val="108770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7709544"/>
        <c:crosses val="autoZero"/>
        <c:auto val="1"/>
        <c:lblAlgn val="ctr"/>
        <c:lblOffset val="100"/>
        <c:noMultiLvlLbl val="0"/>
      </c:catAx>
      <c:valAx>
        <c:axId val="108770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7708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dinámicas!TablaDinámica5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dinámicas'!$D$89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dinámicas'!$C$90:$C$97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UK</c:v>
                </c:pt>
                <c:pt idx="5">
                  <c:v>Unknown</c:v>
                </c:pt>
                <c:pt idx="6">
                  <c:v>USA</c:v>
                </c:pt>
              </c:strCache>
            </c:strRef>
          </c:cat>
          <c:val>
            <c:numRef>
              <c:f>'Tablas dinámicas'!$D$90:$D$97</c:f>
              <c:numCache>
                <c:formatCode>General</c:formatCode>
                <c:ptCount val="7"/>
                <c:pt idx="0">
                  <c:v>135</c:v>
                </c:pt>
                <c:pt idx="1">
                  <c:v>140</c:v>
                </c:pt>
                <c:pt idx="2">
                  <c:v>155</c:v>
                </c:pt>
                <c:pt idx="3">
                  <c:v>144</c:v>
                </c:pt>
                <c:pt idx="4">
                  <c:v>140</c:v>
                </c:pt>
                <c:pt idx="5">
                  <c:v>18</c:v>
                </c:pt>
                <c:pt idx="6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D-4CC7-A3DD-258E09B57E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10093120"/>
        <c:axId val="1310093840"/>
      </c:barChart>
      <c:catAx>
        <c:axId val="131009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10093840"/>
        <c:crosses val="autoZero"/>
        <c:auto val="1"/>
        <c:lblAlgn val="ctr"/>
        <c:lblOffset val="100"/>
        <c:noMultiLvlLbl val="0"/>
      </c:catAx>
      <c:valAx>
        <c:axId val="13100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1009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dinámicas!TablaDinámica6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dinámicas'!$G$89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dinámicas'!$F$90:$F$97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UK</c:v>
                </c:pt>
                <c:pt idx="5">
                  <c:v>Unknown</c:v>
                </c:pt>
                <c:pt idx="6">
                  <c:v>USA</c:v>
                </c:pt>
              </c:strCache>
            </c:strRef>
          </c:cat>
          <c:val>
            <c:numRef>
              <c:f>'Tablas dinámicas'!$G$90:$G$97</c:f>
              <c:numCache>
                <c:formatCode>0</c:formatCode>
                <c:ptCount val="7"/>
                <c:pt idx="0">
                  <c:v>76952.320000000022</c:v>
                </c:pt>
                <c:pt idx="1">
                  <c:v>73470.09</c:v>
                </c:pt>
                <c:pt idx="2">
                  <c:v>78741.37</c:v>
                </c:pt>
                <c:pt idx="3">
                  <c:v>65920.62000000001</c:v>
                </c:pt>
                <c:pt idx="4">
                  <c:v>79151.709999999948</c:v>
                </c:pt>
                <c:pt idx="5">
                  <c:v>10840.369999999999</c:v>
                </c:pt>
                <c:pt idx="6">
                  <c:v>89473.279999999941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8-4102-8920-4A06ED250D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0058776"/>
        <c:axId val="705700928"/>
      </c:barChart>
      <c:catAx>
        <c:axId val="1220058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5700928"/>
        <c:crosses val="autoZero"/>
        <c:auto val="1"/>
        <c:lblAlgn val="ctr"/>
        <c:lblOffset val="100"/>
        <c:noMultiLvlLbl val="0"/>
      </c:catAx>
      <c:valAx>
        <c:axId val="70570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0058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dinámicas!TablaDinámica7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dinámicas'!$D$106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dinámicas'!$C$107:$C$113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'Tablas dinámicas'!$D$107:$D$113</c:f>
              <c:numCache>
                <c:formatCode>General</c:formatCode>
                <c:ptCount val="6"/>
                <c:pt idx="0">
                  <c:v>132</c:v>
                </c:pt>
                <c:pt idx="1">
                  <c:v>147</c:v>
                </c:pt>
                <c:pt idx="2">
                  <c:v>170</c:v>
                </c:pt>
                <c:pt idx="3">
                  <c:v>163</c:v>
                </c:pt>
                <c:pt idx="4">
                  <c:v>199</c:v>
                </c:pt>
                <c:pt idx="5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1-4983-881A-912170B9AB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48816888"/>
        <c:axId val="1548817248"/>
      </c:barChart>
      <c:catAx>
        <c:axId val="1548816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8817248"/>
        <c:crosses val="autoZero"/>
        <c:auto val="1"/>
        <c:lblAlgn val="ctr"/>
        <c:lblOffset val="100"/>
        <c:noMultiLvlLbl val="0"/>
      </c:catAx>
      <c:valAx>
        <c:axId val="15488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8816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dinámicas!TablaDinámica8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dinámicas'!$G$106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dinámicas'!$F$107:$F$113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'Tablas dinámicas'!$G$107:$G$113</c:f>
              <c:numCache>
                <c:formatCode>0</c:formatCode>
                <c:ptCount val="6"/>
                <c:pt idx="0">
                  <c:v>73537.709999999977</c:v>
                </c:pt>
                <c:pt idx="1">
                  <c:v>90531.76999999999</c:v>
                </c:pt>
                <c:pt idx="2">
                  <c:v>83155.899999999951</c:v>
                </c:pt>
                <c:pt idx="3">
                  <c:v>78169.2</c:v>
                </c:pt>
                <c:pt idx="4">
                  <c:v>98994.650000000023</c:v>
                </c:pt>
                <c:pt idx="5">
                  <c:v>50160.529999999992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7-45F9-AE07-2748E1F4B8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48819768"/>
        <c:axId val="1547665472"/>
      </c:barChart>
      <c:catAx>
        <c:axId val="1548819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7665472"/>
        <c:crosses val="autoZero"/>
        <c:auto val="1"/>
        <c:lblAlgn val="ctr"/>
        <c:lblOffset val="100"/>
        <c:noMultiLvlLbl val="0"/>
      </c:catAx>
      <c:valAx>
        <c:axId val="154766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8819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dinámicas!TablaDinámica9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dinámicas'!$D$123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65-436E-A7FA-48E065B21DFE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65-436E-A7FA-48E065B21DFE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265-436E-A7FA-48E065B21D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dinámicas'!$C$124:$C$127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'Tablas dinámicas'!$D$124:$D$127</c:f>
              <c:numCache>
                <c:formatCode>General</c:formatCode>
                <c:ptCount val="3"/>
                <c:pt idx="0">
                  <c:v>293</c:v>
                </c:pt>
                <c:pt idx="1">
                  <c:v>318</c:v>
                </c:pt>
                <c:pt idx="2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2-4CC6-9D1D-2A7109B2CD2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dinámicas!TablaDinámica10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dinámicas'!$G$123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D0-4FAD-99F2-88C3CE31D38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D0-4FAD-99F2-88C3CE31D38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D0-4FAD-99F2-88C3CE31D3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dinámicas'!$F$124:$F$127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'Tablas dinámicas'!$G$124:$G$127</c:f>
              <c:numCache>
                <c:formatCode>0</c:formatCode>
                <c:ptCount val="3"/>
                <c:pt idx="0">
                  <c:v>158791.90000000014</c:v>
                </c:pt>
                <c:pt idx="1">
                  <c:v>178402.56</c:v>
                </c:pt>
                <c:pt idx="2">
                  <c:v>137355.30000000005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79-463F-9620-DA4A6025931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dinámicas!TablaDinámica11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dinámicas'!$D$140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dinámicas'!$C$141:$C$144</c:f>
              <c:strCache>
                <c:ptCount val="3"/>
                <c:pt idx="0">
                  <c:v>Desktop</c:v>
                </c:pt>
                <c:pt idx="1">
                  <c:v>Mobile</c:v>
                </c:pt>
                <c:pt idx="2">
                  <c:v>Tablet</c:v>
                </c:pt>
              </c:strCache>
            </c:strRef>
          </c:cat>
          <c:val>
            <c:numRef>
              <c:f>'Tablas dinámicas'!$D$141:$D$144</c:f>
              <c:numCache>
                <c:formatCode>General</c:formatCode>
                <c:ptCount val="3"/>
                <c:pt idx="0">
                  <c:v>261</c:v>
                </c:pt>
                <c:pt idx="1">
                  <c:v>315</c:v>
                </c:pt>
                <c:pt idx="2">
                  <c:v>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5-466E-A37E-5DDBA87F2B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4475528"/>
        <c:axId val="324476608"/>
      </c:barChart>
      <c:catAx>
        <c:axId val="324475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4476608"/>
        <c:crosses val="autoZero"/>
        <c:auto val="1"/>
        <c:lblAlgn val="ctr"/>
        <c:lblOffset val="100"/>
        <c:noMultiLvlLbl val="0"/>
      </c:catAx>
      <c:valAx>
        <c:axId val="324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4475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dinámicas!TablaDinámica12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dinámicas'!$G$140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dinámicas'!$F$141:$F$144</c:f>
              <c:strCache>
                <c:ptCount val="3"/>
                <c:pt idx="0">
                  <c:v>Desktop</c:v>
                </c:pt>
                <c:pt idx="1">
                  <c:v>Mobile</c:v>
                </c:pt>
                <c:pt idx="2">
                  <c:v>Tablet</c:v>
                </c:pt>
              </c:strCache>
            </c:strRef>
          </c:cat>
          <c:val>
            <c:numRef>
              <c:f>'Tablas dinámicas'!$G$141:$G$144</c:f>
              <c:numCache>
                <c:formatCode>0</c:formatCode>
                <c:ptCount val="3"/>
                <c:pt idx="0">
                  <c:v>128220.00999999997</c:v>
                </c:pt>
                <c:pt idx="1">
                  <c:v>163484.52000000008</c:v>
                </c:pt>
                <c:pt idx="2">
                  <c:v>182845.23000000007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3-4855-819A-66068EB3A4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50387000"/>
        <c:axId val="1306474408"/>
      </c:barChart>
      <c:catAx>
        <c:axId val="1650387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6474408"/>
        <c:crosses val="autoZero"/>
        <c:auto val="1"/>
        <c:lblAlgn val="ctr"/>
        <c:lblOffset val="100"/>
        <c:noMultiLvlLbl val="0"/>
      </c:catAx>
      <c:valAx>
        <c:axId val="130647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0387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dinámicas!TablaDinámica13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dinámicas'!$D$156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dinámicas'!$C$157:$C$161</c:f>
              <c:strCache>
                <c:ptCount val="4"/>
                <c:pt idx="0">
                  <c:v>Anual</c:v>
                </c:pt>
                <c:pt idx="1">
                  <c:v>Bienal</c:v>
                </c:pt>
                <c:pt idx="2">
                  <c:v>Mensual</c:v>
                </c:pt>
                <c:pt idx="3">
                  <c:v>Semestral</c:v>
                </c:pt>
              </c:strCache>
            </c:strRef>
          </c:cat>
          <c:val>
            <c:numRef>
              <c:f>'Tablas dinámicas'!$D$157:$D$161</c:f>
              <c:numCache>
                <c:formatCode>General</c:formatCode>
                <c:ptCount val="4"/>
                <c:pt idx="0">
                  <c:v>216</c:v>
                </c:pt>
                <c:pt idx="1">
                  <c:v>240</c:v>
                </c:pt>
                <c:pt idx="2">
                  <c:v>226</c:v>
                </c:pt>
                <c:pt idx="3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3-499E-AE6F-F29C97465C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4474808"/>
        <c:axId val="1649586664"/>
      </c:barChart>
      <c:catAx>
        <c:axId val="324474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9586664"/>
        <c:crosses val="autoZero"/>
        <c:auto val="1"/>
        <c:lblAlgn val="ctr"/>
        <c:lblOffset val="100"/>
        <c:noMultiLvlLbl val="0"/>
      </c:catAx>
      <c:valAx>
        <c:axId val="164958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4474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dinámicas!TablaDinámica14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Beneficios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dinámicas'!$G$156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dinámicas'!$F$157:$F$161</c:f>
              <c:strCache>
                <c:ptCount val="4"/>
                <c:pt idx="0">
                  <c:v>Anual</c:v>
                </c:pt>
                <c:pt idx="1">
                  <c:v>Bienal</c:v>
                </c:pt>
                <c:pt idx="2">
                  <c:v>Mensual</c:v>
                </c:pt>
                <c:pt idx="3">
                  <c:v>Semestral</c:v>
                </c:pt>
              </c:strCache>
            </c:strRef>
          </c:cat>
          <c:val>
            <c:numRef>
              <c:f>'Tablas dinámicas'!$G$157:$G$161</c:f>
              <c:numCache>
                <c:formatCode>0</c:formatCode>
                <c:ptCount val="4"/>
                <c:pt idx="0">
                  <c:v>110200.47000000004</c:v>
                </c:pt>
                <c:pt idx="1">
                  <c:v>122492.37000000004</c:v>
                </c:pt>
                <c:pt idx="2">
                  <c:v>122502.01999999999</c:v>
                </c:pt>
                <c:pt idx="3">
                  <c:v>119354.89999999997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8-4F26-B1EE-0A988887DD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7514328"/>
        <c:axId val="1220607480"/>
      </c:barChart>
      <c:catAx>
        <c:axId val="1307514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0607480"/>
        <c:crosses val="autoZero"/>
        <c:auto val="1"/>
        <c:lblAlgn val="ctr"/>
        <c:lblOffset val="100"/>
        <c:noMultiLvlLbl val="0"/>
      </c:catAx>
      <c:valAx>
        <c:axId val="122060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7514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 dashboard!Tipo_Sub</c:name>
    <c:fmtId val="15"/>
  </c:pivotSource>
  <c:chart>
    <c:autoTitleDeleted val="1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 dashboard'!$D$13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'Tablas dinámicas dashboard'!$C$14:$C$17</c:f>
              <c:strCache>
                <c:ptCount val="3"/>
                <c:pt idx="0">
                  <c:v>Basic</c:v>
                </c:pt>
                <c:pt idx="1">
                  <c:v>Premium</c:v>
                </c:pt>
                <c:pt idx="2">
                  <c:v>Standard</c:v>
                </c:pt>
              </c:strCache>
            </c:strRef>
          </c:cat>
          <c:val>
            <c:numRef>
              <c:f>'Tablas dinámicas dashboard'!$D$14:$D$17</c:f>
              <c:numCache>
                <c:formatCode>0</c:formatCode>
                <c:ptCount val="3"/>
                <c:pt idx="0">
                  <c:v>151805.38000000012</c:v>
                </c:pt>
                <c:pt idx="1">
                  <c:v>158729.04</c:v>
                </c:pt>
                <c:pt idx="2">
                  <c:v>164015.34000000003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EE-4189-980D-5A3F6B5E3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33364744"/>
        <c:axId val="1293517408"/>
      </c:barChart>
      <c:catAx>
        <c:axId val="1233364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3517408"/>
        <c:crosses val="autoZero"/>
        <c:auto val="1"/>
        <c:lblAlgn val="ctr"/>
        <c:lblOffset val="100"/>
        <c:noMultiLvlLbl val="0"/>
      </c:catAx>
      <c:valAx>
        <c:axId val="129351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3364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 dashboard!TablaDinámica1</c:name>
    <c:fmtId val="5"/>
  </c:pivotSource>
  <c:chart>
    <c:autoTitleDeleted val="1"/>
    <c:pivotFmts>
      <c:pivotFmt>
        <c:idx val="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dinámicas dashboard'!$D$25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'Tablas dinámicas dashboard'!$C$26:$C$67</c:f>
              <c:multiLvlStrCache>
                <c:ptCount val="37"/>
                <c:lvl>
                  <c:pt idx="0">
                    <c:v>jun</c:v>
                  </c:pt>
                  <c:pt idx="1">
                    <c:v>jul</c:v>
                  </c:pt>
                  <c:pt idx="2">
                    <c:v>ago</c:v>
                  </c:pt>
                  <c:pt idx="3">
                    <c:v>sep</c:v>
                  </c:pt>
                  <c:pt idx="4">
                    <c:v>oct</c:v>
                  </c:pt>
                  <c:pt idx="5">
                    <c:v>nov</c:v>
                  </c:pt>
                  <c:pt idx="6">
                    <c:v>dic</c:v>
                  </c:pt>
                  <c:pt idx="7">
                    <c:v>ene</c:v>
                  </c:pt>
                  <c:pt idx="8">
                    <c:v>feb</c:v>
                  </c:pt>
                  <c:pt idx="9">
                    <c:v>mar</c:v>
                  </c:pt>
                  <c:pt idx="10">
                    <c:v>abr</c:v>
                  </c:pt>
                  <c:pt idx="11">
                    <c:v>may</c:v>
                  </c:pt>
                  <c:pt idx="12">
                    <c:v>jun</c:v>
                  </c:pt>
                  <c:pt idx="13">
                    <c:v>jul</c:v>
                  </c:pt>
                  <c:pt idx="14">
                    <c:v>ago</c:v>
                  </c:pt>
                  <c:pt idx="15">
                    <c:v>sep</c:v>
                  </c:pt>
                  <c:pt idx="16">
                    <c:v>oct</c:v>
                  </c:pt>
                  <c:pt idx="17">
                    <c:v>nov</c:v>
                  </c:pt>
                  <c:pt idx="18">
                    <c:v>dic</c:v>
                  </c:pt>
                  <c:pt idx="19">
                    <c:v>ene</c:v>
                  </c:pt>
                  <c:pt idx="20">
                    <c:v>feb</c:v>
                  </c:pt>
                  <c:pt idx="21">
                    <c:v>mar</c:v>
                  </c:pt>
                  <c:pt idx="22">
                    <c:v>abr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ago</c:v>
                  </c:pt>
                  <c:pt idx="27">
                    <c:v>sep</c:v>
                  </c:pt>
                  <c:pt idx="28">
                    <c:v>oct</c:v>
                  </c:pt>
                  <c:pt idx="29">
                    <c:v>nov</c:v>
                  </c:pt>
                  <c:pt idx="30">
                    <c:v>dic</c:v>
                  </c:pt>
                  <c:pt idx="31">
                    <c:v>ene</c:v>
                  </c:pt>
                  <c:pt idx="32">
                    <c:v>feb</c:v>
                  </c:pt>
                  <c:pt idx="33">
                    <c:v>mar</c:v>
                  </c:pt>
                  <c:pt idx="34">
                    <c:v>abr</c:v>
                  </c:pt>
                  <c:pt idx="35">
                    <c:v>may</c:v>
                  </c:pt>
                  <c:pt idx="36">
                    <c:v>jun</c:v>
                  </c:pt>
                </c:lvl>
                <c:lvl>
                  <c:pt idx="0">
                    <c:v>2021</c:v>
                  </c:pt>
                  <c:pt idx="7">
                    <c:v>2022</c:v>
                  </c:pt>
                  <c:pt idx="19">
                    <c:v>2023</c:v>
                  </c:pt>
                  <c:pt idx="31">
                    <c:v>2024</c:v>
                  </c:pt>
                </c:lvl>
              </c:multiLvlStrCache>
            </c:multiLvlStrRef>
          </c:cat>
          <c:val>
            <c:numRef>
              <c:f>'Tablas dinámicas dashboard'!$D$26:$D$67</c:f>
              <c:numCache>
                <c:formatCode>0</c:formatCode>
                <c:ptCount val="37"/>
                <c:pt idx="0">
                  <c:v>12878.240000000002</c:v>
                </c:pt>
                <c:pt idx="1">
                  <c:v>18265.8</c:v>
                </c:pt>
                <c:pt idx="2">
                  <c:v>33320.439999999995</c:v>
                </c:pt>
                <c:pt idx="3">
                  <c:v>27231.08</c:v>
                </c:pt>
                <c:pt idx="4">
                  <c:v>25746.45</c:v>
                </c:pt>
                <c:pt idx="5">
                  <c:v>13126.889999999998</c:v>
                </c:pt>
                <c:pt idx="6">
                  <c:v>23196.109999999993</c:v>
                </c:pt>
                <c:pt idx="7">
                  <c:v>16609.98</c:v>
                </c:pt>
                <c:pt idx="8">
                  <c:v>14219.740000000002</c:v>
                </c:pt>
                <c:pt idx="9">
                  <c:v>17701.41</c:v>
                </c:pt>
                <c:pt idx="10">
                  <c:v>26653.549999999996</c:v>
                </c:pt>
                <c:pt idx="11">
                  <c:v>22658.07</c:v>
                </c:pt>
                <c:pt idx="12">
                  <c:v>17874.14</c:v>
                </c:pt>
                <c:pt idx="13">
                  <c:v>15258.119999999997</c:v>
                </c:pt>
                <c:pt idx="14">
                  <c:v>19018.37</c:v>
                </c:pt>
                <c:pt idx="15">
                  <c:v>16445.22</c:v>
                </c:pt>
                <c:pt idx="16">
                  <c:v>8780.94</c:v>
                </c:pt>
                <c:pt idx="17">
                  <c:v>14795.810000000001</c:v>
                </c:pt>
                <c:pt idx="18">
                  <c:v>18576.43</c:v>
                </c:pt>
                <c:pt idx="19">
                  <c:v>7976.67</c:v>
                </c:pt>
                <c:pt idx="20">
                  <c:v>11594.360000000002</c:v>
                </c:pt>
                <c:pt idx="21">
                  <c:v>11565.19</c:v>
                </c:pt>
                <c:pt idx="22">
                  <c:v>13232.529999999999</c:v>
                </c:pt>
                <c:pt idx="23">
                  <c:v>11000.260000000002</c:v>
                </c:pt>
                <c:pt idx="24">
                  <c:v>8898.1400000000031</c:v>
                </c:pt>
                <c:pt idx="25">
                  <c:v>4965.7500000000009</c:v>
                </c:pt>
                <c:pt idx="26">
                  <c:v>6931.27</c:v>
                </c:pt>
                <c:pt idx="27">
                  <c:v>5608.92</c:v>
                </c:pt>
                <c:pt idx="28">
                  <c:v>5476.9000000000005</c:v>
                </c:pt>
                <c:pt idx="29">
                  <c:v>5353.24</c:v>
                </c:pt>
                <c:pt idx="30">
                  <c:v>5358.829999999999</c:v>
                </c:pt>
                <c:pt idx="31">
                  <c:v>4129.0000000000009</c:v>
                </c:pt>
                <c:pt idx="32">
                  <c:v>3332.9999999999995</c:v>
                </c:pt>
                <c:pt idx="33">
                  <c:v>2469.4200000000005</c:v>
                </c:pt>
                <c:pt idx="34">
                  <c:v>2461.420000000001</c:v>
                </c:pt>
                <c:pt idx="35">
                  <c:v>1174.83</c:v>
                </c:pt>
                <c:pt idx="36">
                  <c:v>663.2399999999999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9D2-4A28-9DB9-92D32AAD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321416"/>
        <c:axId val="586322856"/>
      </c:lineChart>
      <c:catAx>
        <c:axId val="586321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6322856"/>
        <c:crosses val="autoZero"/>
        <c:auto val="1"/>
        <c:lblAlgn val="ctr"/>
        <c:lblOffset val="100"/>
        <c:noMultiLvlLbl val="0"/>
      </c:catAx>
      <c:valAx>
        <c:axId val="58632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6321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 dashboard!TablaDinámica3</c:name>
    <c:fmtId val="4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dinámicas dashboard'!$D$73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 dashboard'!$C$74:$C$81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'Tablas dinámicas dashboard'!$D$74:$D$81</c:f>
              <c:numCache>
                <c:formatCode>0</c:formatCode>
                <c:ptCount val="7"/>
                <c:pt idx="0">
                  <c:v>81678.679999999935</c:v>
                </c:pt>
                <c:pt idx="1">
                  <c:v>60641.599999999991</c:v>
                </c:pt>
                <c:pt idx="2">
                  <c:v>70933.819999999992</c:v>
                </c:pt>
                <c:pt idx="3">
                  <c:v>57879.479999999981</c:v>
                </c:pt>
                <c:pt idx="4">
                  <c:v>61588.240000000005</c:v>
                </c:pt>
                <c:pt idx="5">
                  <c:v>68329.649999999994</c:v>
                </c:pt>
                <c:pt idx="6">
                  <c:v>73498.289999999979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65C-4B57-ABF8-8C7EB8B27FC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4240704"/>
        <c:axId val="134238184"/>
      </c:lineChart>
      <c:catAx>
        <c:axId val="13424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238184"/>
        <c:crosses val="autoZero"/>
        <c:auto val="1"/>
        <c:lblAlgn val="ctr"/>
        <c:lblOffset val="100"/>
        <c:noMultiLvlLbl val="0"/>
      </c:catAx>
      <c:valAx>
        <c:axId val="13423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24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 dashboard!TablaDinámica5</c:name>
    <c:fmtId val="11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 dashboard'!$D$89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 dashboard'!$C$90:$C$97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UK</c:v>
                </c:pt>
                <c:pt idx="5">
                  <c:v>Unknown</c:v>
                </c:pt>
                <c:pt idx="6">
                  <c:v>USA</c:v>
                </c:pt>
              </c:strCache>
            </c:strRef>
          </c:cat>
          <c:val>
            <c:numRef>
              <c:f>'Tablas dinámicas dashboard'!$D$90:$D$97</c:f>
              <c:numCache>
                <c:formatCode>0</c:formatCode>
                <c:ptCount val="7"/>
                <c:pt idx="0">
                  <c:v>76952.320000000022</c:v>
                </c:pt>
                <c:pt idx="1">
                  <c:v>73470.09</c:v>
                </c:pt>
                <c:pt idx="2">
                  <c:v>78741.37</c:v>
                </c:pt>
                <c:pt idx="3">
                  <c:v>65920.62000000001</c:v>
                </c:pt>
                <c:pt idx="4">
                  <c:v>79151.709999999948</c:v>
                </c:pt>
                <c:pt idx="5">
                  <c:v>10840.369999999999</c:v>
                </c:pt>
                <c:pt idx="6">
                  <c:v>89473.279999999941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4E-47CE-A5C9-B92591050A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10093120"/>
        <c:axId val="1310093840"/>
      </c:barChart>
      <c:catAx>
        <c:axId val="131009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10093840"/>
        <c:crosses val="autoZero"/>
        <c:auto val="1"/>
        <c:lblAlgn val="ctr"/>
        <c:lblOffset val="100"/>
        <c:noMultiLvlLbl val="0"/>
      </c:catAx>
      <c:valAx>
        <c:axId val="13100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1009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 dashboard!TablaDinámica7</c:name>
    <c:fmtId val="15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 dashboard'!$D$106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 dashboard'!$C$107:$C$113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'Tablas dinámicas dashboard'!$D$107:$D$113</c:f>
              <c:numCache>
                <c:formatCode>0</c:formatCode>
                <c:ptCount val="6"/>
                <c:pt idx="0">
                  <c:v>73537.709999999977</c:v>
                </c:pt>
                <c:pt idx="1">
                  <c:v>90531.76999999999</c:v>
                </c:pt>
                <c:pt idx="2">
                  <c:v>83155.899999999951</c:v>
                </c:pt>
                <c:pt idx="3">
                  <c:v>78169.2</c:v>
                </c:pt>
                <c:pt idx="4">
                  <c:v>98994.650000000023</c:v>
                </c:pt>
                <c:pt idx="5">
                  <c:v>50160.529999999992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CC9-4330-80C9-63C7245C18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48816888"/>
        <c:axId val="1548817248"/>
      </c:barChart>
      <c:catAx>
        <c:axId val="1548816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8817248"/>
        <c:crosses val="autoZero"/>
        <c:auto val="1"/>
        <c:lblAlgn val="ctr"/>
        <c:lblOffset val="100"/>
        <c:noMultiLvlLbl val="0"/>
      </c:catAx>
      <c:valAx>
        <c:axId val="15488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8816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 dashboard!TablaDinámica9</c:name>
    <c:fmtId val="14"/>
  </c:pivotSource>
  <c:chart>
    <c:autoTitleDeleted val="1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'Tablas dinámicas dashboard'!$D$123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 dashboard'!$C$124:$C$127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'Tablas dinámicas dashboard'!$D$124:$D$127</c:f>
              <c:numCache>
                <c:formatCode>0</c:formatCode>
                <c:ptCount val="3"/>
                <c:pt idx="0">
                  <c:v>158791.90000000014</c:v>
                </c:pt>
                <c:pt idx="1">
                  <c:v>178402.56</c:v>
                </c:pt>
                <c:pt idx="2">
                  <c:v>137355.30000000005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BC0-4514-9FBE-F0B27222BC3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 dashboard!TablaDinámica11</c:name>
    <c:fmtId val="18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 dashboard'!$D$140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 dashboard'!$C$141:$C$144</c:f>
              <c:strCache>
                <c:ptCount val="3"/>
                <c:pt idx="0">
                  <c:v>Desktop</c:v>
                </c:pt>
                <c:pt idx="1">
                  <c:v>Mobile</c:v>
                </c:pt>
                <c:pt idx="2">
                  <c:v>Tablet</c:v>
                </c:pt>
              </c:strCache>
            </c:strRef>
          </c:cat>
          <c:val>
            <c:numRef>
              <c:f>'Tablas dinámicas dashboard'!$D$141:$D$144</c:f>
              <c:numCache>
                <c:formatCode>0</c:formatCode>
                <c:ptCount val="3"/>
                <c:pt idx="0">
                  <c:v>128220.00999999997</c:v>
                </c:pt>
                <c:pt idx="1">
                  <c:v>163484.52000000008</c:v>
                </c:pt>
                <c:pt idx="2">
                  <c:v>182845.23000000007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CC-4710-BD24-77AEE8B19A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4475528"/>
        <c:axId val="324476608"/>
      </c:barChart>
      <c:catAx>
        <c:axId val="324475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4476608"/>
        <c:crosses val="autoZero"/>
        <c:auto val="1"/>
        <c:lblAlgn val="ctr"/>
        <c:lblOffset val="100"/>
        <c:noMultiLvlLbl val="0"/>
      </c:catAx>
      <c:valAx>
        <c:axId val="324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4475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 dashboard!TablaDinámica13</c:name>
    <c:fmtId val="22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 dashboard'!$D$156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 dashboard'!$C$157:$C$161</c:f>
              <c:strCache>
                <c:ptCount val="4"/>
                <c:pt idx="0">
                  <c:v>Anual</c:v>
                </c:pt>
                <c:pt idx="1">
                  <c:v>Bienal</c:v>
                </c:pt>
                <c:pt idx="2">
                  <c:v>Mensual</c:v>
                </c:pt>
                <c:pt idx="3">
                  <c:v>Semestral</c:v>
                </c:pt>
              </c:strCache>
            </c:strRef>
          </c:cat>
          <c:val>
            <c:numRef>
              <c:f>'Tablas dinámicas dashboard'!$D$157:$D$161</c:f>
              <c:numCache>
                <c:formatCode>0</c:formatCode>
                <c:ptCount val="4"/>
                <c:pt idx="0">
                  <c:v>110200.47000000004</c:v>
                </c:pt>
                <c:pt idx="1">
                  <c:v>122492.37000000004</c:v>
                </c:pt>
                <c:pt idx="2">
                  <c:v>122502.01999999999</c:v>
                </c:pt>
                <c:pt idx="3">
                  <c:v>119354.89999999997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6B-48DC-821A-F42819AB62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4474808"/>
        <c:axId val="1649586664"/>
      </c:barChart>
      <c:catAx>
        <c:axId val="324474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9586664"/>
        <c:crosses val="autoZero"/>
        <c:auto val="1"/>
        <c:lblAlgn val="ctr"/>
        <c:lblOffset val="100"/>
        <c:noMultiLvlLbl val="0"/>
      </c:catAx>
      <c:valAx>
        <c:axId val="164958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4474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 dashboard!TablaDinámica1</c:name>
    <c:fmtId val="7"/>
  </c:pivotSource>
  <c:chart>
    <c:autoTitleDeleted val="1"/>
    <c:pivotFmts>
      <c:pivotFmt>
        <c:idx val="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dinámicas dashboard'!$D$25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 dashboard'!$C$26:$C$67</c:f>
              <c:multiLvlStrCache>
                <c:ptCount val="37"/>
                <c:lvl>
                  <c:pt idx="0">
                    <c:v>jun</c:v>
                  </c:pt>
                  <c:pt idx="1">
                    <c:v>jul</c:v>
                  </c:pt>
                  <c:pt idx="2">
                    <c:v>ago</c:v>
                  </c:pt>
                  <c:pt idx="3">
                    <c:v>sep</c:v>
                  </c:pt>
                  <c:pt idx="4">
                    <c:v>oct</c:v>
                  </c:pt>
                  <c:pt idx="5">
                    <c:v>nov</c:v>
                  </c:pt>
                  <c:pt idx="6">
                    <c:v>dic</c:v>
                  </c:pt>
                  <c:pt idx="7">
                    <c:v>ene</c:v>
                  </c:pt>
                  <c:pt idx="8">
                    <c:v>feb</c:v>
                  </c:pt>
                  <c:pt idx="9">
                    <c:v>mar</c:v>
                  </c:pt>
                  <c:pt idx="10">
                    <c:v>abr</c:v>
                  </c:pt>
                  <c:pt idx="11">
                    <c:v>may</c:v>
                  </c:pt>
                  <c:pt idx="12">
                    <c:v>jun</c:v>
                  </c:pt>
                  <c:pt idx="13">
                    <c:v>jul</c:v>
                  </c:pt>
                  <c:pt idx="14">
                    <c:v>ago</c:v>
                  </c:pt>
                  <c:pt idx="15">
                    <c:v>sep</c:v>
                  </c:pt>
                  <c:pt idx="16">
                    <c:v>oct</c:v>
                  </c:pt>
                  <c:pt idx="17">
                    <c:v>nov</c:v>
                  </c:pt>
                  <c:pt idx="18">
                    <c:v>dic</c:v>
                  </c:pt>
                  <c:pt idx="19">
                    <c:v>ene</c:v>
                  </c:pt>
                  <c:pt idx="20">
                    <c:v>feb</c:v>
                  </c:pt>
                  <c:pt idx="21">
                    <c:v>mar</c:v>
                  </c:pt>
                  <c:pt idx="22">
                    <c:v>abr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ago</c:v>
                  </c:pt>
                  <c:pt idx="27">
                    <c:v>sep</c:v>
                  </c:pt>
                  <c:pt idx="28">
                    <c:v>oct</c:v>
                  </c:pt>
                  <c:pt idx="29">
                    <c:v>nov</c:v>
                  </c:pt>
                  <c:pt idx="30">
                    <c:v>dic</c:v>
                  </c:pt>
                  <c:pt idx="31">
                    <c:v>ene</c:v>
                  </c:pt>
                  <c:pt idx="32">
                    <c:v>feb</c:v>
                  </c:pt>
                  <c:pt idx="33">
                    <c:v>mar</c:v>
                  </c:pt>
                  <c:pt idx="34">
                    <c:v>abr</c:v>
                  </c:pt>
                  <c:pt idx="35">
                    <c:v>may</c:v>
                  </c:pt>
                  <c:pt idx="36">
                    <c:v>jun</c:v>
                  </c:pt>
                </c:lvl>
                <c:lvl>
                  <c:pt idx="0">
                    <c:v>2021</c:v>
                  </c:pt>
                  <c:pt idx="7">
                    <c:v>2022</c:v>
                  </c:pt>
                  <c:pt idx="19">
                    <c:v>2023</c:v>
                  </c:pt>
                  <c:pt idx="31">
                    <c:v>2024</c:v>
                  </c:pt>
                </c:lvl>
              </c:multiLvlStrCache>
            </c:multiLvlStrRef>
          </c:cat>
          <c:val>
            <c:numRef>
              <c:f>'Tablas dinámicas dashboard'!$D$26:$D$67</c:f>
              <c:numCache>
                <c:formatCode>0</c:formatCode>
                <c:ptCount val="37"/>
                <c:pt idx="0">
                  <c:v>12878.240000000002</c:v>
                </c:pt>
                <c:pt idx="1">
                  <c:v>18265.8</c:v>
                </c:pt>
                <c:pt idx="2">
                  <c:v>33320.439999999995</c:v>
                </c:pt>
                <c:pt idx="3">
                  <c:v>27231.08</c:v>
                </c:pt>
                <c:pt idx="4">
                  <c:v>25746.45</c:v>
                </c:pt>
                <c:pt idx="5">
                  <c:v>13126.889999999998</c:v>
                </c:pt>
                <c:pt idx="6">
                  <c:v>23196.109999999993</c:v>
                </c:pt>
                <c:pt idx="7">
                  <c:v>16609.98</c:v>
                </c:pt>
                <c:pt idx="8">
                  <c:v>14219.740000000002</c:v>
                </c:pt>
                <c:pt idx="9">
                  <c:v>17701.41</c:v>
                </c:pt>
                <c:pt idx="10">
                  <c:v>26653.549999999996</c:v>
                </c:pt>
                <c:pt idx="11">
                  <c:v>22658.07</c:v>
                </c:pt>
                <c:pt idx="12">
                  <c:v>17874.14</c:v>
                </c:pt>
                <c:pt idx="13">
                  <c:v>15258.119999999997</c:v>
                </c:pt>
                <c:pt idx="14">
                  <c:v>19018.37</c:v>
                </c:pt>
                <c:pt idx="15">
                  <c:v>16445.22</c:v>
                </c:pt>
                <c:pt idx="16">
                  <c:v>8780.94</c:v>
                </c:pt>
                <c:pt idx="17">
                  <c:v>14795.810000000001</c:v>
                </c:pt>
                <c:pt idx="18">
                  <c:v>18576.43</c:v>
                </c:pt>
                <c:pt idx="19">
                  <c:v>7976.67</c:v>
                </c:pt>
                <c:pt idx="20">
                  <c:v>11594.360000000002</c:v>
                </c:pt>
                <c:pt idx="21">
                  <c:v>11565.19</c:v>
                </c:pt>
                <c:pt idx="22">
                  <c:v>13232.529999999999</c:v>
                </c:pt>
                <c:pt idx="23">
                  <c:v>11000.260000000002</c:v>
                </c:pt>
                <c:pt idx="24">
                  <c:v>8898.1400000000031</c:v>
                </c:pt>
                <c:pt idx="25">
                  <c:v>4965.7500000000009</c:v>
                </c:pt>
                <c:pt idx="26">
                  <c:v>6931.27</c:v>
                </c:pt>
                <c:pt idx="27">
                  <c:v>5608.92</c:v>
                </c:pt>
                <c:pt idx="28">
                  <c:v>5476.9000000000005</c:v>
                </c:pt>
                <c:pt idx="29">
                  <c:v>5353.24</c:v>
                </c:pt>
                <c:pt idx="30">
                  <c:v>5358.829999999999</c:v>
                </c:pt>
                <c:pt idx="31">
                  <c:v>4129.0000000000009</c:v>
                </c:pt>
                <c:pt idx="32">
                  <c:v>3332.9999999999995</c:v>
                </c:pt>
                <c:pt idx="33">
                  <c:v>2469.4200000000005</c:v>
                </c:pt>
                <c:pt idx="34">
                  <c:v>2461.420000000001</c:v>
                </c:pt>
                <c:pt idx="35">
                  <c:v>1174.83</c:v>
                </c:pt>
                <c:pt idx="36">
                  <c:v>663.2399999999999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17D-4205-93B1-28E1482201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86321416"/>
        <c:axId val="586322856"/>
      </c:lineChart>
      <c:catAx>
        <c:axId val="586321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6322856"/>
        <c:crosses val="autoZero"/>
        <c:auto val="1"/>
        <c:lblAlgn val="ctr"/>
        <c:lblOffset val="100"/>
        <c:noMultiLvlLbl val="0"/>
      </c:catAx>
      <c:valAx>
        <c:axId val="58632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6321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 dashboard!TablaDinámica3</c:name>
    <c:fmtId val="10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dinámicas dashboard'!$D$73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 dashboard'!$C$74:$C$81</c:f>
              <c:strCache>
                <c:ptCount val="7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viernes</c:v>
                </c:pt>
                <c:pt idx="5">
                  <c:v>sábado</c:v>
                </c:pt>
                <c:pt idx="6">
                  <c:v>domingo</c:v>
                </c:pt>
              </c:strCache>
            </c:strRef>
          </c:cat>
          <c:val>
            <c:numRef>
              <c:f>'Tablas dinámicas dashboard'!$D$74:$D$81</c:f>
              <c:numCache>
                <c:formatCode>0</c:formatCode>
                <c:ptCount val="7"/>
                <c:pt idx="0">
                  <c:v>81678.679999999935</c:v>
                </c:pt>
                <c:pt idx="1">
                  <c:v>60641.599999999991</c:v>
                </c:pt>
                <c:pt idx="2">
                  <c:v>70933.819999999992</c:v>
                </c:pt>
                <c:pt idx="3">
                  <c:v>57879.479999999981</c:v>
                </c:pt>
                <c:pt idx="4">
                  <c:v>61588.240000000005</c:v>
                </c:pt>
                <c:pt idx="5">
                  <c:v>68329.649999999994</c:v>
                </c:pt>
                <c:pt idx="6">
                  <c:v>73498.289999999979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3E-4EDE-B11C-4934B151F2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4240704"/>
        <c:axId val="134238184"/>
      </c:lineChart>
      <c:catAx>
        <c:axId val="13424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238184"/>
        <c:crosses val="autoZero"/>
        <c:auto val="1"/>
        <c:lblAlgn val="ctr"/>
        <c:lblOffset val="100"/>
        <c:noMultiLvlLbl val="0"/>
      </c:catAx>
      <c:valAx>
        <c:axId val="13423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24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 dashboard!TablaDinámica9</c:name>
    <c:fmtId val="16"/>
  </c:pivotSource>
  <c:chart>
    <c:autoTitleDeleted val="1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'Tablas dinámicas dashboard'!$D$123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 dashboard'!$C$124:$C$127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'Tablas dinámicas dashboard'!$D$124:$D$127</c:f>
              <c:numCache>
                <c:formatCode>0</c:formatCode>
                <c:ptCount val="3"/>
                <c:pt idx="0">
                  <c:v>158791.90000000014</c:v>
                </c:pt>
                <c:pt idx="1">
                  <c:v>178402.56</c:v>
                </c:pt>
                <c:pt idx="2">
                  <c:v>137355.30000000005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0BE-41E6-8395-E2B97B518FA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 dashboard!TablaDinámica11</c:name>
    <c:fmtId val="20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 dashboard'!$D$140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 dashboard'!$C$141:$C$144</c:f>
              <c:strCache>
                <c:ptCount val="3"/>
                <c:pt idx="0">
                  <c:v>Desktop</c:v>
                </c:pt>
                <c:pt idx="1">
                  <c:v>Mobile</c:v>
                </c:pt>
                <c:pt idx="2">
                  <c:v>Tablet</c:v>
                </c:pt>
              </c:strCache>
            </c:strRef>
          </c:cat>
          <c:val>
            <c:numRef>
              <c:f>'Tablas dinámicas dashboard'!$D$141:$D$144</c:f>
              <c:numCache>
                <c:formatCode>0</c:formatCode>
                <c:ptCount val="3"/>
                <c:pt idx="0">
                  <c:v>128220.00999999997</c:v>
                </c:pt>
                <c:pt idx="1">
                  <c:v>163484.52000000008</c:v>
                </c:pt>
                <c:pt idx="2">
                  <c:v>182845.23000000007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C2-4D2C-A6B7-AD7F2F5F09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4475528"/>
        <c:axId val="324476608"/>
      </c:barChart>
      <c:catAx>
        <c:axId val="324475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4476608"/>
        <c:crosses val="autoZero"/>
        <c:auto val="1"/>
        <c:lblAlgn val="ctr"/>
        <c:lblOffset val="100"/>
        <c:noMultiLvlLbl val="0"/>
      </c:catAx>
      <c:valAx>
        <c:axId val="324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4475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[subscriptiondatadisney.xlsx]Tablas dinámicas dashboard!TablaDinámica13</c:name>
    <c:fmtId val="24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 dashboard'!$D$156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 dashboard'!$C$157:$C$161</c:f>
              <c:strCache>
                <c:ptCount val="4"/>
                <c:pt idx="0">
                  <c:v>Anual</c:v>
                </c:pt>
                <c:pt idx="1">
                  <c:v>Bienal</c:v>
                </c:pt>
                <c:pt idx="2">
                  <c:v>Mensual</c:v>
                </c:pt>
                <c:pt idx="3">
                  <c:v>Semestral</c:v>
                </c:pt>
              </c:strCache>
            </c:strRef>
          </c:cat>
          <c:val>
            <c:numRef>
              <c:f>'Tablas dinámicas dashboard'!$D$157:$D$161</c:f>
              <c:numCache>
                <c:formatCode>0</c:formatCode>
                <c:ptCount val="4"/>
                <c:pt idx="0">
                  <c:v>110200.47000000004</c:v>
                </c:pt>
                <c:pt idx="1">
                  <c:v>122492.37000000004</c:v>
                </c:pt>
                <c:pt idx="2">
                  <c:v>122502.01999999999</c:v>
                </c:pt>
                <c:pt idx="3">
                  <c:v>119354.89999999997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429-4405-ADF6-507058BB87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4474808"/>
        <c:axId val="1649586664"/>
      </c:barChart>
      <c:catAx>
        <c:axId val="324474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9586664"/>
        <c:crosses val="autoZero"/>
        <c:auto val="1"/>
        <c:lblAlgn val="ctr"/>
        <c:lblOffset val="100"/>
        <c:noMultiLvlLbl val="0"/>
      </c:catAx>
      <c:valAx>
        <c:axId val="164958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4474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Edad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Edad</a:t>
          </a:r>
        </a:p>
      </cx:txPr>
    </cx:title>
    <cx:plotArea>
      <cx:plotAreaRegion>
        <cx:series layoutId="boxWhisker" uniqueId="{8C2FC3B6-976E-4FB5-B4A5-43848A7E9094}">
          <cx:tx>
            <cx:txData>
              <cx:f>_xlchart.v1.0</cx:f>
              <cx:v>Edad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7</xdr:row>
      <xdr:rowOff>4762</xdr:rowOff>
    </xdr:from>
    <xdr:to>
      <xdr:col>11</xdr:col>
      <xdr:colOff>219076</xdr:colOff>
      <xdr:row>21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D657BA-3C76-12E6-8E09-3E11862B3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7</xdr:row>
      <xdr:rowOff>4762</xdr:rowOff>
    </xdr:from>
    <xdr:to>
      <xdr:col>15</xdr:col>
      <xdr:colOff>523875</xdr:colOff>
      <xdr:row>21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B8E0EDB-3285-88D3-1E9D-8771AA3D5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761999</xdr:colOff>
      <xdr:row>24</xdr:row>
      <xdr:rowOff>14287</xdr:rowOff>
    </xdr:from>
    <xdr:to>
      <xdr:col>17</xdr:col>
      <xdr:colOff>0</xdr:colOff>
      <xdr:row>38</xdr:row>
      <xdr:rowOff>90487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3D96A59-157A-F309-01CF-0B724C547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761999</xdr:colOff>
      <xdr:row>40</xdr:row>
      <xdr:rowOff>4762</xdr:rowOff>
    </xdr:from>
    <xdr:to>
      <xdr:col>16</xdr:col>
      <xdr:colOff>761999</xdr:colOff>
      <xdr:row>54</xdr:row>
      <xdr:rowOff>80962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B35AE23-F96A-4F53-DCEE-0F8D157B0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69</xdr:row>
      <xdr:rowOff>4762</xdr:rowOff>
    </xdr:from>
    <xdr:to>
      <xdr:col>13</xdr:col>
      <xdr:colOff>447675</xdr:colOff>
      <xdr:row>83</xdr:row>
      <xdr:rowOff>80962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1F5A655-62FB-B1EA-E291-1F1E6ECB2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69</xdr:row>
      <xdr:rowOff>4762</xdr:rowOff>
    </xdr:from>
    <xdr:to>
      <xdr:col>20</xdr:col>
      <xdr:colOff>0</xdr:colOff>
      <xdr:row>83</xdr:row>
      <xdr:rowOff>80962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7B82D21-A57E-3D1C-67A5-D86F5E21F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86</xdr:row>
      <xdr:rowOff>4762</xdr:rowOff>
    </xdr:from>
    <xdr:to>
      <xdr:col>13</xdr:col>
      <xdr:colOff>447675</xdr:colOff>
      <xdr:row>100</xdr:row>
      <xdr:rowOff>80962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5993AD6-0A20-57DE-CE77-7910AADA8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86</xdr:row>
      <xdr:rowOff>4762</xdr:rowOff>
    </xdr:from>
    <xdr:to>
      <xdr:col>20</xdr:col>
      <xdr:colOff>0</xdr:colOff>
      <xdr:row>100</xdr:row>
      <xdr:rowOff>80962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D8312759-B18C-8BDE-890A-7517DFE1C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103</xdr:row>
      <xdr:rowOff>4762</xdr:rowOff>
    </xdr:from>
    <xdr:to>
      <xdr:col>13</xdr:col>
      <xdr:colOff>447675</xdr:colOff>
      <xdr:row>117</xdr:row>
      <xdr:rowOff>80962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42DBDE74-63DE-A866-3A00-CB560D1A4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103</xdr:row>
      <xdr:rowOff>4762</xdr:rowOff>
    </xdr:from>
    <xdr:to>
      <xdr:col>20</xdr:col>
      <xdr:colOff>0</xdr:colOff>
      <xdr:row>117</xdr:row>
      <xdr:rowOff>80962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234DC3EB-A336-D9E9-376E-4A3F7A8BF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761999</xdr:colOff>
      <xdr:row>120</xdr:row>
      <xdr:rowOff>4761</xdr:rowOff>
    </xdr:from>
    <xdr:to>
      <xdr:col>11</xdr:col>
      <xdr:colOff>761999</xdr:colOff>
      <xdr:row>134</xdr:row>
      <xdr:rowOff>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A0D51412-55ED-BBA7-968D-9C61A8707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761999</xdr:colOff>
      <xdr:row>120</xdr:row>
      <xdr:rowOff>4762</xdr:rowOff>
    </xdr:from>
    <xdr:to>
      <xdr:col>17</xdr:col>
      <xdr:colOff>314324</xdr:colOff>
      <xdr:row>134</xdr:row>
      <xdr:rowOff>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BB49B98F-B30E-404A-4E66-776C47EFA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1</xdr:colOff>
      <xdr:row>136</xdr:row>
      <xdr:rowOff>185738</xdr:rowOff>
    </xdr:from>
    <xdr:to>
      <xdr:col>13</xdr:col>
      <xdr:colOff>0</xdr:colOff>
      <xdr:row>150</xdr:row>
      <xdr:rowOff>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93089058-68CC-0BB7-5CD2-22A530363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0</xdr:colOff>
      <xdr:row>137</xdr:row>
      <xdr:rowOff>4762</xdr:rowOff>
    </xdr:from>
    <xdr:to>
      <xdr:col>19</xdr:col>
      <xdr:colOff>314325</xdr:colOff>
      <xdr:row>150</xdr:row>
      <xdr:rowOff>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166C9B11-BE5F-6C8E-112C-B798ACCB5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761999</xdr:colOff>
      <xdr:row>153</xdr:row>
      <xdr:rowOff>4762</xdr:rowOff>
    </xdr:from>
    <xdr:to>
      <xdr:col>12</xdr:col>
      <xdr:colOff>761999</xdr:colOff>
      <xdr:row>167</xdr:row>
      <xdr:rowOff>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7078D670-DCBA-92A0-E205-BA9019907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0</xdr:colOff>
      <xdr:row>153</xdr:row>
      <xdr:rowOff>4762</xdr:rowOff>
    </xdr:from>
    <xdr:to>
      <xdr:col>19</xdr:col>
      <xdr:colOff>314325</xdr:colOff>
      <xdr:row>167</xdr:row>
      <xdr:rowOff>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FE26FC13-2D5D-0B19-5053-74CD29B4E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10</xdr:row>
      <xdr:rowOff>4762</xdr:rowOff>
    </xdr:from>
    <xdr:to>
      <xdr:col>8</xdr:col>
      <xdr:colOff>200026</xdr:colOff>
      <xdr:row>24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F08A60-BE52-4714-A411-824AA9ACD5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761999</xdr:colOff>
      <xdr:row>28</xdr:row>
      <xdr:rowOff>4762</xdr:rowOff>
    </xdr:from>
    <xdr:to>
      <xdr:col>13</xdr:col>
      <xdr:colOff>428625</xdr:colOff>
      <xdr:row>42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C3593C2-1D28-467B-9B30-62AAF5B05B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69</xdr:row>
      <xdr:rowOff>4762</xdr:rowOff>
    </xdr:from>
    <xdr:to>
      <xdr:col>10</xdr:col>
      <xdr:colOff>114300</xdr:colOff>
      <xdr:row>83</xdr:row>
      <xdr:rowOff>80962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D778A39-7076-45FC-80F7-796E0C94A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86</xdr:row>
      <xdr:rowOff>4762</xdr:rowOff>
    </xdr:from>
    <xdr:to>
      <xdr:col>10</xdr:col>
      <xdr:colOff>114300</xdr:colOff>
      <xdr:row>100</xdr:row>
      <xdr:rowOff>80962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7BFB9DF-58D3-4DE2-95EC-FE8BDF39F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103</xdr:row>
      <xdr:rowOff>4762</xdr:rowOff>
    </xdr:from>
    <xdr:to>
      <xdr:col>10</xdr:col>
      <xdr:colOff>114300</xdr:colOff>
      <xdr:row>117</xdr:row>
      <xdr:rowOff>80962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8078BD6-3DF3-481C-BFD2-88F0ECD09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761999</xdr:colOff>
      <xdr:row>120</xdr:row>
      <xdr:rowOff>4761</xdr:rowOff>
    </xdr:from>
    <xdr:to>
      <xdr:col>8</xdr:col>
      <xdr:colOff>742949</xdr:colOff>
      <xdr:row>134</xdr:row>
      <xdr:rowOff>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9F3C2C30-8285-445D-9B4B-0363FC67C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</xdr:colOff>
      <xdr:row>136</xdr:row>
      <xdr:rowOff>185738</xdr:rowOff>
    </xdr:from>
    <xdr:to>
      <xdr:col>9</xdr:col>
      <xdr:colOff>209550</xdr:colOff>
      <xdr:row>150</xdr:row>
      <xdr:rowOff>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23CCC93-22B0-4FE8-9F1C-49F4FA500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761999</xdr:colOff>
      <xdr:row>153</xdr:row>
      <xdr:rowOff>4762</xdr:rowOff>
    </xdr:from>
    <xdr:to>
      <xdr:col>9</xdr:col>
      <xdr:colOff>209549</xdr:colOff>
      <xdr:row>167</xdr:row>
      <xdr:rowOff>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97A17AE6-D25C-4EEF-A078-F34E704C85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11</xdr:col>
      <xdr:colOff>9525</xdr:colOff>
      <xdr:row>21</xdr:row>
      <xdr:rowOff>9526</xdr:rowOff>
    </xdr:from>
    <xdr:to>
      <xdr:col>13</xdr:col>
      <xdr:colOff>314325</xdr:colOff>
      <xdr:row>27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0" name="Tipo de suscripción">
              <a:extLst>
                <a:ext uri="{FF2B5EF4-FFF2-40B4-BE49-F238E27FC236}">
                  <a16:creationId xmlns:a16="http://schemas.microsoft.com/office/drawing/2014/main" id="{6B3A89F0-27A8-8549-4D3C-7BB1FCA7BB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suscrip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8875" y="4010026"/>
              <a:ext cx="1828800" cy="1171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0</xdr:colOff>
      <xdr:row>1</xdr:row>
      <xdr:rowOff>0</xdr:rowOff>
    </xdr:from>
    <xdr:to>
      <xdr:col>13</xdr:col>
      <xdr:colOff>304800</xdr:colOff>
      <xdr:row>11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2" name="Mes suscripción">
              <a:extLst>
                <a:ext uri="{FF2B5EF4-FFF2-40B4-BE49-F238E27FC236}">
                  <a16:creationId xmlns:a16="http://schemas.microsoft.com/office/drawing/2014/main" id="{E28D453A-E00D-7AA9-F9CA-F633841411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suscrip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39350" y="190500"/>
              <a:ext cx="1828800" cy="2000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9525</xdr:colOff>
      <xdr:row>12</xdr:row>
      <xdr:rowOff>9526</xdr:rowOff>
    </xdr:from>
    <xdr:to>
      <xdr:col>13</xdr:col>
      <xdr:colOff>314325</xdr:colOff>
      <xdr:row>19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3" name="Año suscripción">
              <a:extLst>
                <a:ext uri="{FF2B5EF4-FFF2-40B4-BE49-F238E27FC236}">
                  <a16:creationId xmlns:a16="http://schemas.microsoft.com/office/drawing/2014/main" id="{A3AB2B2A-D309-43A0-9AFF-985D9B642A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suscrip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8875" y="2295526"/>
              <a:ext cx="1828800" cy="1476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0</xdr:colOff>
      <xdr:row>1</xdr:row>
      <xdr:rowOff>1</xdr:rowOff>
    </xdr:from>
    <xdr:to>
      <xdr:col>16</xdr:col>
      <xdr:colOff>304800</xdr:colOff>
      <xdr:row>7</xdr:row>
      <xdr:rowOff>38101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Edad">
              <a:extLst>
                <a:ext uri="{FF2B5EF4-FFF2-40B4-BE49-F238E27FC236}">
                  <a16:creationId xmlns:a16="http://schemas.microsoft.com/office/drawing/2014/main" id="{48EADA2A-F513-51E8-D579-FA3A287822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a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25350" y="190501"/>
              <a:ext cx="1828800" cy="118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9525</xdr:colOff>
      <xdr:row>16</xdr:row>
      <xdr:rowOff>9526</xdr:rowOff>
    </xdr:from>
    <xdr:to>
      <xdr:col>16</xdr:col>
      <xdr:colOff>314325</xdr:colOff>
      <xdr:row>22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5" name="Género">
              <a:extLst>
                <a:ext uri="{FF2B5EF4-FFF2-40B4-BE49-F238E27FC236}">
                  <a16:creationId xmlns:a16="http://schemas.microsoft.com/office/drawing/2014/main" id="{281A277C-F5F2-E2C5-83D8-565E141592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éner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34875" y="3057526"/>
              <a:ext cx="1828800" cy="1219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9525</xdr:colOff>
      <xdr:row>8</xdr:row>
      <xdr:rowOff>9526</xdr:rowOff>
    </xdr:from>
    <xdr:to>
      <xdr:col>16</xdr:col>
      <xdr:colOff>314325</xdr:colOff>
      <xdr:row>14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6" name="Dispositivo">
              <a:extLst>
                <a:ext uri="{FF2B5EF4-FFF2-40B4-BE49-F238E27FC236}">
                  <a16:creationId xmlns:a16="http://schemas.microsoft.com/office/drawing/2014/main" id="{B5973624-285E-9AE1-14E5-60947F42FB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positiv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34875" y="1533526"/>
              <a:ext cx="1828800" cy="1219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13</xdr:col>
      <xdr:colOff>0</xdr:colOff>
      <xdr:row>27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F0C1999C-B71E-4C2F-BA27-AD4709003E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381000"/>
              <a:ext cx="6400800" cy="476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276224</xdr:colOff>
      <xdr:row>9</xdr:row>
      <xdr:rowOff>190498</xdr:rowOff>
    </xdr:from>
    <xdr:to>
      <xdr:col>19</xdr:col>
      <xdr:colOff>333375</xdr:colOff>
      <xdr:row>21</xdr:row>
      <xdr:rowOff>190499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46BEE6C5-505E-4F89-AF2B-2243D4D2A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247650</xdr:colOff>
      <xdr:row>1</xdr:row>
      <xdr:rowOff>19050</xdr:rowOff>
    </xdr:from>
    <xdr:to>
      <xdr:col>2</xdr:col>
      <xdr:colOff>514350</xdr:colOff>
      <xdr:row>9</xdr:row>
      <xdr:rowOff>133350</xdr:rowOff>
    </xdr:to>
    <xdr:sp macro="" textlink="'Tablas dinámicas dashboard'!F170">
      <xdr:nvSpPr>
        <xdr:cNvPr id="2" name="Rectángulo: esquinas redondeadas 1">
          <a:extLst>
            <a:ext uri="{FF2B5EF4-FFF2-40B4-BE49-F238E27FC236}">
              <a16:creationId xmlns:a16="http://schemas.microsoft.com/office/drawing/2014/main" id="{657E54A8-6256-4891-1C17-B0348E29EB2F}"/>
            </a:ext>
          </a:extLst>
        </xdr:cNvPr>
        <xdr:cNvSpPr/>
      </xdr:nvSpPr>
      <xdr:spPr>
        <a:xfrm>
          <a:off x="247650" y="209550"/>
          <a:ext cx="1790700" cy="1638300"/>
        </a:xfrm>
        <a:prstGeom prst="roundRect">
          <a:avLst/>
        </a:prstGeom>
        <a:noFill/>
        <a:ln w="1905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FF3CC98-41E4-47FB-87FC-9BD7F2FDA1B7}" type="TxLink">
            <a:rPr lang="en-US" sz="2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Análisis Beneficios Disney+</a:t>
          </a:fld>
          <a:endParaRPr lang="es-ES" sz="5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9524</xdr:colOff>
      <xdr:row>7</xdr:row>
      <xdr:rowOff>9524</xdr:rowOff>
    </xdr:from>
    <xdr:to>
      <xdr:col>19</xdr:col>
      <xdr:colOff>704849</xdr:colOff>
      <xdr:row>22</xdr:row>
      <xdr:rowOff>190499</xdr:rowOff>
    </xdr:to>
    <xdr:sp macro="" textlink="'Tablas dinámicas dashboard'!F172">
      <xdr:nvSpPr>
        <xdr:cNvPr id="4" name="Rectángulo: esquinas redondeadas 3">
          <a:extLst>
            <a:ext uri="{FF2B5EF4-FFF2-40B4-BE49-F238E27FC236}">
              <a16:creationId xmlns:a16="http://schemas.microsoft.com/office/drawing/2014/main" id="{AD458656-0CE8-4FE2-B7D5-EFE4CCA1CCF3}"/>
            </a:ext>
          </a:extLst>
        </xdr:cNvPr>
        <xdr:cNvSpPr/>
      </xdr:nvSpPr>
      <xdr:spPr>
        <a:xfrm>
          <a:off x="2295524" y="1343024"/>
          <a:ext cx="12887325" cy="3038475"/>
        </a:xfrm>
        <a:prstGeom prst="roundRect">
          <a:avLst/>
        </a:prstGeom>
        <a:noFill/>
        <a:ln w="1905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867ECADA-AC1A-47BC-81E9-A56DC5D27378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Beneficios a lo largo del tiempo</a:t>
          </a:fld>
          <a:endParaRPr lang="es-ES" sz="4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9525</xdr:colOff>
      <xdr:row>41</xdr:row>
      <xdr:rowOff>19050</xdr:rowOff>
    </xdr:from>
    <xdr:to>
      <xdr:col>7</xdr:col>
      <xdr:colOff>733425</xdr:colOff>
      <xdr:row>57</xdr:row>
      <xdr:rowOff>19050</xdr:rowOff>
    </xdr:to>
    <xdr:sp macro="" textlink="'Tablas dinámicas dashboard'!F176">
      <xdr:nvSpPr>
        <xdr:cNvPr id="6" name="Rectángulo: esquinas redondeadas 5">
          <a:extLst>
            <a:ext uri="{FF2B5EF4-FFF2-40B4-BE49-F238E27FC236}">
              <a16:creationId xmlns:a16="http://schemas.microsoft.com/office/drawing/2014/main" id="{01EF14AE-3EDB-4348-A9D7-B24F7BF90D55}"/>
            </a:ext>
          </a:extLst>
        </xdr:cNvPr>
        <xdr:cNvSpPr/>
      </xdr:nvSpPr>
      <xdr:spPr>
        <a:xfrm>
          <a:off x="2295525" y="7829550"/>
          <a:ext cx="3771900" cy="3048000"/>
        </a:xfrm>
        <a:prstGeom prst="roundRect">
          <a:avLst/>
        </a:prstGeom>
        <a:noFill/>
        <a:ln w="1905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9A77749-E2FC-49FF-A36B-A8329431F2EB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Beneficios en función del género</a:t>
          </a:fld>
          <a:endParaRPr lang="es-ES" sz="3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1</xdr:row>
      <xdr:rowOff>9525</xdr:rowOff>
    </xdr:from>
    <xdr:to>
      <xdr:col>6</xdr:col>
      <xdr:colOff>323850</xdr:colOff>
      <xdr:row>6</xdr:row>
      <xdr:rowOff>28575</xdr:rowOff>
    </xdr:to>
    <xdr:sp macro="" textlink="'Tablas dinámicas dashboard'!C8">
      <xdr:nvSpPr>
        <xdr:cNvPr id="9" name="Rectángulo: esquinas redondeadas 8">
          <a:extLst>
            <a:ext uri="{FF2B5EF4-FFF2-40B4-BE49-F238E27FC236}">
              <a16:creationId xmlns:a16="http://schemas.microsoft.com/office/drawing/2014/main" id="{18A955D1-03EF-45FA-A14F-852D7144D254}"/>
            </a:ext>
          </a:extLst>
        </xdr:cNvPr>
        <xdr:cNvSpPr/>
      </xdr:nvSpPr>
      <xdr:spPr>
        <a:xfrm>
          <a:off x="2305050" y="200025"/>
          <a:ext cx="2590800" cy="971550"/>
        </a:xfrm>
        <a:prstGeom prst="roundRect">
          <a:avLst/>
        </a:prstGeom>
        <a:noFill/>
        <a:ln w="1905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2400" b="0" i="0" u="none" strike="noStrike">
            <a:solidFill>
              <a:srgbClr val="000000"/>
            </a:solidFill>
            <a:latin typeface="Calibri"/>
            <a:cs typeface="Calibri"/>
          </a:endParaRPr>
        </a:p>
        <a:p>
          <a:pPr algn="ctr"/>
          <a:fld id="{0A792090-F482-43FF-AC50-4239C497CE98}" type="TxLink">
            <a:rPr lang="en-US" sz="2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905</a:t>
          </a:fld>
          <a:endParaRPr lang="en-US" sz="4800" b="0"/>
        </a:p>
      </xdr:txBody>
    </xdr:sp>
    <xdr:clientData/>
  </xdr:twoCellAnchor>
  <xdr:twoCellAnchor>
    <xdr:from>
      <xdr:col>7</xdr:col>
      <xdr:colOff>352425</xdr:colOff>
      <xdr:row>1</xdr:row>
      <xdr:rowOff>9525</xdr:rowOff>
    </xdr:from>
    <xdr:to>
      <xdr:col>10</xdr:col>
      <xdr:colOff>657225</xdr:colOff>
      <xdr:row>6</xdr:row>
      <xdr:rowOff>28575</xdr:rowOff>
    </xdr:to>
    <xdr:sp macro="" textlink="'Tablas dinámicas dashboard'!D8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658B24BC-1A25-4678-B628-D8435AEC489C}"/>
            </a:ext>
          </a:extLst>
        </xdr:cNvPr>
        <xdr:cNvSpPr/>
      </xdr:nvSpPr>
      <xdr:spPr>
        <a:xfrm>
          <a:off x="5686425" y="200025"/>
          <a:ext cx="2590800" cy="971550"/>
        </a:xfrm>
        <a:prstGeom prst="roundRect">
          <a:avLst/>
        </a:prstGeom>
        <a:noFill/>
        <a:ln w="1905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2400" b="0" i="0" u="none" strike="noStrike">
            <a:solidFill>
              <a:srgbClr val="000000"/>
            </a:solidFill>
            <a:latin typeface="Calibri"/>
            <a:cs typeface="Calibri"/>
          </a:endParaRPr>
        </a:p>
        <a:p>
          <a:pPr algn="ctr"/>
          <a:fld id="{8407ED4E-6AE3-4AF2-83FD-861C93CB4A95}" type="TxLink">
            <a:rPr lang="en-US" sz="2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 474.549,76 € </a:t>
          </a:fld>
          <a:endParaRPr lang="es-E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714375</xdr:colOff>
      <xdr:row>1</xdr:row>
      <xdr:rowOff>19050</xdr:rowOff>
    </xdr:from>
    <xdr:to>
      <xdr:col>15</xdr:col>
      <xdr:colOff>257175</xdr:colOff>
      <xdr:row>6</xdr:row>
      <xdr:rowOff>38100</xdr:rowOff>
    </xdr:to>
    <xdr:sp macro="" textlink="'Tablas dinámicas dashboard'!I8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3581C1EB-E1B5-403E-98F6-5FFCC5B685D0}"/>
            </a:ext>
          </a:extLst>
        </xdr:cNvPr>
        <xdr:cNvSpPr/>
      </xdr:nvSpPr>
      <xdr:spPr>
        <a:xfrm>
          <a:off x="9096375" y="209550"/>
          <a:ext cx="2590800" cy="971550"/>
        </a:xfrm>
        <a:prstGeom prst="roundRect">
          <a:avLst/>
        </a:prstGeom>
        <a:noFill/>
        <a:ln w="1905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2400" b="0" i="0" u="none" strike="noStrike">
            <a:solidFill>
              <a:srgbClr val="000000"/>
            </a:solidFill>
            <a:latin typeface="Calibri"/>
            <a:cs typeface="Calibri"/>
          </a:endParaRPr>
        </a:p>
        <a:p>
          <a:pPr algn="ctr"/>
          <a:fld id="{CE44C335-20D9-4951-967D-7D08478BA3B9}" type="TxLink">
            <a:rPr lang="en-US" sz="2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905</a:t>
          </a:fld>
          <a:endParaRPr lang="es-E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333375</xdr:colOff>
      <xdr:row>1</xdr:row>
      <xdr:rowOff>19050</xdr:rowOff>
    </xdr:from>
    <xdr:to>
      <xdr:col>19</xdr:col>
      <xdr:colOff>638175</xdr:colOff>
      <xdr:row>6</xdr:row>
      <xdr:rowOff>38100</xdr:rowOff>
    </xdr:to>
    <xdr:sp macro="" textlink="'Tablas dinámicas dashboard'!F8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CBC53A8D-CC80-4553-A0CA-936D3729C70D}"/>
            </a:ext>
          </a:extLst>
        </xdr:cNvPr>
        <xdr:cNvSpPr/>
      </xdr:nvSpPr>
      <xdr:spPr>
        <a:xfrm>
          <a:off x="12525375" y="209550"/>
          <a:ext cx="2590800" cy="971550"/>
        </a:xfrm>
        <a:prstGeom prst="roundRect">
          <a:avLst/>
        </a:prstGeom>
        <a:noFill/>
        <a:ln w="1905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2400" b="0" i="0" u="none" strike="noStrike">
            <a:solidFill>
              <a:srgbClr val="000000"/>
            </a:solidFill>
            <a:latin typeface="Calibri"/>
            <a:cs typeface="Calibri"/>
          </a:endParaRPr>
        </a:p>
        <a:p>
          <a:pPr algn="ctr"/>
          <a:fld id="{125C2BC7-32B4-4976-84AC-A56981A22303}" type="TxLink">
            <a:rPr lang="en-US" sz="2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48275,94</a:t>
          </a:fld>
          <a:endParaRPr lang="es-ES" sz="2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104774</xdr:colOff>
      <xdr:row>1</xdr:row>
      <xdr:rowOff>9525</xdr:rowOff>
    </xdr:from>
    <xdr:ext cx="1962151" cy="405432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A4CE0428-3EE7-0C47-855F-B90847F6A991}"/>
            </a:ext>
          </a:extLst>
        </xdr:cNvPr>
        <xdr:cNvSpPr txBox="1"/>
      </xdr:nvSpPr>
      <xdr:spPr>
        <a:xfrm>
          <a:off x="2390774" y="200025"/>
          <a:ext cx="196215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2000"/>
            <a:t>Total</a:t>
          </a:r>
          <a:r>
            <a:rPr lang="es-ES" sz="2000" baseline="0"/>
            <a:t> usuarios</a:t>
          </a:r>
          <a:endParaRPr lang="es-ES" sz="2000"/>
        </a:p>
      </xdr:txBody>
    </xdr:sp>
    <xdr:clientData/>
  </xdr:oneCellAnchor>
  <xdr:oneCellAnchor>
    <xdr:from>
      <xdr:col>7</xdr:col>
      <xdr:colOff>438150</xdr:colOff>
      <xdr:row>1</xdr:row>
      <xdr:rowOff>9525</xdr:rowOff>
    </xdr:from>
    <xdr:ext cx="1962151" cy="405432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EE5FCF2B-F9C3-48E7-B84B-3A5CA548D24B}"/>
            </a:ext>
          </a:extLst>
        </xdr:cNvPr>
        <xdr:cNvSpPr txBox="1"/>
      </xdr:nvSpPr>
      <xdr:spPr>
        <a:xfrm>
          <a:off x="5772150" y="200025"/>
          <a:ext cx="196215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2000"/>
            <a:t>Total</a:t>
          </a:r>
          <a:r>
            <a:rPr lang="es-ES" sz="2000" baseline="0"/>
            <a:t> beneficios</a:t>
          </a:r>
          <a:endParaRPr lang="es-ES" sz="2000"/>
        </a:p>
      </xdr:txBody>
    </xdr:sp>
    <xdr:clientData/>
  </xdr:oneCellAnchor>
  <xdr:oneCellAnchor>
    <xdr:from>
      <xdr:col>12</xdr:col>
      <xdr:colOff>57150</xdr:colOff>
      <xdr:row>1</xdr:row>
      <xdr:rowOff>9525</xdr:rowOff>
    </xdr:from>
    <xdr:ext cx="2286000" cy="405432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C5515D12-4E6C-4B8E-A6F6-03A4BF331289}"/>
            </a:ext>
          </a:extLst>
        </xdr:cNvPr>
        <xdr:cNvSpPr txBox="1"/>
      </xdr:nvSpPr>
      <xdr:spPr>
        <a:xfrm>
          <a:off x="9201150" y="200025"/>
          <a:ext cx="22860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2000"/>
            <a:t>Ventas último mes</a:t>
          </a:r>
        </a:p>
      </xdr:txBody>
    </xdr:sp>
    <xdr:clientData/>
  </xdr:oneCellAnchor>
  <xdr:oneCellAnchor>
    <xdr:from>
      <xdr:col>16</xdr:col>
      <xdr:colOff>409575</xdr:colOff>
      <xdr:row>1</xdr:row>
      <xdr:rowOff>0</xdr:rowOff>
    </xdr:from>
    <xdr:ext cx="2514600" cy="405432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56F7CBA0-FD94-48FA-AC91-46BD19199618}"/>
            </a:ext>
          </a:extLst>
        </xdr:cNvPr>
        <xdr:cNvSpPr txBox="1"/>
      </xdr:nvSpPr>
      <xdr:spPr>
        <a:xfrm>
          <a:off x="12601575" y="190500"/>
          <a:ext cx="25146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2000"/>
            <a:t>Beneficios último mes</a:t>
          </a:r>
        </a:p>
      </xdr:txBody>
    </xdr:sp>
    <xdr:clientData/>
  </xdr:oneCellAnchor>
  <xdr:twoCellAnchor>
    <xdr:from>
      <xdr:col>3</xdr:col>
      <xdr:colOff>0</xdr:colOff>
      <xdr:row>24</xdr:row>
      <xdr:rowOff>0</xdr:rowOff>
    </xdr:from>
    <xdr:to>
      <xdr:col>19</xdr:col>
      <xdr:colOff>695325</xdr:colOff>
      <xdr:row>39</xdr:row>
      <xdr:rowOff>180975</xdr:rowOff>
    </xdr:to>
    <xdr:sp macro="" textlink="'Tablas dinámicas dashboard'!F174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93A63043-EED8-450A-A925-AF1C9FA9E027}"/>
            </a:ext>
          </a:extLst>
        </xdr:cNvPr>
        <xdr:cNvSpPr/>
      </xdr:nvSpPr>
      <xdr:spPr>
        <a:xfrm>
          <a:off x="2286000" y="4572000"/>
          <a:ext cx="12887325" cy="3038475"/>
        </a:xfrm>
        <a:prstGeom prst="roundRect">
          <a:avLst/>
        </a:prstGeom>
        <a:noFill/>
        <a:ln w="1905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89FE1C89-E49E-4587-BC6F-C1444E0A3DB4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Beneficios a lo largo de la semana</a:t>
          </a:fld>
          <a:endParaRPr lang="es-ES" sz="4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266700</xdr:colOff>
      <xdr:row>27</xdr:row>
      <xdr:rowOff>0</xdr:rowOff>
    </xdr:from>
    <xdr:to>
      <xdr:col>19</xdr:col>
      <xdr:colOff>323850</xdr:colOff>
      <xdr:row>38</xdr:row>
      <xdr:rowOff>0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E64BAE33-A21B-4F22-B0E7-76D210363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209551</xdr:colOff>
      <xdr:row>43</xdr:row>
      <xdr:rowOff>161924</xdr:rowOff>
    </xdr:from>
    <xdr:to>
      <xdr:col>7</xdr:col>
      <xdr:colOff>495301</xdr:colOff>
      <xdr:row>55</xdr:row>
      <xdr:rowOff>190499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AED41887-EE6F-4F8B-B887-51F024024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714373</xdr:colOff>
      <xdr:row>41</xdr:row>
      <xdr:rowOff>0</xdr:rowOff>
    </xdr:from>
    <xdr:to>
      <xdr:col>14</xdr:col>
      <xdr:colOff>47624</xdr:colOff>
      <xdr:row>57</xdr:row>
      <xdr:rowOff>0</xdr:rowOff>
    </xdr:to>
    <xdr:sp macro="" textlink="'Tablas dinámicas dashboard'!F178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C3C5AD78-0341-4B21-993C-1DC62B7ABA62}"/>
            </a:ext>
          </a:extLst>
        </xdr:cNvPr>
        <xdr:cNvSpPr/>
      </xdr:nvSpPr>
      <xdr:spPr>
        <a:xfrm>
          <a:off x="6810373" y="7810500"/>
          <a:ext cx="3905251" cy="3048000"/>
        </a:xfrm>
        <a:prstGeom prst="roundRect">
          <a:avLst/>
        </a:prstGeom>
        <a:noFill/>
        <a:ln w="1905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5438B84-D05C-4373-95E4-F01F7C1B8020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Beneficios en función del dispositivo</a:t>
          </a:fld>
          <a:endParaRPr lang="es-ES" sz="3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19</xdr:col>
      <xdr:colOff>723900</xdr:colOff>
      <xdr:row>57</xdr:row>
      <xdr:rowOff>0</xdr:rowOff>
    </xdr:to>
    <xdr:sp macro="" textlink="'Tablas dinámicas dashboard'!F180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D58AF8A7-FB13-4E4D-8C7C-33F71ED942B5}"/>
            </a:ext>
          </a:extLst>
        </xdr:cNvPr>
        <xdr:cNvSpPr/>
      </xdr:nvSpPr>
      <xdr:spPr>
        <a:xfrm>
          <a:off x="11430000" y="7810500"/>
          <a:ext cx="3771900" cy="3048000"/>
        </a:xfrm>
        <a:prstGeom prst="roundRect">
          <a:avLst/>
        </a:prstGeom>
        <a:noFill/>
        <a:ln w="1905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2F9082E-C9F3-4257-8334-16849D720B21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Beneficios en función del plan</a:t>
          </a:fld>
          <a:endParaRPr lang="es-ES" sz="3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200027</xdr:colOff>
      <xdr:row>43</xdr:row>
      <xdr:rowOff>123824</xdr:rowOff>
    </xdr:from>
    <xdr:to>
      <xdr:col>13</xdr:col>
      <xdr:colOff>533401</xdr:colOff>
      <xdr:row>55</xdr:row>
      <xdr:rowOff>190499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8A217E7A-BCE1-443B-9B7F-C32F19AB7B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238124</xdr:colOff>
      <xdr:row>43</xdr:row>
      <xdr:rowOff>133349</xdr:rowOff>
    </xdr:from>
    <xdr:to>
      <xdr:col>19</xdr:col>
      <xdr:colOff>438149</xdr:colOff>
      <xdr:row>56</xdr:row>
      <xdr:rowOff>0</xdr:rowOff>
    </xdr:to>
    <xdr:graphicFrame macro="">
      <xdr:nvGraphicFramePr>
        <xdr:cNvPr id="31" name="Gráfico 30">
          <a:extLst>
            <a:ext uri="{FF2B5EF4-FFF2-40B4-BE49-F238E27FC236}">
              <a16:creationId xmlns:a16="http://schemas.microsoft.com/office/drawing/2014/main" id="{2267F6CF-4C53-4F45-B6C8-B459EE1F3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247650</xdr:colOff>
      <xdr:row>10</xdr:row>
      <xdr:rowOff>104775</xdr:rowOff>
    </xdr:from>
    <xdr:to>
      <xdr:col>2</xdr:col>
      <xdr:colOff>552450</xdr:colOff>
      <xdr:row>16</xdr:row>
      <xdr:rowOff>133349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2" name="Tipo de suscripción 1">
              <a:extLst>
                <a:ext uri="{FF2B5EF4-FFF2-40B4-BE49-F238E27FC236}">
                  <a16:creationId xmlns:a16="http://schemas.microsoft.com/office/drawing/2014/main" id="{6168B399-1406-4F2A-A68B-65853D5C74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suscripció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0" y="2009775"/>
              <a:ext cx="1828800" cy="1171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247650</xdr:colOff>
      <xdr:row>25</xdr:row>
      <xdr:rowOff>28574</xdr:rowOff>
    </xdr:from>
    <xdr:to>
      <xdr:col>2</xdr:col>
      <xdr:colOff>552450</xdr:colOff>
      <xdr:row>35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3" name="Mes suscripción 1">
              <a:extLst>
                <a:ext uri="{FF2B5EF4-FFF2-40B4-BE49-F238E27FC236}">
                  <a16:creationId xmlns:a16="http://schemas.microsoft.com/office/drawing/2014/main" id="{75B93E63-08C3-465A-8A11-5FFCE10625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suscripció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0" y="4791074"/>
              <a:ext cx="1828800" cy="20097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247650</xdr:colOff>
      <xdr:row>17</xdr:row>
      <xdr:rowOff>0</xdr:rowOff>
    </xdr:from>
    <xdr:to>
      <xdr:col>2</xdr:col>
      <xdr:colOff>552450</xdr:colOff>
      <xdr:row>24</xdr:row>
      <xdr:rowOff>142874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Año suscripción 1">
              <a:extLst>
                <a:ext uri="{FF2B5EF4-FFF2-40B4-BE49-F238E27FC236}">
                  <a16:creationId xmlns:a16="http://schemas.microsoft.com/office/drawing/2014/main" id="{8C1A3CB4-DA0C-4ABE-8A77-DB913D7459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suscripció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0" y="3238500"/>
              <a:ext cx="1828800" cy="1476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342900</xdr:colOff>
      <xdr:row>23</xdr:row>
      <xdr:rowOff>180975</xdr:rowOff>
    </xdr:from>
    <xdr:to>
      <xdr:col>22</xdr:col>
      <xdr:colOff>647700</xdr:colOff>
      <xdr:row>30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5" name="Edad 1">
              <a:extLst>
                <a:ext uri="{FF2B5EF4-FFF2-40B4-BE49-F238E27FC236}">
                  <a16:creationId xmlns:a16="http://schemas.microsoft.com/office/drawing/2014/main" id="{C98A11BE-E182-485F-BF80-08BF98FF7B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a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82900" y="4562475"/>
              <a:ext cx="1828800" cy="118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342900</xdr:colOff>
      <xdr:row>10</xdr:row>
      <xdr:rowOff>66675</xdr:rowOff>
    </xdr:from>
    <xdr:to>
      <xdr:col>22</xdr:col>
      <xdr:colOff>647700</xdr:colOff>
      <xdr:row>16</xdr:row>
      <xdr:rowOff>142874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6" name="Género 1">
              <a:extLst>
                <a:ext uri="{FF2B5EF4-FFF2-40B4-BE49-F238E27FC236}">
                  <a16:creationId xmlns:a16="http://schemas.microsoft.com/office/drawing/2014/main" id="{2B3E633B-E7BF-41A7-88DF-2BD614AA67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éner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82900" y="1971675"/>
              <a:ext cx="1828800" cy="1219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342900</xdr:colOff>
      <xdr:row>17</xdr:row>
      <xdr:rowOff>28575</xdr:rowOff>
    </xdr:from>
    <xdr:to>
      <xdr:col>22</xdr:col>
      <xdr:colOff>647700</xdr:colOff>
      <xdr:row>23</xdr:row>
      <xdr:rowOff>104774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7" name="Dispositivo 1">
              <a:extLst>
                <a:ext uri="{FF2B5EF4-FFF2-40B4-BE49-F238E27FC236}">
                  <a16:creationId xmlns:a16="http://schemas.microsoft.com/office/drawing/2014/main" id="{AD144360-3CD2-40E7-9E22-0221D03FE8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positiv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82900" y="3267075"/>
              <a:ext cx="1828800" cy="1219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333375</xdr:colOff>
          <xdr:row>6</xdr:row>
          <xdr:rowOff>190500</xdr:rowOff>
        </xdr:from>
        <xdr:to>
          <xdr:col>21</xdr:col>
          <xdr:colOff>619125</xdr:colOff>
          <xdr:row>8</xdr:row>
          <xdr:rowOff>180975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Beneficios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333375</xdr:colOff>
          <xdr:row>3</xdr:row>
          <xdr:rowOff>180975</xdr:rowOff>
        </xdr:from>
        <xdr:to>
          <xdr:col>21</xdr:col>
          <xdr:colOff>619125</xdr:colOff>
          <xdr:row>5</xdr:row>
          <xdr:rowOff>180975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5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Ventas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812.542337847219" createdVersion="8" refreshedVersion="8" minRefreshableVersion="3" recordCount="905" xr:uid="{83BBB4C5-950F-4168-8B9A-B4759C0328BB}">
  <cacheSource type="worksheet">
    <worksheetSource name="Sheet1"/>
  </cacheSource>
  <cacheFields count="22">
    <cacheField name="ID usuario" numFmtId="0">
      <sharedItems/>
    </cacheField>
    <cacheField name="Número de serie" numFmtId="0">
      <sharedItems/>
    </cacheField>
    <cacheField name="Tipo de suscripción" numFmtId="0">
      <sharedItems count="3">
        <s v="Basic"/>
        <s v="Standard"/>
        <s v="Premium"/>
      </sharedItems>
    </cacheField>
    <cacheField name="Ingresos mensuales" numFmtId="0">
      <sharedItems containsSemiMixedTypes="0" containsString="0" containsNumber="1" minValue="5.03" maxValue="99.98" count="868">
        <n v="68.78"/>
        <n v="37.75"/>
        <n v="72.81"/>
        <n v="65.72"/>
        <n v="42.92"/>
        <n v="46.02"/>
        <n v="63.38"/>
        <n v="11.65"/>
        <n v="83.13"/>
        <n v="15.5"/>
        <n v="43.51"/>
        <n v="35.5"/>
        <n v="7.85"/>
        <n v="15.43"/>
        <n v="62.6"/>
        <n v="65.3"/>
        <n v="14.81"/>
        <n v="87.38"/>
        <n v="7.77"/>
        <n v="55.82"/>
        <n v="43.4"/>
        <n v="54.8"/>
        <n v="39.68"/>
        <n v="23.1"/>
        <n v="6.82"/>
        <n v="54.22"/>
        <n v="85.06"/>
        <n v="40.46"/>
        <n v="26.17"/>
        <n v="12.65"/>
        <n v="13.1"/>
        <n v="26.03"/>
        <n v="14.5"/>
        <n v="30.18"/>
        <n v="11.28"/>
        <n v="11.23"/>
        <n v="86.35"/>
        <n v="20.399999999999999"/>
        <n v="58.17"/>
        <n v="78.48"/>
        <n v="48.36"/>
        <n v="19.57"/>
        <n v="23.96"/>
        <n v="46.13"/>
        <n v="55.18"/>
        <n v="38.200000000000003"/>
        <n v="79.239999999999995"/>
        <n v="76.349999999999994"/>
        <n v="93.09"/>
        <n v="7.75"/>
        <n v="90.09"/>
        <n v="42.29"/>
        <n v="88.45"/>
        <n v="70.62"/>
        <n v="77.13"/>
        <n v="39.630000000000003"/>
        <n v="52.6"/>
        <n v="40.76"/>
        <n v="39.67"/>
        <n v="29.79"/>
        <n v="52.12"/>
        <n v="69.77"/>
        <n v="31.35"/>
        <n v="54.82"/>
        <n v="16.149999999999999"/>
        <n v="20.190000000000001"/>
        <n v="97.22"/>
        <n v="5.37"/>
        <n v="21.97"/>
        <n v="63.22"/>
        <n v="12.73"/>
        <n v="88.78"/>
        <n v="73.36"/>
        <n v="96.81"/>
        <n v="53.23"/>
        <n v="33.54"/>
        <n v="57.2"/>
        <n v="93.43"/>
        <n v="54.47"/>
        <n v="30.38"/>
        <n v="88.35"/>
        <n v="40.33"/>
        <n v="5.13"/>
        <n v="28.53"/>
        <n v="35.229999999999997"/>
        <n v="86.58"/>
        <n v="48.56"/>
        <n v="36.93"/>
        <n v="88.66"/>
        <n v="94.78"/>
        <n v="99.23"/>
        <n v="40.79"/>
        <n v="80.23"/>
        <n v="69.19"/>
        <n v="28.26"/>
        <n v="25.56"/>
        <n v="92.66"/>
        <n v="32.94"/>
        <n v="48.04"/>
        <n v="51.93"/>
        <n v="78.930000000000007"/>
        <n v="85.2"/>
        <n v="18.21"/>
        <n v="45.56"/>
        <n v="85.07"/>
        <n v="82.71"/>
        <n v="14.73"/>
        <n v="19.86"/>
        <n v="12.16"/>
        <n v="45.34"/>
        <n v="15.22"/>
        <n v="58.98"/>
        <n v="28.42"/>
        <n v="61.66"/>
        <n v="16.16"/>
        <n v="97.71"/>
        <n v="93.59"/>
        <n v="42.22"/>
        <n v="28.01"/>
        <n v="28.79"/>
        <n v="50.92"/>
        <n v="65.77"/>
        <n v="43.79"/>
        <n v="40.85"/>
        <n v="81.89"/>
        <n v="72.36"/>
        <n v="95.66"/>
        <n v="38.43"/>
        <n v="78.150000000000006"/>
        <n v="38.96"/>
        <n v="64.06"/>
        <n v="32.409999999999997"/>
        <n v="88.07"/>
        <n v="15.68"/>
        <n v="25.18"/>
        <n v="22.39"/>
        <n v="43.29"/>
        <n v="75.8"/>
        <n v="55.06"/>
        <n v="51.33"/>
        <n v="5.05"/>
        <n v="45.41"/>
        <n v="11.04"/>
        <n v="24.78"/>
        <n v="93.58"/>
        <n v="25.46"/>
        <n v="86.54"/>
        <n v="81.27"/>
        <n v="20.12"/>
        <n v="62.54"/>
        <n v="15.99"/>
        <n v="74.150000000000006"/>
        <n v="65.56"/>
        <n v="82.13"/>
        <n v="50.54"/>
        <n v="91.91"/>
        <n v="9.69"/>
        <n v="32.82"/>
        <n v="72.930000000000007"/>
        <n v="44.72"/>
        <n v="21.43"/>
        <n v="15.19"/>
        <n v="82.65"/>
        <n v="49.95"/>
        <n v="88.82"/>
        <n v="74.66"/>
        <n v="43.92"/>
        <n v="40.479999999999997"/>
        <n v="53.99"/>
        <n v="89.46"/>
        <n v="75.040000000000006"/>
        <n v="5.49"/>
        <n v="70.94"/>
        <n v="92.35"/>
        <n v="72.489999999999995"/>
        <n v="21.82"/>
        <n v="50.93"/>
        <n v="18.329999999999998"/>
        <n v="39.1"/>
        <n v="94.03"/>
        <n v="92.71"/>
        <n v="31.87"/>
        <n v="37.26"/>
        <n v="62.02"/>
        <n v="96.5"/>
        <n v="19.04"/>
        <n v="87.99"/>
        <n v="51.73"/>
        <n v="90.4"/>
        <n v="22.62"/>
        <n v="55.6"/>
        <n v="36"/>
        <n v="47.45"/>
        <n v="46.14"/>
        <n v="38.950000000000003"/>
        <n v="91.92"/>
        <n v="74.52"/>
        <n v="74.12"/>
        <n v="59.88"/>
        <n v="79.02"/>
        <n v="37.729999999999997"/>
        <n v="18.440000000000001"/>
        <n v="87.26"/>
        <n v="46.93"/>
        <n v="51.21"/>
        <n v="47.6"/>
        <n v="58.95"/>
        <n v="52.33"/>
        <n v="87.34"/>
        <n v="64.63"/>
        <n v="43.14"/>
        <n v="44.59"/>
        <n v="82.03"/>
        <n v="38.08"/>
        <n v="25.09"/>
        <n v="10.64"/>
        <n v="88.22"/>
        <n v="92.26"/>
        <n v="16.41"/>
        <n v="36.78"/>
        <n v="21.66"/>
        <n v="16.010000000000002"/>
        <n v="90.49"/>
        <n v="10.4"/>
        <n v="98.15"/>
        <n v="14.16"/>
        <n v="87.03"/>
        <n v="58.82"/>
        <n v="37.520000000000003"/>
        <n v="76.95"/>
        <n v="67.45"/>
        <n v="54.15"/>
        <n v="51.07"/>
        <n v="90.61"/>
        <n v="57.69"/>
        <n v="83.55"/>
        <n v="73.930000000000007"/>
        <n v="8.66"/>
        <n v="78.45"/>
        <n v="25.6"/>
        <n v="90.8"/>
        <n v="9.08"/>
        <n v="36.64"/>
        <n v="14.47"/>
        <n v="50.18"/>
        <n v="82.9"/>
        <n v="33.33"/>
        <n v="19.34"/>
        <n v="36.380000000000003"/>
        <n v="82.32"/>
        <n v="18.34"/>
        <n v="26.6"/>
        <n v="11.54"/>
        <n v="72.040000000000006"/>
        <n v="42.55"/>
        <n v="34.53"/>
        <n v="73.27"/>
        <n v="36.92"/>
        <n v="74.14"/>
        <n v="82.44"/>
        <n v="25.68"/>
        <n v="97.51"/>
        <n v="20.420000000000002"/>
        <n v="32.630000000000003"/>
        <n v="22.08"/>
        <n v="37.82"/>
        <n v="50.61"/>
        <n v="54.61"/>
        <n v="86.09"/>
        <n v="89.5"/>
        <n v="25.91"/>
        <n v="64.17"/>
        <n v="15.59"/>
        <n v="48.6"/>
        <n v="35.619999999999997"/>
        <n v="35.07"/>
        <n v="50.85"/>
        <n v="74.33"/>
        <n v="11.57"/>
        <n v="88.52"/>
        <n v="74.81"/>
        <n v="21.77"/>
        <n v="94.22"/>
        <n v="53.1"/>
        <n v="99.98"/>
        <n v="23.74"/>
        <n v="32.57"/>
        <n v="33.9"/>
        <n v="61.15"/>
        <n v="92.56"/>
        <n v="81.5"/>
        <n v="73.77"/>
        <n v="58.12"/>
        <n v="92.62"/>
        <n v="51.77"/>
        <n v="88.01"/>
        <n v="84.23"/>
        <n v="25.31"/>
        <n v="78.27"/>
        <n v="6.16"/>
        <n v="35.67"/>
        <n v="26.81"/>
        <n v="53.15"/>
        <n v="75"/>
        <n v="14.28"/>
        <n v="53.92"/>
        <n v="94.15"/>
        <n v="26.72"/>
        <n v="69.33"/>
        <n v="61.32"/>
        <n v="5.96"/>
        <n v="50.2"/>
        <n v="72.33"/>
        <n v="9.18"/>
        <n v="54.41"/>
        <n v="7.91"/>
        <n v="26.32"/>
        <n v="95.6"/>
        <n v="60.32"/>
        <n v="15.21"/>
        <n v="32.32"/>
        <n v="48.39"/>
        <n v="6.99"/>
        <n v="44.1"/>
        <n v="51.5"/>
        <n v="28.15"/>
        <n v="60.92"/>
        <n v="76.56"/>
        <n v="27.4"/>
        <n v="65.760000000000005"/>
        <n v="95.11"/>
        <n v="78.94"/>
        <n v="85.59"/>
        <n v="51.59"/>
        <n v="22.61"/>
        <n v="99.6"/>
        <n v="17.29"/>
        <n v="49.79"/>
        <n v="11.47"/>
        <n v="94.67"/>
        <n v="96.67"/>
        <n v="73.34"/>
        <n v="38.25"/>
        <n v="29.17"/>
        <n v="30.2"/>
        <n v="17.09"/>
        <n v="54.95"/>
        <n v="18.47"/>
        <n v="35.090000000000003"/>
        <n v="64.540000000000006"/>
        <n v="7.31"/>
        <n v="45.86"/>
        <n v="66.95"/>
        <n v="86.06"/>
        <n v="97.07"/>
        <n v="6.28"/>
        <n v="50.96"/>
        <n v="29.33"/>
        <n v="83.25"/>
        <n v="27.11"/>
        <n v="34.51"/>
        <n v="80.17"/>
        <n v="72.94"/>
        <n v="58.01"/>
        <n v="44.77"/>
        <n v="5.5"/>
        <n v="6.08"/>
        <n v="53.57"/>
        <n v="12.91"/>
        <n v="9.85"/>
        <n v="96.72"/>
        <n v="86.61"/>
        <n v="19.440000000000001"/>
        <n v="5.0599999999999996"/>
        <n v="94.46"/>
        <n v="31.44"/>
        <n v="22.66"/>
        <n v="70.69"/>
        <n v="15.35"/>
        <n v="30.14"/>
        <n v="97.63"/>
        <n v="65.75"/>
        <n v="54.46"/>
        <n v="42.8"/>
        <n v="18.39"/>
        <n v="96.9"/>
        <n v="86.81"/>
        <n v="63.68"/>
        <n v="71.58"/>
        <n v="91.76"/>
        <n v="54.83"/>
        <n v="38.65"/>
        <n v="16.43"/>
        <n v="76.72"/>
        <n v="89.08"/>
        <n v="14.52"/>
        <n v="6.62"/>
        <n v="96.87"/>
        <n v="63.43"/>
        <n v="57.48"/>
        <n v="33.119999999999997"/>
        <n v="93.28"/>
        <n v="30.26"/>
        <n v="83.67"/>
        <n v="79.42"/>
        <n v="54.3"/>
        <n v="49.88"/>
        <n v="46.63"/>
        <n v="24.27"/>
        <n v="45.24"/>
        <n v="38.99"/>
        <n v="20.55"/>
        <n v="54.6"/>
        <n v="8.34"/>
        <n v="91.09"/>
        <n v="82.55"/>
        <n v="57.5"/>
        <n v="85.92"/>
        <n v="96.43"/>
        <n v="64.930000000000007"/>
        <n v="99.81"/>
        <n v="98.85"/>
        <n v="62.32"/>
        <n v="60.4"/>
        <n v="5.2"/>
        <n v="23.9"/>
        <n v="95.83"/>
        <n v="36.39"/>
        <n v="65.650000000000006"/>
        <n v="95.04"/>
        <n v="36.32"/>
        <n v="80.22"/>
        <n v="15.28"/>
        <n v="42.27"/>
        <n v="26.02"/>
        <n v="69.95"/>
        <n v="42.72"/>
        <n v="31.28"/>
        <n v="38.24"/>
        <n v="72.11"/>
        <n v="7.33"/>
        <n v="65.23"/>
        <n v="26.9"/>
        <n v="81.02"/>
        <n v="95.78"/>
        <n v="14.88"/>
        <n v="19.82"/>
        <n v="45.47"/>
        <n v="89.81"/>
        <n v="14.84"/>
        <n v="46.38"/>
        <n v="80.88"/>
        <n v="92.73"/>
        <n v="33.42"/>
        <n v="41.9"/>
        <n v="51.2"/>
        <n v="60.87"/>
        <n v="71.25"/>
        <n v="42.01"/>
        <n v="30.06"/>
        <n v="94.74"/>
        <n v="92.91"/>
        <n v="68.14"/>
        <n v="45.19"/>
        <n v="39.909999999999997"/>
        <n v="72.150000000000006"/>
        <n v="66.709999999999994"/>
        <n v="93.16"/>
        <n v="87.35"/>
        <n v="82.53"/>
        <n v="91.59"/>
        <n v="31.25"/>
        <n v="40.1"/>
        <n v="58.24"/>
        <n v="68.48"/>
        <n v="32.24"/>
        <n v="6.85"/>
        <n v="42.93"/>
        <n v="34.31"/>
        <n v="94.51"/>
        <n v="89.39"/>
        <n v="86.73"/>
        <n v="67.03"/>
        <n v="37.71"/>
        <n v="57.14"/>
        <n v="82.45"/>
        <n v="14.37"/>
        <n v="81.099999999999994"/>
        <n v="8.91"/>
        <n v="82.56"/>
        <n v="81.72"/>
        <n v="64.58"/>
        <n v="52.73"/>
        <n v="21.13"/>
        <n v="19.100000000000001"/>
        <n v="78.459999999999994"/>
        <n v="58.93"/>
        <n v="98.38"/>
        <n v="98.31"/>
        <n v="99.3"/>
        <n v="16.27"/>
        <n v="28.23"/>
        <n v="48.53"/>
        <n v="24.34"/>
        <n v="58.8"/>
        <n v="22.65"/>
        <n v="14.95"/>
        <n v="16.07"/>
        <n v="38.979999999999997"/>
        <n v="5.44"/>
        <n v="45.36"/>
        <n v="68.099999999999994"/>
        <n v="43.16"/>
        <n v="13.15"/>
        <n v="31.42"/>
        <n v="21.08"/>
        <n v="96.68"/>
        <n v="19.37"/>
        <n v="81.52"/>
        <n v="60.68"/>
        <n v="59.08"/>
        <n v="53.65"/>
        <n v="97.32"/>
        <n v="79.849999999999994"/>
        <n v="57.75"/>
        <n v="42.59"/>
        <n v="95.77"/>
        <n v="61.84"/>
        <n v="16.3"/>
        <n v="44.67"/>
        <n v="70.91"/>
        <n v="92.05"/>
        <n v="29.64"/>
        <n v="77.03"/>
        <n v="48.69"/>
        <n v="59.49"/>
        <n v="95.73"/>
        <n v="98.03"/>
        <n v="86.85"/>
        <n v="39.11"/>
        <n v="89.33"/>
        <n v="65.67"/>
        <n v="45.85"/>
        <n v="78.16"/>
        <n v="52.7"/>
        <n v="79.69"/>
        <n v="76.06"/>
        <n v="80.39"/>
        <n v="49.97"/>
        <n v="7.03"/>
        <n v="14.72"/>
        <n v="32.76"/>
        <n v="36.409999999999997"/>
        <n v="35.43"/>
        <n v="94.95"/>
        <n v="85.29"/>
        <n v="41.36"/>
        <n v="7.35"/>
        <n v="67.75"/>
        <n v="19.47"/>
        <n v="99.63"/>
        <n v="32.96"/>
        <n v="46.36"/>
        <n v="80.569999999999993"/>
        <n v="69.36"/>
        <n v="94.1"/>
        <n v="14.29"/>
        <n v="89.01"/>
        <n v="78.069999999999993"/>
        <n v="72.63"/>
        <n v="42.64"/>
        <n v="20.91"/>
        <n v="83.08"/>
        <n v="71.55"/>
        <n v="88.89"/>
        <n v="96.82"/>
        <n v="99.45"/>
        <n v="63.4"/>
        <n v="8.5299999999999994"/>
        <n v="6.35"/>
        <n v="87.28"/>
        <n v="96.28"/>
        <n v="11.19"/>
        <n v="9.23"/>
        <n v="33.979999999999997"/>
        <n v="98.33"/>
        <n v="68.260000000000005"/>
        <n v="43.08"/>
        <n v="77.98"/>
        <n v="55.13"/>
        <n v="27.56"/>
        <n v="30.77"/>
        <n v="29.52"/>
        <n v="55.57"/>
        <n v="95.18"/>
        <n v="21.05"/>
        <n v="40.54"/>
        <n v="44.31"/>
        <n v="70.209999999999994"/>
        <n v="33.81"/>
        <n v="81.98"/>
        <n v="59.87"/>
        <n v="12.15"/>
        <n v="12.43"/>
        <n v="40.270000000000003"/>
        <n v="77.83"/>
        <n v="70.42"/>
        <n v="72.260000000000005"/>
        <n v="77.88"/>
        <n v="32.28"/>
        <n v="56.62"/>
        <n v="75.27"/>
        <n v="95.9"/>
        <n v="31.41"/>
        <n v="80.36"/>
        <n v="67.7"/>
        <n v="60.12"/>
        <n v="94.68"/>
        <n v="8.49"/>
        <n v="19"/>
        <n v="76.849999999999994"/>
        <n v="12.96"/>
        <n v="25.89"/>
        <n v="31.06"/>
        <n v="71.67"/>
        <n v="7.87"/>
        <n v="87.97"/>
        <n v="56.3"/>
        <n v="66.33"/>
        <n v="37.76"/>
        <n v="35.25"/>
        <n v="20.97"/>
        <n v="57.83"/>
        <n v="35.21"/>
        <n v="96.02"/>
        <n v="96.74"/>
        <n v="63.91"/>
        <n v="63.66"/>
        <n v="89.29"/>
        <n v="77.680000000000007"/>
        <n v="34.79"/>
        <n v="39.729999999999997"/>
        <n v="24.12"/>
        <n v="51.28"/>
        <n v="91.65"/>
        <n v="16.239999999999998"/>
        <n v="90.37"/>
        <n v="56.03"/>
        <n v="24.02"/>
        <n v="69"/>
        <n v="66.2"/>
        <n v="16.600000000000001"/>
        <n v="29.66"/>
        <n v="10.71"/>
        <n v="24.94"/>
        <n v="17.57"/>
        <n v="23.36"/>
        <n v="70.12"/>
        <n v="9.6999999999999993"/>
        <n v="14.68"/>
        <n v="17.75"/>
        <n v="33.380000000000003"/>
        <n v="29.23"/>
        <n v="76.3"/>
        <n v="55.73"/>
        <n v="94.7"/>
        <n v="42.68"/>
        <n v="15.13"/>
        <n v="43.83"/>
        <n v="33.130000000000003"/>
        <n v="51.87"/>
        <n v="67.42"/>
        <n v="48.8"/>
        <n v="89.05"/>
        <n v="71.69"/>
        <n v="51.52"/>
        <n v="17.510000000000002"/>
        <n v="71.92"/>
        <n v="32.06"/>
        <n v="91.25"/>
        <n v="63.45"/>
        <n v="80.290000000000006"/>
        <n v="84.39"/>
        <n v="88.71"/>
        <n v="62.72"/>
        <n v="55.03"/>
        <n v="94.08"/>
        <n v="33.99"/>
        <n v="98.43"/>
        <n v="90.7"/>
        <n v="48.58"/>
        <n v="82.66"/>
        <n v="69.400000000000006"/>
        <n v="35.380000000000003"/>
        <n v="68.8"/>
        <n v="85.08"/>
        <n v="66.069999999999993"/>
        <n v="47.07"/>
        <n v="90.32"/>
        <n v="35.54"/>
        <n v="50.05"/>
        <n v="53.9"/>
        <n v="72.72"/>
        <n v="10.5"/>
        <n v="32.68"/>
        <n v="8.61"/>
        <n v="95.87"/>
        <n v="68.38"/>
        <n v="96.6"/>
        <n v="55.49"/>
        <n v="81.2"/>
        <n v="40.57"/>
        <n v="38.61"/>
        <n v="40.94"/>
        <n v="67.5"/>
        <n v="39.15"/>
        <n v="90.53"/>
        <n v="7.89"/>
        <n v="23.39"/>
        <n v="15.66"/>
        <n v="9.02"/>
        <n v="26.64"/>
        <n v="84.51"/>
        <n v="26.07"/>
        <n v="51.92"/>
        <n v="93.31"/>
        <n v="68.39"/>
        <n v="80.819999999999993"/>
        <n v="57.34"/>
        <n v="98.14"/>
        <n v="9.32"/>
        <n v="23.81"/>
        <n v="43.45"/>
        <n v="62.12"/>
        <n v="78.33"/>
        <n v="44.24"/>
        <n v="72.459999999999994"/>
        <n v="35.14"/>
        <n v="88.69"/>
        <n v="57.81"/>
        <n v="75.45"/>
        <n v="78.2"/>
        <n v="91.28"/>
        <n v="19.28"/>
        <n v="58.04"/>
        <n v="45.7"/>
        <n v="92.7"/>
        <n v="14.98"/>
        <n v="98.34"/>
        <n v="88.17"/>
        <n v="12.01"/>
        <n v="51.64"/>
        <n v="73.17"/>
        <n v="75.12"/>
        <n v="91.12"/>
        <n v="80.989999999999995"/>
        <n v="34.54"/>
        <n v="52.35"/>
        <n v="18.149999999999999"/>
        <n v="23.43"/>
        <n v="50.7"/>
        <n v="86.94"/>
        <n v="60.7"/>
        <n v="85.64"/>
        <n v="81.459999999999994"/>
        <n v="99.84"/>
        <n v="85.49"/>
        <n v="44.37"/>
        <n v="84.86"/>
        <n v="10.68"/>
        <n v="38.28"/>
        <n v="92.38"/>
        <n v="96.27"/>
        <n v="65.849999999999994"/>
        <n v="9.0299999999999994"/>
        <n v="53.88"/>
        <n v="56.95"/>
        <n v="37.31"/>
        <n v="11.52"/>
        <n v="26.75"/>
        <n v="39.01"/>
        <n v="46.34"/>
        <n v="61.14"/>
        <n v="73.63"/>
        <n v="36.25"/>
        <n v="6.87"/>
        <n v="8.8800000000000008"/>
        <n v="29.49"/>
        <n v="75.319999999999993"/>
        <n v="64.69"/>
        <n v="78.13"/>
        <n v="78.05"/>
        <n v="86.37"/>
        <n v="73.430000000000007"/>
        <n v="98.01"/>
        <n v="90.39"/>
        <n v="60.74"/>
        <n v="99.86"/>
        <n v="17.5"/>
        <n v="75.33"/>
        <n v="83"/>
        <n v="40.44"/>
        <n v="23.7"/>
        <n v="14.38"/>
        <n v="76.12"/>
        <n v="48"/>
        <n v="72.8"/>
        <n v="18.93"/>
        <n v="92.32"/>
        <n v="34"/>
        <n v="94.59"/>
        <n v="99.11"/>
        <n v="23.89"/>
        <n v="67.400000000000006"/>
        <n v="15.12"/>
        <n v="66.84"/>
        <n v="83.59"/>
        <n v="70.03"/>
        <n v="44.65"/>
        <n v="41.39"/>
        <n v="61.02"/>
        <n v="88.75"/>
        <n v="93.26"/>
        <n v="10.09"/>
        <n v="22.25"/>
        <n v="23.37"/>
        <n v="53.12"/>
        <n v="64.8"/>
        <n v="74.55"/>
        <n v="89.56"/>
        <n v="98.96"/>
        <n v="67.97"/>
        <n v="85.31"/>
        <n v="78.91"/>
        <n v="34.22"/>
        <n v="9.06"/>
        <n v="5.03"/>
        <n v="31"/>
        <n v="48.9"/>
        <n v="65.64"/>
        <n v="14.67"/>
        <n v="68.94"/>
        <n v="81.17"/>
        <n v="22.6"/>
        <n v="44.44"/>
        <n v="54.4"/>
        <n v="47.92"/>
        <n v="80.98"/>
        <n v="96.25"/>
        <n v="80.900000000000006"/>
        <n v="12.41"/>
        <n v="81.47"/>
        <n v="11.33"/>
        <n v="27.42"/>
        <n v="19.54"/>
        <n v="23.76"/>
        <n v="55.19"/>
        <n v="68.81"/>
        <n v="49.68"/>
        <n v="96.17"/>
        <n v="27.83"/>
        <n v="77.5"/>
        <n v="87.67"/>
        <n v="58.4"/>
        <n v="61.64"/>
        <n v="45.74"/>
        <n v="57.74"/>
        <n v="44.61"/>
      </sharedItems>
    </cacheField>
    <cacheField name="Fecha ingreso" numFmtId="14">
      <sharedItems containsSemiMixedTypes="0" containsNonDate="0" containsDate="1" containsString="0" minDate="2021-06-18T00:00:00" maxDate="2024-06-18T00:00:00" count="618">
        <d v="2023-03-14T00:00:00"/>
        <d v="2021-12-17T00:00:00"/>
        <d v="2024-04-04T00:00:00"/>
        <d v="2022-12-05T00:00:00"/>
        <d v="2022-11-24T00:00:00"/>
        <d v="2021-09-04T00:00:00"/>
        <d v="2022-06-23T00:00:00"/>
        <d v="2023-04-07T00:00:00"/>
        <d v="2021-07-28T00:00:00"/>
        <d v="2024-03-04T00:00:00"/>
        <d v="2021-10-12T00:00:00"/>
        <d v="2023-04-03T00:00:00"/>
        <d v="2023-09-04T00:00:00"/>
        <d v="2022-01-21T00:00:00"/>
        <d v="2022-06-27T00:00:00"/>
        <d v="2023-10-28T00:00:00"/>
        <d v="2021-12-04T00:00:00"/>
        <d v="2021-10-07T00:00:00"/>
        <d v="2023-12-31T00:00:00"/>
        <d v="2022-03-25T00:00:00"/>
        <d v="2021-11-19T00:00:00"/>
        <d v="2022-09-05T00:00:00"/>
        <d v="2022-12-31T00:00:00"/>
        <d v="2022-01-13T00:00:00"/>
        <d v="2023-01-27T00:00:00"/>
        <d v="2022-08-27T00:00:00"/>
        <d v="2021-08-14T00:00:00"/>
        <d v="2022-01-15T00:00:00"/>
        <d v="2021-09-17T00:00:00"/>
        <d v="2022-01-22T00:00:00"/>
        <d v="2021-10-23T00:00:00"/>
        <d v="2021-09-02T00:00:00"/>
        <d v="2022-11-23T00:00:00"/>
        <d v="2022-03-18T00:00:00"/>
        <d v="2022-01-28T00:00:00"/>
        <d v="2023-03-30T00:00:00"/>
        <d v="2023-02-13T00:00:00"/>
        <d v="2022-02-01T00:00:00"/>
        <d v="2023-08-15T00:00:00"/>
        <d v="2022-09-22T00:00:00"/>
        <d v="2023-08-17T00:00:00"/>
        <d v="2022-09-11T00:00:00"/>
        <d v="2023-05-04T00:00:00"/>
        <d v="2022-03-15T00:00:00"/>
        <d v="2021-10-21T00:00:00"/>
        <d v="2023-05-30T00:00:00"/>
        <d v="2022-09-13T00:00:00"/>
        <d v="2021-08-23T00:00:00"/>
        <d v="2022-10-25T00:00:00"/>
        <d v="2021-10-09T00:00:00"/>
        <d v="2021-09-18T00:00:00"/>
        <d v="2023-10-06T00:00:00"/>
        <d v="2021-12-21T00:00:00"/>
        <d v="2024-01-13T00:00:00"/>
        <d v="2024-01-16T00:00:00"/>
        <d v="2023-06-26T00:00:00"/>
        <d v="2023-04-23T00:00:00"/>
        <d v="2024-04-29T00:00:00"/>
        <d v="2023-08-31T00:00:00"/>
        <d v="2024-04-09T00:00:00"/>
        <d v="2023-03-23T00:00:00"/>
        <d v="2021-10-13T00:00:00"/>
        <d v="2021-06-26T00:00:00"/>
        <d v="2024-05-11T00:00:00"/>
        <d v="2024-03-25T00:00:00"/>
        <d v="2023-02-03T00:00:00"/>
        <d v="2024-02-11T00:00:00"/>
        <d v="2022-06-09T00:00:00"/>
        <d v="2021-10-03T00:00:00"/>
        <d v="2024-06-12T00:00:00"/>
        <d v="2022-04-17T00:00:00"/>
        <d v="2023-12-06T00:00:00"/>
        <d v="2024-01-19T00:00:00"/>
        <d v="2022-01-19T00:00:00"/>
        <d v="2023-03-11T00:00:00"/>
        <d v="2021-10-28T00:00:00"/>
        <d v="2022-04-26T00:00:00"/>
        <d v="2022-12-27T00:00:00"/>
        <d v="2023-04-26T00:00:00"/>
        <d v="2023-10-31T00:00:00"/>
        <d v="2021-08-04T00:00:00"/>
        <d v="2022-10-13T00:00:00"/>
        <d v="2023-06-28T00:00:00"/>
        <d v="2024-04-25T00:00:00"/>
        <d v="2023-05-28T00:00:00"/>
        <d v="2022-06-18T00:00:00"/>
        <d v="2023-06-27T00:00:00"/>
        <d v="2023-02-06T00:00:00"/>
        <d v="2022-06-20T00:00:00"/>
        <d v="2022-02-03T00:00:00"/>
        <d v="2023-06-11T00:00:00"/>
        <d v="2023-08-25T00:00:00"/>
        <d v="2023-02-24T00:00:00"/>
        <d v="2022-10-07T00:00:00"/>
        <d v="2023-03-31T00:00:00"/>
        <d v="2022-05-02T00:00:00"/>
        <d v="2023-03-29T00:00:00"/>
        <d v="2022-05-22T00:00:00"/>
        <d v="2023-07-22T00:00:00"/>
        <d v="2023-01-14T00:00:00"/>
        <d v="2022-09-23T00:00:00"/>
        <d v="2022-06-17T00:00:00"/>
        <d v="2023-04-18T00:00:00"/>
        <d v="2021-07-07T00:00:00"/>
        <d v="2022-08-24T00:00:00"/>
        <d v="2023-02-10T00:00:00"/>
        <d v="2022-01-03T00:00:00"/>
        <d v="2023-06-17T00:00:00"/>
        <d v="2022-12-29T00:00:00"/>
        <d v="2022-05-15T00:00:00"/>
        <d v="2023-04-19T00:00:00"/>
        <d v="2022-01-17T00:00:00"/>
        <d v="2023-11-01T00:00:00"/>
        <d v="2022-04-02T00:00:00"/>
        <d v="2023-02-14T00:00:00"/>
        <d v="2021-12-23T00:00:00"/>
        <d v="2024-03-16T00:00:00"/>
        <d v="2023-11-05T00:00:00"/>
        <d v="2021-07-21T00:00:00"/>
        <d v="2024-02-10T00:00:00"/>
        <d v="2023-05-06T00:00:00"/>
        <d v="2022-03-01T00:00:00"/>
        <d v="2023-03-03T00:00:00"/>
        <d v="2022-08-03T00:00:00"/>
        <d v="2021-09-15T00:00:00"/>
        <d v="2021-11-08T00:00:00"/>
        <d v="2021-09-27T00:00:00"/>
        <d v="2023-06-24T00:00:00"/>
        <d v="2023-04-17T00:00:00"/>
        <d v="2023-02-22T00:00:00"/>
        <d v="2024-04-12T00:00:00"/>
        <d v="2022-12-01T00:00:00"/>
        <d v="2021-12-06T00:00:00"/>
        <d v="2022-08-11T00:00:00"/>
        <d v="2021-06-24T00:00:00"/>
        <d v="2022-02-26T00:00:00"/>
        <d v="2023-05-17T00:00:00"/>
        <d v="2021-07-22T00:00:00"/>
        <d v="2022-04-04T00:00:00"/>
        <d v="2023-11-11T00:00:00"/>
        <d v="2024-05-21T00:00:00"/>
        <d v="2023-02-11T00:00:00"/>
        <d v="2022-09-24T00:00:00"/>
        <d v="2021-10-10T00:00:00"/>
        <d v="2022-05-04T00:00:00"/>
        <d v="2022-08-29T00:00:00"/>
        <d v="2024-05-08T00:00:00"/>
        <d v="2022-10-11T00:00:00"/>
        <d v="2024-06-10T00:00:00"/>
        <d v="2024-03-30T00:00:00"/>
        <d v="2022-06-24T00:00:00"/>
        <d v="2021-07-12T00:00:00"/>
        <d v="2021-08-02T00:00:00"/>
        <d v="2022-05-11T00:00:00"/>
        <d v="2024-01-25T00:00:00"/>
        <d v="2022-11-07T00:00:00"/>
        <d v="2023-11-24T00:00:00"/>
        <d v="2021-08-08T00:00:00"/>
        <d v="2022-01-08T00:00:00"/>
        <d v="2024-04-02T00:00:00"/>
        <d v="2022-01-05T00:00:00"/>
        <d v="2022-11-02T00:00:00"/>
        <d v="2023-05-26T00:00:00"/>
        <d v="2023-03-18T00:00:00"/>
        <d v="2024-04-06T00:00:00"/>
        <d v="2022-06-16T00:00:00"/>
        <d v="2022-03-16T00:00:00"/>
        <d v="2022-05-25T00:00:00"/>
        <d v="2024-01-10T00:00:00"/>
        <d v="2021-12-14T00:00:00"/>
        <d v="2024-04-22T00:00:00"/>
        <d v="2021-11-02T00:00:00"/>
        <d v="2022-02-10T00:00:00"/>
        <d v="2023-09-15T00:00:00"/>
        <d v="2022-04-27T00:00:00"/>
        <d v="2024-01-03T00:00:00"/>
        <d v="2024-04-01T00:00:00"/>
        <d v="2024-03-18T00:00:00"/>
        <d v="2023-12-20T00:00:00"/>
        <d v="2021-11-01T00:00:00"/>
        <d v="2022-06-01T00:00:00"/>
        <d v="2022-09-30T00:00:00"/>
        <d v="2022-10-20T00:00:00"/>
        <d v="2022-11-28T00:00:00"/>
        <d v="2022-09-19T00:00:00"/>
        <d v="2022-07-17T00:00:00"/>
        <d v="2023-10-18T00:00:00"/>
        <d v="2023-02-21T00:00:00"/>
        <d v="2022-04-18T00:00:00"/>
        <d v="2024-05-25T00:00:00"/>
        <d v="2022-04-16T00:00:00"/>
        <d v="2023-10-21T00:00:00"/>
        <d v="2022-08-06T00:00:00"/>
        <d v="2023-07-16T00:00:00"/>
        <d v="2024-04-18T00:00:00"/>
        <d v="2022-08-02T00:00:00"/>
        <d v="2023-06-10T00:00:00"/>
        <d v="2022-02-08T00:00:00"/>
        <d v="2021-08-21T00:00:00"/>
        <d v="2024-05-24T00:00:00"/>
        <d v="2024-02-20T00:00:00"/>
        <d v="2021-08-24T00:00:00"/>
        <d v="2022-07-27T00:00:00"/>
        <d v="2024-04-20T00:00:00"/>
        <d v="2024-03-23T00:00:00"/>
        <d v="2022-09-21T00:00:00"/>
        <d v="2023-10-04T00:00:00"/>
        <d v="2023-02-01T00:00:00"/>
        <d v="2023-06-05T00:00:00"/>
        <d v="2022-04-30T00:00:00"/>
        <d v="2021-07-11T00:00:00"/>
        <d v="2022-12-02T00:00:00"/>
        <d v="2022-11-11T00:00:00"/>
        <d v="2021-11-28T00:00:00"/>
        <d v="2021-08-29T00:00:00"/>
        <d v="2022-08-19T00:00:00"/>
        <d v="2023-07-20T00:00:00"/>
        <d v="2021-12-20T00:00:00"/>
        <d v="2022-01-02T00:00:00"/>
        <d v="2023-11-03T00:00:00"/>
        <d v="2022-11-25T00:00:00"/>
        <d v="2021-10-25T00:00:00"/>
        <d v="2021-08-18T00:00:00"/>
        <d v="2024-01-29T00:00:00"/>
        <d v="2023-09-22T00:00:00"/>
        <d v="2023-09-12T00:00:00"/>
        <d v="2022-11-30T00:00:00"/>
        <d v="2023-10-27T00:00:00"/>
        <d v="2023-01-19T00:00:00"/>
        <d v="2022-06-11T00:00:00"/>
        <d v="2022-10-05T00:00:00"/>
        <d v="2021-11-04T00:00:00"/>
        <d v="2021-09-21T00:00:00"/>
        <d v="2023-04-01T00:00:00"/>
        <d v="2023-07-26T00:00:00"/>
        <d v="2023-06-19T00:00:00"/>
        <d v="2023-07-23T00:00:00"/>
        <d v="2024-03-31T00:00:00"/>
        <d v="2022-10-09T00:00:00"/>
        <d v="2023-11-09T00:00:00"/>
        <d v="2024-02-03T00:00:00"/>
        <d v="2021-06-29T00:00:00"/>
        <d v="2022-06-14T00:00:00"/>
        <d v="2024-03-26T00:00:00"/>
        <d v="2021-07-20T00:00:00"/>
        <d v="2024-06-08T00:00:00"/>
        <d v="2024-05-06T00:00:00"/>
        <d v="2021-08-20T00:00:00"/>
        <d v="2022-12-03T00:00:00"/>
        <d v="2021-09-14T00:00:00"/>
        <d v="2023-12-15T00:00:00"/>
        <d v="2024-04-11T00:00:00"/>
        <d v="2022-05-28T00:00:00"/>
        <d v="2022-11-03T00:00:00"/>
        <d v="2022-07-03T00:00:00"/>
        <d v="2023-11-02T00:00:00"/>
        <d v="2021-08-22T00:00:00"/>
        <d v="2023-11-19T00:00:00"/>
        <d v="2022-05-07T00:00:00"/>
        <d v="2022-04-03T00:00:00"/>
        <d v="2022-10-04T00:00:00"/>
        <d v="2021-09-06T00:00:00"/>
        <d v="2021-11-21T00:00:00"/>
        <d v="2022-08-30T00:00:00"/>
        <d v="2021-09-29T00:00:00"/>
        <d v="2022-07-28T00:00:00"/>
        <d v="2023-09-01T00:00:00"/>
        <d v="2023-11-04T00:00:00"/>
        <d v="2021-08-10T00:00:00"/>
        <d v="2021-11-17T00:00:00"/>
        <d v="2022-05-27T00:00:00"/>
        <d v="2023-05-13T00:00:00"/>
        <d v="2024-03-22T00:00:00"/>
        <d v="2023-11-25T00:00:00"/>
        <d v="2023-01-13T00:00:00"/>
        <d v="2023-11-07T00:00:00"/>
        <d v="2023-03-04T00:00:00"/>
        <d v="2021-09-08T00:00:00"/>
        <d v="2023-11-06T00:00:00"/>
        <d v="2024-06-04T00:00:00"/>
        <d v="2021-07-03T00:00:00"/>
        <d v="2023-10-23T00:00:00"/>
        <d v="2023-12-10T00:00:00"/>
        <d v="2022-05-06T00:00:00"/>
        <d v="2024-02-28T00:00:00"/>
        <d v="2023-10-16T00:00:00"/>
        <d v="2022-09-18T00:00:00"/>
        <d v="2022-04-08T00:00:00"/>
        <d v="2023-10-02T00:00:00"/>
        <d v="2022-04-25T00:00:00"/>
        <d v="2022-06-30T00:00:00"/>
        <d v="2021-07-25T00:00:00"/>
        <d v="2023-04-20T00:00:00"/>
        <d v="2022-11-04T00:00:00"/>
        <d v="2022-08-23T00:00:00"/>
        <d v="2023-12-01T00:00:00"/>
        <d v="2022-10-14T00:00:00"/>
        <d v="2021-12-26T00:00:00"/>
        <d v="2022-07-14T00:00:00"/>
        <d v="2023-05-11T00:00:00"/>
        <d v="2024-06-07T00:00:00"/>
        <d v="2023-07-29T00:00:00"/>
        <d v="2022-06-06T00:00:00"/>
        <d v="2022-02-12T00:00:00"/>
        <d v="2024-02-07T00:00:00"/>
        <d v="2021-07-19T00:00:00"/>
        <d v="2023-11-08T00:00:00"/>
        <d v="2021-11-24T00:00:00"/>
        <d v="2021-08-11T00:00:00"/>
        <d v="2022-12-13T00:00:00"/>
        <d v="2021-12-18T00:00:00"/>
        <d v="2023-07-18T00:00:00"/>
        <d v="2023-08-29T00:00:00"/>
        <d v="2022-09-12T00:00:00"/>
        <d v="2022-04-09T00:00:00"/>
        <d v="2021-07-31T00:00:00"/>
        <d v="2024-01-20T00:00:00"/>
        <d v="2023-10-14T00:00:00"/>
        <d v="2022-05-20T00:00:00"/>
        <d v="2023-07-14T00:00:00"/>
        <d v="2021-09-05T00:00:00"/>
        <d v="2022-11-08T00:00:00"/>
        <d v="2024-06-06T00:00:00"/>
        <d v="2024-06-17T00:00:00"/>
        <d v="2023-08-19T00:00:00"/>
        <d v="2022-11-17T00:00:00"/>
        <d v="2022-01-20T00:00:00"/>
        <d v="2023-04-06T00:00:00"/>
        <d v="2023-06-02T00:00:00"/>
        <d v="2022-07-07T00:00:00"/>
        <d v="2024-06-15T00:00:00"/>
        <d v="2022-07-30T00:00:00"/>
        <d v="2022-08-01T00:00:00"/>
        <d v="2023-04-08T00:00:00"/>
        <d v="2024-02-17T00:00:00"/>
        <d v="2023-08-22T00:00:00"/>
        <d v="2021-06-20T00:00:00"/>
        <d v="2023-10-13T00:00:00"/>
        <d v="2023-05-10T00:00:00"/>
        <d v="2023-10-08T00:00:00"/>
        <d v="2021-09-13T00:00:00"/>
        <d v="2022-09-15T00:00:00"/>
        <d v="2023-02-20T00:00:00"/>
        <d v="2023-07-10T00:00:00"/>
        <d v="2021-09-23T00:00:00"/>
        <d v="2024-03-06T00:00:00"/>
        <d v="2023-09-03T00:00:00"/>
        <d v="2024-01-11T00:00:00"/>
        <d v="2022-10-18T00:00:00"/>
        <d v="2024-03-24T00:00:00"/>
        <d v="2022-12-11T00:00:00"/>
        <d v="2022-10-10T00:00:00"/>
        <d v="2024-01-14T00:00:00"/>
        <d v="2021-11-30T00:00:00"/>
        <d v="2021-08-16T00:00:00"/>
        <d v="2024-01-24T00:00:00"/>
        <d v="2022-11-26T00:00:00"/>
        <d v="2023-08-21T00:00:00"/>
        <d v="2022-10-27T00:00:00"/>
        <d v="2021-12-08T00:00:00"/>
        <d v="2022-04-14T00:00:00"/>
        <d v="2023-12-28T00:00:00"/>
        <d v="2021-07-23T00:00:00"/>
        <d v="2023-10-19T00:00:00"/>
        <d v="2023-06-06T00:00:00"/>
        <d v="2023-09-27T00:00:00"/>
        <d v="2021-06-18T00:00:00"/>
        <d v="2023-12-26T00:00:00"/>
        <d v="2023-06-23T00:00:00"/>
        <d v="2023-07-07T00:00:00"/>
        <d v="2022-01-23T00:00:00"/>
        <d v="2024-02-18T00:00:00"/>
        <d v="2022-12-23T00:00:00"/>
        <d v="2022-08-04T00:00:00"/>
        <d v="2022-10-03T00:00:00"/>
        <d v="2022-05-29T00:00:00"/>
        <d v="2023-12-21T00:00:00"/>
        <d v="2023-02-16T00:00:00"/>
        <d v="2021-09-28T00:00:00"/>
        <d v="2022-06-08T00:00:00"/>
        <d v="2023-01-22T00:00:00"/>
        <d v="2023-06-30T00:00:00"/>
        <d v="2023-04-12T00:00:00"/>
        <d v="2022-05-10T00:00:00"/>
        <d v="2023-10-20T00:00:00"/>
        <d v="2023-05-12T00:00:00"/>
        <d v="2024-03-21T00:00:00"/>
        <d v="2022-12-18T00:00:00"/>
        <d v="2021-12-07T00:00:00"/>
        <d v="2023-01-17T00:00:00"/>
        <d v="2024-02-25T00:00:00"/>
        <d v="2023-06-22T00:00:00"/>
        <d v="2022-04-23T00:00:00"/>
        <d v="2021-10-16T00:00:00"/>
        <d v="2024-05-23T00:00:00"/>
        <d v="2023-04-22T00:00:00"/>
        <d v="2022-03-30T00:00:00"/>
        <d v="2023-02-12T00:00:00"/>
        <d v="2022-06-12T00:00:00"/>
        <d v="2023-01-30T00:00:00"/>
        <d v="2024-06-14T00:00:00"/>
        <d v="2022-12-16T00:00:00"/>
        <d v="2022-01-29T00:00:00"/>
        <d v="2023-02-27T00:00:00"/>
        <d v="2023-12-03T00:00:00"/>
        <d v="2022-05-21T00:00:00"/>
        <d v="2021-10-29T00:00:00"/>
        <d v="2022-12-30T00:00:00"/>
        <d v="2022-04-28T00:00:00"/>
        <d v="2021-10-15T00:00:00"/>
        <d v="2022-09-02T00:00:00"/>
        <d v="2023-04-24T00:00:00"/>
        <d v="2022-05-30T00:00:00"/>
        <d v="2023-10-01T00:00:00"/>
        <d v="2022-12-26T00:00:00"/>
        <d v="2022-12-21T00:00:00"/>
        <d v="2022-02-09T00:00:00"/>
        <d v="2024-05-09T00:00:00"/>
        <d v="2024-04-16T00:00:00"/>
        <d v="2022-10-21T00:00:00"/>
        <d v="2022-02-21T00:00:00"/>
        <d v="2022-01-31T00:00:00"/>
        <d v="2023-05-02T00:00:00"/>
        <d v="2023-11-27T00:00:00"/>
        <d v="2024-01-01T00:00:00"/>
        <d v="2024-05-22T00:00:00"/>
        <d v="2022-11-29T00:00:00"/>
        <d v="2022-11-22T00:00:00"/>
        <d v="2022-12-09T00:00:00"/>
        <d v="2022-02-23T00:00:00"/>
        <d v="2022-04-21T00:00:00"/>
        <d v="2022-07-29T00:00:00"/>
        <d v="2024-05-19T00:00:00"/>
        <d v="2023-06-20T00:00:00"/>
        <d v="2023-08-10T00:00:00"/>
        <d v="2024-04-13T00:00:00"/>
        <d v="2023-04-30T00:00:00"/>
        <d v="2023-11-15T00:00:00"/>
        <d v="2021-12-11T00:00:00"/>
        <d v="2023-05-21T00:00:00"/>
        <d v="2023-11-13T00:00:00"/>
        <d v="2022-09-29T00:00:00"/>
        <d v="2021-11-12T00:00:00"/>
        <d v="2022-01-30T00:00:00"/>
        <d v="2022-08-21T00:00:00"/>
        <d v="2023-11-21T00:00:00"/>
        <d v="2024-02-12T00:00:00"/>
        <d v="2023-01-15T00:00:00"/>
        <d v="2024-04-10T00:00:00"/>
        <d v="2021-08-31T00:00:00"/>
        <d v="2021-08-15T00:00:00"/>
        <d v="2023-08-18T00:00:00"/>
        <d v="2022-03-29T00:00:00"/>
        <d v="2023-11-12T00:00:00"/>
        <d v="2023-12-07T00:00:00"/>
        <d v="2022-12-14T00:00:00"/>
        <d v="2024-02-04T00:00:00"/>
        <d v="2023-08-05T00:00:00"/>
        <d v="2023-05-23T00:00:00"/>
        <d v="2021-12-12T00:00:00"/>
        <d v="2021-10-18T00:00:00"/>
        <d v="2024-06-02T00:00:00"/>
        <d v="2023-12-13T00:00:00"/>
        <d v="2023-08-27T00:00:00"/>
        <d v="2021-09-22T00:00:00"/>
        <d v="2023-12-30T00:00:00"/>
        <d v="2022-07-02T00:00:00"/>
        <d v="2021-06-30T00:00:00"/>
        <d v="2024-03-14T00:00:00"/>
        <d v="2022-05-05T00:00:00"/>
        <d v="2022-01-01T00:00:00"/>
        <d v="2021-10-31T00:00:00"/>
        <d v="2024-05-01T00:00:00"/>
        <d v="2023-11-30T00:00:00"/>
        <d v="2023-09-30T00:00:00"/>
        <d v="2021-08-09T00:00:00"/>
        <d v="2024-01-23T00:00:00"/>
        <d v="2021-08-19T00:00:00"/>
        <d v="2022-11-15T00:00:00"/>
        <d v="2022-08-10T00:00:00"/>
        <d v="2023-08-03T00:00:00"/>
        <d v="2021-10-17T00:00:00"/>
        <d v="2023-03-24T00:00:00"/>
        <d v="2024-05-30T00:00:00"/>
        <d v="2023-09-24T00:00:00"/>
        <d v="2023-04-25T00:00:00"/>
        <d v="2023-09-11T00:00:00"/>
        <d v="2022-03-14T00:00:00"/>
        <d v="2022-03-08T00:00:00"/>
        <d v="2022-01-10T00:00:00"/>
        <d v="2023-09-06T00:00:00"/>
        <d v="2023-06-14T00:00:00"/>
        <d v="2024-05-15T00:00:00"/>
        <d v="2022-03-24T00:00:00"/>
        <d v="2021-11-16T00:00:00"/>
        <d v="2024-01-05T00:00:00"/>
        <d v="2021-07-26T00:00:00"/>
        <d v="2022-08-17T00:00:00"/>
        <d v="2022-07-05T00:00:00"/>
        <d v="2023-04-14T00:00:00"/>
        <d v="2022-03-22T00:00:00"/>
        <d v="2022-12-19T00:00:00"/>
        <d v="2023-05-01T00:00:00"/>
        <d v="2023-03-22T00:00:00"/>
        <d v="2023-03-06T00:00:00"/>
        <d v="2024-06-09T00:00:00"/>
        <d v="2022-03-10T00:00:00"/>
        <d v="2024-02-19T00:00:00"/>
        <d v="2022-08-28T00:00:00"/>
        <d v="2024-01-27T00:00:00"/>
        <d v="2023-06-15T00:00:00"/>
        <d v="2021-12-25T00:00:00"/>
        <d v="2022-02-18T00:00:00"/>
        <d v="2022-10-22T00:00:00"/>
        <d v="2022-06-07T00:00:00"/>
        <d v="2022-05-01T00:00:00"/>
        <d v="2022-02-11T00:00:00"/>
        <d v="2021-12-24T00:00:00"/>
        <d v="2023-01-06T00:00:00"/>
        <d v="2021-10-27T00:00:00"/>
        <d v="2023-06-16T00:00:00"/>
        <d v="2022-03-09T00:00:00"/>
        <d v="2021-09-24T00:00:00"/>
        <d v="2021-12-05T00:00:00"/>
        <d v="2023-12-04T00:00:00"/>
        <d v="2023-02-17T00:00:00"/>
        <d v="2022-05-08T00:00:00"/>
        <d v="2023-08-26T00:00:00"/>
        <d v="2023-08-20T00:00:00"/>
        <d v="2021-07-01T00:00:00"/>
        <d v="2023-11-17T00:00:00"/>
        <d v="2024-04-19T00:00:00"/>
        <d v="2022-09-16T00:00:00"/>
        <d v="2022-07-11T00:00:00"/>
        <d v="2022-04-07T00:00:00"/>
        <d v="2022-03-07T00:00:00"/>
        <d v="2022-01-11T00:00:00"/>
        <d v="2024-04-26T00:00:00"/>
        <d v="2023-05-07T00:00:00"/>
        <d v="2023-12-24T00:00:00"/>
        <d v="2022-01-27T00:00:00"/>
        <d v="2023-06-21T00:00:00"/>
        <d v="2021-07-14T00:00:00"/>
        <d v="2021-08-28T00:00:00"/>
        <d v="2023-07-11T00:00:00"/>
        <d v="2021-11-27T00:00:00"/>
        <d v="2022-02-02T00:00:00"/>
        <d v="2021-07-24T00:00:00"/>
        <d v="2023-04-16T00:00:00"/>
        <d v="2021-08-07T00:00:00"/>
        <d v="2024-01-04T00:00:00"/>
        <d v="2022-04-24T00:00:00"/>
        <d v="2023-09-02T00:00:00"/>
        <d v="2021-12-22T00:00:00"/>
        <d v="2024-03-19T00:00:00"/>
        <d v="2023-05-03T00:00:00"/>
        <d v="2024-03-05T00:00:00"/>
        <d v="2023-02-15T00:00:00"/>
        <d v="2021-12-27T00:00:00"/>
        <d v="2024-05-03T00:00:00"/>
        <d v="2023-03-17T00:00:00"/>
        <d v="2022-11-09T00:00:00"/>
        <d v="2023-10-05T00:00:00"/>
        <d v="2021-12-31T00:00:00"/>
        <d v="2021-08-17T00:00:00"/>
        <d v="2022-03-17T00:00:00"/>
        <d v="2024-03-10T00:00:00"/>
        <d v="2023-01-29T00:00:00"/>
        <d v="2022-08-25T00:00:00"/>
        <d v="2023-11-14T00:00:00"/>
        <d v="2023-12-09T00:00:00"/>
        <d v="2022-09-14T00:00:00"/>
        <d v="2021-08-12T00:00:00"/>
        <d v="2021-09-09T00:00:00"/>
        <d v="2022-08-16T00:00:00"/>
        <d v="2023-09-16T00:00:00"/>
        <d v="2021-12-16T00:00:00"/>
        <d v="2021-09-26T00:00:00"/>
        <d v="2021-11-05T00:00:00"/>
        <d v="2022-02-14T00:00:00"/>
        <d v="2022-08-15T00:00:00"/>
        <d v="2021-09-20T00:00:00"/>
        <d v="2023-12-11T00:00:00"/>
        <d v="2023-01-20T00:00:00"/>
        <d v="2024-02-22T00:00:00"/>
        <d v="2022-11-13T00:00:00"/>
        <d v="2022-12-08T00:00:00"/>
        <d v="2022-03-20T00:00:00"/>
        <d v="2022-08-31T00:00:00"/>
        <d v="2023-02-02T00:00:00"/>
        <d v="2024-02-06T00:00:00"/>
        <d v="2023-09-20T00:00:00"/>
        <d v="2021-10-20T00:00:00"/>
        <d v="2022-09-04T00:00:00"/>
        <d v="2021-10-26T00:00:00"/>
        <d v="2024-02-08T00:00:00"/>
        <d v="2022-07-24T00:00:00"/>
        <d v="2024-04-14T00:00:00"/>
        <d v="2023-03-10T00:00:00"/>
        <d v="2022-09-06T00:00:00"/>
        <d v="2023-04-09T00:00:00"/>
        <d v="2023-03-05T00:00:00"/>
        <d v="2021-07-30T00:00:00"/>
        <d v="2023-07-06T00:00:00"/>
        <d v="2023-01-23T00:00:00"/>
        <d v="2023-12-12T00:00:00"/>
        <d v="2022-08-05T00:00:00"/>
        <d v="2021-12-15T00:00:00"/>
        <d v="2022-10-24T00:00:00"/>
        <d v="2023-04-11T00:00:00"/>
        <d v="2022-08-07T00:00:00"/>
        <d v="2023-07-27T00:00:00"/>
        <d v="2024-05-13T00:00:00"/>
        <d v="2024-06-16T00:00:00"/>
        <d v="2022-12-04T00:00:00"/>
        <d v="2022-04-13T00:00:00"/>
        <d v="2022-05-13T00:00:00"/>
        <d v="2022-12-17T00:00:00"/>
      </sharedItems>
      <fieldGroup par="21"/>
    </cacheField>
    <cacheField name="Mes suscripción" numFmtId="14">
      <sharedItems count="12">
        <s v="marzo"/>
        <s v="diciembre"/>
        <s v="abril"/>
        <s v="noviembre"/>
        <s v="septiembre"/>
        <s v="junio"/>
        <s v="julio"/>
        <s v="octubre"/>
        <s v="enero"/>
        <s v="agosto"/>
        <s v="febrero"/>
        <s v="mayo"/>
      </sharedItems>
    </cacheField>
    <cacheField name="Año suscripción" numFmtId="1">
      <sharedItems containsSemiMixedTypes="0" containsString="0" containsNumber="1" containsInteger="1" minValue="2021" maxValue="2024" count="4">
        <n v="2023"/>
        <n v="2021"/>
        <n v="2024"/>
        <n v="2022"/>
      </sharedItems>
    </cacheField>
    <cacheField name="Semana ingreso" numFmtId="14">
      <sharedItems count="7">
        <s v="martes"/>
        <s v="viernes"/>
        <s v="jueves"/>
        <s v="lunes"/>
        <s v="sábado"/>
        <s v="miércoles"/>
        <s v="domingo"/>
      </sharedItems>
    </cacheField>
    <cacheField name="Fecha último pago" numFmtId="14">
      <sharedItems containsSemiMixedTypes="0" containsNonDate="0" containsDate="1" containsString="0" minDate="2021-08-08T00:00:00" maxDate="2024-06-18T00:00:00"/>
    </cacheField>
    <cacheField name="Meses contratados" numFmtId="1">
      <sharedItems containsSemiMixedTypes="0" containsString="0" containsNumber="1" containsInteger="1" minValue="1" maxValue="32"/>
    </cacheField>
    <cacheField name="Ingresos totales" numFmtId="1">
      <sharedItems containsSemiMixedTypes="0" containsString="0" containsNumber="1" minValue="5.03" maxValue="3051.3300000000004"/>
    </cacheField>
    <cacheField name="País" numFmtId="0">
      <sharedItems count="7">
        <s v="UK"/>
        <s v="France"/>
        <s v="USA"/>
        <s v="Canada"/>
        <s v="Germany"/>
        <s v="India"/>
        <s v="Unknown"/>
      </sharedItems>
    </cacheField>
    <cacheField name="Edad" numFmtId="0">
      <sharedItems containsSemiMixedTypes="0" containsString="0" containsNumber="1" containsInteger="1" minValue="18" maxValue="69" count="52">
        <n v="22"/>
        <n v="25"/>
        <n v="60"/>
        <n v="47"/>
        <n v="53"/>
        <n v="33"/>
        <n v="64"/>
        <n v="63"/>
        <n v="21"/>
        <n v="55"/>
        <n v="68"/>
        <n v="20"/>
        <n v="66"/>
        <n v="23"/>
        <n v="58"/>
        <n v="40"/>
        <n v="61"/>
        <n v="19"/>
        <n v="24"/>
        <n v="46"/>
        <n v="28"/>
        <n v="54"/>
        <n v="36"/>
        <n v="65"/>
        <n v="59"/>
        <n v="50"/>
        <n v="67"/>
        <n v="43"/>
        <n v="37"/>
        <n v="45"/>
        <n v="44"/>
        <n v="41"/>
        <n v="39"/>
        <n v="52"/>
        <n v="32"/>
        <n v="48"/>
        <n v="27"/>
        <n v="30"/>
        <n v="56"/>
        <n v="38"/>
        <n v="31"/>
        <n v="26"/>
        <n v="57"/>
        <n v="62"/>
        <n v="35"/>
        <n v="69"/>
        <n v="49"/>
        <n v="51"/>
        <n v="18"/>
        <n v="29"/>
        <n v="34"/>
        <n v="42"/>
      </sharedItems>
      <fieldGroup base="12">
        <rangePr autoStart="0" autoEnd="0" startNum="15" endNum="70" groupInterval="10"/>
        <groupItems count="8">
          <s v="&lt;15"/>
          <s v="15-24"/>
          <s v="25-34"/>
          <s v="35-44"/>
          <s v="45-54"/>
          <s v="55-64"/>
          <s v="65-74"/>
          <s v="&gt;75"/>
        </groupItems>
      </fieldGroup>
    </cacheField>
    <cacheField name="Género" numFmtId="0">
      <sharedItems count="3">
        <s v="Male"/>
        <s v="Other"/>
        <s v="Female"/>
      </sharedItems>
    </cacheField>
    <cacheField name="Dispositivo" numFmtId="0">
      <sharedItems count="3">
        <s v="Tablet"/>
        <s v="Mobile"/>
        <s v="Desktop"/>
      </sharedItems>
    </cacheField>
    <cacheField name="Duración del plan" numFmtId="0">
      <sharedItems count="4">
        <s v="2 Years"/>
        <s v="1 Year"/>
        <s v="6 Months"/>
        <s v="1 Month"/>
      </sharedItems>
    </cacheField>
    <cacheField name="Duración del plan (Mes)" numFmtId="0">
      <sharedItems containsSemiMixedTypes="0" containsString="0" containsNumber="1" containsInteger="1" minValue="1" maxValue="24"/>
    </cacheField>
    <cacheField name="Plan duración" numFmtId="0">
      <sharedItems count="4">
        <s v="Bienal"/>
        <s v="Anual"/>
        <s v="Semestral"/>
        <s v="Mensual"/>
      </sharedItems>
    </cacheField>
    <cacheField name="Duplicados" numFmtId="0">
      <sharedItems containsSemiMixedTypes="0" containsString="0" containsNumber="1" containsInteger="1" minValue="0" maxValue="0"/>
    </cacheField>
    <cacheField name="Meses (Fecha ingreso)" numFmtId="0" databaseField="0">
      <fieldGroup base="4">
        <rangePr groupBy="months" startDate="2021-06-18T00:00:00" endDate="2024-06-18T00:00:00"/>
        <groupItems count="14">
          <s v="&lt;18/06/202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8/06/2024"/>
        </groupItems>
      </fieldGroup>
    </cacheField>
    <cacheField name="Trimestres (Fecha ingreso)" numFmtId="0" databaseField="0">
      <fieldGroup base="4">
        <rangePr groupBy="quarters" startDate="2021-06-18T00:00:00" endDate="2024-06-18T00:00:00"/>
        <groupItems count="6">
          <s v="&lt;18/06/2021"/>
          <s v="Trim.1"/>
          <s v="Trim.2"/>
          <s v="Trim.3"/>
          <s v="Trim.4"/>
          <s v="&gt;18/06/2024"/>
        </groupItems>
      </fieldGroup>
    </cacheField>
    <cacheField name="Años (Fecha ingreso)" numFmtId="0" databaseField="0">
      <fieldGroup base="4">
        <rangePr groupBy="years" startDate="2021-06-18T00:00:00" endDate="2024-06-18T00:00:00"/>
        <groupItems count="6">
          <s v="&lt;18/06/2021"/>
          <s v="2021"/>
          <s v="2022"/>
          <s v="2023"/>
          <s v="2024"/>
          <s v="&gt;18/06/2024"/>
        </groupItems>
      </fieldGroup>
    </cacheField>
  </cacheFields>
  <extLst>
    <ext xmlns:x14="http://schemas.microsoft.com/office/spreadsheetml/2009/9/main" uri="{725AE2AE-9491-48be-B2B4-4EB974FC3084}">
      <x14:pivotCacheDefinition pivotCacheId="29607370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5">
  <r>
    <s v="c5ef7249-09ea-4c77-accc-d0ede4a0e196"/>
    <s v="687278bb-3847-4693-ae61-c671d0165ea5"/>
    <x v="0"/>
    <x v="0"/>
    <x v="0"/>
    <x v="0"/>
    <x v="0"/>
    <x v="0"/>
    <d v="2024-03-08T00:00:00"/>
    <n v="12"/>
    <n v="825.36"/>
    <x v="0"/>
    <x v="0"/>
    <x v="0"/>
    <x v="0"/>
    <x v="0"/>
    <n v="24"/>
    <x v="0"/>
    <n v="0"/>
  </r>
  <r>
    <s v="95609aa8-afc1-4f88-9115-9f65576bfe25"/>
    <s v="a5aeca44-32d1-4cf0-937d-1fba3b55d382"/>
    <x v="1"/>
    <x v="1"/>
    <x v="1"/>
    <x v="1"/>
    <x v="1"/>
    <x v="1"/>
    <d v="2023-01-18T00:00:00"/>
    <n v="14"/>
    <n v="528.5"/>
    <x v="1"/>
    <x v="1"/>
    <x v="1"/>
    <x v="1"/>
    <x v="1"/>
    <n v="12"/>
    <x v="1"/>
    <n v="0"/>
  </r>
  <r>
    <s v="8df8f95e-7126-48c5-9596-5f0089800d8f"/>
    <s v="d4c4a30f-1c21-40ba-a121-0fcaf36f2989"/>
    <x v="0"/>
    <x v="2"/>
    <x v="2"/>
    <x v="2"/>
    <x v="2"/>
    <x v="2"/>
    <d v="2024-05-28T00:00:00"/>
    <n v="2"/>
    <n v="145.62"/>
    <x v="2"/>
    <x v="2"/>
    <x v="1"/>
    <x v="2"/>
    <x v="2"/>
    <n v="6"/>
    <x v="2"/>
    <n v="0"/>
  </r>
  <r>
    <s v="90d7e0da-d2f5-4cb6-937c-5c1c043801bc"/>
    <s v="76f20b88-7c1f-42e1-baa4-372f523e7a14"/>
    <x v="1"/>
    <x v="3"/>
    <x v="3"/>
    <x v="1"/>
    <x v="3"/>
    <x v="3"/>
    <d v="2023-11-06T00:00:00"/>
    <n v="12"/>
    <n v="788.64"/>
    <x v="2"/>
    <x v="3"/>
    <x v="2"/>
    <x v="1"/>
    <x v="2"/>
    <n v="6"/>
    <x v="2"/>
    <n v="0"/>
  </r>
  <r>
    <s v="e29e8d57-637e-4f0c-978a-831b7621e4f6"/>
    <s v="77073e5a-fd1e-413a-8664-05b8ef8d7801"/>
    <x v="1"/>
    <x v="4"/>
    <x v="4"/>
    <x v="3"/>
    <x v="3"/>
    <x v="2"/>
    <d v="2023-09-17T00:00:00"/>
    <n v="10"/>
    <n v="429.20000000000005"/>
    <x v="1"/>
    <x v="4"/>
    <x v="2"/>
    <x v="1"/>
    <x v="0"/>
    <n v="24"/>
    <x v="0"/>
    <n v="0"/>
  </r>
  <r>
    <s v="a6c9a9ad-0949-4c7d-84bf-8934bdeb28a6"/>
    <s v="8b058e3f-6ac2-4286-8c90-639a8648f84b"/>
    <x v="2"/>
    <x v="5"/>
    <x v="5"/>
    <x v="4"/>
    <x v="1"/>
    <x v="4"/>
    <d v="2023-02-14T00:00:00"/>
    <n v="18"/>
    <n v="828.36"/>
    <x v="3"/>
    <x v="5"/>
    <x v="2"/>
    <x v="1"/>
    <x v="3"/>
    <n v="1"/>
    <x v="3"/>
    <n v="0"/>
  </r>
  <r>
    <s v="39994d80-fc21-42b2-8bdd-ba36d192496a"/>
    <s v="52c6cc16-bfc1-4f4c-bc04-85b956466b0d"/>
    <x v="0"/>
    <x v="6"/>
    <x v="6"/>
    <x v="5"/>
    <x v="3"/>
    <x v="2"/>
    <d v="2023-02-02T00:00:00"/>
    <n v="8"/>
    <n v="507.04"/>
    <x v="1"/>
    <x v="6"/>
    <x v="0"/>
    <x v="1"/>
    <x v="1"/>
    <n v="12"/>
    <x v="1"/>
    <n v="0"/>
  </r>
  <r>
    <s v="bc2533a8-17b7-4574-8244-d207ed5bfd35"/>
    <s v="65c98d17-ced5-4d3c-a772-80d95738540b"/>
    <x v="2"/>
    <x v="7"/>
    <x v="7"/>
    <x v="2"/>
    <x v="0"/>
    <x v="1"/>
    <d v="2023-07-20T00:00:00"/>
    <n v="4"/>
    <n v="46.6"/>
    <x v="0"/>
    <x v="7"/>
    <x v="1"/>
    <x v="2"/>
    <x v="3"/>
    <n v="1"/>
    <x v="3"/>
    <n v="0"/>
  </r>
  <r>
    <s v="23bed105-fe48-444f-8666-22328f0f0c68"/>
    <s v="03cba34f-c539-4727-82c6-08cf063ea6cd"/>
    <x v="0"/>
    <x v="8"/>
    <x v="8"/>
    <x v="6"/>
    <x v="1"/>
    <x v="5"/>
    <d v="2023-12-23T00:00:00"/>
    <n v="29"/>
    <n v="2410.77"/>
    <x v="1"/>
    <x v="8"/>
    <x v="2"/>
    <x v="0"/>
    <x v="0"/>
    <n v="24"/>
    <x v="0"/>
    <n v="0"/>
  </r>
  <r>
    <s v="dbd5f3a0-d426-4743-bafe-9fffc38ffbd0"/>
    <s v="97395c5d-3441-43d1-8eb0-0b8c38462cfd"/>
    <x v="1"/>
    <x v="9"/>
    <x v="9"/>
    <x v="0"/>
    <x v="2"/>
    <x v="3"/>
    <d v="2024-06-09T00:00:00"/>
    <n v="4"/>
    <n v="62"/>
    <x v="0"/>
    <x v="9"/>
    <x v="2"/>
    <x v="0"/>
    <x v="2"/>
    <n v="6"/>
    <x v="2"/>
    <n v="0"/>
  </r>
  <r>
    <s v="5e115b7f-4430-4d3a-9740-80a2b0bbda14"/>
    <s v="9b66482b-ca62-487b-8f7f-c7b01596f028"/>
    <x v="2"/>
    <x v="10"/>
    <x v="10"/>
    <x v="7"/>
    <x v="1"/>
    <x v="0"/>
    <d v="2023-02-19T00:00:00"/>
    <n v="17"/>
    <n v="739.67"/>
    <x v="2"/>
    <x v="4"/>
    <x v="0"/>
    <x v="0"/>
    <x v="2"/>
    <n v="6"/>
    <x v="2"/>
    <n v="0"/>
  </r>
  <r>
    <s v="04cf3108-ce84-4e66-a255-e1cacce81662"/>
    <s v="ebc2668c-a84d-450d-b3fa-dfb607fb1b2f"/>
    <x v="0"/>
    <x v="11"/>
    <x v="11"/>
    <x v="2"/>
    <x v="0"/>
    <x v="3"/>
    <d v="2023-09-05T00:00:00"/>
    <n v="6"/>
    <n v="213"/>
    <x v="0"/>
    <x v="8"/>
    <x v="0"/>
    <x v="2"/>
    <x v="0"/>
    <n v="24"/>
    <x v="0"/>
    <n v="0"/>
  </r>
  <r>
    <s v="631d8bac-52fa-456c-a3f9-638d273cafee"/>
    <s v="9884651b-f3d8-4c38-9eb6-70dd4f667525"/>
    <x v="1"/>
    <x v="12"/>
    <x v="12"/>
    <x v="4"/>
    <x v="0"/>
    <x v="3"/>
    <d v="2024-01-07T00:00:00"/>
    <n v="5"/>
    <n v="39.25"/>
    <x v="0"/>
    <x v="1"/>
    <x v="0"/>
    <x v="1"/>
    <x v="2"/>
    <n v="6"/>
    <x v="2"/>
    <n v="0"/>
  </r>
  <r>
    <s v="af8df5e8-5e4d-4047-a9f2-2a131775a491"/>
    <s v="4f3e76b8-3d86-4e07-8dfb-fd3db71697c8"/>
    <x v="1"/>
    <x v="13"/>
    <x v="13"/>
    <x v="8"/>
    <x v="3"/>
    <x v="1"/>
    <d v="2024-01-08T00:00:00"/>
    <n v="24"/>
    <n v="370.32"/>
    <x v="3"/>
    <x v="10"/>
    <x v="2"/>
    <x v="0"/>
    <x v="3"/>
    <n v="1"/>
    <x v="3"/>
    <n v="0"/>
  </r>
  <r>
    <s v="46654de5-86a4-46e5-8694-f8798f36885c"/>
    <s v="78dfc8cb-7d24-4c91-9bc0-ca79765e6c62"/>
    <x v="1"/>
    <x v="14"/>
    <x v="14"/>
    <x v="5"/>
    <x v="3"/>
    <x v="3"/>
    <d v="2023-06-27T00:00:00"/>
    <n v="13"/>
    <n v="813.80000000000007"/>
    <x v="4"/>
    <x v="11"/>
    <x v="1"/>
    <x v="0"/>
    <x v="3"/>
    <n v="1"/>
    <x v="3"/>
    <n v="0"/>
  </r>
  <r>
    <s v="dc9a516f-86ef-43a3-a2ce-090fdb7f8fb3"/>
    <s v="093dc39e-4780-436b-9aed-71c2cdca9a37"/>
    <x v="1"/>
    <x v="15"/>
    <x v="15"/>
    <x v="7"/>
    <x v="0"/>
    <x v="4"/>
    <d v="2023-12-16T00:00:00"/>
    <n v="2"/>
    <n v="130.6"/>
    <x v="3"/>
    <x v="1"/>
    <x v="0"/>
    <x v="1"/>
    <x v="1"/>
    <n v="12"/>
    <x v="1"/>
    <n v="0"/>
  </r>
  <r>
    <s v="933c791a-8089-4f20-a0e5-8d1e02195877"/>
    <s v="561969ca-0113-4100-b7da-6a0b4a2681a5"/>
    <x v="0"/>
    <x v="16"/>
    <x v="16"/>
    <x v="1"/>
    <x v="1"/>
    <x v="4"/>
    <d v="2022-04-19T00:00:00"/>
    <n v="5"/>
    <n v="74.05"/>
    <x v="3"/>
    <x v="7"/>
    <x v="2"/>
    <x v="2"/>
    <x v="1"/>
    <n v="12"/>
    <x v="1"/>
    <n v="0"/>
  </r>
  <r>
    <s v="accdf57d-bc49-47da-b6bd-92e7b15a3e92"/>
    <s v="94e6ce68-8bb1-4bef-8f13-b5f595dfd5a6"/>
    <x v="1"/>
    <x v="17"/>
    <x v="17"/>
    <x v="7"/>
    <x v="1"/>
    <x v="2"/>
    <d v="2022-08-20T00:00:00"/>
    <n v="11"/>
    <n v="961.18"/>
    <x v="4"/>
    <x v="12"/>
    <x v="2"/>
    <x v="0"/>
    <x v="3"/>
    <n v="1"/>
    <x v="3"/>
    <n v="0"/>
  </r>
  <r>
    <s v="d746b5ad-3e60-48f2-87c8-9bb1edada1bb"/>
    <s v="fd20b3ab-93d5-406d-b641-dfe06a26cda0"/>
    <x v="2"/>
    <x v="18"/>
    <x v="18"/>
    <x v="1"/>
    <x v="0"/>
    <x v="6"/>
    <d v="2024-03-12T00:00:00"/>
    <n v="3"/>
    <n v="23.31"/>
    <x v="2"/>
    <x v="13"/>
    <x v="2"/>
    <x v="0"/>
    <x v="0"/>
    <n v="24"/>
    <x v="0"/>
    <n v="0"/>
  </r>
  <r>
    <s v="a7881bc0-4cb6-47b1-930a-11164fe74411"/>
    <s v="210a8234-b816-4fc4-804b-883a7efdefd6"/>
    <x v="0"/>
    <x v="19"/>
    <x v="19"/>
    <x v="0"/>
    <x v="3"/>
    <x v="1"/>
    <d v="2023-06-22T00:00:00"/>
    <n v="15"/>
    <n v="837.3"/>
    <x v="3"/>
    <x v="14"/>
    <x v="0"/>
    <x v="0"/>
    <x v="0"/>
    <n v="24"/>
    <x v="0"/>
    <n v="0"/>
  </r>
  <r>
    <s v="16643133-c393-4b6e-ac8c-e971fa0793f4"/>
    <s v="629f2fce-6151-4161-b388-49af841d5ac6"/>
    <x v="2"/>
    <x v="20"/>
    <x v="20"/>
    <x v="3"/>
    <x v="1"/>
    <x v="1"/>
    <d v="2023-09-06T00:00:00"/>
    <n v="22"/>
    <n v="954.8"/>
    <x v="5"/>
    <x v="15"/>
    <x v="2"/>
    <x v="2"/>
    <x v="0"/>
    <n v="24"/>
    <x v="0"/>
    <n v="0"/>
  </r>
  <r>
    <s v="84f68c4b-cc10-41fa-8208-3ae7559deca0"/>
    <s v="4737825a-30b4-4fe2-958d-fc3063425f01"/>
    <x v="0"/>
    <x v="21"/>
    <x v="21"/>
    <x v="4"/>
    <x v="3"/>
    <x v="3"/>
    <d v="2022-09-30T00:00:00"/>
    <n v="1"/>
    <n v="54.8"/>
    <x v="5"/>
    <x v="16"/>
    <x v="2"/>
    <x v="1"/>
    <x v="0"/>
    <n v="24"/>
    <x v="0"/>
    <n v="0"/>
  </r>
  <r>
    <s v="3343e136-5072-42ff-bbcf-d9e1483c04e3"/>
    <s v="24ac2cf2-3e26-47bd-bf5f-fd11b9fa171b"/>
    <x v="1"/>
    <x v="22"/>
    <x v="22"/>
    <x v="1"/>
    <x v="3"/>
    <x v="4"/>
    <d v="2023-09-15T00:00:00"/>
    <n v="9"/>
    <n v="357.12"/>
    <x v="5"/>
    <x v="17"/>
    <x v="0"/>
    <x v="0"/>
    <x v="2"/>
    <n v="6"/>
    <x v="2"/>
    <n v="0"/>
  </r>
  <r>
    <s v="94691fe7-f201-4716-b000-231a5ce9bf5c"/>
    <s v="a262883f-b3b2-441e-b0ee-7aff0ed75af6"/>
    <x v="1"/>
    <x v="23"/>
    <x v="23"/>
    <x v="8"/>
    <x v="3"/>
    <x v="2"/>
    <d v="2024-01-08T00:00:00"/>
    <n v="24"/>
    <n v="554.40000000000009"/>
    <x v="1"/>
    <x v="18"/>
    <x v="0"/>
    <x v="1"/>
    <x v="2"/>
    <n v="6"/>
    <x v="2"/>
    <n v="0"/>
  </r>
  <r>
    <s v="23b49ece-9609-4549-b07b-1496dd5f2e71"/>
    <s v="b8ff5fbb-7bf0-41c5-84b2-a1d32421e383"/>
    <x v="2"/>
    <x v="24"/>
    <x v="24"/>
    <x v="8"/>
    <x v="0"/>
    <x v="1"/>
    <d v="2023-05-26T00:00:00"/>
    <n v="4"/>
    <n v="27.28"/>
    <x v="1"/>
    <x v="19"/>
    <x v="1"/>
    <x v="0"/>
    <x v="0"/>
    <n v="24"/>
    <x v="0"/>
    <n v="0"/>
  </r>
  <r>
    <s v="6e7b22ec-ebb9-41f4-bbe1-e5d008bce4fb"/>
    <s v="2a4051ba-6fc7-4087-a1d2-24f2b3a30a5f"/>
    <x v="0"/>
    <x v="25"/>
    <x v="25"/>
    <x v="9"/>
    <x v="3"/>
    <x v="4"/>
    <d v="2023-12-06T00:00:00"/>
    <n v="16"/>
    <n v="867.52"/>
    <x v="3"/>
    <x v="13"/>
    <x v="0"/>
    <x v="1"/>
    <x v="2"/>
    <n v="6"/>
    <x v="2"/>
    <n v="0"/>
  </r>
  <r>
    <s v="9de35274-daaf-4e36-af44-3f901f303c60"/>
    <s v="096704b1-0e35-48bb-bf3a-0f90ec067daf"/>
    <x v="1"/>
    <x v="26"/>
    <x v="26"/>
    <x v="9"/>
    <x v="1"/>
    <x v="4"/>
    <d v="2021-11-22T00:00:00"/>
    <n v="4"/>
    <n v="340.24"/>
    <x v="5"/>
    <x v="14"/>
    <x v="1"/>
    <x v="2"/>
    <x v="3"/>
    <n v="1"/>
    <x v="3"/>
    <n v="0"/>
  </r>
  <r>
    <s v="97b32755-044b-4e75-b114-f20673dd9063"/>
    <s v="07e209f0-571b-4dfb-8132-4891759ae400"/>
    <x v="1"/>
    <x v="27"/>
    <x v="27"/>
    <x v="8"/>
    <x v="3"/>
    <x v="4"/>
    <d v="2023-01-19T00:00:00"/>
    <n v="13"/>
    <n v="525.98"/>
    <x v="2"/>
    <x v="20"/>
    <x v="0"/>
    <x v="0"/>
    <x v="1"/>
    <n v="12"/>
    <x v="1"/>
    <n v="0"/>
  </r>
  <r>
    <s v="878330b9-e589-4326-a1bf-b6b52fe118f8"/>
    <s v="10de6f46-acaf-474d-875c-6348ad73a331"/>
    <x v="1"/>
    <x v="28"/>
    <x v="7"/>
    <x v="2"/>
    <x v="0"/>
    <x v="1"/>
    <d v="2024-01-12T00:00:00"/>
    <n v="10"/>
    <n v="261.70000000000005"/>
    <x v="2"/>
    <x v="1"/>
    <x v="0"/>
    <x v="0"/>
    <x v="2"/>
    <n v="6"/>
    <x v="2"/>
    <n v="0"/>
  </r>
  <r>
    <s v="1982d03b-f137-4c06-be09-b945e8c1037a"/>
    <s v="a9a39312-8d22-4619-8d26-ad7ed6e30528"/>
    <x v="0"/>
    <x v="29"/>
    <x v="28"/>
    <x v="4"/>
    <x v="1"/>
    <x v="1"/>
    <d v="2021-11-24T00:00:00"/>
    <n v="3"/>
    <n v="37.950000000000003"/>
    <x v="0"/>
    <x v="3"/>
    <x v="2"/>
    <x v="1"/>
    <x v="2"/>
    <n v="6"/>
    <x v="2"/>
    <n v="0"/>
  </r>
  <r>
    <s v="d45c8199-5ce5-4afd-aaf0-ecbe244b57f1"/>
    <s v="069f2900-604b-436d-b7a3-f18b69ec3d3a"/>
    <x v="2"/>
    <x v="30"/>
    <x v="29"/>
    <x v="8"/>
    <x v="3"/>
    <x v="4"/>
    <d v="2023-08-01T00:00:00"/>
    <n v="19"/>
    <n v="248.9"/>
    <x v="2"/>
    <x v="21"/>
    <x v="2"/>
    <x v="0"/>
    <x v="1"/>
    <n v="12"/>
    <x v="1"/>
    <n v="0"/>
  </r>
  <r>
    <s v="bd95797e-ceaa-450b-8737-dd65739bdd3c"/>
    <s v="15900bb4-35c9-4db0-be2b-2920e9073d54"/>
    <x v="0"/>
    <x v="31"/>
    <x v="30"/>
    <x v="7"/>
    <x v="1"/>
    <x v="4"/>
    <d v="2023-02-19T00:00:00"/>
    <n v="16"/>
    <n v="416.48"/>
    <x v="3"/>
    <x v="22"/>
    <x v="0"/>
    <x v="2"/>
    <x v="1"/>
    <n v="12"/>
    <x v="1"/>
    <n v="0"/>
  </r>
  <r>
    <s v="33e557af-e4a1-4ef4-aa28-e9460f29f9ef"/>
    <s v="9680f181-6354-4a76-8865-b18f4bf49a05"/>
    <x v="2"/>
    <x v="32"/>
    <x v="31"/>
    <x v="4"/>
    <x v="1"/>
    <x v="2"/>
    <d v="2023-12-22T00:00:00"/>
    <n v="28"/>
    <n v="406"/>
    <x v="2"/>
    <x v="23"/>
    <x v="2"/>
    <x v="1"/>
    <x v="0"/>
    <n v="24"/>
    <x v="0"/>
    <n v="0"/>
  </r>
  <r>
    <s v="838fa387-c028-4dc2-bc48-8b2c609fe6dd"/>
    <s v="aa0466aa-d94f-4dbf-b805-805641c637f2"/>
    <x v="2"/>
    <x v="33"/>
    <x v="32"/>
    <x v="3"/>
    <x v="3"/>
    <x v="5"/>
    <d v="2022-12-09T00:00:00"/>
    <n v="1"/>
    <n v="30.18"/>
    <x v="1"/>
    <x v="11"/>
    <x v="1"/>
    <x v="0"/>
    <x v="1"/>
    <n v="12"/>
    <x v="1"/>
    <n v="0"/>
  </r>
  <r>
    <s v="1792c415-5cae-445a-96d6-be7eceadaf6f"/>
    <s v="d38fe0e9-03b2-4745-94bd-b53ee3ec45ec"/>
    <x v="0"/>
    <x v="34"/>
    <x v="33"/>
    <x v="0"/>
    <x v="3"/>
    <x v="1"/>
    <d v="2023-02-24T00:00:00"/>
    <n v="12"/>
    <n v="135.35999999999999"/>
    <x v="2"/>
    <x v="24"/>
    <x v="0"/>
    <x v="1"/>
    <x v="2"/>
    <n v="6"/>
    <x v="2"/>
    <n v="0"/>
  </r>
  <r>
    <s v="5efa1166-bdc9-4f78-a5ff-0a4b4f4bdf33"/>
    <s v="f00c6931-3a53-479e-9af9-a369cae5b016"/>
    <x v="2"/>
    <x v="35"/>
    <x v="34"/>
    <x v="8"/>
    <x v="3"/>
    <x v="1"/>
    <d v="2024-03-27T00:00:00"/>
    <n v="26"/>
    <n v="291.98"/>
    <x v="2"/>
    <x v="3"/>
    <x v="1"/>
    <x v="1"/>
    <x v="2"/>
    <n v="6"/>
    <x v="2"/>
    <n v="0"/>
  </r>
  <r>
    <s v="a711bd7e-c078-4db1-8d36-b2345177b433"/>
    <s v="825ea158-7a88-4327-8c45-85f8dbb3e5b6"/>
    <x v="0"/>
    <x v="36"/>
    <x v="35"/>
    <x v="0"/>
    <x v="0"/>
    <x v="2"/>
    <d v="2023-07-01T00:00:00"/>
    <n v="4"/>
    <n v="345.4"/>
    <x v="5"/>
    <x v="25"/>
    <x v="0"/>
    <x v="0"/>
    <x v="0"/>
    <n v="24"/>
    <x v="0"/>
    <n v="0"/>
  </r>
  <r>
    <s v="05f624b3-9c30-4661-bf4d-ceb3a61d99a4"/>
    <s v="2d7df403-aeb1-4740-8786-86563408c4d3"/>
    <x v="0"/>
    <x v="37"/>
    <x v="36"/>
    <x v="10"/>
    <x v="0"/>
    <x v="3"/>
    <d v="2023-03-20T00:00:00"/>
    <n v="2"/>
    <n v="40.799999999999997"/>
    <x v="3"/>
    <x v="26"/>
    <x v="0"/>
    <x v="1"/>
    <x v="2"/>
    <n v="6"/>
    <x v="2"/>
    <n v="0"/>
  </r>
  <r>
    <s v="1ac4cc9c-4439-4dda-8295-d20082e12f6f"/>
    <s v="cccba992-f812-4d74-b6f4-f4d60079dc82"/>
    <x v="0"/>
    <x v="38"/>
    <x v="37"/>
    <x v="10"/>
    <x v="3"/>
    <x v="0"/>
    <d v="2023-03-09T00:00:00"/>
    <n v="14"/>
    <n v="814.38"/>
    <x v="3"/>
    <x v="27"/>
    <x v="0"/>
    <x v="1"/>
    <x v="1"/>
    <n v="12"/>
    <x v="1"/>
    <n v="0"/>
  </r>
  <r>
    <s v="bc6a93bc-12cc-4909-8d78-d10f78a28ac9"/>
    <s v="271e2f68-f74c-4f56-9a21-fab03023b727"/>
    <x v="1"/>
    <x v="39"/>
    <x v="38"/>
    <x v="9"/>
    <x v="0"/>
    <x v="0"/>
    <d v="2023-11-10T00:00:00"/>
    <n v="3"/>
    <n v="235.44"/>
    <x v="2"/>
    <x v="21"/>
    <x v="0"/>
    <x v="1"/>
    <x v="2"/>
    <n v="6"/>
    <x v="2"/>
    <n v="0"/>
  </r>
  <r>
    <s v="b1a6ed80-f9df-4018-8cca-166efec229f0"/>
    <s v="c9f16dac-2d1e-44db-8c2f-5dfe10fd0d28"/>
    <x v="1"/>
    <x v="40"/>
    <x v="39"/>
    <x v="4"/>
    <x v="3"/>
    <x v="2"/>
    <d v="2024-01-24T00:00:00"/>
    <n v="17"/>
    <n v="822.12"/>
    <x v="1"/>
    <x v="28"/>
    <x v="0"/>
    <x v="2"/>
    <x v="0"/>
    <n v="24"/>
    <x v="0"/>
    <n v="0"/>
  </r>
  <r>
    <s v="f561a5e2-242f-44d4-ab27-8b7651695784"/>
    <s v="93275082-19b2-4078-bb03-a06cbbcd9227"/>
    <x v="2"/>
    <x v="41"/>
    <x v="40"/>
    <x v="9"/>
    <x v="0"/>
    <x v="2"/>
    <d v="2024-06-01T00:00:00"/>
    <n v="10"/>
    <n v="195.7"/>
    <x v="0"/>
    <x v="25"/>
    <x v="2"/>
    <x v="2"/>
    <x v="3"/>
    <n v="1"/>
    <x v="3"/>
    <n v="0"/>
  </r>
  <r>
    <s v="b560455a-d94f-4628-abd3-b083960b81c7"/>
    <s v="096def45-564c-4720-b467-bf26aa31b943"/>
    <x v="0"/>
    <x v="42"/>
    <x v="41"/>
    <x v="4"/>
    <x v="3"/>
    <x v="6"/>
    <d v="2023-12-01T00:00:00"/>
    <n v="15"/>
    <n v="359.40000000000003"/>
    <x v="5"/>
    <x v="29"/>
    <x v="1"/>
    <x v="2"/>
    <x v="2"/>
    <n v="6"/>
    <x v="2"/>
    <n v="0"/>
  </r>
  <r>
    <s v="7530b85b-71e7-464f-bea4-c35ab31f92b7"/>
    <s v="5c4decc2-625e-4349-8e9e-3b07a660cddb"/>
    <x v="0"/>
    <x v="43"/>
    <x v="42"/>
    <x v="11"/>
    <x v="0"/>
    <x v="2"/>
    <d v="2023-12-26T00:00:00"/>
    <n v="8"/>
    <n v="369.04"/>
    <x v="1"/>
    <x v="30"/>
    <x v="0"/>
    <x v="0"/>
    <x v="1"/>
    <n v="12"/>
    <x v="1"/>
    <n v="0"/>
  </r>
  <r>
    <s v="fd21750b-fc8c-440f-9787-4f2e6e7716ce"/>
    <s v="fb910c63-fda9-4145-99ce-8a63735162ae"/>
    <x v="1"/>
    <x v="44"/>
    <x v="43"/>
    <x v="0"/>
    <x v="3"/>
    <x v="0"/>
    <d v="2024-05-22T00:00:00"/>
    <n v="27"/>
    <n v="1489.86"/>
    <x v="0"/>
    <x v="19"/>
    <x v="2"/>
    <x v="1"/>
    <x v="0"/>
    <n v="24"/>
    <x v="0"/>
    <n v="0"/>
  </r>
  <r>
    <s v="9895f3e6-3a5a-4e86-88c4-b60283d19846"/>
    <s v="4f0e74ed-5273-4c74-8ba7-41906161e02d"/>
    <x v="0"/>
    <x v="45"/>
    <x v="44"/>
    <x v="7"/>
    <x v="1"/>
    <x v="2"/>
    <d v="2024-01-09T00:00:00"/>
    <n v="27"/>
    <n v="1031.4000000000001"/>
    <x v="5"/>
    <x v="7"/>
    <x v="0"/>
    <x v="0"/>
    <x v="0"/>
    <n v="24"/>
    <x v="0"/>
    <n v="0"/>
  </r>
  <r>
    <s v="e1096934-93c1-4a2e-9491-c8c288aa858a"/>
    <s v="581e6b19-680b-4174-b47e-25041700e15e"/>
    <x v="1"/>
    <x v="46"/>
    <x v="45"/>
    <x v="11"/>
    <x v="0"/>
    <x v="0"/>
    <d v="2024-05-27T00:00:00"/>
    <n v="12"/>
    <n v="950.87999999999988"/>
    <x v="3"/>
    <x v="31"/>
    <x v="0"/>
    <x v="0"/>
    <x v="3"/>
    <n v="1"/>
    <x v="3"/>
    <n v="0"/>
  </r>
  <r>
    <s v="39b6bf5e-093b-4e4f-84c9-36aae5b0efd7"/>
    <s v="e1104364-ad0d-42a5-9857-82e9c3b98fab"/>
    <x v="2"/>
    <x v="47"/>
    <x v="46"/>
    <x v="4"/>
    <x v="3"/>
    <x v="0"/>
    <d v="2022-12-04T00:00:00"/>
    <n v="3"/>
    <n v="229.04999999999998"/>
    <x v="4"/>
    <x v="22"/>
    <x v="1"/>
    <x v="2"/>
    <x v="1"/>
    <n v="12"/>
    <x v="1"/>
    <n v="0"/>
  </r>
  <r>
    <s v="78796c2e-aa3c-4bae-882a-173a48f38165"/>
    <s v="a01dee4a-4430-4bcf-bce1-be4c4e45a8a8"/>
    <x v="2"/>
    <x v="48"/>
    <x v="47"/>
    <x v="9"/>
    <x v="1"/>
    <x v="3"/>
    <d v="2023-07-13T00:00:00"/>
    <n v="23"/>
    <n v="2141.0700000000002"/>
    <x v="1"/>
    <x v="13"/>
    <x v="0"/>
    <x v="2"/>
    <x v="2"/>
    <n v="6"/>
    <x v="2"/>
    <n v="0"/>
  </r>
  <r>
    <s v="6b5beb37-1e42-43c1-a4d5-dbd978af0290"/>
    <s v="186d549f-c866-43c1-9ae4-e71c4ac23c23"/>
    <x v="0"/>
    <x v="49"/>
    <x v="48"/>
    <x v="7"/>
    <x v="3"/>
    <x v="0"/>
    <d v="2023-03-09T00:00:00"/>
    <n v="5"/>
    <n v="38.75"/>
    <x v="5"/>
    <x v="17"/>
    <x v="1"/>
    <x v="1"/>
    <x v="3"/>
    <n v="1"/>
    <x v="3"/>
    <n v="0"/>
  </r>
  <r>
    <s v="374a4faa-f014-4632-96d3-c22de7dda804"/>
    <s v="78b9dbd1-7021-470b-aa2d-fd035f8298cb"/>
    <x v="1"/>
    <x v="50"/>
    <x v="49"/>
    <x v="7"/>
    <x v="1"/>
    <x v="4"/>
    <d v="2023-10-11T00:00:00"/>
    <n v="25"/>
    <n v="2252.25"/>
    <x v="2"/>
    <x v="32"/>
    <x v="0"/>
    <x v="0"/>
    <x v="2"/>
    <n v="6"/>
    <x v="2"/>
    <n v="0"/>
  </r>
  <r>
    <s v="bd1f5da0-26dd-4108-b359-e933b7445137"/>
    <s v="1bf49302-1be0-4fe9-ac49-adb8ead20040"/>
    <x v="1"/>
    <x v="51"/>
    <x v="50"/>
    <x v="4"/>
    <x v="1"/>
    <x v="4"/>
    <d v="2022-05-11T00:00:00"/>
    <n v="8"/>
    <n v="338.32"/>
    <x v="1"/>
    <x v="33"/>
    <x v="2"/>
    <x v="0"/>
    <x v="1"/>
    <n v="12"/>
    <x v="1"/>
    <n v="0"/>
  </r>
  <r>
    <s v="abd287e8-d858-4bc5-b63d-67f121a4a191"/>
    <s v="1c984576-f048-4081-9dd5-38d15d0e5b40"/>
    <x v="1"/>
    <x v="52"/>
    <x v="51"/>
    <x v="7"/>
    <x v="0"/>
    <x v="1"/>
    <d v="2023-12-20T00:00:00"/>
    <n v="3"/>
    <n v="265.35000000000002"/>
    <x v="1"/>
    <x v="17"/>
    <x v="0"/>
    <x v="1"/>
    <x v="2"/>
    <n v="6"/>
    <x v="2"/>
    <n v="0"/>
  </r>
  <r>
    <s v="6abc0df5-895e-4bc4-ae86-e94d17ef4b96"/>
    <s v="a8e3bd51-5ffd-4368-b125-d7a2a0737c3b"/>
    <x v="1"/>
    <x v="53"/>
    <x v="52"/>
    <x v="1"/>
    <x v="1"/>
    <x v="0"/>
    <d v="2022-10-11T00:00:00"/>
    <n v="10"/>
    <n v="706.2"/>
    <x v="2"/>
    <x v="3"/>
    <x v="2"/>
    <x v="2"/>
    <x v="2"/>
    <n v="6"/>
    <x v="2"/>
    <n v="0"/>
  </r>
  <r>
    <s v="0b35bee8-47d8-47ba-89e4-165f9c37b884"/>
    <s v="b3276dba-9d8f-4484-bce0-59e97f7b8b9a"/>
    <x v="2"/>
    <x v="54"/>
    <x v="53"/>
    <x v="8"/>
    <x v="2"/>
    <x v="4"/>
    <d v="2024-04-03T00:00:00"/>
    <n v="3"/>
    <n v="231.39"/>
    <x v="4"/>
    <x v="33"/>
    <x v="2"/>
    <x v="2"/>
    <x v="1"/>
    <n v="12"/>
    <x v="1"/>
    <n v="0"/>
  </r>
  <r>
    <s v="6c3e464b-4ac4-42e0-80f0-fa9f036315a1"/>
    <s v="57108764-69ca-414a-8b2a-c8f5de33fed3"/>
    <x v="2"/>
    <x v="55"/>
    <x v="54"/>
    <x v="8"/>
    <x v="2"/>
    <x v="0"/>
    <d v="2024-06-12T00:00:00"/>
    <n v="5"/>
    <n v="198.15"/>
    <x v="0"/>
    <x v="34"/>
    <x v="2"/>
    <x v="2"/>
    <x v="1"/>
    <n v="12"/>
    <x v="1"/>
    <n v="0"/>
  </r>
  <r>
    <s v="a64d2bee-548e-4c26-90ed-41b102792a4c"/>
    <s v="fe07c969-eaa9-45ec-b55d-b4bdb7c4d86c"/>
    <x v="0"/>
    <x v="56"/>
    <x v="55"/>
    <x v="5"/>
    <x v="0"/>
    <x v="3"/>
    <d v="2023-10-13T00:00:00"/>
    <n v="4"/>
    <n v="210.4"/>
    <x v="3"/>
    <x v="2"/>
    <x v="0"/>
    <x v="1"/>
    <x v="0"/>
    <n v="24"/>
    <x v="0"/>
    <n v="0"/>
  </r>
  <r>
    <s v="59ebba0f-00d1-46cf-a45f-8f3436f45e6c"/>
    <s v="459ead70-ff8d-44c1-9164-63f89db68fd2"/>
    <x v="2"/>
    <x v="57"/>
    <x v="56"/>
    <x v="2"/>
    <x v="0"/>
    <x v="6"/>
    <d v="2023-06-26T00:00:00"/>
    <n v="3"/>
    <n v="122.28"/>
    <x v="2"/>
    <x v="35"/>
    <x v="0"/>
    <x v="1"/>
    <x v="2"/>
    <n v="6"/>
    <x v="2"/>
    <n v="0"/>
  </r>
  <r>
    <s v="03983122-14f8-438a-9ec6-97c1474d816d"/>
    <s v="3710df9a-8755-49ad-8257-9ecc65c7b83d"/>
    <x v="1"/>
    <x v="58"/>
    <x v="57"/>
    <x v="2"/>
    <x v="2"/>
    <x v="3"/>
    <d v="2024-05-22T00:00:00"/>
    <n v="1"/>
    <n v="39.67"/>
    <x v="5"/>
    <x v="36"/>
    <x v="2"/>
    <x v="1"/>
    <x v="0"/>
    <n v="24"/>
    <x v="0"/>
    <n v="0"/>
  </r>
  <r>
    <s v="4df50c5b-61b8-4a45-b90a-80bfd56374e6"/>
    <s v="cf4d48c0-06fe-4ca3-b654-c3b0a7d387eb"/>
    <x v="0"/>
    <x v="59"/>
    <x v="58"/>
    <x v="9"/>
    <x v="0"/>
    <x v="2"/>
    <d v="2023-12-22T00:00:00"/>
    <n v="4"/>
    <n v="119.16"/>
    <x v="5"/>
    <x v="29"/>
    <x v="2"/>
    <x v="1"/>
    <x v="0"/>
    <n v="24"/>
    <x v="0"/>
    <n v="0"/>
  </r>
  <r>
    <s v="6758ae51-9358-4ddf-8124-9e5ecca4511e"/>
    <s v="52704829-ccfe-4404-8153-b48ac555e898"/>
    <x v="1"/>
    <x v="60"/>
    <x v="59"/>
    <x v="2"/>
    <x v="2"/>
    <x v="0"/>
    <d v="2024-04-26T00:00:00"/>
    <n v="1"/>
    <n v="52.12"/>
    <x v="4"/>
    <x v="1"/>
    <x v="1"/>
    <x v="1"/>
    <x v="1"/>
    <n v="12"/>
    <x v="1"/>
    <n v="0"/>
  </r>
  <r>
    <s v="a949266b-ad02-415a-ba38-4ede9fd7198c"/>
    <s v="a4e42e28-10af-414c-b724-55784023eab7"/>
    <x v="2"/>
    <x v="61"/>
    <x v="60"/>
    <x v="0"/>
    <x v="0"/>
    <x v="2"/>
    <d v="2024-03-28T00:00:00"/>
    <n v="13"/>
    <n v="907.01"/>
    <x v="0"/>
    <x v="37"/>
    <x v="0"/>
    <x v="2"/>
    <x v="0"/>
    <n v="24"/>
    <x v="0"/>
    <n v="0"/>
  </r>
  <r>
    <s v="8b1ef8bc-2e26-4210-b8e6-fd090dc86b7e"/>
    <s v="f6048317-89d0-47ca-837a-772c100816ab"/>
    <x v="0"/>
    <x v="62"/>
    <x v="61"/>
    <x v="7"/>
    <x v="1"/>
    <x v="5"/>
    <d v="2022-07-21T00:00:00"/>
    <n v="10"/>
    <n v="313.5"/>
    <x v="2"/>
    <x v="3"/>
    <x v="1"/>
    <x v="2"/>
    <x v="0"/>
    <n v="24"/>
    <x v="0"/>
    <n v="0"/>
  </r>
  <r>
    <s v="ebd920f4-1160-4153-8946-918deaa8a2f0"/>
    <s v="12981b80-d97e-4bc7-86ac-7a3f11320801"/>
    <x v="0"/>
    <x v="63"/>
    <x v="62"/>
    <x v="5"/>
    <x v="1"/>
    <x v="4"/>
    <d v="2023-09-22T00:00:00"/>
    <n v="27"/>
    <n v="1480.14"/>
    <x v="0"/>
    <x v="21"/>
    <x v="2"/>
    <x v="0"/>
    <x v="2"/>
    <n v="6"/>
    <x v="2"/>
    <n v="0"/>
  </r>
  <r>
    <s v="c8ff102d-f228-4122-9008-fcd5b801eddc"/>
    <s v="45ed4394-baf3-432d-817f-12db12e3d17b"/>
    <x v="2"/>
    <x v="64"/>
    <x v="63"/>
    <x v="11"/>
    <x v="2"/>
    <x v="4"/>
    <d v="2024-05-23T00:00:00"/>
    <n v="1"/>
    <n v="16.149999999999999"/>
    <x v="2"/>
    <x v="38"/>
    <x v="1"/>
    <x v="2"/>
    <x v="2"/>
    <n v="6"/>
    <x v="2"/>
    <n v="0"/>
  </r>
  <r>
    <s v="145cba88-eea9-4934-a200-37265f4c60b1"/>
    <s v="c19a7580-0b7a-48e4-9c01-3684c69e1a5d"/>
    <x v="0"/>
    <x v="65"/>
    <x v="64"/>
    <x v="0"/>
    <x v="2"/>
    <x v="3"/>
    <d v="2024-05-25T00:00:00"/>
    <n v="3"/>
    <n v="60.570000000000007"/>
    <x v="3"/>
    <x v="19"/>
    <x v="1"/>
    <x v="0"/>
    <x v="3"/>
    <n v="1"/>
    <x v="3"/>
    <n v="0"/>
  </r>
  <r>
    <s v="5f2000ca-a0b7-4c94-9ab5-bbd98c57f78e"/>
    <s v="95b7babb-6e49-4c16-ab20-ab59b152d2c6"/>
    <x v="0"/>
    <x v="66"/>
    <x v="65"/>
    <x v="10"/>
    <x v="0"/>
    <x v="1"/>
    <d v="2024-03-31T00:00:00"/>
    <n v="14"/>
    <n v="1361.08"/>
    <x v="6"/>
    <x v="32"/>
    <x v="1"/>
    <x v="2"/>
    <x v="0"/>
    <n v="24"/>
    <x v="0"/>
    <n v="0"/>
  </r>
  <r>
    <s v="f4517415-58b9-4e51-bdee-b4685d045193"/>
    <s v="44b2a0fd-ebe8-44ec-baf0-256a482367fc"/>
    <x v="0"/>
    <x v="67"/>
    <x v="66"/>
    <x v="10"/>
    <x v="2"/>
    <x v="6"/>
    <d v="2024-06-04T00:00:00"/>
    <n v="4"/>
    <n v="21.48"/>
    <x v="3"/>
    <x v="31"/>
    <x v="1"/>
    <x v="1"/>
    <x v="0"/>
    <n v="24"/>
    <x v="0"/>
    <n v="0"/>
  </r>
  <r>
    <s v="36e110c4-e938-4f47-aab9-570d66a34cec"/>
    <s v="f50fef68-23f5-44bf-a860-6e6703837dc6"/>
    <x v="0"/>
    <x v="68"/>
    <x v="67"/>
    <x v="5"/>
    <x v="3"/>
    <x v="2"/>
    <d v="2023-04-23T00:00:00"/>
    <n v="11"/>
    <n v="241.67"/>
    <x v="4"/>
    <x v="9"/>
    <x v="0"/>
    <x v="2"/>
    <x v="2"/>
    <n v="6"/>
    <x v="2"/>
    <n v="0"/>
  </r>
  <r>
    <s v="fa40dd7c-0827-401d-b34d-c016b2cc4548"/>
    <s v="e63e033c-9520-42d7-8682-62b9bf405559"/>
    <x v="0"/>
    <x v="69"/>
    <x v="68"/>
    <x v="7"/>
    <x v="1"/>
    <x v="6"/>
    <d v="2022-03-23T00:00:00"/>
    <n v="6"/>
    <n v="379.32"/>
    <x v="4"/>
    <x v="39"/>
    <x v="2"/>
    <x v="0"/>
    <x v="0"/>
    <n v="24"/>
    <x v="0"/>
    <n v="0"/>
  </r>
  <r>
    <s v="2051e87f-5de5-4005-98bb-9a65dab61e60"/>
    <s v="a4b4aaf0-13db-470a-a087-0363026955e2"/>
    <x v="2"/>
    <x v="70"/>
    <x v="69"/>
    <x v="5"/>
    <x v="2"/>
    <x v="5"/>
    <d v="2024-06-17T00:00:00"/>
    <n v="1"/>
    <n v="12.73"/>
    <x v="0"/>
    <x v="40"/>
    <x v="0"/>
    <x v="1"/>
    <x v="2"/>
    <n v="6"/>
    <x v="2"/>
    <n v="0"/>
  </r>
  <r>
    <s v="cbbaa1c5-80da-4c9a-851f-dcb422beab99"/>
    <s v="ef9ada20-195e-46dd-9496-5f7b920a5f60"/>
    <x v="0"/>
    <x v="71"/>
    <x v="70"/>
    <x v="2"/>
    <x v="3"/>
    <x v="6"/>
    <d v="2023-08-27T00:00:00"/>
    <n v="17"/>
    <n v="1509.26"/>
    <x v="4"/>
    <x v="7"/>
    <x v="0"/>
    <x v="1"/>
    <x v="1"/>
    <n v="12"/>
    <x v="1"/>
    <n v="0"/>
  </r>
  <r>
    <s v="8f67b2b6-0896-4d93-925b-4d9612c4fe8f"/>
    <s v="51070e83-4d5f-43f5-8bed-7db7c25a4fee"/>
    <x v="2"/>
    <x v="72"/>
    <x v="71"/>
    <x v="1"/>
    <x v="0"/>
    <x v="5"/>
    <d v="2024-01-11T00:00:00"/>
    <n v="2"/>
    <n v="146.72"/>
    <x v="3"/>
    <x v="14"/>
    <x v="2"/>
    <x v="2"/>
    <x v="3"/>
    <n v="1"/>
    <x v="3"/>
    <n v="0"/>
  </r>
  <r>
    <s v="51c9a6b7-7840-45b1-976b-4b8cf8ccfe45"/>
    <s v="47a66d76-2c6c-47ef-bb0b-886dcc9ccadf"/>
    <x v="1"/>
    <x v="73"/>
    <x v="72"/>
    <x v="8"/>
    <x v="2"/>
    <x v="1"/>
    <d v="2024-03-24T00:00:00"/>
    <n v="3"/>
    <n v="290.43"/>
    <x v="4"/>
    <x v="10"/>
    <x v="1"/>
    <x v="1"/>
    <x v="3"/>
    <n v="1"/>
    <x v="3"/>
    <n v="0"/>
  </r>
  <r>
    <s v="4726fe5d-9e51-465c-8123-0368236606a8"/>
    <s v="6b3405e5-52fa-4090-849c-a69efb3dc1fe"/>
    <x v="1"/>
    <x v="74"/>
    <x v="73"/>
    <x v="8"/>
    <x v="3"/>
    <x v="5"/>
    <d v="2024-05-07T00:00:00"/>
    <n v="28"/>
    <n v="1490.4399999999998"/>
    <x v="0"/>
    <x v="24"/>
    <x v="2"/>
    <x v="0"/>
    <x v="0"/>
    <n v="24"/>
    <x v="0"/>
    <n v="0"/>
  </r>
  <r>
    <s v="495655db-9178-4e1e-b89f-75e3a3de7bac"/>
    <s v="0079c6d2-894f-42e5-a2d9-66f8a894b2c8"/>
    <x v="1"/>
    <x v="75"/>
    <x v="74"/>
    <x v="0"/>
    <x v="0"/>
    <x v="4"/>
    <d v="2023-04-27T00:00:00"/>
    <n v="2"/>
    <n v="67.08"/>
    <x v="4"/>
    <x v="17"/>
    <x v="2"/>
    <x v="0"/>
    <x v="3"/>
    <n v="1"/>
    <x v="3"/>
    <n v="0"/>
  </r>
  <r>
    <s v="c1a09288-c37b-45fa-bd17-5707780b236e"/>
    <s v="987e07be-191f-40a7-837c-d750c7c7140b"/>
    <x v="0"/>
    <x v="76"/>
    <x v="75"/>
    <x v="7"/>
    <x v="1"/>
    <x v="2"/>
    <d v="2022-04-08T00:00:00"/>
    <n v="6"/>
    <n v="343.20000000000005"/>
    <x v="2"/>
    <x v="41"/>
    <x v="2"/>
    <x v="0"/>
    <x v="0"/>
    <n v="24"/>
    <x v="0"/>
    <n v="0"/>
  </r>
  <r>
    <s v="98c53c4a-785b-4f0d-8f00-72d22e454fe8"/>
    <s v="e6105e25-c94e-4894-87be-25e0e7c819f3"/>
    <x v="1"/>
    <x v="77"/>
    <x v="76"/>
    <x v="2"/>
    <x v="3"/>
    <x v="0"/>
    <d v="2024-01-04T00:00:00"/>
    <n v="21"/>
    <n v="1962.0300000000002"/>
    <x v="4"/>
    <x v="42"/>
    <x v="2"/>
    <x v="0"/>
    <x v="2"/>
    <n v="6"/>
    <x v="2"/>
    <n v="0"/>
  </r>
  <r>
    <s v="d6b4af1e-c7b9-4cff-b0a3-777b54091281"/>
    <s v="eef35817-fe14-4f0a-b131-badbf1ae63d2"/>
    <x v="1"/>
    <x v="78"/>
    <x v="77"/>
    <x v="1"/>
    <x v="3"/>
    <x v="0"/>
    <d v="2024-01-22T00:00:00"/>
    <n v="13"/>
    <n v="708.11"/>
    <x v="1"/>
    <x v="43"/>
    <x v="1"/>
    <x v="1"/>
    <x v="3"/>
    <n v="1"/>
    <x v="3"/>
    <n v="0"/>
  </r>
  <r>
    <s v="7d8eaf17-c2fa-418d-9326-0c8e4e46db82"/>
    <s v="7f1bbadd-4ac3-4ff2-939b-610281fc7b7d"/>
    <x v="1"/>
    <x v="79"/>
    <x v="78"/>
    <x v="2"/>
    <x v="0"/>
    <x v="5"/>
    <d v="2024-01-19T00:00:00"/>
    <n v="9"/>
    <n v="273.42"/>
    <x v="2"/>
    <x v="36"/>
    <x v="0"/>
    <x v="0"/>
    <x v="3"/>
    <n v="1"/>
    <x v="3"/>
    <n v="0"/>
  </r>
  <r>
    <s v="bc376052-1ff1-443b-a643-16f2433ea006"/>
    <s v="359fe425-cf9e-4a28-82d8-1867322d0e67"/>
    <x v="0"/>
    <x v="80"/>
    <x v="79"/>
    <x v="7"/>
    <x v="0"/>
    <x v="0"/>
    <d v="2024-01-29T00:00:00"/>
    <n v="3"/>
    <n v="265.04999999999995"/>
    <x v="2"/>
    <x v="26"/>
    <x v="1"/>
    <x v="0"/>
    <x v="0"/>
    <n v="24"/>
    <x v="0"/>
    <n v="0"/>
  </r>
  <r>
    <s v="a02fad90-005e-4e0b-9cf5-f8f8576d8402"/>
    <s v="f340e4aa-a54f-4245-8ee7-f1a810bcdfc6"/>
    <x v="1"/>
    <x v="81"/>
    <x v="80"/>
    <x v="9"/>
    <x v="1"/>
    <x v="5"/>
    <d v="2024-01-25T00:00:00"/>
    <n v="30"/>
    <n v="1209.8999999999999"/>
    <x v="0"/>
    <x v="44"/>
    <x v="0"/>
    <x v="0"/>
    <x v="1"/>
    <n v="12"/>
    <x v="1"/>
    <n v="0"/>
  </r>
  <r>
    <s v="2ea7fc8c-cd0b-4929-98a4-8b22a6f860c5"/>
    <s v="59804e0e-762b-4f52-a28f-69497474c73b"/>
    <x v="2"/>
    <x v="82"/>
    <x v="81"/>
    <x v="7"/>
    <x v="3"/>
    <x v="2"/>
    <d v="2022-12-20T00:00:00"/>
    <n v="3"/>
    <n v="15.39"/>
    <x v="5"/>
    <x v="26"/>
    <x v="2"/>
    <x v="2"/>
    <x v="1"/>
    <n v="12"/>
    <x v="1"/>
    <n v="0"/>
  </r>
  <r>
    <s v="9b454153-8cfd-4df4-93f1-71ac9a6c1c0e"/>
    <s v="a57838db-86f9-49e9-9261-506cf067259d"/>
    <x v="0"/>
    <x v="83"/>
    <x v="82"/>
    <x v="5"/>
    <x v="0"/>
    <x v="5"/>
    <d v="2024-05-22T00:00:00"/>
    <n v="11"/>
    <n v="313.83000000000004"/>
    <x v="1"/>
    <x v="27"/>
    <x v="1"/>
    <x v="2"/>
    <x v="2"/>
    <n v="6"/>
    <x v="2"/>
    <n v="0"/>
  </r>
  <r>
    <s v="4ee44ec7-6cb7-40a7-9b0c-98a9aa081a19"/>
    <s v="c3081452-cf64-4c06-8ef5-540e8d7a7d3f"/>
    <x v="1"/>
    <x v="84"/>
    <x v="83"/>
    <x v="2"/>
    <x v="2"/>
    <x v="2"/>
    <d v="2024-05-28T00:00:00"/>
    <n v="2"/>
    <n v="70.459999999999994"/>
    <x v="5"/>
    <x v="31"/>
    <x v="2"/>
    <x v="1"/>
    <x v="2"/>
    <n v="6"/>
    <x v="2"/>
    <n v="0"/>
  </r>
  <r>
    <s v="a68e87ac-d8ec-440e-90b7-b395a8cb089d"/>
    <s v="628a942b-5238-47fc-be68-12898b0f9471"/>
    <x v="2"/>
    <x v="85"/>
    <x v="84"/>
    <x v="11"/>
    <x v="0"/>
    <x v="6"/>
    <d v="2024-05-27T00:00:00"/>
    <n v="12"/>
    <n v="1038.96"/>
    <x v="4"/>
    <x v="14"/>
    <x v="2"/>
    <x v="0"/>
    <x v="2"/>
    <n v="6"/>
    <x v="2"/>
    <n v="0"/>
  </r>
  <r>
    <s v="d50aad8e-4d82-4498-b500-36fa3a0862d4"/>
    <s v="874be1c6-39c5-4245-af7a-7acefb1f14db"/>
    <x v="0"/>
    <x v="86"/>
    <x v="85"/>
    <x v="5"/>
    <x v="3"/>
    <x v="4"/>
    <d v="2024-04-28T00:00:00"/>
    <n v="23"/>
    <n v="1116.8800000000001"/>
    <x v="5"/>
    <x v="45"/>
    <x v="2"/>
    <x v="1"/>
    <x v="1"/>
    <n v="12"/>
    <x v="1"/>
    <n v="0"/>
  </r>
  <r>
    <s v="b1df9da6-305f-4294-9506-08a9187e3841"/>
    <s v="2f5b0f43-235a-4b69-a3b8-79cfbd6d9482"/>
    <x v="0"/>
    <x v="87"/>
    <x v="86"/>
    <x v="5"/>
    <x v="0"/>
    <x v="0"/>
    <d v="2024-04-23T00:00:00"/>
    <n v="10"/>
    <n v="369.3"/>
    <x v="2"/>
    <x v="30"/>
    <x v="2"/>
    <x v="2"/>
    <x v="3"/>
    <n v="1"/>
    <x v="3"/>
    <n v="0"/>
  </r>
  <r>
    <s v="8c3afcfe-535e-46d1-a063-f02ac40465b1"/>
    <s v="9d657b0d-453f-47cb-879b-78af624856fc"/>
    <x v="1"/>
    <x v="88"/>
    <x v="87"/>
    <x v="10"/>
    <x v="0"/>
    <x v="3"/>
    <d v="2024-02-21T00:00:00"/>
    <n v="13"/>
    <n v="1152.58"/>
    <x v="4"/>
    <x v="40"/>
    <x v="0"/>
    <x v="1"/>
    <x v="0"/>
    <n v="24"/>
    <x v="0"/>
    <n v="0"/>
  </r>
  <r>
    <s v="69dc96c5-e945-4e9b-bcfb-86f03feec281"/>
    <s v="b9229637-2812-43d7-96dd-3c9388d71a9a"/>
    <x v="2"/>
    <x v="89"/>
    <x v="88"/>
    <x v="5"/>
    <x v="3"/>
    <x v="3"/>
    <d v="2023-09-02T00:00:00"/>
    <n v="15"/>
    <n v="1421.7"/>
    <x v="6"/>
    <x v="46"/>
    <x v="2"/>
    <x v="2"/>
    <x v="0"/>
    <n v="24"/>
    <x v="0"/>
    <n v="0"/>
  </r>
  <r>
    <s v="95e9191f-d949-4e6e-96ad-8b068483e30a"/>
    <s v="d88639f6-fb41-43e8-b7b2-de3e3a413cfa"/>
    <x v="2"/>
    <x v="90"/>
    <x v="89"/>
    <x v="10"/>
    <x v="3"/>
    <x v="2"/>
    <d v="2023-06-20T00:00:00"/>
    <n v="17"/>
    <n v="1686.91"/>
    <x v="3"/>
    <x v="32"/>
    <x v="1"/>
    <x v="0"/>
    <x v="3"/>
    <n v="1"/>
    <x v="3"/>
    <n v="0"/>
  </r>
  <r>
    <s v="0d438cfa-2035-4d4f-bb50-8c718c38c033"/>
    <s v="ab63ce6b-b9f7-43f6-b726-053572576937"/>
    <x v="1"/>
    <x v="91"/>
    <x v="90"/>
    <x v="5"/>
    <x v="0"/>
    <x v="6"/>
    <d v="2024-02-29T00:00:00"/>
    <n v="9"/>
    <n v="367.11"/>
    <x v="5"/>
    <x v="47"/>
    <x v="1"/>
    <x v="2"/>
    <x v="1"/>
    <n v="12"/>
    <x v="1"/>
    <n v="0"/>
  </r>
  <r>
    <s v="907038eb-8264-461d-b63b-83b23c69bbd6"/>
    <s v="a5ba6f34-bbb2-4651-8002-b3cff698b88a"/>
    <x v="1"/>
    <x v="92"/>
    <x v="91"/>
    <x v="9"/>
    <x v="0"/>
    <x v="1"/>
    <d v="2023-11-17T00:00:00"/>
    <n v="3"/>
    <n v="240.69"/>
    <x v="1"/>
    <x v="17"/>
    <x v="0"/>
    <x v="2"/>
    <x v="1"/>
    <n v="12"/>
    <x v="1"/>
    <n v="0"/>
  </r>
  <r>
    <s v="0cb7fdf3-0785-454a-aace-2bd9a3c2fe53"/>
    <s v="97504e40-9d6e-45c2-a56c-66bf74dc9dae"/>
    <x v="1"/>
    <x v="93"/>
    <x v="92"/>
    <x v="10"/>
    <x v="0"/>
    <x v="1"/>
    <d v="2023-11-14T00:00:00"/>
    <n v="9"/>
    <n v="622.71"/>
    <x v="2"/>
    <x v="25"/>
    <x v="2"/>
    <x v="2"/>
    <x v="0"/>
    <n v="24"/>
    <x v="0"/>
    <n v="0"/>
  </r>
  <r>
    <s v="02451cd1-8ca4-4ece-84ec-ed5d08410fd4"/>
    <s v="bc0d47d5-526e-45f4-9525-4d8d5c3d2ce6"/>
    <x v="0"/>
    <x v="94"/>
    <x v="93"/>
    <x v="7"/>
    <x v="3"/>
    <x v="1"/>
    <d v="2022-11-24T00:00:00"/>
    <n v="2"/>
    <n v="56.52"/>
    <x v="5"/>
    <x v="16"/>
    <x v="1"/>
    <x v="1"/>
    <x v="1"/>
    <n v="12"/>
    <x v="1"/>
    <n v="0"/>
  </r>
  <r>
    <s v="5ff843d9-f798-49c7-8401-66ce98313835"/>
    <s v="6b504641-5c72-4be6-ad45-1b0f3cdc8d38"/>
    <x v="2"/>
    <x v="95"/>
    <x v="94"/>
    <x v="0"/>
    <x v="0"/>
    <x v="1"/>
    <d v="2023-07-27T00:00:00"/>
    <n v="4"/>
    <n v="102.24"/>
    <x v="1"/>
    <x v="18"/>
    <x v="2"/>
    <x v="2"/>
    <x v="3"/>
    <n v="1"/>
    <x v="3"/>
    <n v="0"/>
  </r>
  <r>
    <s v="368b8b5a-d17f-44a0-9511-a41046380682"/>
    <s v="3194e505-7978-4f70-9ab1-4c49a341e451"/>
    <x v="2"/>
    <x v="96"/>
    <x v="95"/>
    <x v="11"/>
    <x v="3"/>
    <x v="3"/>
    <d v="2022-12-22T00:00:00"/>
    <n v="8"/>
    <n v="741.28"/>
    <x v="3"/>
    <x v="35"/>
    <x v="1"/>
    <x v="0"/>
    <x v="0"/>
    <n v="24"/>
    <x v="0"/>
    <n v="0"/>
  </r>
  <r>
    <s v="1bc53c60-5c29-4205-b8ac-f2ca1470f6f1"/>
    <s v="4af22457-f7fd-4b95-9afc-424a1f24755a"/>
    <x v="2"/>
    <x v="97"/>
    <x v="96"/>
    <x v="0"/>
    <x v="0"/>
    <x v="5"/>
    <d v="2023-05-01T00:00:00"/>
    <n v="2"/>
    <n v="65.88"/>
    <x v="3"/>
    <x v="6"/>
    <x v="1"/>
    <x v="1"/>
    <x v="3"/>
    <n v="1"/>
    <x v="3"/>
    <n v="0"/>
  </r>
  <r>
    <s v="ae2743d2-bc8b-4c04-b3ee-bb78fc5d28fa"/>
    <s v="267df49f-f6ba-4332-88d6-4f11f4da4021"/>
    <x v="1"/>
    <x v="98"/>
    <x v="97"/>
    <x v="11"/>
    <x v="3"/>
    <x v="6"/>
    <d v="2023-04-30T00:00:00"/>
    <n v="12"/>
    <n v="576.48"/>
    <x v="5"/>
    <x v="30"/>
    <x v="1"/>
    <x v="2"/>
    <x v="1"/>
    <n v="12"/>
    <x v="1"/>
    <n v="0"/>
  </r>
  <r>
    <s v="587029bd-cc4e-46f0-a0cb-1bdd92e5f7ac"/>
    <s v="569aa6df-7314-4977-80c5-f1d22b9cc56c"/>
    <x v="2"/>
    <x v="99"/>
    <x v="98"/>
    <x v="6"/>
    <x v="0"/>
    <x v="4"/>
    <d v="2023-11-05T00:00:00"/>
    <n v="4"/>
    <n v="207.72"/>
    <x v="2"/>
    <x v="38"/>
    <x v="1"/>
    <x v="0"/>
    <x v="0"/>
    <n v="24"/>
    <x v="0"/>
    <n v="0"/>
  </r>
  <r>
    <s v="1ace6d6a-f284-400c-a71f-57038bde37e0"/>
    <s v="c42a296a-84f8-466f-9a2e-f3f24f70b78a"/>
    <x v="2"/>
    <x v="100"/>
    <x v="99"/>
    <x v="8"/>
    <x v="0"/>
    <x v="4"/>
    <d v="2023-08-03T00:00:00"/>
    <n v="7"/>
    <n v="552.51"/>
    <x v="3"/>
    <x v="21"/>
    <x v="0"/>
    <x v="1"/>
    <x v="1"/>
    <n v="12"/>
    <x v="1"/>
    <n v="0"/>
  </r>
  <r>
    <s v="4393d7ea-61f1-4a2a-9da6-7cec7c209000"/>
    <s v="d32297e9-e431-4e5c-a2a0-74de015a1d2b"/>
    <x v="2"/>
    <x v="101"/>
    <x v="100"/>
    <x v="4"/>
    <x v="3"/>
    <x v="1"/>
    <d v="2022-10-13T00:00:00"/>
    <n v="1"/>
    <n v="85.2"/>
    <x v="1"/>
    <x v="44"/>
    <x v="2"/>
    <x v="1"/>
    <x v="3"/>
    <n v="1"/>
    <x v="3"/>
    <n v="0"/>
  </r>
  <r>
    <s v="b6f0034b-8c29-46d2-b3ad-a141ae16350f"/>
    <s v="d200b2af-9e74-48a4-aa99-65355b0fdc6b"/>
    <x v="2"/>
    <x v="102"/>
    <x v="101"/>
    <x v="5"/>
    <x v="3"/>
    <x v="1"/>
    <d v="2023-03-06T00:00:00"/>
    <n v="9"/>
    <n v="163.89000000000001"/>
    <x v="0"/>
    <x v="12"/>
    <x v="1"/>
    <x v="1"/>
    <x v="2"/>
    <n v="6"/>
    <x v="2"/>
    <n v="0"/>
  </r>
  <r>
    <s v="f31b7334-d2ee-437e-8965-be4965d16ab4"/>
    <s v="d1b4b439-f138-413d-a3eb-082f934b553a"/>
    <x v="2"/>
    <x v="103"/>
    <x v="102"/>
    <x v="2"/>
    <x v="0"/>
    <x v="0"/>
    <d v="2024-01-04T00:00:00"/>
    <n v="9"/>
    <n v="410.04"/>
    <x v="2"/>
    <x v="37"/>
    <x v="1"/>
    <x v="1"/>
    <x v="2"/>
    <n v="6"/>
    <x v="2"/>
    <n v="0"/>
  </r>
  <r>
    <s v="fe8af49b-937d-443e-b8f2-41fbae0168fb"/>
    <s v="352c3972-fed7-4d4a-a952-07987f6f7222"/>
    <x v="0"/>
    <x v="104"/>
    <x v="103"/>
    <x v="6"/>
    <x v="1"/>
    <x v="5"/>
    <d v="2022-11-22T00:00:00"/>
    <n v="17"/>
    <n v="1446.1899999999998"/>
    <x v="0"/>
    <x v="23"/>
    <x v="2"/>
    <x v="2"/>
    <x v="1"/>
    <n v="12"/>
    <x v="1"/>
    <n v="0"/>
  </r>
  <r>
    <s v="eee74937-3da2-4d26-b60b-4adc4e8a4af3"/>
    <s v="a1ac63bc-8e60-41e9-b199-29b13c8f24c2"/>
    <x v="1"/>
    <x v="105"/>
    <x v="104"/>
    <x v="9"/>
    <x v="3"/>
    <x v="5"/>
    <d v="2023-06-16T00:00:00"/>
    <n v="10"/>
    <n v="827.09999999999991"/>
    <x v="2"/>
    <x v="42"/>
    <x v="0"/>
    <x v="0"/>
    <x v="1"/>
    <n v="12"/>
    <x v="1"/>
    <n v="0"/>
  </r>
  <r>
    <s v="226bcabe-6698-44b1-a0e8-b23622c64e93"/>
    <s v="478833bc-aa14-45d4-847e-789c784995d8"/>
    <x v="2"/>
    <x v="106"/>
    <x v="105"/>
    <x v="10"/>
    <x v="0"/>
    <x v="1"/>
    <d v="2023-10-09T00:00:00"/>
    <n v="8"/>
    <n v="117.84"/>
    <x v="2"/>
    <x v="12"/>
    <x v="1"/>
    <x v="1"/>
    <x v="2"/>
    <n v="6"/>
    <x v="2"/>
    <n v="0"/>
  </r>
  <r>
    <s v="91236c81-b3e0-4ede-9de1-65911a3fb971"/>
    <s v="68778a17-703a-4912-bd24-73afb961a563"/>
    <x v="2"/>
    <x v="107"/>
    <x v="33"/>
    <x v="0"/>
    <x v="3"/>
    <x v="1"/>
    <d v="2023-07-12T00:00:00"/>
    <n v="16"/>
    <n v="317.76"/>
    <x v="4"/>
    <x v="12"/>
    <x v="1"/>
    <x v="1"/>
    <x v="1"/>
    <n v="12"/>
    <x v="1"/>
    <n v="0"/>
  </r>
  <r>
    <s v="18cafca3-aed8-46ad-91e5-d682720fa64e"/>
    <s v="ef3739ec-14af-48c1-b7b5-0f74661346f7"/>
    <x v="2"/>
    <x v="108"/>
    <x v="106"/>
    <x v="8"/>
    <x v="3"/>
    <x v="3"/>
    <d v="2022-09-12T00:00:00"/>
    <n v="9"/>
    <n v="109.44"/>
    <x v="3"/>
    <x v="48"/>
    <x v="0"/>
    <x v="2"/>
    <x v="0"/>
    <n v="24"/>
    <x v="0"/>
    <n v="0"/>
  </r>
  <r>
    <s v="48ba27ce-6718-4f54-97b6-9733273f4740"/>
    <s v="8a817464-c4cc-4e9f-9e2e-1203c36a7485"/>
    <x v="1"/>
    <x v="109"/>
    <x v="107"/>
    <x v="5"/>
    <x v="0"/>
    <x v="4"/>
    <d v="2023-12-10T00:00:00"/>
    <n v="6"/>
    <n v="272.04000000000002"/>
    <x v="1"/>
    <x v="38"/>
    <x v="1"/>
    <x v="2"/>
    <x v="3"/>
    <n v="1"/>
    <x v="3"/>
    <n v="0"/>
  </r>
  <r>
    <s v="6968b535-87b8-40de-b5e8-a21ce26104aa"/>
    <s v="eb7d63d6-a2f0-46a4-a86f-5daab85ea052"/>
    <x v="0"/>
    <x v="110"/>
    <x v="108"/>
    <x v="1"/>
    <x v="3"/>
    <x v="2"/>
    <d v="2023-06-26T00:00:00"/>
    <n v="6"/>
    <n v="91.320000000000007"/>
    <x v="0"/>
    <x v="35"/>
    <x v="1"/>
    <x v="1"/>
    <x v="0"/>
    <n v="24"/>
    <x v="0"/>
    <n v="0"/>
  </r>
  <r>
    <s v="b6d99ce7-9bce-4f69-9ab7-67e6650c9d75"/>
    <s v="c634cd9d-596a-4ac4-9766-55bade2db31b"/>
    <x v="2"/>
    <x v="111"/>
    <x v="109"/>
    <x v="11"/>
    <x v="3"/>
    <x v="6"/>
    <d v="2022-09-25T00:00:00"/>
    <n v="5"/>
    <n v="294.89999999999998"/>
    <x v="3"/>
    <x v="24"/>
    <x v="1"/>
    <x v="1"/>
    <x v="3"/>
    <n v="1"/>
    <x v="3"/>
    <n v="0"/>
  </r>
  <r>
    <s v="22b10c95-4560-4e88-a58b-bb7df416cd74"/>
    <s v="f5500241-27a3-472d-96cb-e64f214691c7"/>
    <x v="2"/>
    <x v="112"/>
    <x v="110"/>
    <x v="2"/>
    <x v="0"/>
    <x v="5"/>
    <d v="2023-08-04T00:00:00"/>
    <n v="4"/>
    <n v="113.68"/>
    <x v="2"/>
    <x v="23"/>
    <x v="2"/>
    <x v="0"/>
    <x v="1"/>
    <n v="12"/>
    <x v="1"/>
    <n v="0"/>
  </r>
  <r>
    <s v="c028a68d-ecae-4a65-a311-69bd616388bd"/>
    <s v="289e8abd-9c36-45df-b642-814bdcfabd0f"/>
    <x v="0"/>
    <x v="113"/>
    <x v="111"/>
    <x v="8"/>
    <x v="3"/>
    <x v="3"/>
    <d v="2023-06-11T00:00:00"/>
    <n v="17"/>
    <n v="1048.22"/>
    <x v="1"/>
    <x v="21"/>
    <x v="1"/>
    <x v="0"/>
    <x v="2"/>
    <n v="6"/>
    <x v="2"/>
    <n v="0"/>
  </r>
  <r>
    <s v="1e0fb905-6904-4f6a-9885-39997913b5bb"/>
    <s v="a8a635da-9947-422a-960e-513cf726a265"/>
    <x v="2"/>
    <x v="114"/>
    <x v="112"/>
    <x v="3"/>
    <x v="0"/>
    <x v="5"/>
    <d v="2023-11-10T00:00:00"/>
    <n v="1"/>
    <n v="16.16"/>
    <x v="1"/>
    <x v="38"/>
    <x v="0"/>
    <x v="2"/>
    <x v="1"/>
    <n v="12"/>
    <x v="1"/>
    <n v="0"/>
  </r>
  <r>
    <s v="9a8a9ec5-d626-4c28-80c4-8c121020fdfa"/>
    <s v="a2ec5a17-3e92-4d63-921a-a07d51d13aed"/>
    <x v="0"/>
    <x v="115"/>
    <x v="113"/>
    <x v="2"/>
    <x v="3"/>
    <x v="4"/>
    <d v="2023-01-09T00:00:00"/>
    <n v="10"/>
    <n v="977.09999999999991"/>
    <x v="6"/>
    <x v="19"/>
    <x v="0"/>
    <x v="1"/>
    <x v="1"/>
    <n v="12"/>
    <x v="1"/>
    <n v="0"/>
  </r>
  <r>
    <s v="fef84fbf-fa9f-4083-ae7e-7b2abfc43ded"/>
    <s v="906ea5ee-7ea9-4f5b-9a09-6915b276cf74"/>
    <x v="0"/>
    <x v="116"/>
    <x v="114"/>
    <x v="10"/>
    <x v="0"/>
    <x v="0"/>
    <d v="2023-05-21T00:00:00"/>
    <n v="4"/>
    <n v="374.36"/>
    <x v="1"/>
    <x v="2"/>
    <x v="0"/>
    <x v="2"/>
    <x v="0"/>
    <n v="24"/>
    <x v="0"/>
    <n v="0"/>
  </r>
  <r>
    <s v="004f3800-1038-4374-8ab2-5b67730bd203"/>
    <s v="c7b74736-e64c-47cf-989e-026bd2189a18"/>
    <x v="2"/>
    <x v="117"/>
    <x v="115"/>
    <x v="1"/>
    <x v="1"/>
    <x v="2"/>
    <d v="2024-03-20T00:00:00"/>
    <n v="27"/>
    <n v="1139.94"/>
    <x v="0"/>
    <x v="31"/>
    <x v="1"/>
    <x v="1"/>
    <x v="3"/>
    <n v="1"/>
    <x v="3"/>
    <n v="0"/>
  </r>
  <r>
    <s v="8716bbc9-4709-4945-8f3c-47026af74577"/>
    <s v="10a9ac6a-9175-4396-a161-d0d8be3b98bb"/>
    <x v="0"/>
    <x v="118"/>
    <x v="116"/>
    <x v="0"/>
    <x v="2"/>
    <x v="4"/>
    <d v="2024-06-13T00:00:00"/>
    <n v="3"/>
    <n v="84.03"/>
    <x v="1"/>
    <x v="5"/>
    <x v="1"/>
    <x v="0"/>
    <x v="2"/>
    <n v="6"/>
    <x v="2"/>
    <n v="0"/>
  </r>
  <r>
    <s v="4841c32d-dfb1-4e39-acff-3a21f04ff6de"/>
    <s v="da012814-6180-4acf-968f-5a3942a9aaa0"/>
    <x v="2"/>
    <x v="119"/>
    <x v="117"/>
    <x v="3"/>
    <x v="0"/>
    <x v="6"/>
    <d v="2024-05-23T00:00:00"/>
    <n v="7"/>
    <n v="201.53"/>
    <x v="2"/>
    <x v="38"/>
    <x v="0"/>
    <x v="0"/>
    <x v="2"/>
    <n v="6"/>
    <x v="2"/>
    <n v="0"/>
  </r>
  <r>
    <s v="c0f3725a-bdd0-4536-9e7f-7ec047cbdb1d"/>
    <s v="4772ba5c-933d-46ce-8250-f8049b59c8cd"/>
    <x v="2"/>
    <x v="120"/>
    <x v="118"/>
    <x v="6"/>
    <x v="1"/>
    <x v="5"/>
    <d v="2021-08-08T00:00:00"/>
    <n v="1"/>
    <n v="50.92"/>
    <x v="0"/>
    <x v="38"/>
    <x v="2"/>
    <x v="2"/>
    <x v="1"/>
    <n v="12"/>
    <x v="1"/>
    <n v="0"/>
  </r>
  <r>
    <s v="be8c4c02-1854-4e43-aa76-0e2c4875b7b9"/>
    <s v="3cc451ec-e272-4489-b517-cb3f22f84310"/>
    <x v="0"/>
    <x v="121"/>
    <x v="119"/>
    <x v="10"/>
    <x v="2"/>
    <x v="4"/>
    <d v="2024-05-30T00:00:00"/>
    <n v="4"/>
    <n v="263.08"/>
    <x v="3"/>
    <x v="12"/>
    <x v="0"/>
    <x v="2"/>
    <x v="3"/>
    <n v="1"/>
    <x v="3"/>
    <n v="0"/>
  </r>
  <r>
    <s v="736e2f2b-be6f-4494-8282-c0ed6f6e08ea"/>
    <s v="20d8057f-78eb-487d-9a76-6f02bee4528b"/>
    <x v="0"/>
    <x v="122"/>
    <x v="120"/>
    <x v="11"/>
    <x v="0"/>
    <x v="4"/>
    <d v="2023-11-05T00:00:00"/>
    <n v="6"/>
    <n v="262.74"/>
    <x v="1"/>
    <x v="1"/>
    <x v="2"/>
    <x v="0"/>
    <x v="2"/>
    <n v="6"/>
    <x v="2"/>
    <n v="0"/>
  </r>
  <r>
    <s v="b30f3cb9-d5d6-4895-82ce-5aeff9e8fb45"/>
    <s v="7ed7215d-2e5f-455a-b11a-ff763ec057a4"/>
    <x v="0"/>
    <x v="123"/>
    <x v="121"/>
    <x v="0"/>
    <x v="3"/>
    <x v="0"/>
    <d v="2024-02-21T00:00:00"/>
    <n v="24"/>
    <n v="980.40000000000009"/>
    <x v="3"/>
    <x v="9"/>
    <x v="0"/>
    <x v="1"/>
    <x v="2"/>
    <n v="6"/>
    <x v="2"/>
    <n v="0"/>
  </r>
  <r>
    <s v="a4f2d20c-21c0-4e07-879a-fdf4f3da5420"/>
    <s v="43626b6e-59f0-4c7c-bce6-64f6eac9273b"/>
    <x v="1"/>
    <x v="124"/>
    <x v="122"/>
    <x v="0"/>
    <x v="0"/>
    <x v="1"/>
    <d v="2024-03-30T00:00:00"/>
    <n v="13"/>
    <n v="1064.57"/>
    <x v="2"/>
    <x v="10"/>
    <x v="1"/>
    <x v="1"/>
    <x v="1"/>
    <n v="12"/>
    <x v="1"/>
    <n v="0"/>
  </r>
  <r>
    <s v="587373cb-8a38-4ba7-a0eb-20fa75dc5f0a"/>
    <s v="3605f38b-4cf5-4801-954d-b1a13b5da853"/>
    <x v="2"/>
    <x v="125"/>
    <x v="83"/>
    <x v="2"/>
    <x v="2"/>
    <x v="2"/>
    <d v="2024-06-05T00:00:00"/>
    <n v="2"/>
    <n v="144.72"/>
    <x v="2"/>
    <x v="11"/>
    <x v="2"/>
    <x v="2"/>
    <x v="3"/>
    <n v="1"/>
    <x v="3"/>
    <n v="0"/>
  </r>
  <r>
    <s v="2284523a-fca4-4d40-8694-10e0cec85f5f"/>
    <s v="0c28d723-b6c2-4a9f-b3a2-acaa27fdfd1e"/>
    <x v="0"/>
    <x v="126"/>
    <x v="123"/>
    <x v="9"/>
    <x v="3"/>
    <x v="5"/>
    <d v="2024-04-10T00:00:00"/>
    <n v="21"/>
    <n v="2008.86"/>
    <x v="5"/>
    <x v="40"/>
    <x v="2"/>
    <x v="1"/>
    <x v="2"/>
    <n v="6"/>
    <x v="2"/>
    <n v="0"/>
  </r>
  <r>
    <s v="86b49aeb-3491-45b5-b3b6-d6e40b3cc1e0"/>
    <s v="579c787b-0ead-4f45-b224-abe8feb46432"/>
    <x v="1"/>
    <x v="127"/>
    <x v="124"/>
    <x v="4"/>
    <x v="1"/>
    <x v="5"/>
    <d v="2022-07-28T00:00:00"/>
    <n v="11"/>
    <n v="422.73"/>
    <x v="1"/>
    <x v="39"/>
    <x v="1"/>
    <x v="1"/>
    <x v="3"/>
    <n v="1"/>
    <x v="3"/>
    <n v="0"/>
  </r>
  <r>
    <s v="08cca14f-4050-47b0-96aa-7956e7d2fea7"/>
    <s v="57de6c43-088d-4b5b-a0ad-d9803bdac803"/>
    <x v="2"/>
    <x v="128"/>
    <x v="125"/>
    <x v="3"/>
    <x v="1"/>
    <x v="3"/>
    <d v="2023-06-10T00:00:00"/>
    <n v="20"/>
    <n v="1563"/>
    <x v="3"/>
    <x v="3"/>
    <x v="1"/>
    <x v="0"/>
    <x v="1"/>
    <n v="12"/>
    <x v="1"/>
    <n v="0"/>
  </r>
  <r>
    <s v="af10e557-dc77-4eef-a65e-9a35e66cf0f0"/>
    <s v="67dde4bc-10fc-430a-a6ed-83002a26fdac"/>
    <x v="2"/>
    <x v="129"/>
    <x v="126"/>
    <x v="4"/>
    <x v="1"/>
    <x v="3"/>
    <d v="2023-07-26T00:00:00"/>
    <n v="22"/>
    <n v="857.12"/>
    <x v="3"/>
    <x v="25"/>
    <x v="2"/>
    <x v="2"/>
    <x v="0"/>
    <n v="24"/>
    <x v="0"/>
    <n v="0"/>
  </r>
  <r>
    <s v="9b0870c2-8d37-4ed1-a0de-e90a1e32aa4e"/>
    <s v="d26ebf63-60f3-4a93-8f0d-282d92ebb610"/>
    <x v="1"/>
    <x v="130"/>
    <x v="127"/>
    <x v="5"/>
    <x v="0"/>
    <x v="4"/>
    <d v="2023-09-17T00:00:00"/>
    <n v="3"/>
    <n v="192.18"/>
    <x v="6"/>
    <x v="28"/>
    <x v="0"/>
    <x v="2"/>
    <x v="0"/>
    <n v="24"/>
    <x v="0"/>
    <n v="0"/>
  </r>
  <r>
    <s v="c109552f-5119-419a-aec5-30243f253f07"/>
    <s v="e80548e5-da52-41fa-bbd3-e027f5b85fda"/>
    <x v="0"/>
    <x v="131"/>
    <x v="128"/>
    <x v="2"/>
    <x v="0"/>
    <x v="3"/>
    <d v="2023-09-15T00:00:00"/>
    <n v="5"/>
    <n v="162.04999999999998"/>
    <x v="4"/>
    <x v="43"/>
    <x v="0"/>
    <x v="2"/>
    <x v="2"/>
    <n v="6"/>
    <x v="2"/>
    <n v="0"/>
  </r>
  <r>
    <s v="d43dc275-7460-4a82-9f2b-7dc47b69491e"/>
    <s v="8e268d7a-cfbe-45b4-86eb-94e8044600ba"/>
    <x v="0"/>
    <x v="132"/>
    <x v="129"/>
    <x v="10"/>
    <x v="0"/>
    <x v="5"/>
    <d v="2023-07-05T00:00:00"/>
    <n v="5"/>
    <n v="440.34999999999997"/>
    <x v="1"/>
    <x v="43"/>
    <x v="0"/>
    <x v="1"/>
    <x v="3"/>
    <n v="1"/>
    <x v="3"/>
    <n v="0"/>
  </r>
  <r>
    <s v="12674c97-ab7b-4204-b500-83f3a5b31efb"/>
    <s v="3afbdfae-440e-479a-9f44-6d6fac8f6fae"/>
    <x v="0"/>
    <x v="133"/>
    <x v="130"/>
    <x v="2"/>
    <x v="2"/>
    <x v="1"/>
    <d v="2024-04-26T00:00:00"/>
    <n v="1"/>
    <n v="15.68"/>
    <x v="5"/>
    <x v="15"/>
    <x v="1"/>
    <x v="2"/>
    <x v="2"/>
    <n v="6"/>
    <x v="2"/>
    <n v="0"/>
  </r>
  <r>
    <s v="403412a7-e364-4be4-b129-b79d7eed712a"/>
    <s v="c62f1c74-25df-4c9e-876b-8d8ffe46b5ed"/>
    <x v="0"/>
    <x v="134"/>
    <x v="131"/>
    <x v="1"/>
    <x v="3"/>
    <x v="2"/>
    <d v="2023-08-26T00:00:00"/>
    <n v="9"/>
    <n v="226.62"/>
    <x v="5"/>
    <x v="15"/>
    <x v="1"/>
    <x v="2"/>
    <x v="2"/>
    <n v="6"/>
    <x v="2"/>
    <n v="0"/>
  </r>
  <r>
    <s v="6160709e-adc9-45a7-a2a6-71e9aac0b07e"/>
    <s v="acd335b2-cd9c-45ce-a1ef-cfbecf9bef36"/>
    <x v="2"/>
    <x v="135"/>
    <x v="23"/>
    <x v="8"/>
    <x v="3"/>
    <x v="2"/>
    <d v="2024-04-23T00:00:00"/>
    <n v="28"/>
    <n v="626.92000000000007"/>
    <x v="2"/>
    <x v="43"/>
    <x v="0"/>
    <x v="0"/>
    <x v="0"/>
    <n v="24"/>
    <x v="0"/>
    <n v="0"/>
  </r>
  <r>
    <s v="3694c908-8b8e-4243-9621-31c66fead614"/>
    <s v="10d58759-8fde-498e-831b-dfe90e7e3f95"/>
    <x v="2"/>
    <x v="136"/>
    <x v="132"/>
    <x v="1"/>
    <x v="1"/>
    <x v="3"/>
    <d v="2022-10-19T00:00:00"/>
    <n v="11"/>
    <n v="476.19"/>
    <x v="4"/>
    <x v="9"/>
    <x v="1"/>
    <x v="0"/>
    <x v="3"/>
    <n v="1"/>
    <x v="3"/>
    <n v="0"/>
  </r>
  <r>
    <s v="03926e70-d70d-43aa-8b5d-1f93a6b678fd"/>
    <s v="f4469e4d-8bcb-40d5-aac9-0d37044792a3"/>
    <x v="0"/>
    <x v="137"/>
    <x v="133"/>
    <x v="9"/>
    <x v="3"/>
    <x v="2"/>
    <d v="2024-05-10T00:00:00"/>
    <n v="21"/>
    <n v="1591.8"/>
    <x v="2"/>
    <x v="33"/>
    <x v="1"/>
    <x v="2"/>
    <x v="1"/>
    <n v="12"/>
    <x v="1"/>
    <n v="0"/>
  </r>
  <r>
    <s v="01d44252-484e-4117-9f34-0b2b70b13766"/>
    <s v="7bbf3dd2-4f81-45be-9b0d-0321604729b1"/>
    <x v="0"/>
    <x v="138"/>
    <x v="134"/>
    <x v="5"/>
    <x v="1"/>
    <x v="2"/>
    <d v="2023-05-21T00:00:00"/>
    <n v="23"/>
    <n v="1266.3800000000001"/>
    <x v="2"/>
    <x v="38"/>
    <x v="0"/>
    <x v="0"/>
    <x v="3"/>
    <n v="1"/>
    <x v="3"/>
    <n v="0"/>
  </r>
  <r>
    <s v="3725b268-ed99-41f0-b1dc-97a1fa3e5a66"/>
    <s v="b2cb37c9-f96b-485c-8914-5c2175d90b26"/>
    <x v="0"/>
    <x v="139"/>
    <x v="135"/>
    <x v="10"/>
    <x v="3"/>
    <x v="4"/>
    <d v="2023-02-27T00:00:00"/>
    <n v="13"/>
    <n v="667.29"/>
    <x v="1"/>
    <x v="32"/>
    <x v="0"/>
    <x v="2"/>
    <x v="3"/>
    <n v="1"/>
    <x v="3"/>
    <n v="0"/>
  </r>
  <r>
    <s v="cff1bf59-106a-46c7-a048-e4229532516c"/>
    <s v="6e763e62-bcc3-4c9e-8c2b-beb9d688c814"/>
    <x v="1"/>
    <x v="140"/>
    <x v="136"/>
    <x v="11"/>
    <x v="0"/>
    <x v="5"/>
    <d v="2023-11-28T00:00:00"/>
    <n v="7"/>
    <n v="35.35"/>
    <x v="2"/>
    <x v="19"/>
    <x v="1"/>
    <x v="0"/>
    <x v="0"/>
    <n v="24"/>
    <x v="0"/>
    <n v="0"/>
  </r>
  <r>
    <s v="19e96c6f-5660-417a-95ac-82ae414d4cbb"/>
    <s v="711b600e-697d-4ffa-8674-d9c65dff88ef"/>
    <x v="2"/>
    <x v="141"/>
    <x v="32"/>
    <x v="3"/>
    <x v="3"/>
    <x v="5"/>
    <d v="2024-02-16T00:00:00"/>
    <n v="15"/>
    <n v="681.15"/>
    <x v="0"/>
    <x v="12"/>
    <x v="2"/>
    <x v="2"/>
    <x v="2"/>
    <n v="6"/>
    <x v="2"/>
    <n v="0"/>
  </r>
  <r>
    <s v="040c7940-86d0-4b60-a932-59056a92fcd0"/>
    <s v="0abb7c6c-0c27-41c0-9087-2d721480df49"/>
    <x v="0"/>
    <x v="142"/>
    <x v="137"/>
    <x v="6"/>
    <x v="1"/>
    <x v="2"/>
    <d v="2021-12-29T00:00:00"/>
    <n v="6"/>
    <n v="66.239999999999995"/>
    <x v="4"/>
    <x v="33"/>
    <x v="1"/>
    <x v="0"/>
    <x v="1"/>
    <n v="12"/>
    <x v="1"/>
    <n v="0"/>
  </r>
  <r>
    <s v="d78b37c5-4c8d-4999-b8a0-8565ed189d91"/>
    <s v="54e7a5c6-6dfb-4c1b-a93c-8dd40f593522"/>
    <x v="0"/>
    <x v="143"/>
    <x v="47"/>
    <x v="9"/>
    <x v="1"/>
    <x v="3"/>
    <d v="2023-06-17T00:00:00"/>
    <n v="22"/>
    <n v="545.16000000000008"/>
    <x v="1"/>
    <x v="17"/>
    <x v="2"/>
    <x v="1"/>
    <x v="0"/>
    <n v="24"/>
    <x v="0"/>
    <n v="0"/>
  </r>
  <r>
    <s v="8f91e35e-fd3e-4ce0-adcb-32c9cc9d500f"/>
    <s v="96a1acbc-c431-47b5-b82a-2e8a12b1674d"/>
    <x v="1"/>
    <x v="144"/>
    <x v="138"/>
    <x v="2"/>
    <x v="3"/>
    <x v="3"/>
    <d v="2022-10-09T00:00:00"/>
    <n v="7"/>
    <n v="655.05999999999995"/>
    <x v="6"/>
    <x v="7"/>
    <x v="2"/>
    <x v="0"/>
    <x v="0"/>
    <n v="24"/>
    <x v="0"/>
    <n v="0"/>
  </r>
  <r>
    <s v="5482356d-ae3c-44c9-b290-a040ea72eb9c"/>
    <s v="c9e68a4c-a0dd-4b60-8aaa-b06998208f97"/>
    <x v="0"/>
    <x v="145"/>
    <x v="139"/>
    <x v="3"/>
    <x v="0"/>
    <x v="4"/>
    <d v="2023-12-12T00:00:00"/>
    <n v="2"/>
    <n v="50.92"/>
    <x v="5"/>
    <x v="6"/>
    <x v="2"/>
    <x v="0"/>
    <x v="1"/>
    <n v="12"/>
    <x v="1"/>
    <n v="0"/>
  </r>
  <r>
    <s v="20ccafb9-4aae-49ba-a3ed-afcecb67fb7e"/>
    <s v="942ed1e5-478d-4188-a3f8-5bfc90dea345"/>
    <x v="2"/>
    <x v="146"/>
    <x v="140"/>
    <x v="11"/>
    <x v="2"/>
    <x v="0"/>
    <d v="2024-06-10T00:00:00"/>
    <n v="1"/>
    <n v="86.54"/>
    <x v="4"/>
    <x v="44"/>
    <x v="2"/>
    <x v="2"/>
    <x v="2"/>
    <n v="6"/>
    <x v="2"/>
    <n v="0"/>
  </r>
  <r>
    <s v="e674fc55-0c7f-4265-90da-db8c0d080304"/>
    <s v="3d71fcf1-01bd-4d2a-968b-c1937c313694"/>
    <x v="1"/>
    <x v="147"/>
    <x v="141"/>
    <x v="10"/>
    <x v="0"/>
    <x v="4"/>
    <d v="2023-12-22T00:00:00"/>
    <n v="11"/>
    <n v="893.96999999999991"/>
    <x v="5"/>
    <x v="33"/>
    <x v="2"/>
    <x v="0"/>
    <x v="2"/>
    <n v="6"/>
    <x v="2"/>
    <n v="0"/>
  </r>
  <r>
    <s v="33ec7941-2f57-4cab-b0f7-c410726e3f9e"/>
    <s v="6093fc08-4785-4e06-a002-0bfe57d0fd21"/>
    <x v="1"/>
    <x v="148"/>
    <x v="142"/>
    <x v="4"/>
    <x v="3"/>
    <x v="4"/>
    <d v="2023-04-30T00:00:00"/>
    <n v="8"/>
    <n v="160.96"/>
    <x v="3"/>
    <x v="16"/>
    <x v="1"/>
    <x v="0"/>
    <x v="1"/>
    <n v="12"/>
    <x v="1"/>
    <n v="0"/>
  </r>
  <r>
    <s v="7dbb7a1a-b0a6-4207-bc63-cf018eabd41c"/>
    <s v="d110eb5b-3b9e-4409-9a26-77c09e1c5fb2"/>
    <x v="1"/>
    <x v="149"/>
    <x v="127"/>
    <x v="5"/>
    <x v="0"/>
    <x v="4"/>
    <d v="2024-03-14T00:00:00"/>
    <n v="9"/>
    <n v="562.86"/>
    <x v="5"/>
    <x v="40"/>
    <x v="0"/>
    <x v="1"/>
    <x v="2"/>
    <n v="6"/>
    <x v="2"/>
    <n v="0"/>
  </r>
  <r>
    <s v="dda79c82-1504-426b-b529-6fbf2d14fc28"/>
    <s v="72eb141a-d972-4e2b-9a5d-a52c0e552b38"/>
    <x v="0"/>
    <x v="150"/>
    <x v="143"/>
    <x v="7"/>
    <x v="1"/>
    <x v="6"/>
    <d v="2022-12-07T00:00:00"/>
    <n v="14"/>
    <n v="223.86"/>
    <x v="1"/>
    <x v="44"/>
    <x v="2"/>
    <x v="2"/>
    <x v="0"/>
    <n v="24"/>
    <x v="0"/>
    <n v="0"/>
  </r>
  <r>
    <s v="4105d396-22b9-419c-8279-1f20273b2ca8"/>
    <s v="085f9b4e-dbe3-4921-8224-49a86547885a"/>
    <x v="0"/>
    <x v="151"/>
    <x v="144"/>
    <x v="11"/>
    <x v="3"/>
    <x v="5"/>
    <d v="2022-12-15T00:00:00"/>
    <n v="8"/>
    <n v="593.20000000000005"/>
    <x v="0"/>
    <x v="46"/>
    <x v="2"/>
    <x v="1"/>
    <x v="0"/>
    <n v="24"/>
    <x v="0"/>
    <n v="0"/>
  </r>
  <r>
    <s v="c1cc6a3f-1ae2-46d4-8616-57c0b0e230a6"/>
    <s v="7106fbbc-3bc6-41ab-9e0e-ea1e8a5d2791"/>
    <x v="0"/>
    <x v="152"/>
    <x v="145"/>
    <x v="9"/>
    <x v="3"/>
    <x v="3"/>
    <d v="2024-04-10T00:00:00"/>
    <n v="20"/>
    <n v="1311.2"/>
    <x v="4"/>
    <x v="32"/>
    <x v="2"/>
    <x v="2"/>
    <x v="3"/>
    <n v="1"/>
    <x v="3"/>
    <n v="0"/>
  </r>
  <r>
    <s v="6fe3dd05-dab7-4ee6-a6b5-ddeb7a83f0a6"/>
    <s v="966af59c-4ce7-4d00-aa3e-001dba00263a"/>
    <x v="1"/>
    <x v="153"/>
    <x v="112"/>
    <x v="3"/>
    <x v="0"/>
    <x v="5"/>
    <d v="2024-01-19T00:00:00"/>
    <n v="3"/>
    <n v="246.39"/>
    <x v="1"/>
    <x v="33"/>
    <x v="1"/>
    <x v="2"/>
    <x v="0"/>
    <n v="24"/>
    <x v="0"/>
    <n v="0"/>
  </r>
  <r>
    <s v="7d8967f7-5444-457f-bbd8-fc07dd6a1f54"/>
    <s v="43a7d33b-701e-422f-9fcb-d720c1eb4f5c"/>
    <x v="1"/>
    <x v="154"/>
    <x v="125"/>
    <x v="3"/>
    <x v="1"/>
    <x v="3"/>
    <d v="2023-05-08T00:00:00"/>
    <n v="19"/>
    <n v="960.26"/>
    <x v="2"/>
    <x v="7"/>
    <x v="0"/>
    <x v="2"/>
    <x v="3"/>
    <n v="1"/>
    <x v="3"/>
    <n v="0"/>
  </r>
  <r>
    <s v="87f9ac91-9e7a-4f64-bc31-e388fefd974a"/>
    <s v="13545755-f0e0-41a9-9ef2-1d5da1f6bffc"/>
    <x v="2"/>
    <x v="155"/>
    <x v="146"/>
    <x v="11"/>
    <x v="2"/>
    <x v="5"/>
    <d v="2024-05-25T00:00:00"/>
    <n v="1"/>
    <n v="91.91"/>
    <x v="4"/>
    <x v="17"/>
    <x v="2"/>
    <x v="0"/>
    <x v="2"/>
    <n v="6"/>
    <x v="2"/>
    <n v="0"/>
  </r>
  <r>
    <s v="85e0fca1-684b-4038-a797-5657d977c7d1"/>
    <s v="a0555783-e976-4f4c-a925-ff7fac4ba86c"/>
    <x v="1"/>
    <x v="156"/>
    <x v="147"/>
    <x v="7"/>
    <x v="3"/>
    <x v="0"/>
    <d v="2023-07-21T00:00:00"/>
    <n v="10"/>
    <n v="96.899999999999991"/>
    <x v="1"/>
    <x v="13"/>
    <x v="2"/>
    <x v="2"/>
    <x v="3"/>
    <n v="1"/>
    <x v="3"/>
    <n v="0"/>
  </r>
  <r>
    <s v="5d6c6d66-9272-4f52-996f-bdf76748a1f2"/>
    <s v="7008501a-adaa-4623-8385-1c75b52c5226"/>
    <x v="0"/>
    <x v="157"/>
    <x v="148"/>
    <x v="5"/>
    <x v="2"/>
    <x v="3"/>
    <d v="2024-06-14T00:00:00"/>
    <n v="1"/>
    <n v="32.82"/>
    <x v="4"/>
    <x v="23"/>
    <x v="1"/>
    <x v="1"/>
    <x v="2"/>
    <n v="6"/>
    <x v="2"/>
    <n v="0"/>
  </r>
  <r>
    <s v="cf863e5f-1dce-4e70-a1c9-18b8f3c3075a"/>
    <s v="ecbf6c88-8e3c-4dd4-b992-f309f51ced1d"/>
    <x v="0"/>
    <x v="158"/>
    <x v="149"/>
    <x v="0"/>
    <x v="2"/>
    <x v="4"/>
    <d v="2024-04-20T00:00:00"/>
    <n v="1"/>
    <n v="72.930000000000007"/>
    <x v="4"/>
    <x v="10"/>
    <x v="2"/>
    <x v="0"/>
    <x v="1"/>
    <n v="12"/>
    <x v="1"/>
    <n v="0"/>
  </r>
  <r>
    <s v="e144bab2-ec4b-4659-a3a9-cc4e172b7363"/>
    <s v="4c442828-0f69-423f-a57a-5a1c80111f7b"/>
    <x v="1"/>
    <x v="159"/>
    <x v="150"/>
    <x v="5"/>
    <x v="3"/>
    <x v="1"/>
    <d v="2023-08-08T00:00:00"/>
    <n v="14"/>
    <n v="626.07999999999993"/>
    <x v="5"/>
    <x v="38"/>
    <x v="0"/>
    <x v="2"/>
    <x v="2"/>
    <n v="6"/>
    <x v="2"/>
    <n v="0"/>
  </r>
  <r>
    <s v="c8103415-8a46-438b-9bf3-714d8aa5a14b"/>
    <s v="a0e591c8-a762-4df8-960d-52777f841866"/>
    <x v="2"/>
    <x v="160"/>
    <x v="151"/>
    <x v="6"/>
    <x v="1"/>
    <x v="3"/>
    <d v="2022-11-26T00:00:00"/>
    <n v="17"/>
    <n v="364.31"/>
    <x v="5"/>
    <x v="46"/>
    <x v="0"/>
    <x v="2"/>
    <x v="1"/>
    <n v="12"/>
    <x v="1"/>
    <n v="0"/>
  </r>
  <r>
    <s v="ffad4486-2d43-4bf5-9a88-a7c64ea61b52"/>
    <s v="7aa0e260-cd4c-43b1-a779-713e6c12a9d2"/>
    <x v="1"/>
    <x v="161"/>
    <x v="152"/>
    <x v="9"/>
    <x v="1"/>
    <x v="3"/>
    <d v="2022-09-22T00:00:00"/>
    <n v="14"/>
    <n v="212.66"/>
    <x v="5"/>
    <x v="19"/>
    <x v="2"/>
    <x v="0"/>
    <x v="2"/>
    <n v="6"/>
    <x v="2"/>
    <n v="0"/>
  </r>
  <r>
    <s v="0d5fa954-effc-420f-96d7-4a62139935a4"/>
    <s v="c9294e71-95d9-424e-a2f7-569112248037"/>
    <x v="1"/>
    <x v="162"/>
    <x v="95"/>
    <x v="11"/>
    <x v="3"/>
    <x v="3"/>
    <d v="2023-08-26T00:00:00"/>
    <n v="16"/>
    <n v="1322.4"/>
    <x v="1"/>
    <x v="38"/>
    <x v="1"/>
    <x v="1"/>
    <x v="2"/>
    <n v="6"/>
    <x v="2"/>
    <n v="0"/>
  </r>
  <r>
    <s v="119a2f98-9831-44bc-a050-5e68bbbb525a"/>
    <s v="46d0557d-f3fa-4acd-9b4c-dbbd92db5c94"/>
    <x v="1"/>
    <x v="163"/>
    <x v="153"/>
    <x v="11"/>
    <x v="3"/>
    <x v="5"/>
    <d v="2023-04-15T00:00:00"/>
    <n v="12"/>
    <n v="599.40000000000009"/>
    <x v="4"/>
    <x v="10"/>
    <x v="0"/>
    <x v="1"/>
    <x v="3"/>
    <n v="1"/>
    <x v="3"/>
    <n v="0"/>
  </r>
  <r>
    <s v="b27d28cf-5584-4e62-aeb1-7f7656bd3422"/>
    <s v="9fba90ca-8f01-4f6b-bafc-c8b104e19f47"/>
    <x v="0"/>
    <x v="164"/>
    <x v="154"/>
    <x v="8"/>
    <x v="2"/>
    <x v="2"/>
    <d v="2024-04-10T00:00:00"/>
    <n v="3"/>
    <n v="266.45999999999998"/>
    <x v="5"/>
    <x v="12"/>
    <x v="1"/>
    <x v="0"/>
    <x v="3"/>
    <n v="1"/>
    <x v="3"/>
    <n v="0"/>
  </r>
  <r>
    <s v="09cc7f2d-367d-4c57-bf09-c7df5f0bda49"/>
    <s v="e5016b4d-fd37-42e5-865a-abcfd3cd6153"/>
    <x v="0"/>
    <x v="165"/>
    <x v="155"/>
    <x v="3"/>
    <x v="3"/>
    <x v="3"/>
    <d v="2023-08-28T00:00:00"/>
    <n v="10"/>
    <n v="746.59999999999991"/>
    <x v="0"/>
    <x v="0"/>
    <x v="0"/>
    <x v="0"/>
    <x v="3"/>
    <n v="1"/>
    <x v="3"/>
    <n v="0"/>
  </r>
  <r>
    <s v="2f452854-bb40-47f6-9f31-082a90b6c5ce"/>
    <s v="dc186ee4-dd79-40b6-8ca4-d1fb5ee57fab"/>
    <x v="0"/>
    <x v="166"/>
    <x v="156"/>
    <x v="3"/>
    <x v="0"/>
    <x v="1"/>
    <d v="2023-12-09T00:00:00"/>
    <n v="1"/>
    <n v="43.92"/>
    <x v="2"/>
    <x v="9"/>
    <x v="0"/>
    <x v="0"/>
    <x v="0"/>
    <n v="24"/>
    <x v="0"/>
    <n v="0"/>
  </r>
  <r>
    <s v="7cd7242a-bb35-4b65-8f39-be19c2243035"/>
    <s v="4451a3cc-14a5-47ce-9a10-38e106440e78"/>
    <x v="1"/>
    <x v="167"/>
    <x v="157"/>
    <x v="9"/>
    <x v="1"/>
    <x v="6"/>
    <d v="2024-01-14T00:00:00"/>
    <n v="30"/>
    <n v="1214.3999999999999"/>
    <x v="2"/>
    <x v="1"/>
    <x v="2"/>
    <x v="0"/>
    <x v="3"/>
    <n v="1"/>
    <x v="3"/>
    <n v="0"/>
  </r>
  <r>
    <s v="4919c1d3-836a-4488-a1a5-cc62ec231fd8"/>
    <s v="c2a40de4-41de-4650-a91e-7c068c180172"/>
    <x v="2"/>
    <x v="168"/>
    <x v="158"/>
    <x v="8"/>
    <x v="3"/>
    <x v="4"/>
    <d v="2022-02-03T00:00:00"/>
    <n v="1"/>
    <n v="53.99"/>
    <x v="0"/>
    <x v="8"/>
    <x v="0"/>
    <x v="0"/>
    <x v="2"/>
    <n v="6"/>
    <x v="2"/>
    <n v="0"/>
  </r>
  <r>
    <s v="90903ae9-e89b-4f9b-aece-bf2e56921e6e"/>
    <s v="c028ae28-7ef0-4c44-bd74-4b0184aec5fd"/>
    <x v="1"/>
    <x v="169"/>
    <x v="159"/>
    <x v="2"/>
    <x v="2"/>
    <x v="0"/>
    <d v="2024-06-06T00:00:00"/>
    <n v="3"/>
    <n v="268.38"/>
    <x v="0"/>
    <x v="32"/>
    <x v="2"/>
    <x v="2"/>
    <x v="0"/>
    <n v="24"/>
    <x v="0"/>
    <n v="0"/>
  </r>
  <r>
    <s v="44dbce99-0a77-40c0-9c78-3847c040f673"/>
    <s v="2148e293-0096-4425-9b91-c87014744905"/>
    <x v="1"/>
    <x v="170"/>
    <x v="160"/>
    <x v="8"/>
    <x v="3"/>
    <x v="5"/>
    <d v="2022-12-08T00:00:00"/>
    <n v="12"/>
    <n v="900.48"/>
    <x v="0"/>
    <x v="32"/>
    <x v="0"/>
    <x v="1"/>
    <x v="0"/>
    <n v="24"/>
    <x v="0"/>
    <n v="0"/>
  </r>
  <r>
    <s v="2f6f0009-30e3-4c07-bec8-59dd04afefda"/>
    <s v="32cd82e1-b101-416f-beae-b7a339df5382"/>
    <x v="0"/>
    <x v="171"/>
    <x v="161"/>
    <x v="3"/>
    <x v="3"/>
    <x v="5"/>
    <d v="2023-12-04T00:00:00"/>
    <n v="14"/>
    <n v="76.86"/>
    <x v="4"/>
    <x v="30"/>
    <x v="0"/>
    <x v="0"/>
    <x v="3"/>
    <n v="1"/>
    <x v="3"/>
    <n v="0"/>
  </r>
  <r>
    <s v="9133e8a5-ea72-4417-9a64-794668a23aee"/>
    <s v="fb07176f-a261-4781-8f25-6b00610a59b1"/>
    <x v="0"/>
    <x v="172"/>
    <x v="162"/>
    <x v="11"/>
    <x v="0"/>
    <x v="1"/>
    <d v="2023-12-22T00:00:00"/>
    <n v="7"/>
    <n v="496.58"/>
    <x v="5"/>
    <x v="11"/>
    <x v="0"/>
    <x v="2"/>
    <x v="0"/>
    <n v="24"/>
    <x v="0"/>
    <n v="0"/>
  </r>
  <r>
    <s v="c7e48fe2-c5e5-4b4c-b43c-61ccf4fed466"/>
    <s v="48d477a1-e1db-4523-9471-72ec4eec39b1"/>
    <x v="1"/>
    <x v="173"/>
    <x v="163"/>
    <x v="0"/>
    <x v="0"/>
    <x v="4"/>
    <d v="2024-01-22T00:00:00"/>
    <n v="11"/>
    <n v="1015.8499999999999"/>
    <x v="0"/>
    <x v="19"/>
    <x v="2"/>
    <x v="0"/>
    <x v="2"/>
    <n v="6"/>
    <x v="2"/>
    <n v="0"/>
  </r>
  <r>
    <s v="00a5fcc5-57b6-4a1f-85ee-7ce9064512ef"/>
    <s v="6cf0055d-d40a-40e2-b24a-eb6f88df7802"/>
    <x v="2"/>
    <x v="174"/>
    <x v="164"/>
    <x v="2"/>
    <x v="2"/>
    <x v="4"/>
    <d v="2024-05-05T00:00:00"/>
    <n v="1"/>
    <n v="72.489999999999995"/>
    <x v="1"/>
    <x v="23"/>
    <x v="0"/>
    <x v="1"/>
    <x v="2"/>
    <n v="6"/>
    <x v="2"/>
    <n v="0"/>
  </r>
  <r>
    <s v="12e99c13-9a86-49db-b0b1-0d54dc97119b"/>
    <s v="7ed1fe74-5401-4a84-a61f-d2d8fae9224d"/>
    <x v="0"/>
    <x v="175"/>
    <x v="165"/>
    <x v="5"/>
    <x v="3"/>
    <x v="2"/>
    <d v="2022-07-20T00:00:00"/>
    <n v="2"/>
    <n v="43.64"/>
    <x v="3"/>
    <x v="25"/>
    <x v="0"/>
    <x v="1"/>
    <x v="1"/>
    <n v="12"/>
    <x v="1"/>
    <n v="0"/>
  </r>
  <r>
    <s v="0e5f6a16-6312-4af1-a44c-44b54dc3047d"/>
    <s v="453de6a9-a8d0-45a5-80f6-82356d915f1a"/>
    <x v="2"/>
    <x v="176"/>
    <x v="166"/>
    <x v="0"/>
    <x v="3"/>
    <x v="5"/>
    <d v="2023-07-22T00:00:00"/>
    <n v="17"/>
    <n v="865.81"/>
    <x v="2"/>
    <x v="9"/>
    <x v="1"/>
    <x v="1"/>
    <x v="2"/>
    <n v="6"/>
    <x v="2"/>
    <n v="0"/>
  </r>
  <r>
    <s v="62b9bc2e-5136-4d48-8498-94dc6d33e55e"/>
    <s v="390a1090-7464-46b0-aaf8-dd0a7773917d"/>
    <x v="2"/>
    <x v="177"/>
    <x v="167"/>
    <x v="11"/>
    <x v="3"/>
    <x v="5"/>
    <d v="2022-09-29T00:00:00"/>
    <n v="5"/>
    <n v="91.649999999999991"/>
    <x v="2"/>
    <x v="47"/>
    <x v="1"/>
    <x v="1"/>
    <x v="3"/>
    <n v="1"/>
    <x v="3"/>
    <n v="0"/>
  </r>
  <r>
    <s v="537e90c4-5119-4c71-8499-40828f155d40"/>
    <s v="53497f45-05e3-44eb-98be-dd5e7e4588ff"/>
    <x v="1"/>
    <x v="178"/>
    <x v="168"/>
    <x v="8"/>
    <x v="2"/>
    <x v="5"/>
    <d v="2024-03-26T00:00:00"/>
    <n v="3"/>
    <n v="117.30000000000001"/>
    <x v="0"/>
    <x v="4"/>
    <x v="0"/>
    <x v="2"/>
    <x v="1"/>
    <n v="12"/>
    <x v="1"/>
    <n v="0"/>
  </r>
  <r>
    <s v="ab65965d-c71e-4b39-a623-9f78a6d7bdbd"/>
    <s v="b8ba9e92-ef29-464a-bceb-f91605688cf6"/>
    <x v="1"/>
    <x v="179"/>
    <x v="169"/>
    <x v="1"/>
    <x v="1"/>
    <x v="0"/>
    <d v="2024-03-30T00:00:00"/>
    <n v="28"/>
    <n v="2632.84"/>
    <x v="5"/>
    <x v="25"/>
    <x v="2"/>
    <x v="1"/>
    <x v="0"/>
    <n v="24"/>
    <x v="0"/>
    <n v="0"/>
  </r>
  <r>
    <s v="04558095-d557-464e-8422-3cd8cf101a79"/>
    <s v="8cc103fc-a69d-4508-9b85-f8397f89e066"/>
    <x v="1"/>
    <x v="180"/>
    <x v="170"/>
    <x v="2"/>
    <x v="2"/>
    <x v="3"/>
    <d v="2024-05-09T00:00:00"/>
    <n v="1"/>
    <n v="92.71"/>
    <x v="0"/>
    <x v="42"/>
    <x v="1"/>
    <x v="0"/>
    <x v="1"/>
    <n v="12"/>
    <x v="1"/>
    <n v="0"/>
  </r>
  <r>
    <s v="35859eee-f01d-4162-8426-9ec49b3d84d9"/>
    <s v="02d37a57-304d-4ccc-b95e-84d40f3855d7"/>
    <x v="2"/>
    <x v="181"/>
    <x v="171"/>
    <x v="3"/>
    <x v="1"/>
    <x v="0"/>
    <d v="2022-05-28T00:00:00"/>
    <n v="7"/>
    <n v="223.09"/>
    <x v="5"/>
    <x v="44"/>
    <x v="2"/>
    <x v="1"/>
    <x v="1"/>
    <n v="12"/>
    <x v="1"/>
    <n v="0"/>
  </r>
  <r>
    <s v="f503005f-05d9-4755-87f8-2b26043d156f"/>
    <s v="63105e85-b117-42e9-8893-3e9fae57bad6"/>
    <x v="0"/>
    <x v="182"/>
    <x v="172"/>
    <x v="10"/>
    <x v="3"/>
    <x v="2"/>
    <d v="2023-11-05T00:00:00"/>
    <n v="21"/>
    <n v="782.45999999999992"/>
    <x v="0"/>
    <x v="36"/>
    <x v="0"/>
    <x v="2"/>
    <x v="2"/>
    <n v="6"/>
    <x v="2"/>
    <n v="0"/>
  </r>
  <r>
    <s v="edd0fdf8-6475-4537-91ba-4133245beacc"/>
    <s v="b8efd517-dec6-4c34-bb7e-4634c382fde3"/>
    <x v="0"/>
    <x v="183"/>
    <x v="173"/>
    <x v="4"/>
    <x v="0"/>
    <x v="1"/>
    <d v="2023-12-10T00:00:00"/>
    <n v="3"/>
    <n v="186.06"/>
    <x v="4"/>
    <x v="4"/>
    <x v="1"/>
    <x v="1"/>
    <x v="3"/>
    <n v="1"/>
    <x v="3"/>
    <n v="0"/>
  </r>
  <r>
    <s v="813bc285-6ea0-4d5c-bb89-ca118b102d9e"/>
    <s v="b2570f81-7959-4b69-b976-cb19d334654e"/>
    <x v="1"/>
    <x v="184"/>
    <x v="174"/>
    <x v="2"/>
    <x v="3"/>
    <x v="5"/>
    <d v="2023-12-27T00:00:00"/>
    <n v="21"/>
    <n v="2026.5"/>
    <x v="0"/>
    <x v="43"/>
    <x v="2"/>
    <x v="0"/>
    <x v="1"/>
    <n v="12"/>
    <x v="1"/>
    <n v="0"/>
  </r>
  <r>
    <s v="4873095c-aec6-4baa-8dfe-40645aab17af"/>
    <s v="868ac880-6657-4a8f-97de-8bf974abda9a"/>
    <x v="0"/>
    <x v="185"/>
    <x v="175"/>
    <x v="8"/>
    <x v="2"/>
    <x v="5"/>
    <d v="2024-03-16T00:00:00"/>
    <n v="3"/>
    <n v="57.12"/>
    <x v="4"/>
    <x v="15"/>
    <x v="2"/>
    <x v="2"/>
    <x v="2"/>
    <n v="6"/>
    <x v="2"/>
    <n v="0"/>
  </r>
  <r>
    <s v="2453f7b3-f079-4884-8fa0-79600a4ea6c6"/>
    <s v="f3066a77-dd08-462d-bedb-c85208bc3694"/>
    <x v="2"/>
    <x v="186"/>
    <x v="176"/>
    <x v="2"/>
    <x v="2"/>
    <x v="3"/>
    <d v="2024-04-09T00:00:00"/>
    <n v="1"/>
    <n v="87.99"/>
    <x v="3"/>
    <x v="15"/>
    <x v="0"/>
    <x v="0"/>
    <x v="1"/>
    <n v="12"/>
    <x v="1"/>
    <n v="0"/>
  </r>
  <r>
    <s v="eeb0b807-7342-4109-8aba-4cccc7baa89c"/>
    <s v="252836c2-cb4c-4e96-a772-947cede48ad9"/>
    <x v="0"/>
    <x v="187"/>
    <x v="177"/>
    <x v="0"/>
    <x v="2"/>
    <x v="3"/>
    <d v="2024-06-07T00:00:00"/>
    <n v="3"/>
    <n v="155.19"/>
    <x v="5"/>
    <x v="36"/>
    <x v="0"/>
    <x v="1"/>
    <x v="3"/>
    <n v="1"/>
    <x v="3"/>
    <n v="0"/>
  </r>
  <r>
    <s v="56901418-164c-477d-a327-3135907ddb0e"/>
    <s v="c2d6ec1f-abea-4ba5-93f2-0cadcdf9687a"/>
    <x v="2"/>
    <x v="188"/>
    <x v="178"/>
    <x v="1"/>
    <x v="0"/>
    <x v="5"/>
    <d v="2024-05-30T00:00:00"/>
    <n v="6"/>
    <n v="542.40000000000009"/>
    <x v="1"/>
    <x v="17"/>
    <x v="1"/>
    <x v="1"/>
    <x v="0"/>
    <n v="24"/>
    <x v="0"/>
    <n v="0"/>
  </r>
  <r>
    <s v="59536eb4-018d-4cec-8110-24632389abe3"/>
    <s v="ad1ee3da-1732-47d3-96db-dbfff58a9b03"/>
    <x v="2"/>
    <x v="189"/>
    <x v="179"/>
    <x v="3"/>
    <x v="1"/>
    <x v="3"/>
    <d v="2024-02-29T00:00:00"/>
    <n v="28"/>
    <n v="633.36"/>
    <x v="5"/>
    <x v="16"/>
    <x v="2"/>
    <x v="1"/>
    <x v="0"/>
    <n v="24"/>
    <x v="0"/>
    <n v="0"/>
  </r>
  <r>
    <s v="99ba9b80-ea4e-4a3b-8f70-b87ab6b2218b"/>
    <s v="b4655274-de1f-43d0-99a8-4ea57c9eaf22"/>
    <x v="2"/>
    <x v="190"/>
    <x v="106"/>
    <x v="8"/>
    <x v="3"/>
    <x v="3"/>
    <d v="2022-01-16T00:00:00"/>
    <n v="1"/>
    <n v="55.6"/>
    <x v="4"/>
    <x v="13"/>
    <x v="1"/>
    <x v="1"/>
    <x v="2"/>
    <n v="6"/>
    <x v="2"/>
    <n v="0"/>
  </r>
  <r>
    <s v="5bc3fe8e-42ba-4d89-8a3b-cd845a091e2c"/>
    <s v="477639e4-8b72-44d9-b93b-ee30dba69b24"/>
    <x v="1"/>
    <x v="191"/>
    <x v="180"/>
    <x v="5"/>
    <x v="3"/>
    <x v="5"/>
    <d v="2022-09-27T00:00:00"/>
    <n v="4"/>
    <n v="144"/>
    <x v="5"/>
    <x v="2"/>
    <x v="1"/>
    <x v="1"/>
    <x v="0"/>
    <n v="24"/>
    <x v="0"/>
    <n v="0"/>
  </r>
  <r>
    <s v="c1357c9a-8b4b-497d-bc35-d6c2085e8820"/>
    <s v="a4a8b668-9d01-4a5a-b486-fa743db7e56c"/>
    <x v="0"/>
    <x v="192"/>
    <x v="181"/>
    <x v="4"/>
    <x v="3"/>
    <x v="1"/>
    <d v="2023-10-11T00:00:00"/>
    <n v="13"/>
    <n v="616.85"/>
    <x v="2"/>
    <x v="1"/>
    <x v="0"/>
    <x v="1"/>
    <x v="2"/>
    <n v="6"/>
    <x v="2"/>
    <n v="0"/>
  </r>
  <r>
    <s v="23fbd1fb-086c-412c-9151-4910d064df33"/>
    <s v="175a7713-8cb2-40c8-ad7c-8072f5b3cff0"/>
    <x v="0"/>
    <x v="193"/>
    <x v="182"/>
    <x v="7"/>
    <x v="3"/>
    <x v="2"/>
    <d v="2023-07-16T00:00:00"/>
    <n v="9"/>
    <n v="415.26"/>
    <x v="4"/>
    <x v="28"/>
    <x v="0"/>
    <x v="2"/>
    <x v="3"/>
    <n v="1"/>
    <x v="3"/>
    <n v="0"/>
  </r>
  <r>
    <s v="02142371-fd9a-4096-b918-a149514dc91d"/>
    <s v="7807f03e-427b-4cca-ae96-d54bb1de1ae0"/>
    <x v="0"/>
    <x v="194"/>
    <x v="183"/>
    <x v="3"/>
    <x v="3"/>
    <x v="3"/>
    <d v="2023-08-14T00:00:00"/>
    <n v="9"/>
    <n v="350.55"/>
    <x v="0"/>
    <x v="10"/>
    <x v="2"/>
    <x v="1"/>
    <x v="3"/>
    <n v="1"/>
    <x v="3"/>
    <n v="0"/>
  </r>
  <r>
    <s v="217015c4-3253-45c8-8bff-1e4a842b154c"/>
    <s v="94cc95f6-b769-4067-ac54-c457e6df60df"/>
    <x v="2"/>
    <x v="195"/>
    <x v="184"/>
    <x v="4"/>
    <x v="3"/>
    <x v="3"/>
    <d v="2023-02-23T00:00:00"/>
    <n v="6"/>
    <n v="551.52"/>
    <x v="6"/>
    <x v="45"/>
    <x v="1"/>
    <x v="1"/>
    <x v="3"/>
    <n v="1"/>
    <x v="3"/>
    <n v="0"/>
  </r>
  <r>
    <s v="5bcc223d-b34f-4eb3-ba2d-92b2b1c6e171"/>
    <s v="58c1396a-2212-4bf3-a407-c9e58df5b5ab"/>
    <x v="2"/>
    <x v="196"/>
    <x v="99"/>
    <x v="8"/>
    <x v="0"/>
    <x v="4"/>
    <d v="2023-05-02T00:00:00"/>
    <n v="4"/>
    <n v="298.08"/>
    <x v="2"/>
    <x v="38"/>
    <x v="1"/>
    <x v="1"/>
    <x v="3"/>
    <n v="1"/>
    <x v="3"/>
    <n v="0"/>
  </r>
  <r>
    <s v="ccdcbd1c-5d7a-4fae-94d1-6e7f3a103336"/>
    <s v="331c3cf2-139b-4852-8076-3755cbfbe078"/>
    <x v="1"/>
    <x v="197"/>
    <x v="133"/>
    <x v="9"/>
    <x v="3"/>
    <x v="2"/>
    <d v="2023-06-11T00:00:00"/>
    <n v="11"/>
    <n v="815.32"/>
    <x v="0"/>
    <x v="40"/>
    <x v="1"/>
    <x v="0"/>
    <x v="2"/>
    <n v="6"/>
    <x v="2"/>
    <n v="0"/>
  </r>
  <r>
    <s v="8405b16d-d08b-4bb5-9d7f-c4f9ac96b7a1"/>
    <s v="5fce3c3b-bb68-443a-8a2d-9ef0d9757ea1"/>
    <x v="0"/>
    <x v="198"/>
    <x v="21"/>
    <x v="4"/>
    <x v="3"/>
    <x v="3"/>
    <d v="2023-03-26T00:00:00"/>
    <n v="7"/>
    <n v="419.16"/>
    <x v="4"/>
    <x v="31"/>
    <x v="0"/>
    <x v="2"/>
    <x v="1"/>
    <n v="12"/>
    <x v="1"/>
    <n v="0"/>
  </r>
  <r>
    <s v="0c619072-dacc-4df7-8d2e-515cb6bfbc2f"/>
    <s v="09558b4c-3d19-48d7-b8f3-5249daf3b4b6"/>
    <x v="0"/>
    <x v="199"/>
    <x v="185"/>
    <x v="6"/>
    <x v="3"/>
    <x v="6"/>
    <d v="2023-12-30T00:00:00"/>
    <n v="18"/>
    <n v="1422.36"/>
    <x v="3"/>
    <x v="38"/>
    <x v="0"/>
    <x v="1"/>
    <x v="3"/>
    <n v="1"/>
    <x v="3"/>
    <n v="0"/>
  </r>
  <r>
    <s v="4cbb448b-966f-4ab8-b621-589a4df8b955"/>
    <s v="0eb001be-3876-49a9-89f6-2ea4ebf9be10"/>
    <x v="1"/>
    <x v="200"/>
    <x v="186"/>
    <x v="7"/>
    <x v="0"/>
    <x v="5"/>
    <d v="2024-01-02T00:00:00"/>
    <n v="3"/>
    <n v="113.19"/>
    <x v="3"/>
    <x v="14"/>
    <x v="2"/>
    <x v="0"/>
    <x v="0"/>
    <n v="24"/>
    <x v="0"/>
    <n v="0"/>
  </r>
  <r>
    <s v="7c67f720-12c5-43f1-9165-8d297579d6da"/>
    <s v="96ce933e-3016-480a-9fe6-27b21a5f8309"/>
    <x v="0"/>
    <x v="201"/>
    <x v="187"/>
    <x v="10"/>
    <x v="0"/>
    <x v="0"/>
    <d v="2023-12-01T00:00:00"/>
    <n v="10"/>
    <n v="184.4"/>
    <x v="0"/>
    <x v="11"/>
    <x v="1"/>
    <x v="2"/>
    <x v="3"/>
    <n v="1"/>
    <x v="3"/>
    <n v="0"/>
  </r>
  <r>
    <s v="f162e954-13bc-412b-aba2-2746d8e49ef0"/>
    <s v="53e4ac59-3b20-4b91-a313-2c9361baca54"/>
    <x v="1"/>
    <x v="202"/>
    <x v="188"/>
    <x v="2"/>
    <x v="3"/>
    <x v="3"/>
    <d v="2024-05-02T00:00:00"/>
    <n v="25"/>
    <n v="2181.5"/>
    <x v="0"/>
    <x v="1"/>
    <x v="0"/>
    <x v="0"/>
    <x v="1"/>
    <n v="12"/>
    <x v="1"/>
    <n v="0"/>
  </r>
  <r>
    <s v="1c619f2b-a0b6-4d2b-99e3-2f9924f32db2"/>
    <s v="6e5136f8-8f09-4725-a145-3056b17a262c"/>
    <x v="1"/>
    <x v="203"/>
    <x v="189"/>
    <x v="11"/>
    <x v="2"/>
    <x v="4"/>
    <d v="2024-05-31T00:00:00"/>
    <n v="1"/>
    <n v="46.93"/>
    <x v="4"/>
    <x v="11"/>
    <x v="0"/>
    <x v="2"/>
    <x v="3"/>
    <n v="1"/>
    <x v="3"/>
    <n v="0"/>
  </r>
  <r>
    <s v="159d186f-57ce-4c1b-ba6f-4a14e7b5d983"/>
    <s v="dac74883-7304-4b0f-87c6-d1f2ef05ec02"/>
    <x v="1"/>
    <x v="204"/>
    <x v="190"/>
    <x v="2"/>
    <x v="3"/>
    <x v="4"/>
    <d v="2022-10-26T00:00:00"/>
    <n v="7"/>
    <n v="358.47"/>
    <x v="2"/>
    <x v="27"/>
    <x v="0"/>
    <x v="1"/>
    <x v="2"/>
    <n v="6"/>
    <x v="2"/>
    <n v="0"/>
  </r>
  <r>
    <s v="bb500bc5-21e8-4112-866e-543018801c00"/>
    <s v="61fcb898-a0fa-4127-8193-d113aa9aad0d"/>
    <x v="1"/>
    <x v="205"/>
    <x v="157"/>
    <x v="9"/>
    <x v="1"/>
    <x v="6"/>
    <d v="2023-08-18T00:00:00"/>
    <n v="25"/>
    <n v="1190"/>
    <x v="5"/>
    <x v="6"/>
    <x v="2"/>
    <x v="0"/>
    <x v="2"/>
    <n v="6"/>
    <x v="2"/>
    <n v="0"/>
  </r>
  <r>
    <s v="d0e58412-275f-4939-bf82-e55ffa0fd6e9"/>
    <s v="a17dc449-07c4-412b-8576-c349f3835ecb"/>
    <x v="1"/>
    <x v="206"/>
    <x v="31"/>
    <x v="4"/>
    <x v="1"/>
    <x v="2"/>
    <d v="2023-05-20T00:00:00"/>
    <n v="21"/>
    <n v="1237.95"/>
    <x v="0"/>
    <x v="13"/>
    <x v="1"/>
    <x v="0"/>
    <x v="3"/>
    <n v="1"/>
    <x v="3"/>
    <n v="0"/>
  </r>
  <r>
    <s v="e51b426a-7c0d-4f31-8ac4-58f91714e03a"/>
    <s v="90aa368b-46bb-438c-b6f9-896ac1233057"/>
    <x v="2"/>
    <x v="207"/>
    <x v="191"/>
    <x v="7"/>
    <x v="0"/>
    <x v="4"/>
    <d v="2024-01-05T00:00:00"/>
    <n v="3"/>
    <n v="156.99"/>
    <x v="5"/>
    <x v="10"/>
    <x v="1"/>
    <x v="1"/>
    <x v="1"/>
    <n v="12"/>
    <x v="1"/>
    <n v="0"/>
  </r>
  <r>
    <s v="bb4b63bf-814c-4dc4-825d-78836f75c1f0"/>
    <s v="3be9bf05-7c96-4709-b09e-3ab96a68adc6"/>
    <x v="2"/>
    <x v="208"/>
    <x v="192"/>
    <x v="9"/>
    <x v="3"/>
    <x v="4"/>
    <d v="2024-05-06T00:00:00"/>
    <n v="22"/>
    <n v="1921.48"/>
    <x v="4"/>
    <x v="41"/>
    <x v="2"/>
    <x v="1"/>
    <x v="2"/>
    <n v="6"/>
    <x v="2"/>
    <n v="0"/>
  </r>
  <r>
    <s v="d1d47537-a89c-43c5-ba84-65f6fe439dc7"/>
    <s v="47a704dd-fa40-4fc2-9254-47b26cee64f1"/>
    <x v="0"/>
    <x v="209"/>
    <x v="193"/>
    <x v="6"/>
    <x v="0"/>
    <x v="6"/>
    <d v="2023-10-06T00:00:00"/>
    <n v="3"/>
    <n v="193.89"/>
    <x v="4"/>
    <x v="44"/>
    <x v="0"/>
    <x v="0"/>
    <x v="3"/>
    <n v="1"/>
    <x v="3"/>
    <n v="0"/>
  </r>
  <r>
    <s v="036ef382-6dad-4cf3-a64d-d976a7658a68"/>
    <s v="aa97ba29-3638-48d7-8bf9-a4559295c673"/>
    <x v="1"/>
    <x v="210"/>
    <x v="194"/>
    <x v="2"/>
    <x v="2"/>
    <x v="2"/>
    <d v="2024-05-18T00:00:00"/>
    <n v="2"/>
    <n v="86.28"/>
    <x v="5"/>
    <x v="10"/>
    <x v="2"/>
    <x v="2"/>
    <x v="3"/>
    <n v="1"/>
    <x v="3"/>
    <n v="0"/>
  </r>
  <r>
    <s v="b989771d-1ada-4e65-9260-fbb0b431a730"/>
    <s v="d7be8c55-6c58-4342-90ec-2278900c7b1c"/>
    <x v="2"/>
    <x v="211"/>
    <x v="195"/>
    <x v="9"/>
    <x v="3"/>
    <x v="0"/>
    <d v="2023-05-17T00:00:00"/>
    <n v="10"/>
    <n v="445.90000000000003"/>
    <x v="4"/>
    <x v="19"/>
    <x v="0"/>
    <x v="1"/>
    <x v="3"/>
    <n v="1"/>
    <x v="3"/>
    <n v="0"/>
  </r>
  <r>
    <s v="b9dc82ac-037e-422a-b85a-73ec59628ead"/>
    <s v="406c4bcc-1c47-4ffa-ba34-57bacea5e500"/>
    <x v="1"/>
    <x v="212"/>
    <x v="196"/>
    <x v="5"/>
    <x v="0"/>
    <x v="4"/>
    <d v="2023-12-14T00:00:00"/>
    <n v="7"/>
    <n v="574.21"/>
    <x v="4"/>
    <x v="34"/>
    <x v="1"/>
    <x v="1"/>
    <x v="3"/>
    <n v="1"/>
    <x v="3"/>
    <n v="0"/>
  </r>
  <r>
    <s v="a80f1795-42d2-43bf-be59-8ed1e0f7a0a4"/>
    <s v="6a0ec18d-ae8f-4bc4-8f9a-012bdd5aca50"/>
    <x v="1"/>
    <x v="213"/>
    <x v="197"/>
    <x v="10"/>
    <x v="3"/>
    <x v="0"/>
    <d v="2023-05-07T00:00:00"/>
    <n v="15"/>
    <n v="571.19999999999993"/>
    <x v="1"/>
    <x v="18"/>
    <x v="0"/>
    <x v="2"/>
    <x v="1"/>
    <n v="12"/>
    <x v="1"/>
    <n v="0"/>
  </r>
  <r>
    <s v="5916ab51-0acf-42ff-a3cd-79ef907f3fb5"/>
    <s v="52762281-f429-4e04-9766-71b775f70e95"/>
    <x v="1"/>
    <x v="214"/>
    <x v="198"/>
    <x v="9"/>
    <x v="1"/>
    <x v="4"/>
    <d v="2022-07-22T00:00:00"/>
    <n v="12"/>
    <n v="301.08"/>
    <x v="4"/>
    <x v="40"/>
    <x v="2"/>
    <x v="2"/>
    <x v="3"/>
    <n v="1"/>
    <x v="3"/>
    <n v="0"/>
  </r>
  <r>
    <s v="993a6f5f-b28e-408a-9ed9-3c2559b62af0"/>
    <s v="59ad7e85-5378-4b32-9440-686988bf7ed0"/>
    <x v="1"/>
    <x v="215"/>
    <x v="110"/>
    <x v="2"/>
    <x v="0"/>
    <x v="5"/>
    <d v="2023-10-29T00:00:00"/>
    <n v="7"/>
    <n v="74.48"/>
    <x v="5"/>
    <x v="19"/>
    <x v="1"/>
    <x v="0"/>
    <x v="1"/>
    <n v="12"/>
    <x v="1"/>
    <n v="0"/>
  </r>
  <r>
    <s v="b59ec3ea-7d37-41a3-b87a-3aa8595bab1b"/>
    <s v="03fc9cce-48a3-450c-b9cf-cfa804e0197d"/>
    <x v="0"/>
    <x v="216"/>
    <x v="199"/>
    <x v="11"/>
    <x v="2"/>
    <x v="1"/>
    <d v="2024-05-31T00:00:00"/>
    <n v="1"/>
    <n v="88.22"/>
    <x v="5"/>
    <x v="8"/>
    <x v="2"/>
    <x v="1"/>
    <x v="1"/>
    <n v="12"/>
    <x v="1"/>
    <n v="0"/>
  </r>
  <r>
    <s v="d7084c7f-75cb-44a7-8b15-8f8983204c8f"/>
    <s v="fbc69cfa-aa5e-4a92-94ae-11122e5a1a6f"/>
    <x v="2"/>
    <x v="217"/>
    <x v="200"/>
    <x v="10"/>
    <x v="2"/>
    <x v="0"/>
    <d v="2024-05-05T00:00:00"/>
    <n v="3"/>
    <n v="276.78000000000003"/>
    <x v="3"/>
    <x v="43"/>
    <x v="2"/>
    <x v="0"/>
    <x v="3"/>
    <n v="1"/>
    <x v="3"/>
    <n v="0"/>
  </r>
  <r>
    <s v="76830495-995b-4784-8ce4-e24bff411f39"/>
    <s v="07b90b45-d999-494d-82ac-4b577e21ef6e"/>
    <x v="2"/>
    <x v="218"/>
    <x v="201"/>
    <x v="9"/>
    <x v="1"/>
    <x v="0"/>
    <d v="2023-05-08T00:00:00"/>
    <n v="21"/>
    <n v="344.61"/>
    <x v="3"/>
    <x v="38"/>
    <x v="2"/>
    <x v="0"/>
    <x v="2"/>
    <n v="6"/>
    <x v="2"/>
    <n v="0"/>
  </r>
  <r>
    <s v="db666ec6-18cf-44c7-9908-d5243600c8f5"/>
    <s v="bd88533a-9f28-4431-9158-c9973a04b593"/>
    <x v="0"/>
    <x v="219"/>
    <x v="202"/>
    <x v="6"/>
    <x v="3"/>
    <x v="5"/>
    <d v="2023-08-30T00:00:00"/>
    <n v="14"/>
    <n v="514.92000000000007"/>
    <x v="2"/>
    <x v="23"/>
    <x v="0"/>
    <x v="2"/>
    <x v="0"/>
    <n v="24"/>
    <x v="0"/>
    <n v="0"/>
  </r>
  <r>
    <s v="98c30bc0-ed70-4047-9db6-497dcda46839"/>
    <s v="da29ddaa-7870-4f4d-baea-4e19a4080118"/>
    <x v="1"/>
    <x v="220"/>
    <x v="203"/>
    <x v="2"/>
    <x v="2"/>
    <x v="4"/>
    <d v="2024-04-27T00:00:00"/>
    <n v="1"/>
    <n v="21.66"/>
    <x v="0"/>
    <x v="0"/>
    <x v="1"/>
    <x v="1"/>
    <x v="2"/>
    <n v="6"/>
    <x v="2"/>
    <n v="0"/>
  </r>
  <r>
    <s v="b7f898b8-28ec-4539-a219-7a71135fabd1"/>
    <s v="45ae3d99-84db-4338-9e4a-6b3a1c7b799d"/>
    <x v="1"/>
    <x v="221"/>
    <x v="204"/>
    <x v="0"/>
    <x v="2"/>
    <x v="4"/>
    <d v="2024-03-27T00:00:00"/>
    <n v="1"/>
    <n v="16.010000000000002"/>
    <x v="5"/>
    <x v="48"/>
    <x v="2"/>
    <x v="2"/>
    <x v="2"/>
    <n v="6"/>
    <x v="2"/>
    <n v="0"/>
  </r>
  <r>
    <s v="81e18105-ae51-4247-a5c3-eba217246ff5"/>
    <s v="b55c6a62-d7e9-4f50-baea-378294de5345"/>
    <x v="0"/>
    <x v="222"/>
    <x v="4"/>
    <x v="3"/>
    <x v="3"/>
    <x v="2"/>
    <d v="2023-09-14T00:00:00"/>
    <n v="10"/>
    <n v="904.9"/>
    <x v="4"/>
    <x v="49"/>
    <x v="0"/>
    <x v="2"/>
    <x v="3"/>
    <n v="1"/>
    <x v="3"/>
    <n v="0"/>
  </r>
  <r>
    <s v="7d6845c1-2630-45f8-9ecb-00edb0d79fc7"/>
    <s v="1104be89-5a7e-4263-9d70-4267b4334ad4"/>
    <x v="0"/>
    <x v="223"/>
    <x v="93"/>
    <x v="7"/>
    <x v="3"/>
    <x v="1"/>
    <d v="2023-09-29T00:00:00"/>
    <n v="12"/>
    <n v="124.80000000000001"/>
    <x v="3"/>
    <x v="38"/>
    <x v="2"/>
    <x v="0"/>
    <x v="2"/>
    <n v="6"/>
    <x v="2"/>
    <n v="0"/>
  </r>
  <r>
    <s v="df3a9c44-2076-42fc-8e16-ce799f87ccd1"/>
    <s v="44a0694c-db26-4815-a47a-64f5f0952690"/>
    <x v="0"/>
    <x v="224"/>
    <x v="205"/>
    <x v="4"/>
    <x v="3"/>
    <x v="5"/>
    <d v="2022-11-21T00:00:00"/>
    <n v="3"/>
    <n v="294.45000000000005"/>
    <x v="2"/>
    <x v="18"/>
    <x v="1"/>
    <x v="1"/>
    <x v="1"/>
    <n v="12"/>
    <x v="1"/>
    <n v="0"/>
  </r>
  <r>
    <s v="4ed21cb3-c28c-4f91-a4c9-4bbd1999115b"/>
    <s v="c9864e94-74dd-4c09-803f-ffaee127fe2a"/>
    <x v="2"/>
    <x v="225"/>
    <x v="206"/>
    <x v="7"/>
    <x v="0"/>
    <x v="5"/>
    <d v="2024-01-26T00:00:00"/>
    <n v="4"/>
    <n v="56.64"/>
    <x v="2"/>
    <x v="45"/>
    <x v="0"/>
    <x v="2"/>
    <x v="2"/>
    <n v="6"/>
    <x v="2"/>
    <n v="0"/>
  </r>
  <r>
    <s v="e753db4b-3e9d-4567-b21e-991795374b0a"/>
    <s v="c4d37fac-4937-4960-8644-a2a2b9e3330a"/>
    <x v="1"/>
    <x v="226"/>
    <x v="207"/>
    <x v="10"/>
    <x v="0"/>
    <x v="5"/>
    <d v="2023-03-10T00:00:00"/>
    <n v="2"/>
    <n v="174.06"/>
    <x v="1"/>
    <x v="39"/>
    <x v="2"/>
    <x v="0"/>
    <x v="0"/>
    <n v="24"/>
    <x v="0"/>
    <n v="0"/>
  </r>
  <r>
    <s v="680e2958-aa9c-4d18-98bf-726fbce3383e"/>
    <s v="5c81a2de-fe25-425a-b6b1-6c2aca61df7c"/>
    <x v="2"/>
    <x v="227"/>
    <x v="198"/>
    <x v="9"/>
    <x v="1"/>
    <x v="4"/>
    <d v="2022-09-07T00:00:00"/>
    <n v="13"/>
    <n v="764.66"/>
    <x v="3"/>
    <x v="18"/>
    <x v="2"/>
    <x v="1"/>
    <x v="1"/>
    <n v="12"/>
    <x v="1"/>
    <n v="0"/>
  </r>
  <r>
    <s v="d8e57f3e-dd7b-46bc-bccc-977864d5f698"/>
    <s v="ebca15e6-c53d-41b0-b5dc-93edb35d733a"/>
    <x v="2"/>
    <x v="228"/>
    <x v="208"/>
    <x v="5"/>
    <x v="0"/>
    <x v="3"/>
    <d v="2024-03-12T00:00:00"/>
    <n v="10"/>
    <n v="375.20000000000005"/>
    <x v="4"/>
    <x v="48"/>
    <x v="1"/>
    <x v="1"/>
    <x v="0"/>
    <n v="24"/>
    <x v="0"/>
    <n v="0"/>
  </r>
  <r>
    <s v="44cdb98a-969a-4a1b-9533-015b5df9e192"/>
    <s v="3688d217-c445-427e-9dba-3c7122ad047e"/>
    <x v="0"/>
    <x v="229"/>
    <x v="209"/>
    <x v="2"/>
    <x v="3"/>
    <x v="4"/>
    <d v="2022-05-26T00:00:00"/>
    <n v="1"/>
    <n v="76.95"/>
    <x v="5"/>
    <x v="8"/>
    <x v="1"/>
    <x v="0"/>
    <x v="1"/>
    <n v="12"/>
    <x v="1"/>
    <n v="0"/>
  </r>
  <r>
    <s v="d052edf3-da90-4843-8b08-f92b5c3ffd4e"/>
    <s v="8a027a14-61bd-4504-b686-24063fdcefa8"/>
    <x v="0"/>
    <x v="230"/>
    <x v="210"/>
    <x v="6"/>
    <x v="1"/>
    <x v="6"/>
    <d v="2022-11-10T00:00:00"/>
    <n v="16"/>
    <n v="1079.2"/>
    <x v="4"/>
    <x v="23"/>
    <x v="0"/>
    <x v="2"/>
    <x v="2"/>
    <n v="6"/>
    <x v="2"/>
    <n v="0"/>
  </r>
  <r>
    <s v="1aa9e065-e1ff-4163-80bf-3ee01f8b0291"/>
    <s v="e5cb3c0d-e689-4371-938e-da062c1b8e7f"/>
    <x v="1"/>
    <x v="231"/>
    <x v="211"/>
    <x v="1"/>
    <x v="3"/>
    <x v="1"/>
    <d v="2022-12-07T00:00:00"/>
    <n v="1"/>
    <n v="54.15"/>
    <x v="1"/>
    <x v="42"/>
    <x v="0"/>
    <x v="0"/>
    <x v="0"/>
    <n v="24"/>
    <x v="0"/>
    <n v="0"/>
  </r>
  <r>
    <s v="1905ced3-2243-4860-9403-baea9343cb7c"/>
    <s v="b06839fb-9e6c-43ed-b4f7-229e5ef422d9"/>
    <x v="1"/>
    <x v="232"/>
    <x v="212"/>
    <x v="3"/>
    <x v="3"/>
    <x v="1"/>
    <d v="2024-01-05T00:00:00"/>
    <n v="14"/>
    <n v="714.98"/>
    <x v="3"/>
    <x v="50"/>
    <x v="2"/>
    <x v="0"/>
    <x v="0"/>
    <n v="24"/>
    <x v="0"/>
    <n v="0"/>
  </r>
  <r>
    <s v="40e47b92-929f-45fb-999c-1c5d86c0e7f0"/>
    <s v="a6f520ae-b170-4eae-877e-74c055f2920c"/>
    <x v="1"/>
    <x v="233"/>
    <x v="7"/>
    <x v="2"/>
    <x v="0"/>
    <x v="1"/>
    <d v="2023-11-10T00:00:00"/>
    <n v="8"/>
    <n v="724.88"/>
    <x v="2"/>
    <x v="27"/>
    <x v="0"/>
    <x v="0"/>
    <x v="1"/>
    <n v="12"/>
    <x v="1"/>
    <n v="0"/>
  </r>
  <r>
    <s v="55635a6b-35d4-486f-98a4-a5377dca926e"/>
    <s v="96d11a99-2654-4d1d-a791-0ec649eb0726"/>
    <x v="0"/>
    <x v="234"/>
    <x v="213"/>
    <x v="3"/>
    <x v="1"/>
    <x v="6"/>
    <d v="2022-11-26T00:00:00"/>
    <n v="12"/>
    <n v="692.28"/>
    <x v="4"/>
    <x v="35"/>
    <x v="2"/>
    <x v="1"/>
    <x v="0"/>
    <n v="24"/>
    <x v="0"/>
    <n v="0"/>
  </r>
  <r>
    <s v="bc1c00ad-6704-44dd-ae6a-f542ce8d4e7c"/>
    <s v="29192aa3-f80f-4f18-a8c1-2f08851bde85"/>
    <x v="0"/>
    <x v="235"/>
    <x v="214"/>
    <x v="9"/>
    <x v="1"/>
    <x v="6"/>
    <d v="2023-10-27T00:00:00"/>
    <n v="26"/>
    <n v="2172.2999999999997"/>
    <x v="0"/>
    <x v="29"/>
    <x v="0"/>
    <x v="2"/>
    <x v="2"/>
    <n v="6"/>
    <x v="2"/>
    <n v="0"/>
  </r>
  <r>
    <s v="03f9dd44-2924-430d-bad0-b9f8d18ae77c"/>
    <s v="6a5a516f-eb38-40c5-b1c0-9870b7702bc7"/>
    <x v="0"/>
    <x v="236"/>
    <x v="134"/>
    <x v="5"/>
    <x v="1"/>
    <x v="2"/>
    <d v="2021-11-20T00:00:00"/>
    <n v="5"/>
    <n v="369.65000000000003"/>
    <x v="5"/>
    <x v="49"/>
    <x v="1"/>
    <x v="2"/>
    <x v="2"/>
    <n v="6"/>
    <x v="2"/>
    <n v="0"/>
  </r>
  <r>
    <s v="a9872a3c-09b8-4df2-92ea-742e0f224d87"/>
    <s v="3d9dc9c1-18b7-4b6c-ba04-96a9954ba861"/>
    <x v="0"/>
    <x v="237"/>
    <x v="215"/>
    <x v="9"/>
    <x v="3"/>
    <x v="1"/>
    <d v="2023-12-08T00:00:00"/>
    <n v="16"/>
    <n v="138.56"/>
    <x v="4"/>
    <x v="14"/>
    <x v="1"/>
    <x v="0"/>
    <x v="0"/>
    <n v="24"/>
    <x v="0"/>
    <n v="0"/>
  </r>
  <r>
    <s v="89d66821-f0ee-4708-96de-8e219cee0432"/>
    <s v="5089b6e1-4d89-40f5-9352-d97f62a39e07"/>
    <x v="0"/>
    <x v="238"/>
    <x v="216"/>
    <x v="6"/>
    <x v="0"/>
    <x v="2"/>
    <d v="2024-05-13T00:00:00"/>
    <n v="10"/>
    <n v="784.5"/>
    <x v="0"/>
    <x v="48"/>
    <x v="0"/>
    <x v="0"/>
    <x v="0"/>
    <n v="24"/>
    <x v="0"/>
    <n v="0"/>
  </r>
  <r>
    <s v="d814742d-aa05-4682-ad2c-7b31cafaa924"/>
    <s v="db147d08-40fd-428e-8584-4b8c6796056f"/>
    <x v="0"/>
    <x v="239"/>
    <x v="217"/>
    <x v="1"/>
    <x v="1"/>
    <x v="3"/>
    <d v="2023-09-02T00:00:00"/>
    <n v="21"/>
    <n v="537.6"/>
    <x v="5"/>
    <x v="47"/>
    <x v="0"/>
    <x v="1"/>
    <x v="0"/>
    <n v="24"/>
    <x v="0"/>
    <n v="0"/>
  </r>
  <r>
    <s v="0c89844a-2185-4a2a-804f-edc244967385"/>
    <s v="ac35f91e-9319-4506-b018-265d45c7b874"/>
    <x v="1"/>
    <x v="240"/>
    <x v="218"/>
    <x v="8"/>
    <x v="3"/>
    <x v="6"/>
    <d v="2023-06-01T00:00:00"/>
    <n v="17"/>
    <n v="1543.6"/>
    <x v="3"/>
    <x v="27"/>
    <x v="1"/>
    <x v="2"/>
    <x v="2"/>
    <n v="6"/>
    <x v="2"/>
    <n v="0"/>
  </r>
  <r>
    <s v="e2ceb57b-a520-4f89-a674-011f126b2e02"/>
    <s v="568a71a1-241b-4ece-968a-c2253a3e97b8"/>
    <x v="0"/>
    <x v="241"/>
    <x v="219"/>
    <x v="3"/>
    <x v="0"/>
    <x v="1"/>
    <d v="2024-01-05T00:00:00"/>
    <n v="3"/>
    <n v="27.240000000000002"/>
    <x v="5"/>
    <x v="34"/>
    <x v="1"/>
    <x v="1"/>
    <x v="0"/>
    <n v="24"/>
    <x v="0"/>
    <n v="0"/>
  </r>
  <r>
    <s v="fc3b58ee-c5e8-4d40-bbe7-2545b6950a22"/>
    <s v="79b01ebc-dba4-472b-a0f3-3f68fc76bfda"/>
    <x v="2"/>
    <x v="242"/>
    <x v="220"/>
    <x v="3"/>
    <x v="3"/>
    <x v="1"/>
    <d v="2023-05-01T00:00:00"/>
    <n v="6"/>
    <n v="219.84"/>
    <x v="5"/>
    <x v="12"/>
    <x v="0"/>
    <x v="2"/>
    <x v="0"/>
    <n v="24"/>
    <x v="0"/>
    <n v="0"/>
  </r>
  <r>
    <s v="237fbada-a6e1-472d-bb14-4a8abe427faa"/>
    <s v="fa9c9ad2-a334-4abd-a2eb-504e2ed9c5e3"/>
    <x v="2"/>
    <x v="243"/>
    <x v="221"/>
    <x v="7"/>
    <x v="1"/>
    <x v="3"/>
    <d v="2022-04-04T00:00:00"/>
    <n v="6"/>
    <n v="86.820000000000007"/>
    <x v="5"/>
    <x v="33"/>
    <x v="1"/>
    <x v="2"/>
    <x v="3"/>
    <n v="1"/>
    <x v="3"/>
    <n v="0"/>
  </r>
  <r>
    <s v="e086deaa-3ecd-4deb-a14c-6dfca63c28e2"/>
    <s v="a07ad7c1-2b07-4587-b413-56b82db21637"/>
    <x v="1"/>
    <x v="244"/>
    <x v="222"/>
    <x v="9"/>
    <x v="1"/>
    <x v="5"/>
    <d v="2024-03-14T00:00:00"/>
    <n v="31"/>
    <n v="1555.58"/>
    <x v="2"/>
    <x v="14"/>
    <x v="0"/>
    <x v="1"/>
    <x v="3"/>
    <n v="1"/>
    <x v="3"/>
    <n v="0"/>
  </r>
  <r>
    <s v="753fff8a-7540-42cf-a479-b9a01508903c"/>
    <s v="e5f062fe-297a-4602-ab7d-60ca58cc2f83"/>
    <x v="1"/>
    <x v="245"/>
    <x v="223"/>
    <x v="8"/>
    <x v="2"/>
    <x v="3"/>
    <d v="2024-02-23T00:00:00"/>
    <n v="1"/>
    <n v="82.9"/>
    <x v="3"/>
    <x v="10"/>
    <x v="0"/>
    <x v="1"/>
    <x v="2"/>
    <n v="6"/>
    <x v="2"/>
    <n v="0"/>
  </r>
  <r>
    <s v="3ad0fae6-c1d3-4e01-a8c0-f3f59aa924c6"/>
    <s v="f1fe2e0d-0c2f-43cf-beb1-724ec4a2cf8c"/>
    <x v="1"/>
    <x v="246"/>
    <x v="224"/>
    <x v="4"/>
    <x v="0"/>
    <x v="1"/>
    <d v="2023-12-17T00:00:00"/>
    <n v="3"/>
    <n v="99.99"/>
    <x v="0"/>
    <x v="10"/>
    <x v="0"/>
    <x v="0"/>
    <x v="0"/>
    <n v="24"/>
    <x v="0"/>
    <n v="0"/>
  </r>
  <r>
    <s v="fca5d9a6-1ebf-42fd-bb03-09db2e4592d2"/>
    <s v="f17352e0-94eb-4025-9441-c3dd67b17ec7"/>
    <x v="2"/>
    <x v="247"/>
    <x v="225"/>
    <x v="4"/>
    <x v="0"/>
    <x v="0"/>
    <d v="2024-04-09T00:00:00"/>
    <n v="7"/>
    <n v="135.38"/>
    <x v="0"/>
    <x v="16"/>
    <x v="0"/>
    <x v="2"/>
    <x v="2"/>
    <n v="6"/>
    <x v="2"/>
    <n v="0"/>
  </r>
  <r>
    <s v="f055f879-3995-4fae-8acc-6e637875b0ad"/>
    <s v="8d0f7346-aa5c-49b0-87ae-cdcaae0c8cc0"/>
    <x v="1"/>
    <x v="248"/>
    <x v="226"/>
    <x v="3"/>
    <x v="3"/>
    <x v="5"/>
    <d v="2023-10-10T00:00:00"/>
    <n v="11"/>
    <n v="400.18"/>
    <x v="4"/>
    <x v="38"/>
    <x v="0"/>
    <x v="0"/>
    <x v="3"/>
    <n v="1"/>
    <x v="3"/>
    <n v="0"/>
  </r>
  <r>
    <s v="9a9349fc-6d97-43ce-8f93-acd459a73be0"/>
    <s v="7212fea2-19f8-48d4-a444-1e89c08c5373"/>
    <x v="1"/>
    <x v="249"/>
    <x v="227"/>
    <x v="7"/>
    <x v="0"/>
    <x v="1"/>
    <d v="2024-02-08T00:00:00"/>
    <n v="4"/>
    <n v="329.28"/>
    <x v="4"/>
    <x v="28"/>
    <x v="0"/>
    <x v="2"/>
    <x v="0"/>
    <n v="24"/>
    <x v="0"/>
    <n v="0"/>
  </r>
  <r>
    <s v="3409fe92-637a-46ef-92cf-a4bc09713c4d"/>
    <s v="c17af529-2fd4-4643-8c25-6f70643e017b"/>
    <x v="0"/>
    <x v="250"/>
    <x v="228"/>
    <x v="8"/>
    <x v="0"/>
    <x v="2"/>
    <d v="2023-02-22T00:00:00"/>
    <n v="2"/>
    <n v="36.68"/>
    <x v="1"/>
    <x v="2"/>
    <x v="2"/>
    <x v="0"/>
    <x v="1"/>
    <n v="12"/>
    <x v="1"/>
    <n v="0"/>
  </r>
  <r>
    <s v="67e18d37-8d99-44b1-9e63-c29aa38398e3"/>
    <s v="c480de76-b183-495b-8b46-f8813a4a7139"/>
    <x v="1"/>
    <x v="251"/>
    <x v="229"/>
    <x v="5"/>
    <x v="3"/>
    <x v="4"/>
    <d v="2024-04-22T00:00:00"/>
    <n v="23"/>
    <n v="611.80000000000007"/>
    <x v="0"/>
    <x v="33"/>
    <x v="0"/>
    <x v="0"/>
    <x v="2"/>
    <n v="6"/>
    <x v="2"/>
    <n v="0"/>
  </r>
  <r>
    <s v="10fa2739-01c8-4030-a448-ad78a838191b"/>
    <s v="4daeaad0-da05-495b-87e7-b1d90b8b631a"/>
    <x v="2"/>
    <x v="252"/>
    <x v="230"/>
    <x v="7"/>
    <x v="3"/>
    <x v="5"/>
    <d v="2024-03-17T00:00:00"/>
    <n v="18"/>
    <n v="207.71999999999997"/>
    <x v="0"/>
    <x v="38"/>
    <x v="0"/>
    <x v="2"/>
    <x v="2"/>
    <n v="6"/>
    <x v="2"/>
    <n v="0"/>
  </r>
  <r>
    <s v="7f4f6fd5-0589-473d-a572-4f9ca192322c"/>
    <s v="7f43c7af-f90b-46b8-8a32-3ee8d8e337b9"/>
    <x v="1"/>
    <x v="253"/>
    <x v="231"/>
    <x v="3"/>
    <x v="1"/>
    <x v="2"/>
    <d v="2021-11-30T00:00:00"/>
    <n v="1"/>
    <n v="72.040000000000006"/>
    <x v="1"/>
    <x v="32"/>
    <x v="2"/>
    <x v="0"/>
    <x v="0"/>
    <n v="24"/>
    <x v="0"/>
    <n v="0"/>
  </r>
  <r>
    <s v="5f0f4ede-a695-4cae-a709-880580a42555"/>
    <s v="62543e20-837e-43b6-90f2-1b774fad1ed0"/>
    <x v="1"/>
    <x v="254"/>
    <x v="232"/>
    <x v="4"/>
    <x v="1"/>
    <x v="0"/>
    <d v="2023-01-19T00:00:00"/>
    <n v="16"/>
    <n v="680.8"/>
    <x v="5"/>
    <x v="39"/>
    <x v="1"/>
    <x v="1"/>
    <x v="1"/>
    <n v="12"/>
    <x v="1"/>
    <n v="0"/>
  </r>
  <r>
    <s v="a90fcd11-8637-428a-a72d-121336f29aff"/>
    <s v="a527c872-b8ed-413b-b368-7bd9eafa2024"/>
    <x v="0"/>
    <x v="255"/>
    <x v="233"/>
    <x v="2"/>
    <x v="0"/>
    <x v="4"/>
    <d v="2024-01-08T00:00:00"/>
    <n v="10"/>
    <n v="345.3"/>
    <x v="0"/>
    <x v="30"/>
    <x v="0"/>
    <x v="1"/>
    <x v="1"/>
    <n v="12"/>
    <x v="1"/>
    <n v="0"/>
  </r>
  <r>
    <s v="77c3a84f-5c3a-4eea-8b12-ca0446a6012b"/>
    <s v="3f99f996-d657-4274-bded-5ca4c7603d7e"/>
    <x v="0"/>
    <x v="256"/>
    <x v="234"/>
    <x v="6"/>
    <x v="0"/>
    <x v="5"/>
    <d v="2023-09-16T00:00:00"/>
    <n v="2"/>
    <n v="146.54"/>
    <x v="1"/>
    <x v="4"/>
    <x v="0"/>
    <x v="0"/>
    <x v="1"/>
    <n v="12"/>
    <x v="1"/>
    <n v="0"/>
  </r>
  <r>
    <s v="211aec53-b2b2-4f8a-93af-174cba442ef6"/>
    <s v="ac5140c6-d779-4731-a1f4-a7f12b224b38"/>
    <x v="1"/>
    <x v="257"/>
    <x v="207"/>
    <x v="10"/>
    <x v="0"/>
    <x v="5"/>
    <d v="2024-04-01T00:00:00"/>
    <n v="15"/>
    <n v="553.80000000000007"/>
    <x v="1"/>
    <x v="29"/>
    <x v="2"/>
    <x v="2"/>
    <x v="0"/>
    <n v="24"/>
    <x v="0"/>
    <n v="0"/>
  </r>
  <r>
    <s v="ee517cc2-65c8-4ef9-9140-d49f8e7c46a5"/>
    <s v="e49a985b-e0cb-4784-866c-6ef5da21a426"/>
    <x v="1"/>
    <x v="258"/>
    <x v="235"/>
    <x v="5"/>
    <x v="0"/>
    <x v="3"/>
    <d v="2024-01-03T00:00:00"/>
    <n v="7"/>
    <n v="518.98"/>
    <x v="5"/>
    <x v="8"/>
    <x v="1"/>
    <x v="2"/>
    <x v="0"/>
    <n v="24"/>
    <x v="0"/>
    <n v="0"/>
  </r>
  <r>
    <s v="d551dd47-a884-41f3-89a5-841d711a8a31"/>
    <s v="5145e576-b1d6-4ae2-b485-2ac54669f772"/>
    <x v="2"/>
    <x v="259"/>
    <x v="236"/>
    <x v="6"/>
    <x v="0"/>
    <x v="6"/>
    <d v="2023-10-08T00:00:00"/>
    <n v="3"/>
    <n v="247.32"/>
    <x v="5"/>
    <x v="27"/>
    <x v="0"/>
    <x v="2"/>
    <x v="0"/>
    <n v="24"/>
    <x v="0"/>
    <n v="0"/>
  </r>
  <r>
    <s v="2f2b11dd-5e53-424c-9241-d5a739055766"/>
    <s v="31178dcc-ee22-47c8-8464-f160f5b7a9c4"/>
    <x v="1"/>
    <x v="260"/>
    <x v="237"/>
    <x v="0"/>
    <x v="2"/>
    <x v="6"/>
    <d v="2024-06-14T00:00:00"/>
    <n v="3"/>
    <n v="77.039999999999992"/>
    <x v="4"/>
    <x v="1"/>
    <x v="0"/>
    <x v="0"/>
    <x v="0"/>
    <n v="24"/>
    <x v="0"/>
    <n v="0"/>
  </r>
  <r>
    <s v="5f9cd071-6655-4f8d-93af-baa93f780373"/>
    <s v="30707ecc-3cb0-41cf-9105-ea114f454b0a"/>
    <x v="2"/>
    <x v="261"/>
    <x v="238"/>
    <x v="7"/>
    <x v="3"/>
    <x v="6"/>
    <d v="2022-11-19T00:00:00"/>
    <n v="2"/>
    <n v="195.02"/>
    <x v="1"/>
    <x v="0"/>
    <x v="2"/>
    <x v="1"/>
    <x v="2"/>
    <n v="6"/>
    <x v="2"/>
    <n v="0"/>
  </r>
  <r>
    <s v="5b73c6dd-857d-47f3-937d-4bd0dff0c4d8"/>
    <s v="a75ffd18-338d-41ef-b2aa-94a6163faa7d"/>
    <x v="2"/>
    <x v="262"/>
    <x v="239"/>
    <x v="3"/>
    <x v="0"/>
    <x v="2"/>
    <d v="2024-01-12T00:00:00"/>
    <n v="3"/>
    <n v="61.260000000000005"/>
    <x v="5"/>
    <x v="0"/>
    <x v="1"/>
    <x v="0"/>
    <x v="1"/>
    <n v="12"/>
    <x v="1"/>
    <n v="0"/>
  </r>
  <r>
    <s v="ddf7610c-85f4-455f-8934-67100bfa79cc"/>
    <s v="3f4f78d5-8a08-4214-bae3-20f809b31dfb"/>
    <x v="1"/>
    <x v="263"/>
    <x v="86"/>
    <x v="5"/>
    <x v="0"/>
    <x v="0"/>
    <d v="2023-11-29T00:00:00"/>
    <n v="6"/>
    <n v="195.78000000000003"/>
    <x v="3"/>
    <x v="36"/>
    <x v="1"/>
    <x v="1"/>
    <x v="1"/>
    <n v="12"/>
    <x v="1"/>
    <n v="0"/>
  </r>
  <r>
    <s v="5c5b4810-12d1-4028-9ee4-eab80aa159b9"/>
    <s v="29c0ee22-ff98-4098-8fd1-e2317efdb7d5"/>
    <x v="2"/>
    <x v="264"/>
    <x v="95"/>
    <x v="11"/>
    <x v="3"/>
    <x v="3"/>
    <d v="2024-02-02T00:00:00"/>
    <n v="22"/>
    <n v="485.76"/>
    <x v="4"/>
    <x v="0"/>
    <x v="1"/>
    <x v="0"/>
    <x v="3"/>
    <n v="1"/>
    <x v="3"/>
    <n v="0"/>
  </r>
  <r>
    <s v="d95ee65b-d351-4a77-aa07-08b8742ad1c9"/>
    <s v="4f7175fc-5a2b-468f-8021-c9584f483078"/>
    <x v="2"/>
    <x v="265"/>
    <x v="240"/>
    <x v="10"/>
    <x v="2"/>
    <x v="4"/>
    <d v="2024-03-14T00:00:00"/>
    <n v="2"/>
    <n v="75.64"/>
    <x v="1"/>
    <x v="47"/>
    <x v="1"/>
    <x v="0"/>
    <x v="1"/>
    <n v="12"/>
    <x v="1"/>
    <n v="0"/>
  </r>
  <r>
    <s v="564936b5-f1c4-498f-b27d-b76a3485b079"/>
    <s v="51255bfe-0e6d-4bb1-806a-04b71c9aa7b9"/>
    <x v="0"/>
    <x v="266"/>
    <x v="241"/>
    <x v="5"/>
    <x v="1"/>
    <x v="0"/>
    <d v="2023-10-30T00:00:00"/>
    <n v="29"/>
    <n v="1467.69"/>
    <x v="3"/>
    <x v="26"/>
    <x v="2"/>
    <x v="2"/>
    <x v="2"/>
    <n v="6"/>
    <x v="2"/>
    <n v="0"/>
  </r>
  <r>
    <s v="e6dcc4f6-4faa-46a1-832b-fb94de5aa13d"/>
    <s v="e87eb500-0331-4135-926e-4273b04baa98"/>
    <x v="1"/>
    <x v="267"/>
    <x v="242"/>
    <x v="5"/>
    <x v="3"/>
    <x v="0"/>
    <d v="2024-01-26T00:00:00"/>
    <n v="20"/>
    <n v="1092.2"/>
    <x v="0"/>
    <x v="20"/>
    <x v="2"/>
    <x v="1"/>
    <x v="2"/>
    <n v="6"/>
    <x v="2"/>
    <n v="0"/>
  </r>
  <r>
    <s v="cbee260e-f404-456f-9ca1-d52d1c260261"/>
    <s v="6f882100-3ee7-471a-840b-b386b1565f97"/>
    <x v="1"/>
    <x v="268"/>
    <x v="243"/>
    <x v="0"/>
    <x v="2"/>
    <x v="0"/>
    <d v="2024-06-08T00:00:00"/>
    <n v="3"/>
    <n v="258.27"/>
    <x v="0"/>
    <x v="31"/>
    <x v="0"/>
    <x v="0"/>
    <x v="3"/>
    <n v="1"/>
    <x v="3"/>
    <n v="0"/>
  </r>
  <r>
    <s v="0f23ebf7-485d-4bbe-b221-3f7de93d737d"/>
    <s v="99f1b407-5238-40af-aead-c683b3577d23"/>
    <x v="1"/>
    <x v="269"/>
    <x v="244"/>
    <x v="6"/>
    <x v="1"/>
    <x v="0"/>
    <d v="2022-02-06T00:00:00"/>
    <n v="7"/>
    <n v="626.5"/>
    <x v="4"/>
    <x v="12"/>
    <x v="0"/>
    <x v="1"/>
    <x v="0"/>
    <n v="24"/>
    <x v="0"/>
    <n v="0"/>
  </r>
  <r>
    <s v="adb08a5f-64fd-41b6-b833-d4deb87d8a4c"/>
    <s v="d257de92-3964-43a5-b49a-cfca51c0152e"/>
    <x v="2"/>
    <x v="270"/>
    <x v="245"/>
    <x v="5"/>
    <x v="2"/>
    <x v="4"/>
    <d v="2024-06-15T00:00:00"/>
    <n v="1"/>
    <n v="25.91"/>
    <x v="2"/>
    <x v="25"/>
    <x v="2"/>
    <x v="0"/>
    <x v="2"/>
    <n v="6"/>
    <x v="2"/>
    <n v="0"/>
  </r>
  <r>
    <s v="74775e6c-d5cd-499c-9811-243e912a51d5"/>
    <s v="942b038a-f91b-48bb-8fe6-3c43b6351aaf"/>
    <x v="1"/>
    <x v="271"/>
    <x v="246"/>
    <x v="11"/>
    <x v="2"/>
    <x v="3"/>
    <d v="2024-05-16T00:00:00"/>
    <n v="1"/>
    <n v="64.17"/>
    <x v="4"/>
    <x v="40"/>
    <x v="1"/>
    <x v="1"/>
    <x v="2"/>
    <n v="6"/>
    <x v="2"/>
    <n v="0"/>
  </r>
  <r>
    <s v="7029e1fd-bda3-4a11-b53e-a0a7fbd11713"/>
    <s v="9a936b04-9465-400f-8ce6-716bef97577d"/>
    <x v="1"/>
    <x v="272"/>
    <x v="247"/>
    <x v="9"/>
    <x v="1"/>
    <x v="1"/>
    <d v="2023-09-29T00:00:00"/>
    <n v="26"/>
    <n v="405.34"/>
    <x v="5"/>
    <x v="32"/>
    <x v="0"/>
    <x v="0"/>
    <x v="3"/>
    <n v="1"/>
    <x v="3"/>
    <n v="0"/>
  </r>
  <r>
    <s v="e06bd99f-e925-4a16-a8aa-c6b9e89dae11"/>
    <s v="28edb269-8558-4833-9b84-263dec118641"/>
    <x v="1"/>
    <x v="273"/>
    <x v="152"/>
    <x v="9"/>
    <x v="1"/>
    <x v="3"/>
    <d v="2024-01-03T00:00:00"/>
    <n v="30"/>
    <n v="1458"/>
    <x v="0"/>
    <x v="19"/>
    <x v="0"/>
    <x v="1"/>
    <x v="1"/>
    <n v="12"/>
    <x v="1"/>
    <n v="0"/>
  </r>
  <r>
    <s v="10a14811-3b08-4924-9f24-5486e3898933"/>
    <s v="59e79510-131b-493f-9512-74b8edfb14c0"/>
    <x v="2"/>
    <x v="274"/>
    <x v="248"/>
    <x v="1"/>
    <x v="3"/>
    <x v="4"/>
    <d v="2023-09-15T00:00:00"/>
    <n v="10"/>
    <n v="356.2"/>
    <x v="3"/>
    <x v="31"/>
    <x v="1"/>
    <x v="2"/>
    <x v="1"/>
    <n v="12"/>
    <x v="1"/>
    <n v="0"/>
  </r>
  <r>
    <s v="77947bdf-d41f-4100-ab49-ab1bf04c497d"/>
    <s v="8a569b8d-f3fe-434c-b5bf-81cb6ae4f20f"/>
    <x v="0"/>
    <x v="275"/>
    <x v="249"/>
    <x v="4"/>
    <x v="1"/>
    <x v="0"/>
    <d v="2023-02-28T00:00:00"/>
    <n v="18"/>
    <n v="631.26"/>
    <x v="3"/>
    <x v="12"/>
    <x v="0"/>
    <x v="1"/>
    <x v="2"/>
    <n v="6"/>
    <x v="2"/>
    <n v="0"/>
  </r>
  <r>
    <s v="e9e77624-1db1-44ea-8686-cb935eee541d"/>
    <s v="da7ba139-e9bd-4db1-b3b8-f03a2c728629"/>
    <x v="1"/>
    <x v="276"/>
    <x v="250"/>
    <x v="1"/>
    <x v="0"/>
    <x v="1"/>
    <d v="2024-03-21T00:00:00"/>
    <n v="4"/>
    <n v="203.4"/>
    <x v="0"/>
    <x v="13"/>
    <x v="2"/>
    <x v="0"/>
    <x v="0"/>
    <n v="24"/>
    <x v="0"/>
    <n v="0"/>
  </r>
  <r>
    <s v="43abdfb6-dc75-4d60-854d-034ebd09e84e"/>
    <s v="ba5d805c-4962-49d8-8afe-35cb4417d44a"/>
    <x v="0"/>
    <x v="277"/>
    <x v="1"/>
    <x v="1"/>
    <x v="1"/>
    <x v="1"/>
    <d v="2024-01-18T00:00:00"/>
    <n v="26"/>
    <n v="1932.58"/>
    <x v="1"/>
    <x v="11"/>
    <x v="2"/>
    <x v="1"/>
    <x v="3"/>
    <n v="1"/>
    <x v="3"/>
    <n v="0"/>
  </r>
  <r>
    <s v="5a122756-927a-40ba-851e-7f944f86c434"/>
    <s v="aec9ac5b-1eb8-485d-a039-cb8c3d4781c3"/>
    <x v="1"/>
    <x v="278"/>
    <x v="60"/>
    <x v="0"/>
    <x v="0"/>
    <x v="2"/>
    <d v="2023-08-11T00:00:00"/>
    <n v="5"/>
    <n v="57.85"/>
    <x v="5"/>
    <x v="48"/>
    <x v="0"/>
    <x v="0"/>
    <x v="1"/>
    <n v="12"/>
    <x v="1"/>
    <n v="0"/>
  </r>
  <r>
    <s v="b7a5e4df-4158-4ce1-a32a-1d6681c7ac43"/>
    <s v="71d97913-2de2-4dec-84ba-a556eb742c56"/>
    <x v="1"/>
    <x v="279"/>
    <x v="251"/>
    <x v="2"/>
    <x v="2"/>
    <x v="2"/>
    <d v="2024-05-24T00:00:00"/>
    <n v="2"/>
    <n v="177.04"/>
    <x v="2"/>
    <x v="36"/>
    <x v="2"/>
    <x v="2"/>
    <x v="2"/>
    <n v="6"/>
    <x v="2"/>
    <n v="0"/>
  </r>
  <r>
    <s v="b677f0d2-823a-4a0e-ab78-f8481598c939"/>
    <s v="1b674395-48d8-4702-847e-1f2d646d1b2c"/>
    <x v="2"/>
    <x v="280"/>
    <x v="184"/>
    <x v="4"/>
    <x v="3"/>
    <x v="3"/>
    <d v="2023-09-02T00:00:00"/>
    <n v="12"/>
    <n v="897.72"/>
    <x v="5"/>
    <x v="1"/>
    <x v="0"/>
    <x v="2"/>
    <x v="1"/>
    <n v="12"/>
    <x v="1"/>
    <n v="0"/>
  </r>
  <r>
    <s v="1d47b9f9-2ba6-44ea-ab2a-fcd4a752c126"/>
    <s v="262a3e06-2ab4-4a43-8fc7-1f21e2d1ada4"/>
    <x v="0"/>
    <x v="281"/>
    <x v="252"/>
    <x v="11"/>
    <x v="3"/>
    <x v="4"/>
    <d v="2022-11-03T00:00:00"/>
    <n v="6"/>
    <n v="130.62"/>
    <x v="5"/>
    <x v="3"/>
    <x v="0"/>
    <x v="0"/>
    <x v="2"/>
    <n v="6"/>
    <x v="2"/>
    <n v="0"/>
  </r>
  <r>
    <s v="1360f5d7-734a-4f23-bf57-724027e1ec51"/>
    <s v="9cb67dd9-378c-4397-82cb-fe75ab481cbf"/>
    <x v="2"/>
    <x v="282"/>
    <x v="253"/>
    <x v="3"/>
    <x v="3"/>
    <x v="2"/>
    <d v="2023-03-05T00:00:00"/>
    <n v="5"/>
    <n v="471.1"/>
    <x v="5"/>
    <x v="32"/>
    <x v="2"/>
    <x v="1"/>
    <x v="1"/>
    <n v="12"/>
    <x v="1"/>
    <n v="0"/>
  </r>
  <r>
    <s v="0a129181-0d48-4aae-b33a-0b0b4e03ac4a"/>
    <s v="16aaff1e-4723-44dc-bae7-1256e3cd8e0e"/>
    <x v="0"/>
    <x v="283"/>
    <x v="50"/>
    <x v="4"/>
    <x v="1"/>
    <x v="4"/>
    <d v="2024-04-04T00:00:00"/>
    <n v="31"/>
    <n v="1646.1000000000001"/>
    <x v="2"/>
    <x v="50"/>
    <x v="2"/>
    <x v="0"/>
    <x v="1"/>
    <n v="12"/>
    <x v="1"/>
    <n v="0"/>
  </r>
  <r>
    <s v="fb7cd85f-d283-4fed-984a-d9cdc56976b3"/>
    <s v="ff36c3c8-1dd3-4987-8031-58209e0e96d2"/>
    <x v="2"/>
    <x v="284"/>
    <x v="233"/>
    <x v="2"/>
    <x v="0"/>
    <x v="4"/>
    <d v="2024-03-30T00:00:00"/>
    <n v="12"/>
    <n v="1199.76"/>
    <x v="2"/>
    <x v="34"/>
    <x v="2"/>
    <x v="1"/>
    <x v="2"/>
    <n v="6"/>
    <x v="2"/>
    <n v="0"/>
  </r>
  <r>
    <s v="a6b0faa1-8366-40b3-a993-c812a6da1a52"/>
    <s v="fe6a5ae1-1f55-41f7-b8d0-dbf471db3051"/>
    <x v="0"/>
    <x v="285"/>
    <x v="164"/>
    <x v="2"/>
    <x v="2"/>
    <x v="4"/>
    <d v="2024-04-17T00:00:00"/>
    <n v="1"/>
    <n v="23.74"/>
    <x v="5"/>
    <x v="28"/>
    <x v="0"/>
    <x v="1"/>
    <x v="1"/>
    <n v="12"/>
    <x v="1"/>
    <n v="0"/>
  </r>
  <r>
    <s v="0a3edade-828b-450a-91c2-56d5a8fea5f9"/>
    <s v="b9d7dd71-8804-49c1-b3a7-4383caa4d85b"/>
    <x v="2"/>
    <x v="19"/>
    <x v="254"/>
    <x v="6"/>
    <x v="3"/>
    <x v="6"/>
    <d v="2024-06-10T00:00:00"/>
    <n v="24"/>
    <n v="1339.68"/>
    <x v="2"/>
    <x v="9"/>
    <x v="2"/>
    <x v="2"/>
    <x v="2"/>
    <n v="6"/>
    <x v="2"/>
    <n v="0"/>
  </r>
  <r>
    <s v="1e9841e8-74a1-4bdd-b38f-cb63b21ab577"/>
    <s v="9ee5dc41-234b-4a30-9e05-5abd73ca4205"/>
    <x v="0"/>
    <x v="286"/>
    <x v="255"/>
    <x v="3"/>
    <x v="0"/>
    <x v="2"/>
    <d v="2024-02-22T00:00:00"/>
    <n v="4"/>
    <n v="130.28"/>
    <x v="4"/>
    <x v="30"/>
    <x v="1"/>
    <x v="0"/>
    <x v="3"/>
    <n v="1"/>
    <x v="3"/>
    <n v="0"/>
  </r>
  <r>
    <s v="b6bfac39-21c5-4bbd-8e97-2848db6032b5"/>
    <s v="08966235-334b-42c0-9f99-bbeec5454a10"/>
    <x v="0"/>
    <x v="287"/>
    <x v="256"/>
    <x v="9"/>
    <x v="1"/>
    <x v="6"/>
    <d v="2021-10-07T00:00:00"/>
    <n v="2"/>
    <n v="67.8"/>
    <x v="3"/>
    <x v="37"/>
    <x v="0"/>
    <x v="1"/>
    <x v="1"/>
    <n v="12"/>
    <x v="1"/>
    <n v="0"/>
  </r>
  <r>
    <s v="a001a8eb-4f41-47a3-84bb-34fda78d32a4"/>
    <s v="d26b1590-34df-4737-94e7-406b9a62e952"/>
    <x v="0"/>
    <x v="288"/>
    <x v="109"/>
    <x v="11"/>
    <x v="3"/>
    <x v="6"/>
    <d v="2022-06-25T00:00:00"/>
    <n v="2"/>
    <n v="122.3"/>
    <x v="2"/>
    <x v="5"/>
    <x v="0"/>
    <x v="1"/>
    <x v="0"/>
    <n v="24"/>
    <x v="0"/>
    <n v="0"/>
  </r>
  <r>
    <s v="23947c6d-5167-4268-bb97-8664cfff0523"/>
    <s v="e283c44c-74dc-44d2-a104-0841cda4497b"/>
    <x v="0"/>
    <x v="289"/>
    <x v="257"/>
    <x v="3"/>
    <x v="0"/>
    <x v="6"/>
    <d v="2024-01-07T00:00:00"/>
    <n v="2"/>
    <n v="185.12"/>
    <x v="1"/>
    <x v="28"/>
    <x v="1"/>
    <x v="1"/>
    <x v="3"/>
    <n v="1"/>
    <x v="3"/>
    <n v="0"/>
  </r>
  <r>
    <s v="639b98f0-2978-4cf9-b982-5b6d6eaf48a8"/>
    <s v="89db19f3-4031-4be2-8158-9bc2b9a3f443"/>
    <x v="1"/>
    <x v="290"/>
    <x v="258"/>
    <x v="11"/>
    <x v="3"/>
    <x v="4"/>
    <d v="2022-11-16T00:00:00"/>
    <n v="7"/>
    <n v="570.5"/>
    <x v="2"/>
    <x v="22"/>
    <x v="1"/>
    <x v="0"/>
    <x v="0"/>
    <n v="24"/>
    <x v="0"/>
    <n v="0"/>
  </r>
  <r>
    <s v="06e27fb5-2d5b-40d3-b8fe-1049ca31ab26"/>
    <s v="7a64d2f2-edc2-4f86-9314-d9b59f5c634e"/>
    <x v="2"/>
    <x v="291"/>
    <x v="259"/>
    <x v="2"/>
    <x v="3"/>
    <x v="6"/>
    <d v="2024-05-11T00:00:00"/>
    <n v="26"/>
    <n v="1918.02"/>
    <x v="3"/>
    <x v="2"/>
    <x v="0"/>
    <x v="0"/>
    <x v="2"/>
    <n v="6"/>
    <x v="2"/>
    <n v="0"/>
  </r>
  <r>
    <s v="c7ef6e17-bdcf-418c-aaed-3a37dc133e92"/>
    <s v="916d59a4-1c1b-4a41-ba19-a93198f32674"/>
    <x v="0"/>
    <x v="292"/>
    <x v="260"/>
    <x v="7"/>
    <x v="3"/>
    <x v="0"/>
    <d v="2022-10-04T00:00:00"/>
    <n v="1"/>
    <n v="58.12"/>
    <x v="3"/>
    <x v="11"/>
    <x v="1"/>
    <x v="1"/>
    <x v="0"/>
    <n v="24"/>
    <x v="0"/>
    <n v="0"/>
  </r>
  <r>
    <s v="5e40445b-a6b5-4b14-8dd4-9d9d10d692b5"/>
    <s v="5a54f110-64a3-4a51-b672-b73f3f7a94e7"/>
    <x v="0"/>
    <x v="293"/>
    <x v="261"/>
    <x v="4"/>
    <x v="1"/>
    <x v="3"/>
    <d v="2024-04-27T00:00:00"/>
    <n v="32"/>
    <n v="2963.84"/>
    <x v="2"/>
    <x v="50"/>
    <x v="2"/>
    <x v="1"/>
    <x v="1"/>
    <n v="12"/>
    <x v="1"/>
    <n v="0"/>
  </r>
  <r>
    <s v="1ff5df75-ec4c-471a-a11f-68027b91bd6d"/>
    <s v="309f01f7-bb71-4709-a29f-b04a66394513"/>
    <x v="1"/>
    <x v="294"/>
    <x v="262"/>
    <x v="3"/>
    <x v="1"/>
    <x v="6"/>
    <d v="2023-09-27T00:00:00"/>
    <n v="23"/>
    <n v="1190.71"/>
    <x v="3"/>
    <x v="49"/>
    <x v="2"/>
    <x v="1"/>
    <x v="0"/>
    <n v="24"/>
    <x v="0"/>
    <n v="0"/>
  </r>
  <r>
    <s v="9caa9235-1054-4987-9532-fa919ab18a9a"/>
    <s v="0dc63762-c3fb-417c-84e9-af7c6280e7e0"/>
    <x v="2"/>
    <x v="295"/>
    <x v="263"/>
    <x v="9"/>
    <x v="3"/>
    <x v="0"/>
    <d v="2023-10-19T00:00:00"/>
    <n v="14"/>
    <n v="1232.1400000000001"/>
    <x v="5"/>
    <x v="4"/>
    <x v="0"/>
    <x v="2"/>
    <x v="0"/>
    <n v="24"/>
    <x v="0"/>
    <n v="0"/>
  </r>
  <r>
    <s v="2137e9e6-2f0f-44d7-9377-c58336ee7450"/>
    <s v="fe650eeb-2e65-4093-8ed0-46c6aded6974"/>
    <x v="1"/>
    <x v="296"/>
    <x v="187"/>
    <x v="10"/>
    <x v="0"/>
    <x v="0"/>
    <d v="2023-08-29T00:00:00"/>
    <n v="7"/>
    <n v="589.61"/>
    <x v="1"/>
    <x v="36"/>
    <x v="0"/>
    <x v="2"/>
    <x v="1"/>
    <n v="12"/>
    <x v="1"/>
    <n v="0"/>
  </r>
  <r>
    <s v="d48cec22-6d11-42a7-b19d-67f617a0227c"/>
    <s v="f086aaac-138c-4d45-b754-09b12592b233"/>
    <x v="0"/>
    <x v="297"/>
    <x v="262"/>
    <x v="3"/>
    <x v="1"/>
    <x v="6"/>
    <d v="2022-10-17T00:00:00"/>
    <n v="11"/>
    <n v="278.40999999999997"/>
    <x v="6"/>
    <x v="36"/>
    <x v="2"/>
    <x v="1"/>
    <x v="1"/>
    <n v="12"/>
    <x v="1"/>
    <n v="0"/>
  </r>
  <r>
    <s v="246f7aeb-55ce-4eb5-bfb7-57a83ffac369"/>
    <s v="a3a7ce61-a1a6-4607-bb89-640d5ef4fe2e"/>
    <x v="0"/>
    <x v="298"/>
    <x v="264"/>
    <x v="4"/>
    <x v="1"/>
    <x v="5"/>
    <d v="2023-03-08T00:00:00"/>
    <n v="18"/>
    <n v="1408.86"/>
    <x v="3"/>
    <x v="35"/>
    <x v="0"/>
    <x v="1"/>
    <x v="3"/>
    <n v="1"/>
    <x v="3"/>
    <n v="0"/>
  </r>
  <r>
    <s v="d64a2178-f78c-4491-8e48-59e2733f8323"/>
    <s v="a694c2ed-cfcf-4b4c-ac66-af7c2f0a72ff"/>
    <x v="0"/>
    <x v="299"/>
    <x v="265"/>
    <x v="6"/>
    <x v="3"/>
    <x v="2"/>
    <d v="2022-08-30T00:00:00"/>
    <n v="2"/>
    <n v="12.32"/>
    <x v="1"/>
    <x v="15"/>
    <x v="2"/>
    <x v="2"/>
    <x v="1"/>
    <n v="12"/>
    <x v="1"/>
    <n v="0"/>
  </r>
  <r>
    <s v="2c79575a-abea-4032-a809-e4a4b42bc0d4"/>
    <s v="9520c231-14fa-4ac1-ae35-9696c73a9e9b"/>
    <x v="0"/>
    <x v="300"/>
    <x v="54"/>
    <x v="8"/>
    <x v="2"/>
    <x v="0"/>
    <d v="2024-03-22T00:00:00"/>
    <n v="3"/>
    <n v="107.01"/>
    <x v="5"/>
    <x v="2"/>
    <x v="1"/>
    <x v="1"/>
    <x v="1"/>
    <n v="12"/>
    <x v="1"/>
    <n v="0"/>
  </r>
  <r>
    <s v="c893a98e-7427-45f2-863c-33a43b627924"/>
    <s v="57fda22d-1b72-449e-a834-1cd965a6664c"/>
    <x v="0"/>
    <x v="301"/>
    <x v="266"/>
    <x v="4"/>
    <x v="0"/>
    <x v="1"/>
    <d v="2024-01-08T00:00:00"/>
    <n v="5"/>
    <n v="134.04999999999998"/>
    <x v="1"/>
    <x v="39"/>
    <x v="1"/>
    <x v="0"/>
    <x v="2"/>
    <n v="6"/>
    <x v="2"/>
    <n v="0"/>
  </r>
  <r>
    <s v="86c3ece3-c43e-4ff1-a314-e32537e50f65"/>
    <s v="4a2c3356-2324-45b9-8520-af44fb5edc2e"/>
    <x v="1"/>
    <x v="302"/>
    <x v="267"/>
    <x v="3"/>
    <x v="0"/>
    <x v="4"/>
    <d v="2024-04-23T00:00:00"/>
    <n v="6"/>
    <n v="318.89999999999998"/>
    <x v="2"/>
    <x v="24"/>
    <x v="1"/>
    <x v="0"/>
    <x v="1"/>
    <n v="12"/>
    <x v="1"/>
    <n v="0"/>
  </r>
  <r>
    <s v="93f9aa52-a583-4af8-89ea-f6066ab84c2a"/>
    <s v="8ef6f853-e3fe-4106-b49c-4edc4dbc4ee8"/>
    <x v="0"/>
    <x v="303"/>
    <x v="190"/>
    <x v="2"/>
    <x v="3"/>
    <x v="4"/>
    <d v="2022-06-12T00:00:00"/>
    <n v="2"/>
    <n v="150"/>
    <x v="3"/>
    <x v="28"/>
    <x v="0"/>
    <x v="2"/>
    <x v="1"/>
    <n v="12"/>
    <x v="1"/>
    <n v="0"/>
  </r>
  <r>
    <s v="9d8ab9ff-e261-47ab-a907-e282b550d161"/>
    <s v="e2d3b99b-58a9-443c-a614-114fe7c4f226"/>
    <x v="2"/>
    <x v="304"/>
    <x v="268"/>
    <x v="9"/>
    <x v="1"/>
    <x v="0"/>
    <d v="2024-01-15T00:00:00"/>
    <n v="30"/>
    <n v="428.4"/>
    <x v="5"/>
    <x v="0"/>
    <x v="1"/>
    <x v="1"/>
    <x v="3"/>
    <n v="1"/>
    <x v="3"/>
    <n v="0"/>
  </r>
  <r>
    <s v="4de44150-1be6-4559-91d7-47f2ecd9aa1d"/>
    <s v="aa9d70d0-d5b9-43dd-9ac2-cce10ab6b15d"/>
    <x v="2"/>
    <x v="305"/>
    <x v="269"/>
    <x v="3"/>
    <x v="1"/>
    <x v="5"/>
    <d v="2024-03-24T00:00:00"/>
    <n v="29"/>
    <n v="1563.68"/>
    <x v="5"/>
    <x v="6"/>
    <x v="2"/>
    <x v="0"/>
    <x v="0"/>
    <n v="24"/>
    <x v="0"/>
    <n v="0"/>
  </r>
  <r>
    <s v="63a9651d-6c82-4ab1-b41a-3a737515879b"/>
    <s v="e601ff89-f30e-490c-8e4a-297d14917aee"/>
    <x v="2"/>
    <x v="306"/>
    <x v="237"/>
    <x v="0"/>
    <x v="2"/>
    <x v="6"/>
    <d v="2024-06-02T00:00:00"/>
    <n v="3"/>
    <n v="282.45000000000005"/>
    <x v="5"/>
    <x v="5"/>
    <x v="2"/>
    <x v="1"/>
    <x v="0"/>
    <n v="24"/>
    <x v="0"/>
    <n v="0"/>
  </r>
  <r>
    <s v="05b4fa59-2b34-4af4-af0e-c04f550ed1f3"/>
    <s v="6c53c07a-fbda-4fc4-9675-f857b94fa53a"/>
    <x v="0"/>
    <x v="307"/>
    <x v="270"/>
    <x v="11"/>
    <x v="3"/>
    <x v="1"/>
    <d v="2023-11-21T00:00:00"/>
    <n v="18"/>
    <n v="480.96"/>
    <x v="4"/>
    <x v="47"/>
    <x v="2"/>
    <x v="2"/>
    <x v="3"/>
    <n v="1"/>
    <x v="3"/>
    <n v="0"/>
  </r>
  <r>
    <s v="f5e8b468-3238-4f01-a8b7-1fde3bd450b4"/>
    <s v="de548285-b17c-4739-997a-935135071377"/>
    <x v="0"/>
    <x v="308"/>
    <x v="271"/>
    <x v="11"/>
    <x v="0"/>
    <x v="4"/>
    <d v="2024-03-28T00:00:00"/>
    <n v="11"/>
    <n v="762.63"/>
    <x v="5"/>
    <x v="48"/>
    <x v="2"/>
    <x v="1"/>
    <x v="0"/>
    <n v="24"/>
    <x v="0"/>
    <n v="0"/>
  </r>
  <r>
    <s v="d1d3e08e-0575-4924-a112-2e0a6ed09603"/>
    <s v="e93510c0-bb8c-41f1-900a-eb21e0ef2368"/>
    <x v="2"/>
    <x v="309"/>
    <x v="54"/>
    <x v="8"/>
    <x v="2"/>
    <x v="0"/>
    <d v="2024-05-23T00:00:00"/>
    <n v="5"/>
    <n v="306.60000000000002"/>
    <x v="0"/>
    <x v="23"/>
    <x v="2"/>
    <x v="1"/>
    <x v="1"/>
    <n v="12"/>
    <x v="1"/>
    <n v="0"/>
  </r>
  <r>
    <s v="013ae441-e1a2-4214-aa2d-b2c129a2f80b"/>
    <s v="f43ce545-0320-44ef-a403-61b59b62b65d"/>
    <x v="0"/>
    <x v="310"/>
    <x v="75"/>
    <x v="7"/>
    <x v="1"/>
    <x v="2"/>
    <d v="2021-10-31T00:00:00"/>
    <n v="1"/>
    <n v="5.96"/>
    <x v="0"/>
    <x v="5"/>
    <x v="1"/>
    <x v="1"/>
    <x v="0"/>
    <n v="24"/>
    <x v="0"/>
    <n v="0"/>
  </r>
  <r>
    <s v="e92502fa-cabe-4ed2-a529-c2a9a88ed0b5"/>
    <s v="624ca4bc-be39-43ba-b1e4-3dad9a64e5bf"/>
    <x v="2"/>
    <x v="311"/>
    <x v="208"/>
    <x v="5"/>
    <x v="0"/>
    <x v="3"/>
    <d v="2024-02-14T00:00:00"/>
    <n v="9"/>
    <n v="451.8"/>
    <x v="2"/>
    <x v="40"/>
    <x v="2"/>
    <x v="0"/>
    <x v="0"/>
    <n v="24"/>
    <x v="0"/>
    <n v="0"/>
  </r>
  <r>
    <s v="71f4e40d-b3d7-4c81-b8d9-32c17bf9084d"/>
    <s v="47220f8c-3aff-4cbe-8bcb-c6e7cc6cf864"/>
    <x v="2"/>
    <x v="312"/>
    <x v="272"/>
    <x v="0"/>
    <x v="2"/>
    <x v="1"/>
    <d v="2024-04-20T00:00:00"/>
    <n v="1"/>
    <n v="72.33"/>
    <x v="4"/>
    <x v="36"/>
    <x v="1"/>
    <x v="0"/>
    <x v="3"/>
    <n v="1"/>
    <x v="3"/>
    <n v="0"/>
  </r>
  <r>
    <s v="104e1208-dc31-4e1f-a58f-cdd89de34abd"/>
    <s v="5e28891e-8b6d-4465-8862-5044a1efa185"/>
    <x v="0"/>
    <x v="313"/>
    <x v="273"/>
    <x v="3"/>
    <x v="0"/>
    <x v="4"/>
    <d v="2024-01-27T00:00:00"/>
    <n v="3"/>
    <n v="27.54"/>
    <x v="4"/>
    <x v="26"/>
    <x v="2"/>
    <x v="2"/>
    <x v="0"/>
    <n v="24"/>
    <x v="0"/>
    <n v="0"/>
  </r>
  <r>
    <s v="d34d3605-3da5-4c15-a144-541d88d83605"/>
    <s v="7c9ba983-4cac-40d4-a5b2-1a0738b5e3ae"/>
    <x v="1"/>
    <x v="314"/>
    <x v="274"/>
    <x v="8"/>
    <x v="0"/>
    <x v="1"/>
    <d v="2023-08-03T00:00:00"/>
    <n v="7"/>
    <n v="380.87"/>
    <x v="5"/>
    <x v="20"/>
    <x v="1"/>
    <x v="1"/>
    <x v="0"/>
    <n v="24"/>
    <x v="0"/>
    <n v="0"/>
  </r>
  <r>
    <s v="812e1297-fb95-42e5-9dcd-26c5d4fc7aad"/>
    <s v="af1d80a6-76a1-4901-a1e9-de3a68ab0019"/>
    <x v="1"/>
    <x v="315"/>
    <x v="80"/>
    <x v="9"/>
    <x v="1"/>
    <x v="5"/>
    <d v="2021-12-20T00:00:00"/>
    <n v="5"/>
    <n v="39.549999999999997"/>
    <x v="0"/>
    <x v="26"/>
    <x v="0"/>
    <x v="2"/>
    <x v="1"/>
    <n v="12"/>
    <x v="1"/>
    <n v="0"/>
  </r>
  <r>
    <s v="05cf06fd-9a42-4526-b1c9-dfb5a9828ed5"/>
    <s v="884ef1d8-7170-4d25-866b-302edf6758c4"/>
    <x v="0"/>
    <x v="316"/>
    <x v="30"/>
    <x v="7"/>
    <x v="1"/>
    <x v="4"/>
    <d v="2022-11-22T00:00:00"/>
    <n v="13"/>
    <n v="342.16"/>
    <x v="4"/>
    <x v="42"/>
    <x v="1"/>
    <x v="0"/>
    <x v="1"/>
    <n v="12"/>
    <x v="1"/>
    <n v="0"/>
  </r>
  <r>
    <s v="6ebcb538-a7e7-4285-b086-4d0801301d6c"/>
    <s v="f58f3771-2527-40d1-a21c-f30ee895eb44"/>
    <x v="0"/>
    <x v="317"/>
    <x v="275"/>
    <x v="3"/>
    <x v="0"/>
    <x v="0"/>
    <d v="2024-02-08T00:00:00"/>
    <n v="4"/>
    <n v="382.4"/>
    <x v="0"/>
    <x v="33"/>
    <x v="1"/>
    <x v="0"/>
    <x v="1"/>
    <n v="12"/>
    <x v="1"/>
    <n v="0"/>
  </r>
  <r>
    <s v="c9516833-59ec-4e8e-9b9e-a7d64dc78dc4"/>
    <s v="8082dd59-6008-48ce-a9dd-cc42e0ffc987"/>
    <x v="1"/>
    <x v="318"/>
    <x v="276"/>
    <x v="0"/>
    <x v="0"/>
    <x v="4"/>
    <d v="2023-10-15T00:00:00"/>
    <n v="8"/>
    <n v="482.56"/>
    <x v="2"/>
    <x v="42"/>
    <x v="0"/>
    <x v="0"/>
    <x v="0"/>
    <n v="24"/>
    <x v="0"/>
    <n v="0"/>
  </r>
  <r>
    <s v="7c03b855-5d0a-4f32-9fc4-f014f2625699"/>
    <s v="ff5b8fc7-7835-4866-9f92-4723b1fe2e4d"/>
    <x v="0"/>
    <x v="319"/>
    <x v="277"/>
    <x v="4"/>
    <x v="1"/>
    <x v="5"/>
    <d v="2021-09-29T00:00:00"/>
    <n v="1"/>
    <n v="15.21"/>
    <x v="5"/>
    <x v="12"/>
    <x v="2"/>
    <x v="1"/>
    <x v="0"/>
    <n v="24"/>
    <x v="0"/>
    <n v="0"/>
  </r>
  <r>
    <s v="a1f57fe3-5628-4192-997b-5689315bcad3"/>
    <s v="370712e1-c011-46c4-8d38-c5898ec17a8f"/>
    <x v="0"/>
    <x v="320"/>
    <x v="278"/>
    <x v="3"/>
    <x v="0"/>
    <x v="3"/>
    <d v="2024-04-11T00:00:00"/>
    <n v="6"/>
    <n v="193.92000000000002"/>
    <x v="0"/>
    <x v="43"/>
    <x v="2"/>
    <x v="0"/>
    <x v="0"/>
    <n v="24"/>
    <x v="0"/>
    <n v="0"/>
  </r>
  <r>
    <s v="4faaab81-2bdc-4d50-bc47-3bfcc8af0bc4"/>
    <s v="48785a84-ea65-4214-b903-d5e2882e9aeb"/>
    <x v="1"/>
    <x v="321"/>
    <x v="279"/>
    <x v="5"/>
    <x v="2"/>
    <x v="0"/>
    <d v="2024-06-14T00:00:00"/>
    <n v="1"/>
    <n v="48.39"/>
    <x v="2"/>
    <x v="43"/>
    <x v="2"/>
    <x v="2"/>
    <x v="0"/>
    <n v="24"/>
    <x v="0"/>
    <n v="0"/>
  </r>
  <r>
    <s v="6f0075e3-330f-468b-9b92-d66dc2a408c3"/>
    <s v="cc82079c-af0d-4f35-9a29-2ae7551f7d75"/>
    <x v="2"/>
    <x v="322"/>
    <x v="280"/>
    <x v="6"/>
    <x v="1"/>
    <x v="4"/>
    <d v="2021-11-16T00:00:00"/>
    <n v="5"/>
    <n v="34.950000000000003"/>
    <x v="2"/>
    <x v="2"/>
    <x v="2"/>
    <x v="0"/>
    <x v="1"/>
    <n v="12"/>
    <x v="1"/>
    <n v="0"/>
  </r>
  <r>
    <s v="d26962e5-36ad-4f93-8fc7-d2440053de8a"/>
    <s v="6b67b1b0-7b5b-443f-b075-77fedefa8cc2"/>
    <x v="2"/>
    <x v="323"/>
    <x v="281"/>
    <x v="7"/>
    <x v="0"/>
    <x v="3"/>
    <d v="2024-06-04T00:00:00"/>
    <n v="8"/>
    <n v="352.8"/>
    <x v="4"/>
    <x v="17"/>
    <x v="1"/>
    <x v="1"/>
    <x v="1"/>
    <n v="12"/>
    <x v="1"/>
    <n v="0"/>
  </r>
  <r>
    <s v="59453ed5-6a15-48b1-a435-185bc1330188"/>
    <s v="c307af5d-26a6-4bc5-9296-a644e3f6ea8a"/>
    <x v="0"/>
    <x v="324"/>
    <x v="282"/>
    <x v="1"/>
    <x v="0"/>
    <x v="6"/>
    <d v="2024-03-25T00:00:00"/>
    <n v="4"/>
    <n v="206"/>
    <x v="4"/>
    <x v="41"/>
    <x v="2"/>
    <x v="1"/>
    <x v="0"/>
    <n v="24"/>
    <x v="0"/>
    <n v="0"/>
  </r>
  <r>
    <s v="95d98462-8e8a-4251-b88a-b3e6c79cb1dd"/>
    <s v="1832eb2b-550e-4e22-99e6-d15b3c5e1697"/>
    <x v="2"/>
    <x v="325"/>
    <x v="283"/>
    <x v="11"/>
    <x v="3"/>
    <x v="1"/>
    <d v="2022-08-10T00:00:00"/>
    <n v="4"/>
    <n v="112.6"/>
    <x v="1"/>
    <x v="48"/>
    <x v="1"/>
    <x v="1"/>
    <x v="3"/>
    <n v="1"/>
    <x v="3"/>
    <n v="0"/>
  </r>
  <r>
    <s v="32c7b766-d8fc-4d49-9be8-6de7df16ee10"/>
    <s v="c34ce42a-c4b0-421d-8df7-bd663b834cdb"/>
    <x v="1"/>
    <x v="326"/>
    <x v="37"/>
    <x v="10"/>
    <x v="3"/>
    <x v="0"/>
    <d v="2022-07-19T00:00:00"/>
    <n v="6"/>
    <n v="365.52"/>
    <x v="0"/>
    <x v="49"/>
    <x v="1"/>
    <x v="1"/>
    <x v="2"/>
    <n v="6"/>
    <x v="2"/>
    <n v="0"/>
  </r>
  <r>
    <s v="4b7c0384-e277-4e25-b307-1269e2634955"/>
    <s v="783aa50a-4d8c-48ea-9155-97154ede0e31"/>
    <x v="1"/>
    <x v="327"/>
    <x v="284"/>
    <x v="10"/>
    <x v="2"/>
    <x v="5"/>
    <d v="2024-05-09T00:00:00"/>
    <n v="3"/>
    <n v="229.68"/>
    <x v="2"/>
    <x v="30"/>
    <x v="1"/>
    <x v="0"/>
    <x v="1"/>
    <n v="12"/>
    <x v="1"/>
    <n v="0"/>
  </r>
  <r>
    <s v="36d83a03-838a-4321-8875-0cd72b6554ed"/>
    <s v="23194f79-5f29-4b0e-8a98-1f417dc10b19"/>
    <x v="2"/>
    <x v="328"/>
    <x v="285"/>
    <x v="7"/>
    <x v="0"/>
    <x v="3"/>
    <d v="2023-11-17T00:00:00"/>
    <n v="2"/>
    <n v="54.8"/>
    <x v="5"/>
    <x v="35"/>
    <x v="0"/>
    <x v="0"/>
    <x v="1"/>
    <n v="12"/>
    <x v="1"/>
    <n v="0"/>
  </r>
  <r>
    <s v="58ce944d-ac27-4093-8590-91ae0d72d7d8"/>
    <s v="8cbcc219-0e76-43dd-9eb6-105ac7bbc3cd"/>
    <x v="2"/>
    <x v="329"/>
    <x v="286"/>
    <x v="4"/>
    <x v="3"/>
    <x v="6"/>
    <d v="2023-10-22T00:00:00"/>
    <n v="14"/>
    <n v="920.6400000000001"/>
    <x v="2"/>
    <x v="2"/>
    <x v="2"/>
    <x v="1"/>
    <x v="1"/>
    <n v="12"/>
    <x v="1"/>
    <n v="0"/>
  </r>
  <r>
    <s v="ed9b9b00-fbc3-449d-86fb-58fe2c00c47e"/>
    <s v="dc25e4db-785e-478e-b70e-2d7d1db347be"/>
    <x v="2"/>
    <x v="330"/>
    <x v="287"/>
    <x v="2"/>
    <x v="3"/>
    <x v="1"/>
    <d v="2022-09-08T00:00:00"/>
    <n v="6"/>
    <n v="570.66"/>
    <x v="0"/>
    <x v="28"/>
    <x v="1"/>
    <x v="0"/>
    <x v="0"/>
    <n v="24"/>
    <x v="0"/>
    <n v="0"/>
  </r>
  <r>
    <s v="bb223c6d-8c59-4ad9-bf05-5b71eab73df4"/>
    <s v="62a5a6eb-3aac-43f2-b600-523e6512a4c2"/>
    <x v="1"/>
    <x v="331"/>
    <x v="288"/>
    <x v="7"/>
    <x v="0"/>
    <x v="3"/>
    <d v="2023-10-14T00:00:00"/>
    <n v="1"/>
    <n v="78.94"/>
    <x v="2"/>
    <x v="32"/>
    <x v="2"/>
    <x v="0"/>
    <x v="3"/>
    <n v="1"/>
    <x v="3"/>
    <n v="0"/>
  </r>
  <r>
    <s v="9948e4e1-da0a-4e45-936d-3a53a70e9de8"/>
    <s v="2893f02d-406f-4836-818a-25ba8a852aba"/>
    <x v="2"/>
    <x v="332"/>
    <x v="289"/>
    <x v="2"/>
    <x v="3"/>
    <x v="3"/>
    <d v="2022-04-26T00:00:00"/>
    <n v="1"/>
    <n v="85.59"/>
    <x v="4"/>
    <x v="23"/>
    <x v="0"/>
    <x v="1"/>
    <x v="1"/>
    <n v="12"/>
    <x v="1"/>
    <n v="0"/>
  </r>
  <r>
    <s v="50f3bcea-5347-4570-963f-41cf410ed411"/>
    <s v="a487952f-3be7-4800-9bfa-cd054e4a6acb"/>
    <x v="0"/>
    <x v="333"/>
    <x v="290"/>
    <x v="5"/>
    <x v="3"/>
    <x v="2"/>
    <d v="2023-11-08T00:00:00"/>
    <n v="17"/>
    <n v="877.03000000000009"/>
    <x v="4"/>
    <x v="17"/>
    <x v="0"/>
    <x v="0"/>
    <x v="2"/>
    <n v="6"/>
    <x v="2"/>
    <n v="0"/>
  </r>
  <r>
    <s v="fbd8f9d7-f1e3-400e-b118-cc08fd363b41"/>
    <s v="2bb033f7-f2e8-4db1-a213-dc365f2e1bd4"/>
    <x v="0"/>
    <x v="334"/>
    <x v="291"/>
    <x v="6"/>
    <x v="1"/>
    <x v="6"/>
    <d v="2022-07-31T00:00:00"/>
    <n v="13"/>
    <n v="293.93"/>
    <x v="2"/>
    <x v="22"/>
    <x v="0"/>
    <x v="0"/>
    <x v="0"/>
    <n v="24"/>
    <x v="0"/>
    <n v="0"/>
  </r>
  <r>
    <s v="5e965fdb-a741-400f-8209-46d5915e2b53"/>
    <s v="4987f6e3-a784-4dd2-b2d9-5efab7f7e1c3"/>
    <x v="2"/>
    <x v="335"/>
    <x v="292"/>
    <x v="2"/>
    <x v="0"/>
    <x v="2"/>
    <d v="2023-12-30T00:00:00"/>
    <n v="9"/>
    <n v="896.4"/>
    <x v="3"/>
    <x v="19"/>
    <x v="1"/>
    <x v="1"/>
    <x v="0"/>
    <n v="24"/>
    <x v="0"/>
    <n v="0"/>
  </r>
  <r>
    <s v="076d029a-fa7e-462f-adfc-efddbe271050"/>
    <s v="d4f5c5c4-180c-41e2-a284-b49705ab1212"/>
    <x v="1"/>
    <x v="336"/>
    <x v="293"/>
    <x v="3"/>
    <x v="3"/>
    <x v="1"/>
    <d v="2023-01-21T00:00:00"/>
    <n v="3"/>
    <n v="51.87"/>
    <x v="1"/>
    <x v="49"/>
    <x v="0"/>
    <x v="2"/>
    <x v="2"/>
    <n v="6"/>
    <x v="2"/>
    <n v="0"/>
  </r>
  <r>
    <s v="6926e032-db6a-4a7b-8828-35b08fffc5c3"/>
    <s v="587f720e-0aa9-4d84-b608-18eb8d9ca263"/>
    <x v="1"/>
    <x v="337"/>
    <x v="287"/>
    <x v="2"/>
    <x v="3"/>
    <x v="1"/>
    <d v="2023-01-03T00:00:00"/>
    <n v="9"/>
    <n v="448.11"/>
    <x v="1"/>
    <x v="26"/>
    <x v="0"/>
    <x v="2"/>
    <x v="1"/>
    <n v="12"/>
    <x v="1"/>
    <n v="0"/>
  </r>
  <r>
    <s v="a1922695-6f06-4ba3-b5ed-c221799cb1d6"/>
    <s v="fc181a26-fe9f-49ca-8f82-fa57114097df"/>
    <x v="2"/>
    <x v="338"/>
    <x v="294"/>
    <x v="9"/>
    <x v="3"/>
    <x v="0"/>
    <d v="2022-09-23T00:00:00"/>
    <n v="2"/>
    <n v="22.94"/>
    <x v="4"/>
    <x v="42"/>
    <x v="2"/>
    <x v="2"/>
    <x v="1"/>
    <n v="12"/>
    <x v="1"/>
    <n v="0"/>
  </r>
  <r>
    <s v="ed230ba9-a879-4198-bc25-83380c2026dc"/>
    <s v="a33909fe-9be9-4eea-990a-2ddb6dc2272f"/>
    <x v="2"/>
    <x v="339"/>
    <x v="68"/>
    <x v="7"/>
    <x v="1"/>
    <x v="6"/>
    <d v="2023-05-08T00:00:00"/>
    <n v="20"/>
    <n v="1893.4"/>
    <x v="1"/>
    <x v="36"/>
    <x v="2"/>
    <x v="2"/>
    <x v="1"/>
    <n v="12"/>
    <x v="1"/>
    <n v="0"/>
  </r>
  <r>
    <s v="70c60e63-c09e-41c5-91c0-b22089356eaf"/>
    <s v="2b3fa08c-1c33-4ed7-b2be-3c45cb2f0356"/>
    <x v="1"/>
    <x v="340"/>
    <x v="295"/>
    <x v="1"/>
    <x v="0"/>
    <x v="1"/>
    <d v="2024-02-15T00:00:00"/>
    <n v="3"/>
    <n v="290.01"/>
    <x v="2"/>
    <x v="51"/>
    <x v="2"/>
    <x v="2"/>
    <x v="2"/>
    <n v="6"/>
    <x v="2"/>
    <n v="0"/>
  </r>
  <r>
    <s v="a3310a21-1081-4deb-8d37-8c167ed74b2f"/>
    <s v="8ee2a612-eb1d-4d54-92f8-7dc2c25d528a"/>
    <x v="0"/>
    <x v="341"/>
    <x v="296"/>
    <x v="7"/>
    <x v="3"/>
    <x v="1"/>
    <d v="2024-05-11T00:00:00"/>
    <n v="19"/>
    <n v="1393.46"/>
    <x v="0"/>
    <x v="0"/>
    <x v="2"/>
    <x v="0"/>
    <x v="3"/>
    <n v="1"/>
    <x v="3"/>
    <n v="0"/>
  </r>
  <r>
    <s v="85fb4860-5f28-4dbb-9f5d-8862dab7df1c"/>
    <s v="6f5e1cde-92b0-4791-a030-bf2c9e8c8f90"/>
    <x v="2"/>
    <x v="342"/>
    <x v="297"/>
    <x v="1"/>
    <x v="1"/>
    <x v="6"/>
    <d v="2024-04-28T00:00:00"/>
    <n v="29"/>
    <n v="1109.25"/>
    <x v="4"/>
    <x v="30"/>
    <x v="0"/>
    <x v="0"/>
    <x v="3"/>
    <n v="1"/>
    <x v="3"/>
    <n v="0"/>
  </r>
  <r>
    <s v="c2127dc5-ed8a-4115-86e5-50fb1c0e12fc"/>
    <s v="1d2eea10-386f-4f02-a08d-7179bac3ed0f"/>
    <x v="0"/>
    <x v="343"/>
    <x v="298"/>
    <x v="6"/>
    <x v="3"/>
    <x v="2"/>
    <d v="2022-11-24T00:00:00"/>
    <n v="5"/>
    <n v="145.85000000000002"/>
    <x v="5"/>
    <x v="16"/>
    <x v="0"/>
    <x v="0"/>
    <x v="3"/>
    <n v="1"/>
    <x v="3"/>
    <n v="0"/>
  </r>
  <r>
    <s v="ee7f07de-ffe7-4ff3-95b2-368067b641e5"/>
    <s v="b6a9bbb6-9540-406c-8c46-9ddfdc7fc8e9"/>
    <x v="2"/>
    <x v="344"/>
    <x v="299"/>
    <x v="11"/>
    <x v="0"/>
    <x v="2"/>
    <d v="2023-09-10T00:00:00"/>
    <n v="4"/>
    <n v="120.8"/>
    <x v="3"/>
    <x v="32"/>
    <x v="1"/>
    <x v="2"/>
    <x v="2"/>
    <n v="6"/>
    <x v="2"/>
    <n v="0"/>
  </r>
  <r>
    <s v="1e69e3b9-edb8-4a4e-8c6d-1afe20fcdd61"/>
    <s v="595a4603-3b11-45ec-a020-93dfe33069a5"/>
    <x v="0"/>
    <x v="345"/>
    <x v="203"/>
    <x v="2"/>
    <x v="2"/>
    <x v="4"/>
    <d v="2024-05-22T00:00:00"/>
    <n v="2"/>
    <n v="34.18"/>
    <x v="1"/>
    <x v="34"/>
    <x v="0"/>
    <x v="0"/>
    <x v="2"/>
    <n v="6"/>
    <x v="2"/>
    <n v="0"/>
  </r>
  <r>
    <s v="fb91130c-c72d-4bba-a006-ef269b33f138"/>
    <s v="f090981d-b767-4437-9572-6e221475865e"/>
    <x v="2"/>
    <x v="346"/>
    <x v="223"/>
    <x v="8"/>
    <x v="2"/>
    <x v="3"/>
    <d v="2024-06-16T00:00:00"/>
    <n v="5"/>
    <n v="274.75"/>
    <x v="1"/>
    <x v="3"/>
    <x v="2"/>
    <x v="2"/>
    <x v="3"/>
    <n v="1"/>
    <x v="3"/>
    <n v="0"/>
  </r>
  <r>
    <s v="d4c70b2d-28aa-4752-b35d-5e4463f843cd"/>
    <s v="83df4039-c54d-4d17-9634-36ec8441c3c2"/>
    <x v="1"/>
    <x v="347"/>
    <x v="300"/>
    <x v="5"/>
    <x v="2"/>
    <x v="1"/>
    <d v="2024-06-08T00:00:00"/>
    <n v="1"/>
    <n v="18.47"/>
    <x v="5"/>
    <x v="17"/>
    <x v="1"/>
    <x v="0"/>
    <x v="1"/>
    <n v="12"/>
    <x v="1"/>
    <n v="0"/>
  </r>
  <r>
    <s v="8cef0586-9eac-46f2-bfdf-37564c987bc7"/>
    <s v="8d782f6b-9f48-45de-8d3d-ceec5f27a746"/>
    <x v="2"/>
    <x v="348"/>
    <x v="159"/>
    <x v="2"/>
    <x v="2"/>
    <x v="0"/>
    <d v="2024-05-26T00:00:00"/>
    <n v="2"/>
    <n v="70.180000000000007"/>
    <x v="3"/>
    <x v="34"/>
    <x v="1"/>
    <x v="0"/>
    <x v="1"/>
    <n v="12"/>
    <x v="1"/>
    <n v="0"/>
  </r>
  <r>
    <s v="70c014ab-a590-4ece-9737-796f51e80528"/>
    <s v="ce934f2c-ca80-4dc1-a885-6bf5368daf01"/>
    <x v="1"/>
    <x v="349"/>
    <x v="301"/>
    <x v="6"/>
    <x v="0"/>
    <x v="4"/>
    <d v="2023-09-20T00:00:00"/>
    <n v="2"/>
    <n v="129.08000000000001"/>
    <x v="5"/>
    <x v="48"/>
    <x v="0"/>
    <x v="1"/>
    <x v="3"/>
    <n v="1"/>
    <x v="3"/>
    <n v="0"/>
  </r>
  <r>
    <s v="45ce3913-be29-4f4c-b833-0ab47c63f361"/>
    <s v="8017c545-df43-482b-97ed-e65a2061afcc"/>
    <x v="0"/>
    <x v="197"/>
    <x v="302"/>
    <x v="5"/>
    <x v="3"/>
    <x v="3"/>
    <d v="2024-06-09T00:00:00"/>
    <n v="25"/>
    <n v="1853"/>
    <x v="3"/>
    <x v="5"/>
    <x v="0"/>
    <x v="0"/>
    <x v="3"/>
    <n v="1"/>
    <x v="3"/>
    <n v="0"/>
  </r>
  <r>
    <s v="3ed06c04-2c3d-47b1-a3fa-f903a7e3401e"/>
    <s v="84b3ffe6-031c-4efa-9230-710837f3706b"/>
    <x v="1"/>
    <x v="350"/>
    <x v="303"/>
    <x v="10"/>
    <x v="3"/>
    <x v="4"/>
    <d v="2022-08-31T00:00:00"/>
    <n v="7"/>
    <n v="51.169999999999995"/>
    <x v="2"/>
    <x v="47"/>
    <x v="1"/>
    <x v="2"/>
    <x v="2"/>
    <n v="6"/>
    <x v="2"/>
    <n v="0"/>
  </r>
  <r>
    <s v="e072474c-b11b-4b88-a169-9712f4b711eb"/>
    <s v="9d87d74b-ebf9-4d6a-99bf-c46c309f52e1"/>
    <x v="1"/>
    <x v="351"/>
    <x v="304"/>
    <x v="10"/>
    <x v="2"/>
    <x v="5"/>
    <d v="2024-05-15T00:00:00"/>
    <n v="4"/>
    <n v="183.44"/>
    <x v="3"/>
    <x v="25"/>
    <x v="1"/>
    <x v="1"/>
    <x v="2"/>
    <n v="6"/>
    <x v="2"/>
    <n v="0"/>
  </r>
  <r>
    <s v="529462fe-c3be-468f-a674-795854ecb1ce"/>
    <s v="73d8deea-6284-419f-ae7b-de4369ef001e"/>
    <x v="2"/>
    <x v="352"/>
    <x v="305"/>
    <x v="6"/>
    <x v="1"/>
    <x v="3"/>
    <d v="2022-01-24T00:00:00"/>
    <n v="7"/>
    <n v="468.65000000000003"/>
    <x v="2"/>
    <x v="45"/>
    <x v="1"/>
    <x v="1"/>
    <x v="0"/>
    <n v="24"/>
    <x v="0"/>
    <n v="0"/>
  </r>
  <r>
    <s v="47f62c7a-c311-4fe3-8566-69967711117a"/>
    <s v="63bfbcaf-0121-4899-be8b-c8336c65e7bd"/>
    <x v="2"/>
    <x v="353"/>
    <x v="306"/>
    <x v="3"/>
    <x v="0"/>
    <x v="5"/>
    <d v="2024-02-06T00:00:00"/>
    <n v="3"/>
    <n v="258.18"/>
    <x v="1"/>
    <x v="9"/>
    <x v="0"/>
    <x v="0"/>
    <x v="2"/>
    <n v="6"/>
    <x v="2"/>
    <n v="0"/>
  </r>
  <r>
    <s v="aeef49c6-bc99-4459-ab79-1bd2cdbd9492"/>
    <s v="e247ec9b-4b34-4694-86dc-671853a5837e"/>
    <x v="1"/>
    <x v="354"/>
    <x v="307"/>
    <x v="3"/>
    <x v="1"/>
    <x v="5"/>
    <d v="2022-03-21T00:00:00"/>
    <n v="4"/>
    <n v="388.28"/>
    <x v="0"/>
    <x v="35"/>
    <x v="1"/>
    <x v="1"/>
    <x v="3"/>
    <n v="1"/>
    <x v="3"/>
    <n v="0"/>
  </r>
  <r>
    <s v="395ee37d-6570-462f-84d9-be37c392e9bc"/>
    <s v="db4226e0-5003-4efe-9453-457c0dfd8fee"/>
    <x v="0"/>
    <x v="355"/>
    <x v="308"/>
    <x v="9"/>
    <x v="1"/>
    <x v="5"/>
    <d v="2023-04-07T00:00:00"/>
    <n v="20"/>
    <n v="125.60000000000001"/>
    <x v="3"/>
    <x v="23"/>
    <x v="1"/>
    <x v="0"/>
    <x v="1"/>
    <n v="12"/>
    <x v="1"/>
    <n v="0"/>
  </r>
  <r>
    <s v="41056581-523b-40ac-88a8-d6120c365ac4"/>
    <s v="b7b40431-60f5-4964-8fe6-69b0f039f742"/>
    <x v="0"/>
    <x v="356"/>
    <x v="309"/>
    <x v="1"/>
    <x v="3"/>
    <x v="0"/>
    <d v="2023-04-15T00:00:00"/>
    <n v="5"/>
    <n v="254.8"/>
    <x v="2"/>
    <x v="10"/>
    <x v="0"/>
    <x v="1"/>
    <x v="0"/>
    <n v="24"/>
    <x v="0"/>
    <n v="0"/>
  </r>
  <r>
    <s v="753ccf40-f6c1-4af1-a3ea-e72b94d20ed8"/>
    <s v="a0014668-aac3-475d-ac6a-bcc9b8a99c28"/>
    <x v="2"/>
    <x v="357"/>
    <x v="310"/>
    <x v="1"/>
    <x v="1"/>
    <x v="4"/>
    <d v="2022-11-25T00:00:00"/>
    <n v="12"/>
    <n v="351.96"/>
    <x v="2"/>
    <x v="36"/>
    <x v="0"/>
    <x v="2"/>
    <x v="2"/>
    <n v="6"/>
    <x v="2"/>
    <n v="0"/>
  </r>
  <r>
    <s v="31aed58c-00b2-4037-92ff-2fab46ba32a0"/>
    <s v="8606e0a7-df4c-4dd5-b1b1-a206bc610b2b"/>
    <x v="0"/>
    <x v="358"/>
    <x v="0"/>
    <x v="0"/>
    <x v="0"/>
    <x v="0"/>
    <d v="2024-05-28T00:00:00"/>
    <n v="15"/>
    <n v="1248.75"/>
    <x v="2"/>
    <x v="1"/>
    <x v="0"/>
    <x v="0"/>
    <x v="1"/>
    <n v="12"/>
    <x v="1"/>
    <n v="0"/>
  </r>
  <r>
    <s v="1cea0841-a13f-4204-a797-09754e0cff9b"/>
    <s v="1645f8b3-3a52-45a7-88c1-d228235bfefd"/>
    <x v="1"/>
    <x v="359"/>
    <x v="110"/>
    <x v="2"/>
    <x v="0"/>
    <x v="5"/>
    <d v="2023-09-19T00:00:00"/>
    <n v="6"/>
    <n v="162.66"/>
    <x v="4"/>
    <x v="35"/>
    <x v="0"/>
    <x v="0"/>
    <x v="1"/>
    <n v="12"/>
    <x v="1"/>
    <n v="0"/>
  </r>
  <r>
    <s v="9b256372-6848-41ad-8a9d-885bb2e3be7f"/>
    <s v="67b93dbe-4415-4c3e-ba95-f1769c27db5d"/>
    <x v="0"/>
    <x v="360"/>
    <x v="311"/>
    <x v="6"/>
    <x v="0"/>
    <x v="0"/>
    <d v="2023-09-02T00:00:00"/>
    <n v="2"/>
    <n v="69.02"/>
    <x v="2"/>
    <x v="32"/>
    <x v="1"/>
    <x v="0"/>
    <x v="0"/>
    <n v="24"/>
    <x v="0"/>
    <n v="0"/>
  </r>
  <r>
    <s v="38f8cc41-3f2b-407b-8df4-0a41c047973c"/>
    <s v="09216339-975e-4614-8d9d-58cfae66dc9c"/>
    <x v="2"/>
    <x v="361"/>
    <x v="312"/>
    <x v="9"/>
    <x v="0"/>
    <x v="0"/>
    <d v="2023-11-07T00:00:00"/>
    <n v="3"/>
    <n v="240.51"/>
    <x v="6"/>
    <x v="35"/>
    <x v="2"/>
    <x v="2"/>
    <x v="1"/>
    <n v="12"/>
    <x v="1"/>
    <n v="0"/>
  </r>
  <r>
    <s v="a36d1c0a-3b89-442e-9aeb-00a96b49ba5f"/>
    <s v="e9539f84-3f15-4cc8-8665-e5b9b3f6aab6"/>
    <x v="1"/>
    <x v="362"/>
    <x v="313"/>
    <x v="4"/>
    <x v="3"/>
    <x v="3"/>
    <d v="2024-04-08T00:00:00"/>
    <n v="19"/>
    <n v="1385.86"/>
    <x v="1"/>
    <x v="24"/>
    <x v="1"/>
    <x v="2"/>
    <x v="0"/>
    <n v="24"/>
    <x v="0"/>
    <n v="0"/>
  </r>
  <r>
    <s v="1d706b40-5036-4c76-8253-c2bdab232022"/>
    <s v="eb9819b2-cbf1-4324-9911-51cf835db6b6"/>
    <x v="0"/>
    <x v="363"/>
    <x v="314"/>
    <x v="2"/>
    <x v="3"/>
    <x v="4"/>
    <d v="2023-05-03T00:00:00"/>
    <n v="13"/>
    <n v="754.13"/>
    <x v="5"/>
    <x v="41"/>
    <x v="1"/>
    <x v="0"/>
    <x v="0"/>
    <n v="24"/>
    <x v="0"/>
    <n v="0"/>
  </r>
  <r>
    <s v="21728262-ed6a-4996-8373-386537b19bb8"/>
    <s v="3432b8f1-3f3b-409f-81d3-b788d6369cc4"/>
    <x v="2"/>
    <x v="364"/>
    <x v="315"/>
    <x v="6"/>
    <x v="1"/>
    <x v="4"/>
    <d v="2023-12-06T00:00:00"/>
    <n v="29"/>
    <n v="1298.3300000000002"/>
    <x v="2"/>
    <x v="7"/>
    <x v="0"/>
    <x v="2"/>
    <x v="3"/>
    <n v="1"/>
    <x v="3"/>
    <n v="0"/>
  </r>
  <r>
    <s v="916afada-ba7f-4c57-8eb1-6419df971afe"/>
    <s v="334e2d10-124d-4805-b675-7c5353acf970"/>
    <x v="0"/>
    <x v="365"/>
    <x v="43"/>
    <x v="0"/>
    <x v="3"/>
    <x v="0"/>
    <d v="2023-08-08T00:00:00"/>
    <n v="17"/>
    <n v="93.5"/>
    <x v="0"/>
    <x v="32"/>
    <x v="2"/>
    <x v="0"/>
    <x v="2"/>
    <n v="6"/>
    <x v="2"/>
    <n v="0"/>
  </r>
  <r>
    <s v="30a7ef5a-81ae-4e3b-b257-c39393b15893"/>
    <s v="887efde8-4ade-4b77-ba54-0857f80c03c8"/>
    <x v="0"/>
    <x v="366"/>
    <x v="316"/>
    <x v="8"/>
    <x v="2"/>
    <x v="4"/>
    <d v="2024-03-03T00:00:00"/>
    <n v="2"/>
    <n v="12.16"/>
    <x v="5"/>
    <x v="41"/>
    <x v="1"/>
    <x v="0"/>
    <x v="0"/>
    <n v="24"/>
    <x v="0"/>
    <n v="0"/>
  </r>
  <r>
    <s v="9ac61407-5666-48f4-8fcc-53f75117ebb2"/>
    <s v="c8a0e2b4-85ac-42d3-b6a5-d5e856fb0e26"/>
    <x v="0"/>
    <x v="367"/>
    <x v="317"/>
    <x v="7"/>
    <x v="0"/>
    <x v="4"/>
    <d v="2023-11-29T00:00:00"/>
    <n v="2"/>
    <n v="107.14"/>
    <x v="0"/>
    <x v="7"/>
    <x v="0"/>
    <x v="2"/>
    <x v="0"/>
    <n v="24"/>
    <x v="0"/>
    <n v="0"/>
  </r>
  <r>
    <s v="a92ada3d-10cd-4dd7-be56-f32264b87e52"/>
    <s v="1db924ff-f86f-4729-926b-902d2773e375"/>
    <x v="2"/>
    <x v="368"/>
    <x v="152"/>
    <x v="9"/>
    <x v="1"/>
    <x v="3"/>
    <d v="2024-02-10T00:00:00"/>
    <n v="31"/>
    <n v="400.21"/>
    <x v="2"/>
    <x v="26"/>
    <x v="1"/>
    <x v="1"/>
    <x v="2"/>
    <n v="6"/>
    <x v="2"/>
    <n v="0"/>
  </r>
  <r>
    <s v="b2701750-9b71-45b5-9f81-6cb5daa3ba68"/>
    <s v="67ddfaea-c824-46c1-a02e-690fc3e7bbec"/>
    <x v="1"/>
    <x v="369"/>
    <x v="318"/>
    <x v="11"/>
    <x v="3"/>
    <x v="1"/>
    <d v="2023-05-29T00:00:00"/>
    <n v="13"/>
    <n v="128.04999999999998"/>
    <x v="2"/>
    <x v="48"/>
    <x v="0"/>
    <x v="1"/>
    <x v="2"/>
    <n v="6"/>
    <x v="2"/>
    <n v="0"/>
  </r>
  <r>
    <s v="7b801830-a19b-4b8c-a574-0fdbcf2e4c95"/>
    <s v="a1047f20-9b1a-46db-8182-07d22829ba62"/>
    <x v="0"/>
    <x v="370"/>
    <x v="319"/>
    <x v="6"/>
    <x v="0"/>
    <x v="1"/>
    <d v="2024-02-17T00:00:00"/>
    <n v="8"/>
    <n v="773.76"/>
    <x v="3"/>
    <x v="29"/>
    <x v="1"/>
    <x v="0"/>
    <x v="1"/>
    <n v="12"/>
    <x v="1"/>
    <n v="0"/>
  </r>
  <r>
    <s v="a615dc97-6944-4841-9d83-9a20bd40e34b"/>
    <s v="5f25404e-f687-4dcb-9201-1085315d32a5"/>
    <x v="0"/>
    <x v="371"/>
    <x v="320"/>
    <x v="4"/>
    <x v="1"/>
    <x v="6"/>
    <d v="2023-06-09T00:00:00"/>
    <n v="22"/>
    <n v="1905.42"/>
    <x v="3"/>
    <x v="10"/>
    <x v="0"/>
    <x v="2"/>
    <x v="1"/>
    <n v="12"/>
    <x v="1"/>
    <n v="0"/>
  </r>
  <r>
    <s v="56f7aab1-4dd0-47e0-b987-dc2980f12d25"/>
    <s v="eb19501f-6bec-43a8-b2ad-c23dd12a8054"/>
    <x v="0"/>
    <x v="372"/>
    <x v="321"/>
    <x v="3"/>
    <x v="3"/>
    <x v="0"/>
    <d v="2023-11-04T00:00:00"/>
    <n v="12"/>
    <n v="233.28000000000003"/>
    <x v="0"/>
    <x v="12"/>
    <x v="1"/>
    <x v="0"/>
    <x v="1"/>
    <n v="12"/>
    <x v="1"/>
    <n v="0"/>
  </r>
  <r>
    <s v="d48b1202-5949-4fff-a488-03e5a043c77c"/>
    <s v="7dbb2de7-8228-4e15-b175-f8062155c6ae"/>
    <x v="0"/>
    <x v="373"/>
    <x v="322"/>
    <x v="5"/>
    <x v="2"/>
    <x v="2"/>
    <d v="2024-06-07T00:00:00"/>
    <n v="1"/>
    <n v="5.0599999999999996"/>
    <x v="0"/>
    <x v="27"/>
    <x v="0"/>
    <x v="0"/>
    <x v="3"/>
    <n v="1"/>
    <x v="3"/>
    <n v="0"/>
  </r>
  <r>
    <s v="36b6f7a2-4344-46d6-8214-ccd24e5d693e"/>
    <s v="335f29d3-6b08-4c48-8ade-d921df870f86"/>
    <x v="1"/>
    <x v="374"/>
    <x v="154"/>
    <x v="8"/>
    <x v="2"/>
    <x v="2"/>
    <d v="2024-06-05T00:00:00"/>
    <n v="5"/>
    <n v="472.29999999999995"/>
    <x v="3"/>
    <x v="3"/>
    <x v="2"/>
    <x v="0"/>
    <x v="3"/>
    <n v="1"/>
    <x v="3"/>
    <n v="0"/>
  </r>
  <r>
    <s v="884aad40-c31f-4a04-a6cd-07e511e22ff2"/>
    <s v="456b359b-514e-438f-9e19-3582f943182f"/>
    <x v="2"/>
    <x v="375"/>
    <x v="323"/>
    <x v="5"/>
    <x v="2"/>
    <x v="3"/>
    <d v="2024-06-17T00:00:00"/>
    <n v="1"/>
    <n v="31.44"/>
    <x v="2"/>
    <x v="1"/>
    <x v="1"/>
    <x v="1"/>
    <x v="3"/>
    <n v="1"/>
    <x v="3"/>
    <n v="0"/>
  </r>
  <r>
    <s v="fa617cd4-6feb-4374-b868-745f19be9e95"/>
    <s v="4fb04c0f-cb65-4fcf-9e75-c84e1fb10389"/>
    <x v="2"/>
    <x v="376"/>
    <x v="324"/>
    <x v="9"/>
    <x v="0"/>
    <x v="4"/>
    <d v="2024-01-06T00:00:00"/>
    <n v="5"/>
    <n v="113.3"/>
    <x v="6"/>
    <x v="30"/>
    <x v="2"/>
    <x v="1"/>
    <x v="3"/>
    <n v="1"/>
    <x v="3"/>
    <n v="0"/>
  </r>
  <r>
    <s v="cf377ac4-fcb9-4626-85ff-9f5b8e51ccd2"/>
    <s v="3a584ae9-58f6-4cc9-956d-b64d53e4b394"/>
    <x v="1"/>
    <x v="377"/>
    <x v="325"/>
    <x v="3"/>
    <x v="3"/>
    <x v="2"/>
    <d v="2023-01-14T00:00:00"/>
    <n v="2"/>
    <n v="141.38"/>
    <x v="2"/>
    <x v="46"/>
    <x v="0"/>
    <x v="0"/>
    <x v="2"/>
    <n v="6"/>
    <x v="2"/>
    <n v="0"/>
  </r>
  <r>
    <s v="1adeb21a-98be-4749-aeb3-2c6d3fad5c84"/>
    <s v="15555d3c-7bcb-40f1-a7b3-53c4f3972b33"/>
    <x v="0"/>
    <x v="378"/>
    <x v="326"/>
    <x v="8"/>
    <x v="3"/>
    <x v="2"/>
    <d v="2023-01-08T00:00:00"/>
    <n v="12"/>
    <n v="184.2"/>
    <x v="4"/>
    <x v="34"/>
    <x v="0"/>
    <x v="2"/>
    <x v="0"/>
    <n v="24"/>
    <x v="0"/>
    <n v="0"/>
  </r>
  <r>
    <s v="74e3683c-1e86-43c9-a2cb-f5f00806e454"/>
    <s v="bee75065-f894-4c6b-8e30-3e70246a1a00"/>
    <x v="1"/>
    <x v="379"/>
    <x v="327"/>
    <x v="2"/>
    <x v="0"/>
    <x v="2"/>
    <d v="2023-05-14T00:00:00"/>
    <n v="2"/>
    <n v="60.28"/>
    <x v="0"/>
    <x v="28"/>
    <x v="2"/>
    <x v="1"/>
    <x v="1"/>
    <n v="12"/>
    <x v="1"/>
    <n v="0"/>
  </r>
  <r>
    <s v="8909c42b-b8d5-4b27-98ea-7c774d5e5e73"/>
    <s v="32630d74-ae29-434a-89bc-024bff5b914a"/>
    <x v="1"/>
    <x v="380"/>
    <x v="62"/>
    <x v="5"/>
    <x v="1"/>
    <x v="4"/>
    <d v="2022-05-21T00:00:00"/>
    <n v="11"/>
    <n v="1073.9299999999998"/>
    <x v="1"/>
    <x v="41"/>
    <x v="0"/>
    <x v="2"/>
    <x v="1"/>
    <n v="12"/>
    <x v="1"/>
    <n v="0"/>
  </r>
  <r>
    <s v="f8b54cc0-cfdb-42da-8859-7bf25e210428"/>
    <s v="6f71230e-c429-44d4-a712-119c704391a7"/>
    <x v="1"/>
    <x v="381"/>
    <x v="328"/>
    <x v="5"/>
    <x v="0"/>
    <x v="1"/>
    <d v="2024-01-17T00:00:00"/>
    <n v="8"/>
    <n v="526"/>
    <x v="5"/>
    <x v="42"/>
    <x v="0"/>
    <x v="2"/>
    <x v="0"/>
    <n v="24"/>
    <x v="0"/>
    <n v="0"/>
  </r>
  <r>
    <s v="e242f460-43ce-4f98-95f5-4b49508f783d"/>
    <s v="3c544520-d70f-41f5-8a8a-1f1b55c455c9"/>
    <x v="1"/>
    <x v="382"/>
    <x v="329"/>
    <x v="6"/>
    <x v="3"/>
    <x v="2"/>
    <d v="2023-08-16T00:00:00"/>
    <n v="14"/>
    <n v="762.44"/>
    <x v="2"/>
    <x v="3"/>
    <x v="0"/>
    <x v="2"/>
    <x v="2"/>
    <n v="6"/>
    <x v="2"/>
    <n v="0"/>
  </r>
  <r>
    <s v="d4110c3b-1873-486a-bfea-9ed38acc67fc"/>
    <s v="fcdaf8d8-d5c1-453d-b954-0d88a88ee98c"/>
    <x v="1"/>
    <x v="383"/>
    <x v="330"/>
    <x v="5"/>
    <x v="2"/>
    <x v="4"/>
    <d v="2024-06-17T00:00:00"/>
    <n v="1"/>
    <n v="42.8"/>
    <x v="0"/>
    <x v="31"/>
    <x v="2"/>
    <x v="0"/>
    <x v="0"/>
    <n v="24"/>
    <x v="0"/>
    <n v="0"/>
  </r>
  <r>
    <s v="5e5cc522-1265-413e-881c-ba2b25b3e00b"/>
    <s v="cd8e352a-6700-4a75-b981-bb8879dda4e6"/>
    <x v="2"/>
    <x v="384"/>
    <x v="139"/>
    <x v="3"/>
    <x v="0"/>
    <x v="4"/>
    <d v="2024-03-07T00:00:00"/>
    <n v="4"/>
    <n v="73.56"/>
    <x v="5"/>
    <x v="14"/>
    <x v="1"/>
    <x v="2"/>
    <x v="0"/>
    <n v="24"/>
    <x v="0"/>
    <n v="0"/>
  </r>
  <r>
    <s v="09d977be-b032-44fd-a58c-520cebe76bf3"/>
    <s v="39bec8e7-019f-43f3-8d3e-3b56df4d4575"/>
    <x v="2"/>
    <x v="385"/>
    <x v="331"/>
    <x v="6"/>
    <x v="3"/>
    <x v="4"/>
    <d v="2024-03-16T00:00:00"/>
    <n v="20"/>
    <n v="1938"/>
    <x v="2"/>
    <x v="17"/>
    <x v="1"/>
    <x v="0"/>
    <x v="0"/>
    <n v="24"/>
    <x v="0"/>
    <n v="0"/>
  </r>
  <r>
    <s v="2862f918-b5a4-4a62-9fc5-2f9728372f41"/>
    <s v="17cee708-51bc-4cd5-b879-5b1ed368c67d"/>
    <x v="1"/>
    <x v="386"/>
    <x v="290"/>
    <x v="5"/>
    <x v="3"/>
    <x v="2"/>
    <d v="2022-10-13T00:00:00"/>
    <n v="4"/>
    <n v="347.24"/>
    <x v="1"/>
    <x v="27"/>
    <x v="0"/>
    <x v="0"/>
    <x v="1"/>
    <n v="12"/>
    <x v="1"/>
    <n v="0"/>
  </r>
  <r>
    <s v="ed53c894-648c-4849-ac01-2c1e40c372da"/>
    <s v="a1645baa-b3a9-4987-a471-0d7ec9b7b95e"/>
    <x v="1"/>
    <x v="387"/>
    <x v="332"/>
    <x v="9"/>
    <x v="3"/>
    <x v="3"/>
    <d v="2023-08-05T00:00:00"/>
    <n v="13"/>
    <n v="827.84"/>
    <x v="5"/>
    <x v="51"/>
    <x v="0"/>
    <x v="0"/>
    <x v="0"/>
    <n v="24"/>
    <x v="0"/>
    <n v="0"/>
  </r>
  <r>
    <s v="34eb8f03-a801-42f5-8c4b-1f0e1145425b"/>
    <s v="707cbc40-2d1c-433e-831f-fa8f72de816c"/>
    <x v="1"/>
    <x v="241"/>
    <x v="25"/>
    <x v="9"/>
    <x v="3"/>
    <x v="4"/>
    <d v="2022-12-12T00:00:00"/>
    <n v="4"/>
    <n v="36.32"/>
    <x v="4"/>
    <x v="35"/>
    <x v="2"/>
    <x v="2"/>
    <x v="1"/>
    <n v="12"/>
    <x v="1"/>
    <n v="0"/>
  </r>
  <r>
    <s v="9bbf5b5d-494c-4b85-9dda-88f7a1ffce4d"/>
    <s v="982d316e-5765-4640-89bb-5bed7594220f"/>
    <x v="2"/>
    <x v="388"/>
    <x v="333"/>
    <x v="2"/>
    <x v="0"/>
    <x v="4"/>
    <d v="2023-08-16T00:00:00"/>
    <n v="5"/>
    <n v="357.9"/>
    <x v="4"/>
    <x v="24"/>
    <x v="2"/>
    <x v="2"/>
    <x v="3"/>
    <n v="1"/>
    <x v="3"/>
    <n v="0"/>
  </r>
  <r>
    <s v="ea42ee90-05b0-4124-8b84-d81e733efe02"/>
    <s v="0d1e383b-206b-4c1b-98aa-b56f3be9e4ae"/>
    <x v="0"/>
    <x v="389"/>
    <x v="49"/>
    <x v="7"/>
    <x v="1"/>
    <x v="4"/>
    <d v="2022-01-16T00:00:00"/>
    <n v="4"/>
    <n v="367.04"/>
    <x v="5"/>
    <x v="50"/>
    <x v="2"/>
    <x v="0"/>
    <x v="3"/>
    <n v="1"/>
    <x v="3"/>
    <n v="0"/>
  </r>
  <r>
    <s v="0ca5e374-212d-40e8-bc06-468d0b794841"/>
    <s v="f52076b8-a3d5-43f6-8757-d4fd894f75f9"/>
    <x v="0"/>
    <x v="390"/>
    <x v="334"/>
    <x v="10"/>
    <x v="2"/>
    <x v="4"/>
    <d v="2024-05-13T00:00:00"/>
    <n v="3"/>
    <n v="164.49"/>
    <x v="4"/>
    <x v="49"/>
    <x v="2"/>
    <x v="1"/>
    <x v="2"/>
    <n v="6"/>
    <x v="2"/>
    <n v="0"/>
  </r>
  <r>
    <s v="1d3e44ea-4c55-42c2-ad73-2adb6d883b6c"/>
    <s v="3c92c8a8-cdd5-4319-97ec-0f4ac210f0b0"/>
    <x v="0"/>
    <x v="391"/>
    <x v="335"/>
    <x v="9"/>
    <x v="0"/>
    <x v="0"/>
    <d v="2024-02-13T00:00:00"/>
    <n v="6"/>
    <n v="231.89999999999998"/>
    <x v="5"/>
    <x v="42"/>
    <x v="0"/>
    <x v="0"/>
    <x v="1"/>
    <n v="12"/>
    <x v="1"/>
    <n v="0"/>
  </r>
  <r>
    <s v="deea463d-9a37-4442-8666-e25d12564e11"/>
    <s v="755ee336-31ef-41d9-b13f-40f213de1088"/>
    <x v="1"/>
    <x v="392"/>
    <x v="336"/>
    <x v="5"/>
    <x v="1"/>
    <x v="6"/>
    <d v="2023-10-22T00:00:00"/>
    <n v="29"/>
    <n v="476.46999999999997"/>
    <x v="1"/>
    <x v="1"/>
    <x v="2"/>
    <x v="2"/>
    <x v="0"/>
    <n v="24"/>
    <x v="0"/>
    <n v="0"/>
  </r>
  <r>
    <s v="0bc17e27-6678-4b60-96c9-c8f0302e9e1c"/>
    <s v="0cccce90-70fa-4bc7-b7a9-82fc700a7553"/>
    <x v="0"/>
    <x v="393"/>
    <x v="337"/>
    <x v="7"/>
    <x v="0"/>
    <x v="1"/>
    <d v="2024-02-11T00:00:00"/>
    <n v="4"/>
    <n v="306.88"/>
    <x v="4"/>
    <x v="38"/>
    <x v="2"/>
    <x v="1"/>
    <x v="1"/>
    <n v="12"/>
    <x v="1"/>
    <n v="0"/>
  </r>
  <r>
    <s v="69056c58-b419-42c0-9d09-d31c0e2f60cd"/>
    <s v="16960c7b-07af-43a7-9bd7-20a3812b7e7f"/>
    <x v="1"/>
    <x v="394"/>
    <x v="22"/>
    <x v="1"/>
    <x v="3"/>
    <x v="4"/>
    <d v="2024-02-23T00:00:00"/>
    <n v="14"/>
    <n v="1247.1199999999999"/>
    <x v="0"/>
    <x v="32"/>
    <x v="2"/>
    <x v="1"/>
    <x v="3"/>
    <n v="1"/>
    <x v="3"/>
    <n v="0"/>
  </r>
  <r>
    <s v="cb12e457-62fb-4a80-974d-65fc326dc856"/>
    <s v="b6621959-5f38-4dd9-b137-9122f933f6d2"/>
    <x v="0"/>
    <x v="395"/>
    <x v="338"/>
    <x v="11"/>
    <x v="0"/>
    <x v="5"/>
    <d v="2024-02-12T00:00:00"/>
    <n v="10"/>
    <n v="145.19999999999999"/>
    <x v="2"/>
    <x v="51"/>
    <x v="1"/>
    <x v="1"/>
    <x v="3"/>
    <n v="1"/>
    <x v="3"/>
    <n v="0"/>
  </r>
  <r>
    <s v="c656472e-3106-4928-97b9-a18ef3983a06"/>
    <s v="279e9c20-7ec8-44f0-be45-686de066d11b"/>
    <x v="2"/>
    <x v="396"/>
    <x v="339"/>
    <x v="7"/>
    <x v="0"/>
    <x v="6"/>
    <d v="2023-12-05T00:00:00"/>
    <n v="2"/>
    <n v="13.24"/>
    <x v="0"/>
    <x v="16"/>
    <x v="2"/>
    <x v="1"/>
    <x v="2"/>
    <n v="6"/>
    <x v="2"/>
    <n v="0"/>
  </r>
  <r>
    <s v="4c0ed261-92e1-444a-902b-d759a20b2d59"/>
    <s v="83d989cc-687f-4db3-8ee7-c4e9f9214c01"/>
    <x v="1"/>
    <x v="397"/>
    <x v="340"/>
    <x v="4"/>
    <x v="1"/>
    <x v="3"/>
    <d v="2022-06-06T00:00:00"/>
    <n v="9"/>
    <n v="871.83"/>
    <x v="1"/>
    <x v="21"/>
    <x v="0"/>
    <x v="1"/>
    <x v="0"/>
    <n v="24"/>
    <x v="0"/>
    <n v="0"/>
  </r>
  <r>
    <s v="713cc570-fe4b-496c-a6af-1d1aa00ca75e"/>
    <s v="00c3b75b-acfe-425e-8314-69a46df1f386"/>
    <x v="0"/>
    <x v="398"/>
    <x v="83"/>
    <x v="2"/>
    <x v="2"/>
    <x v="2"/>
    <d v="2024-05-04T00:00:00"/>
    <n v="1"/>
    <n v="63.43"/>
    <x v="3"/>
    <x v="25"/>
    <x v="2"/>
    <x v="2"/>
    <x v="3"/>
    <n v="1"/>
    <x v="3"/>
    <n v="0"/>
  </r>
  <r>
    <s v="5034a7ca-7829-4a5b-989e-222bb7267a0b"/>
    <s v="60e155b1-c142-486e-a8d3-1da85288970d"/>
    <x v="0"/>
    <x v="399"/>
    <x v="341"/>
    <x v="4"/>
    <x v="3"/>
    <x v="2"/>
    <d v="2023-03-28T00:00:00"/>
    <n v="7"/>
    <n v="402.35999999999996"/>
    <x v="1"/>
    <x v="36"/>
    <x v="1"/>
    <x v="0"/>
    <x v="1"/>
    <n v="12"/>
    <x v="1"/>
    <n v="0"/>
  </r>
  <r>
    <s v="066a531d-99ce-47dd-bb8c-7929d9fe93e4"/>
    <s v="fae7bfaa-c287-4eb2-ac6c-851497d16c79"/>
    <x v="0"/>
    <x v="400"/>
    <x v="342"/>
    <x v="10"/>
    <x v="0"/>
    <x v="3"/>
    <d v="2023-05-02T00:00:00"/>
    <n v="3"/>
    <n v="99.359999999999985"/>
    <x v="0"/>
    <x v="26"/>
    <x v="1"/>
    <x v="1"/>
    <x v="2"/>
    <n v="6"/>
    <x v="2"/>
    <n v="0"/>
  </r>
  <r>
    <s v="7a83cfee-1bab-4273-b668-dc2e435228c5"/>
    <s v="6ec3bfec-d053-43ca-a148-11ef27c43734"/>
    <x v="0"/>
    <x v="401"/>
    <x v="343"/>
    <x v="6"/>
    <x v="0"/>
    <x v="3"/>
    <d v="2023-08-20T00:00:00"/>
    <n v="2"/>
    <n v="186.56"/>
    <x v="0"/>
    <x v="14"/>
    <x v="0"/>
    <x v="1"/>
    <x v="1"/>
    <n v="12"/>
    <x v="1"/>
    <n v="0"/>
  </r>
  <r>
    <s v="569f88a1-4ac9-4fb4-bca5-5d15656ac272"/>
    <s v="ea45a945-d27f-438d-93e5-0594e5a3fa0d"/>
    <x v="0"/>
    <x v="402"/>
    <x v="344"/>
    <x v="4"/>
    <x v="1"/>
    <x v="2"/>
    <d v="2023-05-13T00:00:00"/>
    <n v="20"/>
    <n v="605.20000000000005"/>
    <x v="4"/>
    <x v="50"/>
    <x v="2"/>
    <x v="2"/>
    <x v="0"/>
    <n v="24"/>
    <x v="0"/>
    <n v="0"/>
  </r>
  <r>
    <s v="e0e49fd3-202b-4c52-a41e-6774504a94c4"/>
    <s v="aebbe294-a809-4c3e-baee-0a7bcf050d93"/>
    <x v="2"/>
    <x v="403"/>
    <x v="239"/>
    <x v="3"/>
    <x v="0"/>
    <x v="2"/>
    <d v="2023-11-30T00:00:00"/>
    <n v="1"/>
    <n v="83.67"/>
    <x v="5"/>
    <x v="4"/>
    <x v="1"/>
    <x v="2"/>
    <x v="0"/>
    <n v="24"/>
    <x v="0"/>
    <n v="0"/>
  </r>
  <r>
    <s v="657c7bf1-3259-4716-b3c1-2f15e0eb287c"/>
    <s v="79f64bfe-7cfb-4dd4-b799-95a7db4a4b13"/>
    <x v="0"/>
    <x v="404"/>
    <x v="345"/>
    <x v="0"/>
    <x v="2"/>
    <x v="5"/>
    <d v="2024-03-17T00:00:00"/>
    <n v="1"/>
    <n v="79.42"/>
    <x v="3"/>
    <x v="42"/>
    <x v="2"/>
    <x v="1"/>
    <x v="1"/>
    <n v="12"/>
    <x v="1"/>
    <n v="0"/>
  </r>
  <r>
    <s v="da700d95-7ea5-451f-ae3c-fe1c8c34875a"/>
    <s v="a1891806-0e44-471f-9500-ea708ec23163"/>
    <x v="2"/>
    <x v="405"/>
    <x v="346"/>
    <x v="4"/>
    <x v="0"/>
    <x v="6"/>
    <d v="2023-12-26T00:00:00"/>
    <n v="4"/>
    <n v="217.2"/>
    <x v="1"/>
    <x v="9"/>
    <x v="1"/>
    <x v="1"/>
    <x v="1"/>
    <n v="12"/>
    <x v="1"/>
    <n v="0"/>
  </r>
  <r>
    <s v="7acc2230-b17b-46e7-a373-c9af7d533cc7"/>
    <s v="b03c0be7-9c73-4775-b077-3030af2395ed"/>
    <x v="0"/>
    <x v="34"/>
    <x v="347"/>
    <x v="8"/>
    <x v="2"/>
    <x v="2"/>
    <d v="2024-01-20T00:00:00"/>
    <n v="1"/>
    <n v="11.28"/>
    <x v="3"/>
    <x v="8"/>
    <x v="1"/>
    <x v="1"/>
    <x v="0"/>
    <n v="24"/>
    <x v="0"/>
    <n v="0"/>
  </r>
  <r>
    <s v="641531d5-1647-40fb-a1ff-155a9cb3bb23"/>
    <s v="bb90faea-2eab-4574-9e79-97afd93ac669"/>
    <x v="2"/>
    <x v="406"/>
    <x v="348"/>
    <x v="7"/>
    <x v="3"/>
    <x v="0"/>
    <d v="2023-08-16T00:00:00"/>
    <n v="10"/>
    <n v="498.8"/>
    <x v="4"/>
    <x v="14"/>
    <x v="1"/>
    <x v="0"/>
    <x v="2"/>
    <n v="6"/>
    <x v="2"/>
    <n v="0"/>
  </r>
  <r>
    <s v="248ceb07-2472-4ba4-ab26-293304a067b7"/>
    <s v="12bd7a18-3b55-4843-8733-4017211dcd2e"/>
    <x v="1"/>
    <x v="407"/>
    <x v="349"/>
    <x v="0"/>
    <x v="2"/>
    <x v="6"/>
    <d v="2024-05-13T00:00:00"/>
    <n v="2"/>
    <n v="93.26"/>
    <x v="0"/>
    <x v="4"/>
    <x v="0"/>
    <x v="1"/>
    <x v="2"/>
    <n v="6"/>
    <x v="2"/>
    <n v="0"/>
  </r>
  <r>
    <s v="8de2a39e-bac2-42bc-acac-3b2498251251"/>
    <s v="72b541cb-cc02-4e88-8bff-6864250cfa7b"/>
    <x v="0"/>
    <x v="408"/>
    <x v="178"/>
    <x v="1"/>
    <x v="0"/>
    <x v="5"/>
    <d v="2024-02-04T00:00:00"/>
    <n v="2"/>
    <n v="48.54"/>
    <x v="4"/>
    <x v="17"/>
    <x v="0"/>
    <x v="0"/>
    <x v="0"/>
    <n v="24"/>
    <x v="0"/>
    <n v="0"/>
  </r>
  <r>
    <s v="4fffa002-e327-4d61-a850-bd9ebdff6c7e"/>
    <s v="70d3bf90-5131-4b33-9447-931cf008e789"/>
    <x v="0"/>
    <x v="409"/>
    <x v="66"/>
    <x v="10"/>
    <x v="2"/>
    <x v="6"/>
    <d v="2024-02-24T00:00:00"/>
    <n v="1"/>
    <n v="45.24"/>
    <x v="5"/>
    <x v="8"/>
    <x v="0"/>
    <x v="0"/>
    <x v="1"/>
    <n v="12"/>
    <x v="1"/>
    <n v="0"/>
  </r>
  <r>
    <s v="a4992d3d-0b97-45cd-af90-16d078a68603"/>
    <s v="c7d22e65-e03f-4a7f-b21e-33213fc201b7"/>
    <x v="2"/>
    <x v="410"/>
    <x v="152"/>
    <x v="9"/>
    <x v="1"/>
    <x v="3"/>
    <d v="2023-06-18T00:00:00"/>
    <n v="23"/>
    <n v="896.7700000000001"/>
    <x v="4"/>
    <x v="49"/>
    <x v="0"/>
    <x v="1"/>
    <x v="1"/>
    <n v="12"/>
    <x v="1"/>
    <n v="0"/>
  </r>
  <r>
    <s v="a0d4d5ac-72fe-42ad-88ea-06a90b60f542"/>
    <s v="0525bf2d-1ce6-446f-a4b9-18a9e302dc67"/>
    <x v="1"/>
    <x v="411"/>
    <x v="350"/>
    <x v="1"/>
    <x v="3"/>
    <x v="6"/>
    <d v="2023-07-08T00:00:00"/>
    <n v="7"/>
    <n v="143.85"/>
    <x v="0"/>
    <x v="8"/>
    <x v="1"/>
    <x v="1"/>
    <x v="2"/>
    <n v="6"/>
    <x v="2"/>
    <n v="0"/>
  </r>
  <r>
    <s v="d31ea91a-ee3d-4b83-a2e5-c7f64d120f73"/>
    <s v="51b0475c-a99f-4ee7-94d7-526729965cc6"/>
    <x v="2"/>
    <x v="203"/>
    <x v="351"/>
    <x v="7"/>
    <x v="3"/>
    <x v="3"/>
    <d v="2023-11-01T00:00:00"/>
    <n v="13"/>
    <n v="610.09"/>
    <x v="4"/>
    <x v="6"/>
    <x v="1"/>
    <x v="2"/>
    <x v="0"/>
    <n v="24"/>
    <x v="0"/>
    <n v="0"/>
  </r>
  <r>
    <s v="6571657f-9d4b-425e-bf7a-cba1df843c21"/>
    <s v="053d6f2f-f0c7-4eef-98d3-f95b1642e724"/>
    <x v="1"/>
    <x v="412"/>
    <x v="352"/>
    <x v="8"/>
    <x v="2"/>
    <x v="6"/>
    <d v="2024-06-10T00:00:00"/>
    <n v="5"/>
    <n v="273"/>
    <x v="1"/>
    <x v="25"/>
    <x v="2"/>
    <x v="0"/>
    <x v="1"/>
    <n v="12"/>
    <x v="1"/>
    <n v="0"/>
  </r>
  <r>
    <s v="293a5129-9e8f-407d-af8a-b76a77f38ee2"/>
    <s v="2a533191-8bcb-4cf0-8175-7f36ac95ada2"/>
    <x v="0"/>
    <x v="413"/>
    <x v="353"/>
    <x v="3"/>
    <x v="1"/>
    <x v="0"/>
    <d v="2022-09-14T00:00:00"/>
    <n v="10"/>
    <n v="83.4"/>
    <x v="1"/>
    <x v="42"/>
    <x v="1"/>
    <x v="1"/>
    <x v="2"/>
    <n v="6"/>
    <x v="2"/>
    <n v="0"/>
  </r>
  <r>
    <s v="aab4c02d-82ae-4ce7-a490-d05dc2760ed0"/>
    <s v="469f53de-9ed9-4c9b-b2d3-d9a774eb4226"/>
    <x v="0"/>
    <x v="414"/>
    <x v="144"/>
    <x v="11"/>
    <x v="3"/>
    <x v="5"/>
    <d v="2024-05-24T00:00:00"/>
    <n v="25"/>
    <n v="2277.25"/>
    <x v="5"/>
    <x v="10"/>
    <x v="1"/>
    <x v="1"/>
    <x v="3"/>
    <n v="1"/>
    <x v="3"/>
    <n v="0"/>
  </r>
  <r>
    <s v="5471e5cb-2551-431f-ae17-39eb65a5f91c"/>
    <s v="9a913479-3556-443f-857d-bd721315a52c"/>
    <x v="2"/>
    <x v="415"/>
    <x v="354"/>
    <x v="9"/>
    <x v="1"/>
    <x v="3"/>
    <d v="2021-11-23T00:00:00"/>
    <n v="4"/>
    <n v="330.2"/>
    <x v="5"/>
    <x v="48"/>
    <x v="1"/>
    <x v="1"/>
    <x v="0"/>
    <n v="24"/>
    <x v="0"/>
    <n v="0"/>
  </r>
  <r>
    <s v="f5f774f4-acf1-4213-8edc-72dd9b136cec"/>
    <s v="8559b65c-1e35-418e-9352-22e10fefad8e"/>
    <x v="1"/>
    <x v="416"/>
    <x v="268"/>
    <x v="9"/>
    <x v="1"/>
    <x v="0"/>
    <d v="2023-01-19T00:00:00"/>
    <n v="18"/>
    <n v="1035"/>
    <x v="4"/>
    <x v="23"/>
    <x v="1"/>
    <x v="1"/>
    <x v="2"/>
    <n v="6"/>
    <x v="2"/>
    <n v="0"/>
  </r>
  <r>
    <s v="fa2611a6-bd50-427f-9f1f-042029f71794"/>
    <s v="7a6a0aa0-f425-4519-86a5-a908b0e10b2b"/>
    <x v="1"/>
    <x v="417"/>
    <x v="355"/>
    <x v="8"/>
    <x v="2"/>
    <x v="5"/>
    <d v="2024-03-16T00:00:00"/>
    <n v="2"/>
    <n v="171.84"/>
    <x v="1"/>
    <x v="31"/>
    <x v="1"/>
    <x v="2"/>
    <x v="3"/>
    <n v="1"/>
    <x v="3"/>
    <n v="0"/>
  </r>
  <r>
    <s v="f7161383-acc1-4d60-90f3-e8d2f17c6438"/>
    <s v="a79ae4dd-e8d2-4eff-904b-e60644b8eef3"/>
    <x v="0"/>
    <x v="418"/>
    <x v="356"/>
    <x v="3"/>
    <x v="3"/>
    <x v="4"/>
    <d v="2024-06-01T00:00:00"/>
    <n v="19"/>
    <n v="1832.17"/>
    <x v="1"/>
    <x v="1"/>
    <x v="0"/>
    <x v="1"/>
    <x v="3"/>
    <n v="1"/>
    <x v="3"/>
    <n v="0"/>
  </r>
  <r>
    <s v="857060a8-118d-4848-96eb-0be4ab3aedd5"/>
    <s v="cec3b558-79b9-4ad6-bb98-9aa7ee4bd965"/>
    <x v="0"/>
    <x v="9"/>
    <x v="357"/>
    <x v="9"/>
    <x v="0"/>
    <x v="3"/>
    <d v="2023-12-24T00:00:00"/>
    <n v="5"/>
    <n v="77.5"/>
    <x v="4"/>
    <x v="17"/>
    <x v="0"/>
    <x v="2"/>
    <x v="2"/>
    <n v="6"/>
    <x v="2"/>
    <n v="0"/>
  </r>
  <r>
    <s v="ad4d2dd1-d8e2-49c8-96a8-981bd39adc80"/>
    <s v="b810ce3a-65f7-40e1-8d8f-6d0ee3496368"/>
    <x v="2"/>
    <x v="419"/>
    <x v="41"/>
    <x v="4"/>
    <x v="3"/>
    <x v="6"/>
    <d v="2022-12-26T00:00:00"/>
    <n v="4"/>
    <n v="259.72000000000003"/>
    <x v="3"/>
    <x v="33"/>
    <x v="1"/>
    <x v="1"/>
    <x v="3"/>
    <n v="1"/>
    <x v="3"/>
    <n v="0"/>
  </r>
  <r>
    <s v="925a7a60-3727-4489-8e8f-8a286f380811"/>
    <s v="744905d7-07c8-4d87-bafb-089e39f05c45"/>
    <x v="0"/>
    <x v="420"/>
    <x v="358"/>
    <x v="7"/>
    <x v="3"/>
    <x v="2"/>
    <d v="2024-01-09T00:00:00"/>
    <n v="15"/>
    <n v="1497.15"/>
    <x v="1"/>
    <x v="40"/>
    <x v="2"/>
    <x v="1"/>
    <x v="0"/>
    <n v="24"/>
    <x v="0"/>
    <n v="0"/>
  </r>
  <r>
    <s v="5cbb65f2-9cb0-420e-9757-9401d07e829c"/>
    <s v="9e8eb299-34a4-411f-831a-5346825cd598"/>
    <x v="1"/>
    <x v="421"/>
    <x v="289"/>
    <x v="2"/>
    <x v="3"/>
    <x v="3"/>
    <d v="2022-09-26T00:00:00"/>
    <n v="6"/>
    <n v="593.09999999999991"/>
    <x v="2"/>
    <x v="35"/>
    <x v="2"/>
    <x v="0"/>
    <x v="1"/>
    <n v="12"/>
    <x v="1"/>
    <n v="0"/>
  </r>
  <r>
    <s v="dc22227c-2d2d-4e76-8a40-84fcaee86ff2"/>
    <s v="19321c5d-e980-4766-a18c-c242eabf89d5"/>
    <x v="2"/>
    <x v="422"/>
    <x v="359"/>
    <x v="1"/>
    <x v="1"/>
    <x v="5"/>
    <d v="2023-12-07T00:00:00"/>
    <n v="24"/>
    <n v="1495.68"/>
    <x v="0"/>
    <x v="32"/>
    <x v="2"/>
    <x v="1"/>
    <x v="2"/>
    <n v="6"/>
    <x v="2"/>
    <n v="0"/>
  </r>
  <r>
    <s v="7ca5a92e-d56d-4782-9113-92308df95f8a"/>
    <s v="8995dfa1-c7b9-4575-907a-d448c289b511"/>
    <x v="1"/>
    <x v="423"/>
    <x v="360"/>
    <x v="2"/>
    <x v="3"/>
    <x v="2"/>
    <d v="2024-05-16T00:00:00"/>
    <n v="26"/>
    <n v="1570.3999999999999"/>
    <x v="2"/>
    <x v="31"/>
    <x v="1"/>
    <x v="0"/>
    <x v="3"/>
    <n v="1"/>
    <x v="3"/>
    <n v="0"/>
  </r>
  <r>
    <s v="7f8d9057-9cd7-4639-bc29-db620a9262ce"/>
    <s v="4845dfe6-6a80-4a01-9252-0a3b96e9b236"/>
    <x v="0"/>
    <x v="424"/>
    <x v="355"/>
    <x v="8"/>
    <x v="2"/>
    <x v="5"/>
    <d v="2024-05-24T00:00:00"/>
    <n v="5"/>
    <n v="26"/>
    <x v="2"/>
    <x v="4"/>
    <x v="2"/>
    <x v="1"/>
    <x v="3"/>
    <n v="1"/>
    <x v="3"/>
    <n v="0"/>
  </r>
  <r>
    <s v="3b9ebea2-51d9-40f0-9575-f1a92bcb706d"/>
    <s v="528b4a8d-e6a9-43a8-a0bb-040273058537"/>
    <x v="0"/>
    <x v="425"/>
    <x v="72"/>
    <x v="8"/>
    <x v="2"/>
    <x v="1"/>
    <d v="2024-02-18T00:00:00"/>
    <n v="1"/>
    <n v="23.9"/>
    <x v="2"/>
    <x v="47"/>
    <x v="0"/>
    <x v="2"/>
    <x v="2"/>
    <n v="6"/>
    <x v="2"/>
    <n v="0"/>
  </r>
  <r>
    <s v="96120620-4567-4d9c-92fc-3a44a274f207"/>
    <s v="007821bf-9c90-4286-83d3-cb17f3256c9d"/>
    <x v="1"/>
    <x v="426"/>
    <x v="52"/>
    <x v="1"/>
    <x v="1"/>
    <x v="0"/>
    <d v="2022-05-05T00:00:00"/>
    <n v="5"/>
    <n v="479.15"/>
    <x v="1"/>
    <x v="18"/>
    <x v="2"/>
    <x v="0"/>
    <x v="2"/>
    <n v="6"/>
    <x v="2"/>
    <n v="0"/>
  </r>
  <r>
    <s v="fbf748af-a4f6-4e9e-befb-adeca61ba24d"/>
    <s v="056cb76e-bc04-4468-b5f1-46c3c8b20907"/>
    <x v="0"/>
    <x v="427"/>
    <x v="242"/>
    <x v="5"/>
    <x v="3"/>
    <x v="0"/>
    <d v="2023-12-24T00:00:00"/>
    <n v="19"/>
    <n v="691.41"/>
    <x v="4"/>
    <x v="51"/>
    <x v="2"/>
    <x v="1"/>
    <x v="1"/>
    <n v="12"/>
    <x v="1"/>
    <n v="0"/>
  </r>
  <r>
    <s v="21bce7ac-9d14-412e-8c26-76fdfc956497"/>
    <s v="7b275152-a9bc-4f8b-bc52-1c5d92cd27da"/>
    <x v="0"/>
    <x v="428"/>
    <x v="361"/>
    <x v="1"/>
    <x v="0"/>
    <x v="2"/>
    <d v="2024-02-18T00:00:00"/>
    <n v="2"/>
    <n v="131.30000000000001"/>
    <x v="3"/>
    <x v="33"/>
    <x v="2"/>
    <x v="2"/>
    <x v="3"/>
    <n v="1"/>
    <x v="3"/>
    <n v="0"/>
  </r>
  <r>
    <s v="72cc45f4-033f-4332-bce9-5709cc236475"/>
    <s v="64b51f57-0d96-4e26-8342-81541b080b7b"/>
    <x v="0"/>
    <x v="429"/>
    <x v="362"/>
    <x v="6"/>
    <x v="1"/>
    <x v="1"/>
    <d v="2022-04-22T00:00:00"/>
    <n v="9"/>
    <n v="855.36"/>
    <x v="3"/>
    <x v="38"/>
    <x v="0"/>
    <x v="0"/>
    <x v="3"/>
    <n v="1"/>
    <x v="3"/>
    <n v="0"/>
  </r>
  <r>
    <s v="3c45073d-0f5b-40fd-bf68-cea87ec3d203"/>
    <s v="56bbea52-0eae-47c1-9c3c-4f84c9dba9da"/>
    <x v="1"/>
    <x v="430"/>
    <x v="363"/>
    <x v="7"/>
    <x v="0"/>
    <x v="2"/>
    <d v="2024-02-07T00:00:00"/>
    <n v="4"/>
    <n v="145.28"/>
    <x v="0"/>
    <x v="51"/>
    <x v="0"/>
    <x v="0"/>
    <x v="3"/>
    <n v="1"/>
    <x v="3"/>
    <n v="0"/>
  </r>
  <r>
    <s v="e01c024d-fc9f-4e2d-9b5d-49cff75314be"/>
    <s v="0ed98585-f44f-4865-94e6-39ef74c01ec3"/>
    <x v="1"/>
    <x v="431"/>
    <x v="185"/>
    <x v="6"/>
    <x v="3"/>
    <x v="6"/>
    <d v="2023-08-09T00:00:00"/>
    <n v="13"/>
    <n v="1042.8599999999999"/>
    <x v="2"/>
    <x v="3"/>
    <x v="2"/>
    <x v="2"/>
    <x v="2"/>
    <n v="6"/>
    <x v="2"/>
    <n v="0"/>
  </r>
  <r>
    <s v="acf79ff5-231e-4163-b144-51bc50e3ed6a"/>
    <s v="dcd4bbd5-1712-4487-aced-d01a3dc57af9"/>
    <x v="1"/>
    <x v="432"/>
    <x v="364"/>
    <x v="5"/>
    <x v="0"/>
    <x v="0"/>
    <d v="2023-06-22T00:00:00"/>
    <n v="1"/>
    <n v="15.28"/>
    <x v="2"/>
    <x v="13"/>
    <x v="0"/>
    <x v="2"/>
    <x v="0"/>
    <n v="24"/>
    <x v="0"/>
    <n v="0"/>
  </r>
  <r>
    <s v="7a6b72a2-4e05-498c-a80f-3605445c455a"/>
    <s v="31527d8e-7737-4dde-b13b-1d5e44224477"/>
    <x v="1"/>
    <x v="433"/>
    <x v="365"/>
    <x v="4"/>
    <x v="0"/>
    <x v="5"/>
    <d v="2023-12-31T00:00:00"/>
    <n v="4"/>
    <n v="169.08"/>
    <x v="5"/>
    <x v="12"/>
    <x v="1"/>
    <x v="1"/>
    <x v="1"/>
    <n v="12"/>
    <x v="1"/>
    <n v="0"/>
  </r>
  <r>
    <s v="7dc83d4d-b264-455f-bc67-9973b098c4df"/>
    <s v="a2613584-be5b-42ac-a0b4-bd01396edc9a"/>
    <x v="1"/>
    <x v="434"/>
    <x v="142"/>
    <x v="4"/>
    <x v="3"/>
    <x v="4"/>
    <d v="2023-03-24T00:00:00"/>
    <n v="7"/>
    <n v="182.14"/>
    <x v="4"/>
    <x v="12"/>
    <x v="0"/>
    <x v="0"/>
    <x v="0"/>
    <n v="24"/>
    <x v="0"/>
    <n v="0"/>
  </r>
  <r>
    <s v="ae856e10-8aa8-4886-b3a6-fbdf7b9a7a9c"/>
    <s v="46a206a9-4695-408a-8344-4dadb0bc7517"/>
    <x v="1"/>
    <x v="435"/>
    <x v="366"/>
    <x v="5"/>
    <x v="1"/>
    <x v="1"/>
    <d v="2023-03-04T00:00:00"/>
    <n v="21"/>
    <n v="1468.95"/>
    <x v="5"/>
    <x v="27"/>
    <x v="0"/>
    <x v="0"/>
    <x v="3"/>
    <n v="1"/>
    <x v="3"/>
    <n v="0"/>
  </r>
  <r>
    <s v="3d148e03-85d3-4006-b439-35a09fbd8caf"/>
    <s v="aecdf1ee-32ef-41d8-aed8-c57cdd879899"/>
    <x v="2"/>
    <x v="106"/>
    <x v="367"/>
    <x v="1"/>
    <x v="0"/>
    <x v="0"/>
    <d v="2024-04-07T00:00:00"/>
    <n v="4"/>
    <n v="58.92"/>
    <x v="5"/>
    <x v="0"/>
    <x v="2"/>
    <x v="0"/>
    <x v="2"/>
    <n v="6"/>
    <x v="2"/>
    <n v="0"/>
  </r>
  <r>
    <s v="0d75ff34-09d1-438c-ad2b-b22864d476a8"/>
    <s v="62451ee5-6ad2-47c5-8dec-0c845d82e5db"/>
    <x v="0"/>
    <x v="436"/>
    <x v="368"/>
    <x v="5"/>
    <x v="0"/>
    <x v="1"/>
    <d v="2024-02-03T00:00:00"/>
    <n v="8"/>
    <n v="341.76"/>
    <x v="0"/>
    <x v="6"/>
    <x v="0"/>
    <x v="0"/>
    <x v="3"/>
    <n v="1"/>
    <x v="3"/>
    <n v="0"/>
  </r>
  <r>
    <s v="975286b5-a870-48b4-881a-1fd5d83456b9"/>
    <s v="c43ad3d0-edcf-406e-85dd-0beba0d58e6f"/>
    <x v="2"/>
    <x v="437"/>
    <x v="369"/>
    <x v="6"/>
    <x v="0"/>
    <x v="1"/>
    <d v="2023-07-29T00:00:00"/>
    <n v="1"/>
    <n v="31.28"/>
    <x v="1"/>
    <x v="38"/>
    <x v="0"/>
    <x v="0"/>
    <x v="1"/>
    <n v="12"/>
    <x v="1"/>
    <n v="0"/>
  </r>
  <r>
    <s v="384a0268-4211-4c03-a9ad-fb91d234e3d9"/>
    <s v="d98e74ce-3db9-4257-a76f-9b88ed80bb9c"/>
    <x v="0"/>
    <x v="283"/>
    <x v="119"/>
    <x v="10"/>
    <x v="2"/>
    <x v="4"/>
    <d v="2024-02-21T00:00:00"/>
    <n v="1"/>
    <n v="53.1"/>
    <x v="2"/>
    <x v="48"/>
    <x v="0"/>
    <x v="0"/>
    <x v="3"/>
    <n v="1"/>
    <x v="3"/>
    <n v="0"/>
  </r>
  <r>
    <s v="69e92c23-0e71-474e-8375-efe65fbf08b7"/>
    <s v="e1a6e94d-7dfc-4e77-9801-f74aac8784bf"/>
    <x v="1"/>
    <x v="438"/>
    <x v="370"/>
    <x v="8"/>
    <x v="3"/>
    <x v="6"/>
    <d v="2024-06-05T00:00:00"/>
    <n v="29"/>
    <n v="1108.96"/>
    <x v="2"/>
    <x v="34"/>
    <x v="2"/>
    <x v="2"/>
    <x v="1"/>
    <n v="12"/>
    <x v="1"/>
    <n v="0"/>
  </r>
  <r>
    <s v="01cdbc3e-19d9-4d81-8ba0-bae9c349e860"/>
    <s v="3d19eb39-59f7-4e70-b1f9-7c76c78d3dba"/>
    <x v="0"/>
    <x v="439"/>
    <x v="371"/>
    <x v="10"/>
    <x v="2"/>
    <x v="6"/>
    <d v="2024-05-25T00:00:00"/>
    <n v="4"/>
    <n v="288.44"/>
    <x v="3"/>
    <x v="36"/>
    <x v="1"/>
    <x v="0"/>
    <x v="2"/>
    <n v="6"/>
    <x v="2"/>
    <n v="0"/>
  </r>
  <r>
    <s v="997d6481-1a7d-4b99-a3f3-a7bf04de7f1e"/>
    <s v="f086c494-16b1-4d4c-9fde-b507e7e54292"/>
    <x v="2"/>
    <x v="440"/>
    <x v="328"/>
    <x v="5"/>
    <x v="0"/>
    <x v="1"/>
    <d v="2023-12-23T00:00:00"/>
    <n v="7"/>
    <n v="51.31"/>
    <x v="0"/>
    <x v="21"/>
    <x v="1"/>
    <x v="2"/>
    <x v="2"/>
    <n v="6"/>
    <x v="2"/>
    <n v="0"/>
  </r>
  <r>
    <s v="3781f281-e9c7-43a5-9022-58269f834e27"/>
    <s v="786e12b1-34f2-40aa-b901-28dc354f9cd9"/>
    <x v="0"/>
    <x v="441"/>
    <x v="298"/>
    <x v="6"/>
    <x v="3"/>
    <x v="2"/>
    <d v="2023-09-02T00:00:00"/>
    <n v="14"/>
    <n v="913.22"/>
    <x v="5"/>
    <x v="23"/>
    <x v="2"/>
    <x v="1"/>
    <x v="0"/>
    <n v="24"/>
    <x v="0"/>
    <n v="0"/>
  </r>
  <r>
    <s v="1045fa1e-daf0-4e1d-ad52-d0421f832256"/>
    <s v="08442476-d97b-4195-9202-93dffd709ac9"/>
    <x v="0"/>
    <x v="442"/>
    <x v="372"/>
    <x v="1"/>
    <x v="3"/>
    <x v="1"/>
    <d v="2022-12-23T00:00:00"/>
    <n v="1"/>
    <n v="26.9"/>
    <x v="2"/>
    <x v="10"/>
    <x v="1"/>
    <x v="2"/>
    <x v="2"/>
    <n v="6"/>
    <x v="2"/>
    <n v="0"/>
  </r>
  <r>
    <s v="0d7b462a-4e7c-472e-abe0-db1fc62ffe1e"/>
    <s v="4b2aade2-9d0b-4a4f-91e1-7a84a600bdfc"/>
    <x v="2"/>
    <x v="443"/>
    <x v="373"/>
    <x v="9"/>
    <x v="3"/>
    <x v="2"/>
    <d v="2022-08-28T00:00:00"/>
    <n v="1"/>
    <n v="81.02"/>
    <x v="4"/>
    <x v="5"/>
    <x v="2"/>
    <x v="1"/>
    <x v="1"/>
    <n v="12"/>
    <x v="1"/>
    <n v="0"/>
  </r>
  <r>
    <s v="21015499-7aae-479d-9436-23f40d10d1cc"/>
    <s v="22b6a722-ec5a-47bc-800b-855050586e30"/>
    <x v="1"/>
    <x v="444"/>
    <x v="349"/>
    <x v="0"/>
    <x v="2"/>
    <x v="6"/>
    <d v="2024-05-03T00:00:00"/>
    <n v="2"/>
    <n v="191.56"/>
    <x v="5"/>
    <x v="11"/>
    <x v="0"/>
    <x v="2"/>
    <x v="3"/>
    <n v="1"/>
    <x v="3"/>
    <n v="0"/>
  </r>
  <r>
    <s v="a35819f5-2719-4cfc-9f1a-26a2e3d6065e"/>
    <s v="a27efd59-33c7-4037-8c55-f56b1d3c0f82"/>
    <x v="1"/>
    <x v="275"/>
    <x v="374"/>
    <x v="7"/>
    <x v="3"/>
    <x v="3"/>
    <d v="2023-10-26T00:00:00"/>
    <n v="13"/>
    <n v="455.91"/>
    <x v="1"/>
    <x v="21"/>
    <x v="2"/>
    <x v="2"/>
    <x v="1"/>
    <n v="12"/>
    <x v="1"/>
    <n v="0"/>
  </r>
  <r>
    <s v="19d266ae-2389-4ceb-9d07-33987f6769ff"/>
    <s v="b310ef5b-2314-403a-b5d1-f5fd2b4dc08f"/>
    <x v="1"/>
    <x v="235"/>
    <x v="88"/>
    <x v="5"/>
    <x v="3"/>
    <x v="3"/>
    <d v="2023-08-11T00:00:00"/>
    <n v="14"/>
    <n v="1169.7"/>
    <x v="1"/>
    <x v="1"/>
    <x v="1"/>
    <x v="0"/>
    <x v="2"/>
    <n v="6"/>
    <x v="2"/>
    <n v="0"/>
  </r>
  <r>
    <s v="a265a161-aee8-4f24-b143-a3b7b3319500"/>
    <s v="d2653aca-7e09-4940-bcf7-beb0328f50f4"/>
    <x v="0"/>
    <x v="445"/>
    <x v="375"/>
    <x v="11"/>
    <x v="3"/>
    <x v="6"/>
    <d v="2023-08-31T00:00:00"/>
    <n v="16"/>
    <n v="238.08"/>
    <x v="2"/>
    <x v="44"/>
    <x v="2"/>
    <x v="0"/>
    <x v="0"/>
    <n v="24"/>
    <x v="0"/>
    <n v="0"/>
  </r>
  <r>
    <s v="ef005cb4-285b-4728-be10-32f1c3aed96c"/>
    <s v="4aba40ca-78c8-468d-90b0-c27ef0adc20c"/>
    <x v="0"/>
    <x v="441"/>
    <x v="376"/>
    <x v="1"/>
    <x v="0"/>
    <x v="2"/>
    <d v="2024-03-10T00:00:00"/>
    <n v="3"/>
    <n v="195.69"/>
    <x v="3"/>
    <x v="46"/>
    <x v="0"/>
    <x v="1"/>
    <x v="3"/>
    <n v="1"/>
    <x v="3"/>
    <n v="0"/>
  </r>
  <r>
    <s v="72d643f5-fa17-46a2-b95d-7a46520d8c6d"/>
    <s v="b769851f-56b0-46dc-abea-32192bddcf50"/>
    <x v="2"/>
    <x v="47"/>
    <x v="377"/>
    <x v="10"/>
    <x v="0"/>
    <x v="2"/>
    <d v="2023-12-04T00:00:00"/>
    <n v="10"/>
    <n v="763.5"/>
    <x v="2"/>
    <x v="16"/>
    <x v="0"/>
    <x v="1"/>
    <x v="2"/>
    <n v="6"/>
    <x v="2"/>
    <n v="0"/>
  </r>
  <r>
    <s v="74db2ba9-cc9a-4467-9aec-ddf9bb66100e"/>
    <s v="91dd3afe-f9cb-47c3-a967-a5235b5e63af"/>
    <x v="0"/>
    <x v="446"/>
    <x v="378"/>
    <x v="4"/>
    <x v="1"/>
    <x v="0"/>
    <d v="2023-10-07T00:00:00"/>
    <n v="25"/>
    <n v="495.5"/>
    <x v="1"/>
    <x v="24"/>
    <x v="1"/>
    <x v="2"/>
    <x v="0"/>
    <n v="24"/>
    <x v="0"/>
    <n v="0"/>
  </r>
  <r>
    <s v="acb3197b-01a7-462c-8886-b51f0e78075d"/>
    <s v="7b49add8-9932-41dd-b8d8-e0e3b60731fc"/>
    <x v="0"/>
    <x v="447"/>
    <x v="379"/>
    <x v="5"/>
    <x v="3"/>
    <x v="5"/>
    <d v="2022-06-10T00:00:00"/>
    <n v="1"/>
    <n v="45.47"/>
    <x v="4"/>
    <x v="5"/>
    <x v="1"/>
    <x v="1"/>
    <x v="0"/>
    <n v="24"/>
    <x v="0"/>
    <n v="0"/>
  </r>
  <r>
    <s v="b11750cc-76cd-4f9d-b3da-fd09e5af29a3"/>
    <s v="1588bcc0-1635-4819-be04-b11b1d53ce0d"/>
    <x v="2"/>
    <x v="448"/>
    <x v="73"/>
    <x v="8"/>
    <x v="3"/>
    <x v="5"/>
    <d v="2023-06-17T00:00:00"/>
    <n v="17"/>
    <n v="1526.77"/>
    <x v="4"/>
    <x v="19"/>
    <x v="1"/>
    <x v="0"/>
    <x v="2"/>
    <n v="6"/>
    <x v="2"/>
    <n v="0"/>
  </r>
  <r>
    <s v="87be2e39-9ed2-4970-8097-b6c75f51a3cd"/>
    <s v="2acfbf2d-b25c-4713-91f7-38e81bf7ff0a"/>
    <x v="1"/>
    <x v="449"/>
    <x v="225"/>
    <x v="4"/>
    <x v="0"/>
    <x v="0"/>
    <d v="2024-03-12T00:00:00"/>
    <n v="7"/>
    <n v="103.88"/>
    <x v="4"/>
    <x v="2"/>
    <x v="0"/>
    <x v="2"/>
    <x v="1"/>
    <n v="12"/>
    <x v="1"/>
    <n v="0"/>
  </r>
  <r>
    <s v="8d5c571d-afc9-48b7-a776-80a006c0de44"/>
    <s v="6bb0d571-17a4-44c7-84d7-920108cf790b"/>
    <x v="0"/>
    <x v="450"/>
    <x v="30"/>
    <x v="7"/>
    <x v="1"/>
    <x v="4"/>
    <d v="2023-02-15T00:00:00"/>
    <n v="16"/>
    <n v="742.08"/>
    <x v="5"/>
    <x v="10"/>
    <x v="0"/>
    <x v="1"/>
    <x v="3"/>
    <n v="1"/>
    <x v="3"/>
    <n v="0"/>
  </r>
  <r>
    <s v="9185ac35-2b68-4768-8f3f-486bc887fd49"/>
    <s v="ad4f4164-354d-4c2e-8fa6-babfd88af28c"/>
    <x v="2"/>
    <x v="451"/>
    <x v="380"/>
    <x v="8"/>
    <x v="0"/>
    <x v="6"/>
    <d v="2024-05-09T00:00:00"/>
    <n v="16"/>
    <n v="1294.08"/>
    <x v="1"/>
    <x v="31"/>
    <x v="2"/>
    <x v="1"/>
    <x v="2"/>
    <n v="6"/>
    <x v="2"/>
    <n v="0"/>
  </r>
  <r>
    <s v="55e7331f-c1be-4081-93b7-149fe1855b2a"/>
    <s v="edccb204-4917-4850-962e-7afd475d9b20"/>
    <x v="2"/>
    <x v="452"/>
    <x v="381"/>
    <x v="5"/>
    <x v="0"/>
    <x v="1"/>
    <d v="2023-12-16T00:00:00"/>
    <n v="6"/>
    <n v="556.38"/>
    <x v="1"/>
    <x v="0"/>
    <x v="2"/>
    <x v="0"/>
    <x v="3"/>
    <n v="1"/>
    <x v="3"/>
    <n v="0"/>
  </r>
  <r>
    <s v="636b1b6b-881e-404f-8c5c-856860bb7cb9"/>
    <s v="f64c6b8e-4646-4de2-a0aa-e9ce69be949e"/>
    <x v="0"/>
    <x v="453"/>
    <x v="382"/>
    <x v="2"/>
    <x v="0"/>
    <x v="5"/>
    <d v="2023-08-27T00:00:00"/>
    <n v="5"/>
    <n v="167.10000000000002"/>
    <x v="2"/>
    <x v="48"/>
    <x v="2"/>
    <x v="1"/>
    <x v="1"/>
    <n v="12"/>
    <x v="1"/>
    <n v="0"/>
  </r>
  <r>
    <s v="1169ca58-376f-46f9-a977-bf4d2c04b49d"/>
    <s v="ce80c0a6-ed2e-40c6-8ca8-9a9e9697bfc6"/>
    <x v="2"/>
    <x v="454"/>
    <x v="283"/>
    <x v="11"/>
    <x v="3"/>
    <x v="1"/>
    <d v="2022-05-11T00:00:00"/>
    <n v="1"/>
    <n v="41.9"/>
    <x v="0"/>
    <x v="44"/>
    <x v="0"/>
    <x v="2"/>
    <x v="1"/>
    <n v="12"/>
    <x v="1"/>
    <n v="0"/>
  </r>
  <r>
    <s v="3e2648d4-3c6f-4313-9c24-061dc5d20a07"/>
    <s v="52404fad-fa73-4255-a90d-5a58a655acb1"/>
    <x v="1"/>
    <x v="455"/>
    <x v="383"/>
    <x v="11"/>
    <x v="3"/>
    <x v="0"/>
    <d v="2022-10-01T00:00:00"/>
    <n v="5"/>
    <n v="256"/>
    <x v="3"/>
    <x v="18"/>
    <x v="2"/>
    <x v="0"/>
    <x v="1"/>
    <n v="12"/>
    <x v="1"/>
    <n v="0"/>
  </r>
  <r>
    <s v="0e787c63-6927-46a9-a0e2-e10d9ea4dc34"/>
    <s v="1a07d892-f2c7-4d82-a6c2-769eed472a66"/>
    <x v="0"/>
    <x v="456"/>
    <x v="384"/>
    <x v="7"/>
    <x v="0"/>
    <x v="1"/>
    <d v="2024-06-14T00:00:00"/>
    <n v="8"/>
    <n v="486.96"/>
    <x v="1"/>
    <x v="0"/>
    <x v="1"/>
    <x v="0"/>
    <x v="2"/>
    <n v="6"/>
    <x v="2"/>
    <n v="0"/>
  </r>
  <r>
    <s v="f2087eed-3156-4ab8-b721-4ed8e8a14405"/>
    <s v="b4ed3ea6-a9b6-41df-b182-a78059c6b78b"/>
    <x v="2"/>
    <x v="457"/>
    <x v="385"/>
    <x v="11"/>
    <x v="0"/>
    <x v="1"/>
    <d v="2024-03-24T00:00:00"/>
    <n v="11"/>
    <n v="783.75"/>
    <x v="0"/>
    <x v="25"/>
    <x v="0"/>
    <x v="1"/>
    <x v="0"/>
    <n v="24"/>
    <x v="0"/>
    <n v="0"/>
  </r>
  <r>
    <s v="8b1a4395-1da7-446d-965c-befdddc857b0"/>
    <s v="9bcef384-2860-46da-81f1-7e7405cd2f24"/>
    <x v="1"/>
    <x v="458"/>
    <x v="386"/>
    <x v="0"/>
    <x v="2"/>
    <x v="2"/>
    <d v="2024-03-31T00:00:00"/>
    <n v="1"/>
    <n v="42.01"/>
    <x v="4"/>
    <x v="50"/>
    <x v="2"/>
    <x v="2"/>
    <x v="0"/>
    <n v="24"/>
    <x v="0"/>
    <n v="0"/>
  </r>
  <r>
    <s v="fdcf69d8-d8c9-4609-9487-ba89a2b7eba4"/>
    <s v="374b2e59-376e-4f4b-9a0e-395521d22e92"/>
    <x v="1"/>
    <x v="459"/>
    <x v="250"/>
    <x v="1"/>
    <x v="0"/>
    <x v="1"/>
    <d v="2024-05-09T00:00:00"/>
    <n v="5"/>
    <n v="150.29999999999998"/>
    <x v="3"/>
    <x v="11"/>
    <x v="1"/>
    <x v="1"/>
    <x v="0"/>
    <n v="24"/>
    <x v="0"/>
    <n v="0"/>
  </r>
  <r>
    <s v="6194af74-323b-4a57-929d-a0c1b410934f"/>
    <s v="7a1aa0fb-8741-48f1-8619-34ff361be31c"/>
    <x v="0"/>
    <x v="460"/>
    <x v="221"/>
    <x v="7"/>
    <x v="1"/>
    <x v="3"/>
    <d v="2023-11-12T00:00:00"/>
    <n v="25"/>
    <n v="2368.5"/>
    <x v="0"/>
    <x v="20"/>
    <x v="0"/>
    <x v="0"/>
    <x v="1"/>
    <n v="12"/>
    <x v="1"/>
    <n v="0"/>
  </r>
  <r>
    <s v="124361e6-092a-4c18-9a9b-51bca8b3cd90"/>
    <s v="82ccef2f-36f3-40c6-b0f4-25bee061edd0"/>
    <x v="1"/>
    <x v="461"/>
    <x v="387"/>
    <x v="1"/>
    <x v="3"/>
    <x v="6"/>
    <d v="2024-03-10T00:00:00"/>
    <n v="15"/>
    <n v="1393.6499999999999"/>
    <x v="2"/>
    <x v="42"/>
    <x v="0"/>
    <x v="0"/>
    <x v="2"/>
    <n v="6"/>
    <x v="2"/>
    <n v="0"/>
  </r>
  <r>
    <s v="2a6cbf1e-476b-4b8e-99a3-8af1bc000cab"/>
    <s v="a814fcc5-5376-46d6-b230-a28c05d03e69"/>
    <x v="2"/>
    <x v="462"/>
    <x v="388"/>
    <x v="1"/>
    <x v="1"/>
    <x v="0"/>
    <d v="2023-05-16T00:00:00"/>
    <n v="18"/>
    <n v="1226.52"/>
    <x v="2"/>
    <x v="48"/>
    <x v="0"/>
    <x v="0"/>
    <x v="0"/>
    <n v="24"/>
    <x v="0"/>
    <n v="0"/>
  </r>
  <r>
    <s v="54c417fb-0577-4851-bdae-31f294aac559"/>
    <s v="f4b365c9-6308-45b5-a0b0-7c5fcc485b02"/>
    <x v="0"/>
    <x v="463"/>
    <x v="389"/>
    <x v="8"/>
    <x v="0"/>
    <x v="0"/>
    <d v="2023-11-17T00:00:00"/>
    <n v="11"/>
    <n v="497.09"/>
    <x v="2"/>
    <x v="36"/>
    <x v="1"/>
    <x v="1"/>
    <x v="3"/>
    <n v="1"/>
    <x v="3"/>
    <n v="0"/>
  </r>
  <r>
    <s v="b92a2772-9029-4d88-92c2-98a2ad96deab"/>
    <s v="9339dc47-8ea6-4e30-8989-74f483668797"/>
    <x v="1"/>
    <x v="425"/>
    <x v="390"/>
    <x v="10"/>
    <x v="2"/>
    <x v="6"/>
    <d v="2024-06-08T00:00:00"/>
    <n v="4"/>
    <n v="95.6"/>
    <x v="0"/>
    <x v="49"/>
    <x v="1"/>
    <x v="2"/>
    <x v="3"/>
    <n v="1"/>
    <x v="3"/>
    <n v="0"/>
  </r>
  <r>
    <s v="7e24482a-3c9f-4a28-9371-22855f546bf2"/>
    <s v="636e9cea-30ce-484e-8ca5-15e753d473de"/>
    <x v="1"/>
    <x v="464"/>
    <x v="129"/>
    <x v="10"/>
    <x v="0"/>
    <x v="5"/>
    <d v="2023-07-10T00:00:00"/>
    <n v="5"/>
    <n v="199.54999999999998"/>
    <x v="4"/>
    <x v="43"/>
    <x v="1"/>
    <x v="2"/>
    <x v="0"/>
    <n v="24"/>
    <x v="0"/>
    <n v="0"/>
  </r>
  <r>
    <s v="32cda208-9fd8-400c-bb52-2a1d9ee433d9"/>
    <s v="c7977b27-a82e-4187-9639-424bbcf150d7"/>
    <x v="0"/>
    <x v="465"/>
    <x v="391"/>
    <x v="5"/>
    <x v="0"/>
    <x v="2"/>
    <d v="2023-12-26T00:00:00"/>
    <n v="7"/>
    <n v="505.05000000000007"/>
    <x v="2"/>
    <x v="44"/>
    <x v="1"/>
    <x v="1"/>
    <x v="1"/>
    <n v="12"/>
    <x v="1"/>
    <n v="0"/>
  </r>
  <r>
    <s v="e579f162-8c75-42d8-a0bc-719229a1552d"/>
    <s v="6bac7dbb-9a41-41f7-adc1-5ceea6dbeb4b"/>
    <x v="1"/>
    <x v="466"/>
    <x v="392"/>
    <x v="2"/>
    <x v="3"/>
    <x v="4"/>
    <d v="2023-06-17T00:00:00"/>
    <n v="14"/>
    <n v="933.93999999999994"/>
    <x v="0"/>
    <x v="21"/>
    <x v="1"/>
    <x v="1"/>
    <x v="1"/>
    <n v="12"/>
    <x v="1"/>
    <n v="0"/>
  </r>
  <r>
    <s v="6c845f4a-d9a7-461c-9c29-e286ed513df8"/>
    <s v="6c1f96dd-ed1b-49f1-bc73-cd16c40791e8"/>
    <x v="2"/>
    <x v="467"/>
    <x v="393"/>
    <x v="7"/>
    <x v="1"/>
    <x v="4"/>
    <d v="2021-10-18T00:00:00"/>
    <n v="1"/>
    <n v="93.16"/>
    <x v="3"/>
    <x v="24"/>
    <x v="1"/>
    <x v="1"/>
    <x v="0"/>
    <n v="24"/>
    <x v="0"/>
    <n v="0"/>
  </r>
  <r>
    <s v="49941763-c922-490c-ba5f-6f6afcafbbb1"/>
    <s v="a1918701-571d-4187-9ef0-077abee301e7"/>
    <x v="0"/>
    <x v="468"/>
    <x v="365"/>
    <x v="4"/>
    <x v="0"/>
    <x v="5"/>
    <d v="2024-05-30T00:00:00"/>
    <n v="9"/>
    <n v="786.15"/>
    <x v="1"/>
    <x v="23"/>
    <x v="2"/>
    <x v="1"/>
    <x v="2"/>
    <n v="6"/>
    <x v="2"/>
    <n v="0"/>
  </r>
  <r>
    <s v="03c73692-fd46-4135-b07b-22d13d96165a"/>
    <s v="17fd7e4f-a5cd-4513-a0f6-e45d909a3e27"/>
    <x v="1"/>
    <x v="469"/>
    <x v="394"/>
    <x v="11"/>
    <x v="2"/>
    <x v="2"/>
    <d v="2024-06-17T00:00:00"/>
    <n v="1"/>
    <n v="82.53"/>
    <x v="1"/>
    <x v="13"/>
    <x v="1"/>
    <x v="0"/>
    <x v="3"/>
    <n v="1"/>
    <x v="3"/>
    <n v="0"/>
  </r>
  <r>
    <s v="460ac170-4f96-4d29-b1b6-e37ead87c40f"/>
    <s v="8809686c-be18-43d9-b34e-d0a0806230c1"/>
    <x v="2"/>
    <x v="470"/>
    <x v="120"/>
    <x v="11"/>
    <x v="0"/>
    <x v="4"/>
    <d v="2023-12-25T00:00:00"/>
    <n v="8"/>
    <n v="732.72"/>
    <x v="5"/>
    <x v="24"/>
    <x v="1"/>
    <x v="0"/>
    <x v="3"/>
    <n v="1"/>
    <x v="3"/>
    <n v="0"/>
  </r>
  <r>
    <s v="12fdaa8f-e94e-4ec3-84ef-bb98d0aa4e97"/>
    <s v="3b675452-eaa6-44bc-bb80-b7b2f563f0e2"/>
    <x v="1"/>
    <x v="471"/>
    <x v="395"/>
    <x v="2"/>
    <x v="0"/>
    <x v="4"/>
    <d v="2023-08-26T00:00:00"/>
    <n v="5"/>
    <n v="156.25"/>
    <x v="3"/>
    <x v="12"/>
    <x v="0"/>
    <x v="1"/>
    <x v="1"/>
    <n v="12"/>
    <x v="1"/>
    <n v="0"/>
  </r>
  <r>
    <s v="6aa1cf68-6ff6-4993-94b3-2b1dd31ec14b"/>
    <s v="1a777d7e-f8cc-4647-9e94-5831122526a3"/>
    <x v="2"/>
    <x v="472"/>
    <x v="134"/>
    <x v="5"/>
    <x v="1"/>
    <x v="2"/>
    <d v="2023-12-23T00:00:00"/>
    <n v="30"/>
    <n v="1203"/>
    <x v="5"/>
    <x v="38"/>
    <x v="0"/>
    <x v="0"/>
    <x v="0"/>
    <n v="24"/>
    <x v="0"/>
    <n v="0"/>
  </r>
  <r>
    <s v="d9768b27-73bf-4a37-acdb-d965481d146f"/>
    <s v="64acdf31-5d58-43bf-8a59-d6c2325a2c22"/>
    <x v="2"/>
    <x v="473"/>
    <x v="396"/>
    <x v="0"/>
    <x v="3"/>
    <x v="5"/>
    <d v="2022-07-01T00:00:00"/>
    <n v="4"/>
    <n v="232.96"/>
    <x v="0"/>
    <x v="0"/>
    <x v="1"/>
    <x v="1"/>
    <x v="3"/>
    <n v="1"/>
    <x v="3"/>
    <n v="0"/>
  </r>
  <r>
    <s v="c90a3269-53f0-44b8-aec3-7d4fe7182e1e"/>
    <s v="8c978f2a-d9d7-41a1-86c2-0be4aa739af3"/>
    <x v="1"/>
    <x v="474"/>
    <x v="206"/>
    <x v="7"/>
    <x v="0"/>
    <x v="5"/>
    <d v="2024-05-31T00:00:00"/>
    <n v="8"/>
    <n v="547.84"/>
    <x v="4"/>
    <x v="26"/>
    <x v="0"/>
    <x v="0"/>
    <x v="2"/>
    <n v="6"/>
    <x v="2"/>
    <n v="0"/>
  </r>
  <r>
    <s v="e87be733-daba-4931-b4eb-3d3b2809c3ff"/>
    <s v="38a377cf-37e0-4f0b-a910-ae483cb6bf54"/>
    <x v="2"/>
    <x v="475"/>
    <x v="397"/>
    <x v="10"/>
    <x v="0"/>
    <x v="6"/>
    <d v="2023-07-04T00:00:00"/>
    <n v="5"/>
    <n v="161.20000000000002"/>
    <x v="4"/>
    <x v="49"/>
    <x v="0"/>
    <x v="1"/>
    <x v="3"/>
    <n v="1"/>
    <x v="3"/>
    <n v="0"/>
  </r>
  <r>
    <s v="3490fae8-0465-4dac-8332-7cdd637e9208"/>
    <s v="0b4376fb-d8b9-49b0-a155-17b656c31c03"/>
    <x v="2"/>
    <x v="476"/>
    <x v="398"/>
    <x v="5"/>
    <x v="3"/>
    <x v="6"/>
    <d v="2022-12-31T00:00:00"/>
    <n v="7"/>
    <n v="47.949999999999996"/>
    <x v="4"/>
    <x v="42"/>
    <x v="0"/>
    <x v="2"/>
    <x v="0"/>
    <n v="24"/>
    <x v="0"/>
    <n v="0"/>
  </r>
  <r>
    <s v="651f6507-8fad-4de4-8b96-6789c75ddca8"/>
    <s v="96b2879f-93d2-4b48-ad2c-fd4c8acdc346"/>
    <x v="2"/>
    <x v="477"/>
    <x v="399"/>
    <x v="8"/>
    <x v="0"/>
    <x v="3"/>
    <d v="2023-11-10T00:00:00"/>
    <n v="10"/>
    <n v="429.3"/>
    <x v="3"/>
    <x v="3"/>
    <x v="0"/>
    <x v="2"/>
    <x v="0"/>
    <n v="24"/>
    <x v="0"/>
    <n v="0"/>
  </r>
  <r>
    <s v="311500e6-09c9-4a1b-93f9-d50d65511e95"/>
    <s v="0d2b3251-4a31-4a68-8a24-e1f8b8ead5cd"/>
    <x v="2"/>
    <x v="478"/>
    <x v="234"/>
    <x v="6"/>
    <x v="0"/>
    <x v="5"/>
    <d v="2024-02-24T00:00:00"/>
    <n v="7"/>
    <n v="240.17000000000002"/>
    <x v="4"/>
    <x v="16"/>
    <x v="0"/>
    <x v="1"/>
    <x v="3"/>
    <n v="1"/>
    <x v="3"/>
    <n v="0"/>
  </r>
  <r>
    <s v="f738c820-28bb-40c0-9438-735218a79123"/>
    <s v="cd79a0de-38fe-44f7-ad2e-88e20370ca9e"/>
    <x v="0"/>
    <x v="479"/>
    <x v="400"/>
    <x v="5"/>
    <x v="2"/>
    <x v="1"/>
    <d v="2024-06-15T00:00:00"/>
    <n v="1"/>
    <n v="94.51"/>
    <x v="2"/>
    <x v="7"/>
    <x v="0"/>
    <x v="0"/>
    <x v="1"/>
    <n v="12"/>
    <x v="1"/>
    <n v="0"/>
  </r>
  <r>
    <s v="77cbd699-ceec-4576-b59e-07af1fbf72e6"/>
    <s v="7073b85d-e40b-4e31-8848-83359fd352ec"/>
    <x v="2"/>
    <x v="480"/>
    <x v="401"/>
    <x v="1"/>
    <x v="3"/>
    <x v="1"/>
    <d v="2023-09-24T00:00:00"/>
    <n v="10"/>
    <n v="893.9"/>
    <x v="3"/>
    <x v="49"/>
    <x v="0"/>
    <x v="1"/>
    <x v="3"/>
    <n v="1"/>
    <x v="3"/>
    <n v="0"/>
  </r>
  <r>
    <s v="cdf43054-de42-4bf2-aeab-37511b522ea0"/>
    <s v="25699f72-3245-4c6f-9afe-c0c3b2048195"/>
    <x v="2"/>
    <x v="481"/>
    <x v="402"/>
    <x v="8"/>
    <x v="3"/>
    <x v="4"/>
    <d v="2023-06-01T00:00:00"/>
    <n v="17"/>
    <n v="1474.41"/>
    <x v="3"/>
    <x v="2"/>
    <x v="2"/>
    <x v="2"/>
    <x v="1"/>
    <n v="12"/>
    <x v="1"/>
    <n v="0"/>
  </r>
  <r>
    <s v="4f6c823d-4747-4fe2-925f-a91f7216a341"/>
    <s v="30182d93-de32-40bd-8754-a4a49fe49017"/>
    <x v="2"/>
    <x v="482"/>
    <x v="389"/>
    <x v="8"/>
    <x v="0"/>
    <x v="0"/>
    <d v="2023-04-25T00:00:00"/>
    <n v="4"/>
    <n v="268.12"/>
    <x v="4"/>
    <x v="25"/>
    <x v="1"/>
    <x v="2"/>
    <x v="1"/>
    <n v="12"/>
    <x v="1"/>
    <n v="0"/>
  </r>
  <r>
    <s v="5d6f7026-bc1b-4521-a672-2531555fd6a3"/>
    <s v="472dc9b6-ace2-45d0-bcf5-ad10f58113f4"/>
    <x v="2"/>
    <x v="483"/>
    <x v="403"/>
    <x v="10"/>
    <x v="0"/>
    <x v="3"/>
    <d v="2023-03-05T00:00:00"/>
    <n v="1"/>
    <n v="37.71"/>
    <x v="5"/>
    <x v="17"/>
    <x v="1"/>
    <x v="1"/>
    <x v="3"/>
    <n v="1"/>
    <x v="3"/>
    <n v="0"/>
  </r>
  <r>
    <s v="e73eaa03-de84-4bf1-9553-06b88e884fde"/>
    <s v="6515a026-d127-43bf-b68d-e78405c5c112"/>
    <x v="0"/>
    <x v="484"/>
    <x v="404"/>
    <x v="1"/>
    <x v="0"/>
    <x v="6"/>
    <d v="2024-06-12T00:00:00"/>
    <n v="7"/>
    <n v="399.98"/>
    <x v="3"/>
    <x v="43"/>
    <x v="0"/>
    <x v="1"/>
    <x v="1"/>
    <n v="12"/>
    <x v="1"/>
    <n v="0"/>
  </r>
  <r>
    <s v="c8b5f207-a828-46c1-a724-baffae3ace44"/>
    <s v="4dffe31a-313c-45ab-b47f-15000af0c531"/>
    <x v="1"/>
    <x v="485"/>
    <x v="7"/>
    <x v="2"/>
    <x v="0"/>
    <x v="1"/>
    <d v="2023-12-30T00:00:00"/>
    <n v="9"/>
    <n v="742.05000000000007"/>
    <x v="5"/>
    <x v="23"/>
    <x v="1"/>
    <x v="1"/>
    <x v="2"/>
    <n v="6"/>
    <x v="2"/>
    <n v="0"/>
  </r>
  <r>
    <s v="cdc6af78-0abc-4267-8232-9bc9494a1860"/>
    <s v="e94c4647-108b-4966-a8a4-1b5309e7d4c8"/>
    <x v="0"/>
    <x v="486"/>
    <x v="300"/>
    <x v="5"/>
    <x v="2"/>
    <x v="1"/>
    <d v="2024-06-08T00:00:00"/>
    <n v="1"/>
    <n v="14.37"/>
    <x v="3"/>
    <x v="33"/>
    <x v="0"/>
    <x v="0"/>
    <x v="0"/>
    <n v="24"/>
    <x v="0"/>
    <n v="0"/>
  </r>
  <r>
    <s v="7522729c-042d-428a-83b8-03afeb31da72"/>
    <s v="bfe7da6b-34c1-412a-a491-7959f26479a6"/>
    <x v="2"/>
    <x v="487"/>
    <x v="405"/>
    <x v="11"/>
    <x v="3"/>
    <x v="4"/>
    <d v="2022-06-11T00:00:00"/>
    <n v="1"/>
    <n v="81.099999999999994"/>
    <x v="2"/>
    <x v="2"/>
    <x v="2"/>
    <x v="1"/>
    <x v="0"/>
    <n v="24"/>
    <x v="0"/>
    <n v="0"/>
  </r>
  <r>
    <s v="42887872-bd04-41f1-8f60-ba952613f0ef"/>
    <s v="3c4d48ba-1659-4671-9cf4-c8742f9bd17f"/>
    <x v="0"/>
    <x v="488"/>
    <x v="406"/>
    <x v="7"/>
    <x v="1"/>
    <x v="1"/>
    <d v="2023-10-09T00:00:00"/>
    <n v="24"/>
    <n v="213.84"/>
    <x v="0"/>
    <x v="2"/>
    <x v="2"/>
    <x v="1"/>
    <x v="1"/>
    <n v="12"/>
    <x v="1"/>
    <n v="0"/>
  </r>
  <r>
    <s v="243fd66d-8747-4a91-9d39-b61a73008426"/>
    <s v="346b495f-287a-4327-9753-d4c90c2a6cb3"/>
    <x v="0"/>
    <x v="489"/>
    <x v="407"/>
    <x v="1"/>
    <x v="3"/>
    <x v="1"/>
    <d v="2023-11-13T00:00:00"/>
    <n v="11"/>
    <n v="908.16000000000008"/>
    <x v="1"/>
    <x v="43"/>
    <x v="1"/>
    <x v="0"/>
    <x v="1"/>
    <n v="12"/>
    <x v="1"/>
    <n v="0"/>
  </r>
  <r>
    <s v="7d4c9b2e-4cef-41ff-bcd5-de1cec6fdd9c"/>
    <s v="21a61a66-156e-4cfc-bf3e-f938a188db50"/>
    <x v="2"/>
    <x v="490"/>
    <x v="61"/>
    <x v="7"/>
    <x v="1"/>
    <x v="5"/>
    <d v="2023-12-01T00:00:00"/>
    <n v="26"/>
    <n v="2124.7199999999998"/>
    <x v="5"/>
    <x v="20"/>
    <x v="2"/>
    <x v="0"/>
    <x v="3"/>
    <n v="1"/>
    <x v="3"/>
    <n v="0"/>
  </r>
  <r>
    <s v="b8522a2d-b1d7-47ce-ac76-6b72cca6a039"/>
    <s v="6c11b423-e525-4c3e-a018-3d764f44e401"/>
    <x v="2"/>
    <x v="491"/>
    <x v="126"/>
    <x v="4"/>
    <x v="1"/>
    <x v="3"/>
    <d v="2021-09-29T00:00:00"/>
    <n v="1"/>
    <n v="64.58"/>
    <x v="3"/>
    <x v="14"/>
    <x v="2"/>
    <x v="2"/>
    <x v="0"/>
    <n v="24"/>
    <x v="0"/>
    <n v="0"/>
  </r>
  <r>
    <s v="85a30079-e2ca-4244-913d-802c77ca6b41"/>
    <s v="e73bb058-83ac-4a12-bec5-c59f79077cc9"/>
    <x v="2"/>
    <x v="492"/>
    <x v="408"/>
    <x v="2"/>
    <x v="3"/>
    <x v="2"/>
    <d v="2024-02-14T00:00:00"/>
    <n v="22"/>
    <n v="1160.06"/>
    <x v="2"/>
    <x v="6"/>
    <x v="0"/>
    <x v="1"/>
    <x v="3"/>
    <n v="1"/>
    <x v="3"/>
    <n v="0"/>
  </r>
  <r>
    <s v="c5f877ba-ae58-4538-b48f-104225a3af9c"/>
    <s v="217ce91c-b28f-4f4b-a05a-240a905b5ecd"/>
    <x v="1"/>
    <x v="493"/>
    <x v="256"/>
    <x v="9"/>
    <x v="1"/>
    <x v="6"/>
    <d v="2024-02-03T00:00:00"/>
    <n v="30"/>
    <n v="633.9"/>
    <x v="2"/>
    <x v="42"/>
    <x v="1"/>
    <x v="2"/>
    <x v="1"/>
    <n v="12"/>
    <x v="1"/>
    <n v="0"/>
  </r>
  <r>
    <s v="7f73d346-3280-4b7f-8933-d20d5c42eb1d"/>
    <s v="a149ba6e-1afd-49c4-bc8b-1fbac896ac38"/>
    <x v="1"/>
    <x v="494"/>
    <x v="52"/>
    <x v="1"/>
    <x v="1"/>
    <x v="0"/>
    <d v="2024-03-20T00:00:00"/>
    <n v="27"/>
    <n v="515.70000000000005"/>
    <x v="1"/>
    <x v="5"/>
    <x v="0"/>
    <x v="2"/>
    <x v="1"/>
    <n v="12"/>
    <x v="1"/>
    <n v="0"/>
  </r>
  <r>
    <s v="d1efb347-937b-4848-9b15-d0e09b810b38"/>
    <s v="c1f4b76c-5505-4ea0-820d-8fb0483c7412"/>
    <x v="2"/>
    <x v="495"/>
    <x v="409"/>
    <x v="7"/>
    <x v="1"/>
    <x v="1"/>
    <d v="2022-10-03T00:00:00"/>
    <n v="12"/>
    <n v="941.52"/>
    <x v="2"/>
    <x v="7"/>
    <x v="1"/>
    <x v="0"/>
    <x v="1"/>
    <n v="12"/>
    <x v="1"/>
    <n v="0"/>
  </r>
  <r>
    <s v="956c42e1-bb93-4483-a551-4170b15e0d6a"/>
    <s v="ae07de5d-87a9-40db-bc60-1920c282d594"/>
    <x v="1"/>
    <x v="496"/>
    <x v="410"/>
    <x v="4"/>
    <x v="3"/>
    <x v="1"/>
    <d v="2024-03-29T00:00:00"/>
    <n v="19"/>
    <n v="1119.67"/>
    <x v="4"/>
    <x v="30"/>
    <x v="1"/>
    <x v="0"/>
    <x v="0"/>
    <n v="24"/>
    <x v="0"/>
    <n v="0"/>
  </r>
  <r>
    <s v="5a10cc23-3389-44b0-9cfa-4faf4fb22e58"/>
    <s v="56d41156-0a42-4335-8c70-661dff744d27"/>
    <x v="2"/>
    <x v="497"/>
    <x v="411"/>
    <x v="2"/>
    <x v="0"/>
    <x v="3"/>
    <d v="2024-02-17T00:00:00"/>
    <n v="10"/>
    <n v="983.8"/>
    <x v="4"/>
    <x v="24"/>
    <x v="0"/>
    <x v="0"/>
    <x v="2"/>
    <n v="6"/>
    <x v="2"/>
    <n v="0"/>
  </r>
  <r>
    <s v="a3604600-7951-4130-9620-bbf72363c5a1"/>
    <s v="39291335-1c3f-4719-a69d-623a48981461"/>
    <x v="1"/>
    <x v="498"/>
    <x v="412"/>
    <x v="11"/>
    <x v="3"/>
    <x v="3"/>
    <d v="2024-03-03T00:00:00"/>
    <n v="22"/>
    <n v="2162.8200000000002"/>
    <x v="4"/>
    <x v="14"/>
    <x v="1"/>
    <x v="2"/>
    <x v="3"/>
    <n v="1"/>
    <x v="3"/>
    <n v="0"/>
  </r>
  <r>
    <s v="15156048-2150-457e-873b-67289ec4628f"/>
    <s v="8bc44d44-b225-49f2-a9ab-6d89ca008510"/>
    <x v="2"/>
    <x v="499"/>
    <x v="413"/>
    <x v="7"/>
    <x v="0"/>
    <x v="6"/>
    <d v="2024-03-06T00:00:00"/>
    <n v="6"/>
    <n v="595.79999999999995"/>
    <x v="1"/>
    <x v="43"/>
    <x v="1"/>
    <x v="0"/>
    <x v="0"/>
    <n v="24"/>
    <x v="0"/>
    <n v="0"/>
  </r>
  <r>
    <s v="64915154-8b62-44a8-be4a-a8308b588397"/>
    <s v="6a88172a-03bd-4dbe-94fd-d1738e5d633e"/>
    <x v="0"/>
    <x v="500"/>
    <x v="414"/>
    <x v="1"/>
    <x v="3"/>
    <x v="3"/>
    <d v="2023-11-28T00:00:00"/>
    <n v="12"/>
    <n v="195.24"/>
    <x v="0"/>
    <x v="12"/>
    <x v="2"/>
    <x v="2"/>
    <x v="2"/>
    <n v="6"/>
    <x v="2"/>
    <n v="0"/>
  </r>
  <r>
    <s v="1317c938-c155-4687-9385-3e19674c9353"/>
    <s v="8ea952e0-e262-46ca-9a4a-72cffcbf5cb2"/>
    <x v="1"/>
    <x v="501"/>
    <x v="415"/>
    <x v="1"/>
    <x v="3"/>
    <x v="5"/>
    <d v="2023-12-23T00:00:00"/>
    <n v="13"/>
    <n v="366.99"/>
    <x v="1"/>
    <x v="16"/>
    <x v="0"/>
    <x v="2"/>
    <x v="0"/>
    <n v="24"/>
    <x v="0"/>
    <n v="0"/>
  </r>
  <r>
    <s v="98aff7a8-5722-483e-8b19-f7be4e0fca1b"/>
    <s v="86ae0aa9-4eb1-43df-a4f3-0cef64f080a7"/>
    <x v="2"/>
    <x v="502"/>
    <x v="33"/>
    <x v="0"/>
    <x v="3"/>
    <x v="1"/>
    <d v="2023-02-08T00:00:00"/>
    <n v="11"/>
    <n v="533.83000000000004"/>
    <x v="0"/>
    <x v="19"/>
    <x v="0"/>
    <x v="0"/>
    <x v="3"/>
    <n v="1"/>
    <x v="3"/>
    <n v="0"/>
  </r>
  <r>
    <s v="32981336-a3db-4780-aed5-a33e7d39e2da"/>
    <s v="7feb2b66-6afd-4a69-8a3d-b8700b953603"/>
    <x v="2"/>
    <x v="229"/>
    <x v="220"/>
    <x v="3"/>
    <x v="3"/>
    <x v="1"/>
    <d v="2023-09-27T00:00:00"/>
    <n v="11"/>
    <n v="846.45"/>
    <x v="2"/>
    <x v="48"/>
    <x v="1"/>
    <x v="2"/>
    <x v="2"/>
    <n v="6"/>
    <x v="2"/>
    <n v="0"/>
  </r>
  <r>
    <s v="10d34fba-6caa-4601-b69d-666d8c561cae"/>
    <s v="d90bdd5d-5402-416f-bf2c-6aa8e1a501df"/>
    <x v="0"/>
    <x v="503"/>
    <x v="416"/>
    <x v="10"/>
    <x v="3"/>
    <x v="5"/>
    <d v="2023-05-17T00:00:00"/>
    <n v="16"/>
    <n v="389.44"/>
    <x v="1"/>
    <x v="43"/>
    <x v="2"/>
    <x v="2"/>
    <x v="2"/>
    <n v="6"/>
    <x v="2"/>
    <n v="0"/>
  </r>
  <r>
    <s v="78f74383-b490-4f16-b9fe-faf9738cd4dc"/>
    <s v="76842660-a67d-40da-b9be-01ad1469f628"/>
    <x v="2"/>
    <x v="504"/>
    <x v="417"/>
    <x v="11"/>
    <x v="2"/>
    <x v="2"/>
    <d v="2024-06-10T00:00:00"/>
    <n v="2"/>
    <n v="117.6"/>
    <x v="2"/>
    <x v="11"/>
    <x v="1"/>
    <x v="0"/>
    <x v="3"/>
    <n v="1"/>
    <x v="3"/>
    <n v="0"/>
  </r>
  <r>
    <s v="01ee344a-5861-4d21-95fe-305212b6138a"/>
    <s v="34467fdc-c86e-43f7-ae9c-8fa743863e8d"/>
    <x v="1"/>
    <x v="505"/>
    <x v="338"/>
    <x v="11"/>
    <x v="0"/>
    <x v="5"/>
    <d v="2024-01-01T00:00:00"/>
    <n v="8"/>
    <n v="181.2"/>
    <x v="0"/>
    <x v="15"/>
    <x v="0"/>
    <x v="0"/>
    <x v="3"/>
    <n v="1"/>
    <x v="3"/>
    <n v="0"/>
  </r>
  <r>
    <s v="8590cc6a-4710-4539-af18-89b9d9777218"/>
    <s v="06a03816-34df-491c-a7e6-bb01a0e4d6f7"/>
    <x v="2"/>
    <x v="506"/>
    <x v="418"/>
    <x v="2"/>
    <x v="2"/>
    <x v="0"/>
    <d v="2024-05-16T00:00:00"/>
    <n v="2"/>
    <n v="29.9"/>
    <x v="1"/>
    <x v="51"/>
    <x v="0"/>
    <x v="0"/>
    <x v="0"/>
    <n v="24"/>
    <x v="0"/>
    <n v="0"/>
  </r>
  <r>
    <s v="1ff408ad-9c77-4bb9-b89d-a2fecfb6dedc"/>
    <s v="c8603b48-64a6-4513-939d-c7f2aaadfab5"/>
    <x v="0"/>
    <x v="507"/>
    <x v="419"/>
    <x v="7"/>
    <x v="3"/>
    <x v="1"/>
    <d v="2023-01-18T00:00:00"/>
    <n v="3"/>
    <n v="48.21"/>
    <x v="5"/>
    <x v="43"/>
    <x v="2"/>
    <x v="1"/>
    <x v="0"/>
    <n v="24"/>
    <x v="0"/>
    <n v="0"/>
  </r>
  <r>
    <s v="8700d650-a421-4666-9e2e-0fcfa8355848"/>
    <s v="bc3482f0-6946-46d0-ae6e-2b39002e5711"/>
    <x v="1"/>
    <x v="508"/>
    <x v="420"/>
    <x v="10"/>
    <x v="3"/>
    <x v="3"/>
    <d v="2024-01-11T00:00:00"/>
    <n v="23"/>
    <n v="896.54"/>
    <x v="0"/>
    <x v="28"/>
    <x v="1"/>
    <x v="1"/>
    <x v="2"/>
    <n v="6"/>
    <x v="2"/>
    <n v="0"/>
  </r>
  <r>
    <s v="bf17f748-41a4-46f4-b412-c1e0d517ba56"/>
    <s v="0cd5e1f3-7b12-40ef-9c98-2f907b9edc54"/>
    <x v="2"/>
    <x v="509"/>
    <x v="421"/>
    <x v="8"/>
    <x v="3"/>
    <x v="3"/>
    <d v="2022-10-06T00:00:00"/>
    <n v="9"/>
    <n v="48.96"/>
    <x v="5"/>
    <x v="35"/>
    <x v="2"/>
    <x v="0"/>
    <x v="0"/>
    <n v="24"/>
    <x v="0"/>
    <n v="0"/>
  </r>
  <r>
    <s v="f73b76e7-77ac-45cb-8ea9-674f7a7808e2"/>
    <s v="353037d9-5aa8-45c4-b933-e0f66b6da077"/>
    <x v="0"/>
    <x v="510"/>
    <x v="422"/>
    <x v="11"/>
    <x v="0"/>
    <x v="0"/>
    <d v="2023-07-11T00:00:00"/>
    <n v="3"/>
    <n v="136.07999999999998"/>
    <x v="2"/>
    <x v="40"/>
    <x v="0"/>
    <x v="0"/>
    <x v="2"/>
    <n v="6"/>
    <x v="2"/>
    <n v="0"/>
  </r>
  <r>
    <s v="23df91b2-0e35-476c-9ee4-22f7b561c2e3"/>
    <s v="7dc2639b-a4b5-4eee-b39a-709b1d43b2f0"/>
    <x v="2"/>
    <x v="511"/>
    <x v="94"/>
    <x v="0"/>
    <x v="0"/>
    <x v="1"/>
    <d v="2023-06-08T00:00:00"/>
    <n v="3"/>
    <n v="204.29999999999998"/>
    <x v="5"/>
    <x v="1"/>
    <x v="0"/>
    <x v="1"/>
    <x v="3"/>
    <n v="1"/>
    <x v="3"/>
    <n v="0"/>
  </r>
  <r>
    <s v="898948ad-565d-4a36-8e5a-fdc168412498"/>
    <s v="92892862-1b81-4ab5-9068-dfa2e9058a32"/>
    <x v="1"/>
    <x v="512"/>
    <x v="423"/>
    <x v="3"/>
    <x v="0"/>
    <x v="3"/>
    <d v="2024-06-02T00:00:00"/>
    <n v="7"/>
    <n v="302.12"/>
    <x v="1"/>
    <x v="28"/>
    <x v="2"/>
    <x v="0"/>
    <x v="2"/>
    <n v="6"/>
    <x v="2"/>
    <n v="0"/>
  </r>
  <r>
    <s v="15b41b8a-d6ef-419e-9bce-eefba721de8d"/>
    <s v="7117b38b-1404-4cb0-b176-2dbd8db35552"/>
    <x v="2"/>
    <x v="513"/>
    <x v="424"/>
    <x v="8"/>
    <x v="2"/>
    <x v="3"/>
    <d v="2024-03-22T00:00:00"/>
    <n v="3"/>
    <n v="39.450000000000003"/>
    <x v="1"/>
    <x v="4"/>
    <x v="2"/>
    <x v="0"/>
    <x v="1"/>
    <n v="12"/>
    <x v="1"/>
    <n v="0"/>
  </r>
  <r>
    <s v="5e176bbe-50d2-4a37-9f52-a0d46807a92b"/>
    <s v="034b0ec5-571f-45d6-8698-bc0c840342ba"/>
    <x v="0"/>
    <x v="514"/>
    <x v="377"/>
    <x v="10"/>
    <x v="0"/>
    <x v="2"/>
    <d v="2024-01-14T00:00:00"/>
    <n v="11"/>
    <n v="345.62"/>
    <x v="3"/>
    <x v="39"/>
    <x v="2"/>
    <x v="2"/>
    <x v="0"/>
    <n v="24"/>
    <x v="0"/>
    <n v="0"/>
  </r>
  <r>
    <s v="293100a7-7903-4e98-9637-b43a238f52fe"/>
    <s v="817d5d59-4e68-4b63-90ec-271d7b6627b7"/>
    <x v="0"/>
    <x v="515"/>
    <x v="384"/>
    <x v="7"/>
    <x v="0"/>
    <x v="1"/>
    <d v="2024-04-25T00:00:00"/>
    <n v="7"/>
    <n v="147.56"/>
    <x v="5"/>
    <x v="41"/>
    <x v="1"/>
    <x v="1"/>
    <x v="2"/>
    <n v="6"/>
    <x v="2"/>
    <n v="0"/>
  </r>
  <r>
    <s v="7f70216c-f3e5-4606-890f-633f47d38ca3"/>
    <s v="99eecbec-8b2d-4315-b566-4158660f1720"/>
    <x v="1"/>
    <x v="516"/>
    <x v="425"/>
    <x v="11"/>
    <x v="2"/>
    <x v="5"/>
    <d v="2024-06-09T00:00:00"/>
    <n v="1"/>
    <n v="96.68"/>
    <x v="4"/>
    <x v="20"/>
    <x v="0"/>
    <x v="0"/>
    <x v="1"/>
    <n v="12"/>
    <x v="1"/>
    <n v="0"/>
  </r>
  <r>
    <s v="92a71bca-d3fc-481d-ab96-713d343d3646"/>
    <s v="fa101c53-1e0f-4afa-930f-0f8ac5896fef"/>
    <x v="0"/>
    <x v="517"/>
    <x v="426"/>
    <x v="3"/>
    <x v="3"/>
    <x v="0"/>
    <d v="2023-09-30T00:00:00"/>
    <n v="11"/>
    <n v="213.07000000000002"/>
    <x v="2"/>
    <x v="24"/>
    <x v="2"/>
    <x v="0"/>
    <x v="3"/>
    <n v="1"/>
    <x v="3"/>
    <n v="0"/>
  </r>
  <r>
    <s v="b89a8805-e877-4d68-81a5-79883eb6fbe6"/>
    <s v="b2484f2e-b63b-4f29-88d4-671255b28759"/>
    <x v="2"/>
    <x v="518"/>
    <x v="307"/>
    <x v="3"/>
    <x v="1"/>
    <x v="5"/>
    <d v="2023-05-30T00:00:00"/>
    <n v="19"/>
    <n v="1548.8799999999999"/>
    <x v="2"/>
    <x v="33"/>
    <x v="2"/>
    <x v="2"/>
    <x v="0"/>
    <n v="24"/>
    <x v="0"/>
    <n v="0"/>
  </r>
  <r>
    <s v="41228555-466c-45d7-b3f4-15502389a8a8"/>
    <s v="cfd670b0-7fa1-4bca-b41c-d7b847ffac28"/>
    <x v="0"/>
    <x v="519"/>
    <x v="371"/>
    <x v="10"/>
    <x v="2"/>
    <x v="6"/>
    <d v="2024-04-04T00:00:00"/>
    <n v="2"/>
    <n v="121.36"/>
    <x v="2"/>
    <x v="6"/>
    <x v="1"/>
    <x v="0"/>
    <x v="3"/>
    <n v="1"/>
    <x v="3"/>
    <n v="0"/>
  </r>
  <r>
    <s v="5e81df94-62ba-453a-a6ea-f29cf6985811"/>
    <s v="c5a01c96-e4c6-41db-9549-cd6d3d203e96"/>
    <x v="1"/>
    <x v="520"/>
    <x v="157"/>
    <x v="9"/>
    <x v="1"/>
    <x v="6"/>
    <d v="2022-02-14T00:00:00"/>
    <n v="7"/>
    <n v="413.56"/>
    <x v="3"/>
    <x v="49"/>
    <x v="1"/>
    <x v="0"/>
    <x v="2"/>
    <n v="6"/>
    <x v="2"/>
    <n v="0"/>
  </r>
  <r>
    <s v="08f254d0-2adc-409e-b88c-10e082c11e9d"/>
    <s v="49e9424b-956f-4cd2-a157-a72da74183e7"/>
    <x v="2"/>
    <x v="521"/>
    <x v="427"/>
    <x v="3"/>
    <x v="3"/>
    <x v="0"/>
    <d v="2024-01-12T00:00:00"/>
    <n v="14"/>
    <n v="751.1"/>
    <x v="2"/>
    <x v="41"/>
    <x v="1"/>
    <x v="1"/>
    <x v="1"/>
    <n v="12"/>
    <x v="1"/>
    <n v="0"/>
  </r>
  <r>
    <s v="606c8285-969d-4efe-a5e7-434a73a05dda"/>
    <s v="207147fc-3a3d-4af0-8766-d773736297e9"/>
    <x v="0"/>
    <x v="522"/>
    <x v="428"/>
    <x v="1"/>
    <x v="3"/>
    <x v="1"/>
    <d v="2023-12-27T00:00:00"/>
    <n v="13"/>
    <n v="1265.1599999999999"/>
    <x v="3"/>
    <x v="32"/>
    <x v="0"/>
    <x v="1"/>
    <x v="2"/>
    <n v="6"/>
    <x v="2"/>
    <n v="0"/>
  </r>
  <r>
    <s v="3ff6ac30-cffc-49b6-b5d9-6eceb954b1b3"/>
    <s v="418bbbf7-3971-4ad6-8637-a93223f4d01e"/>
    <x v="0"/>
    <x v="523"/>
    <x v="249"/>
    <x v="4"/>
    <x v="1"/>
    <x v="0"/>
    <d v="2022-01-11T00:00:00"/>
    <n v="4"/>
    <n v="319.39999999999998"/>
    <x v="1"/>
    <x v="23"/>
    <x v="2"/>
    <x v="0"/>
    <x v="1"/>
    <n v="12"/>
    <x v="1"/>
    <n v="0"/>
  </r>
  <r>
    <s v="d376dc8c-7655-4766-a971-abe7a5498c08"/>
    <s v="ee9b2f13-6ca3-4b34-827c-9f38909bc704"/>
    <x v="0"/>
    <x v="524"/>
    <x v="33"/>
    <x v="0"/>
    <x v="3"/>
    <x v="1"/>
    <d v="2023-07-19T00:00:00"/>
    <n v="17"/>
    <n v="981.75"/>
    <x v="5"/>
    <x v="1"/>
    <x v="1"/>
    <x v="0"/>
    <x v="2"/>
    <n v="6"/>
    <x v="2"/>
    <n v="0"/>
  </r>
  <r>
    <s v="4ff9d20b-9e3e-4821-a72b-40af8927022a"/>
    <s v="7f74f39f-0ea2-4e91-975e-6c1fe95e30fd"/>
    <x v="1"/>
    <x v="525"/>
    <x v="429"/>
    <x v="10"/>
    <x v="3"/>
    <x v="5"/>
    <d v="2022-05-18T00:00:00"/>
    <n v="3"/>
    <n v="127.77000000000001"/>
    <x v="2"/>
    <x v="32"/>
    <x v="0"/>
    <x v="0"/>
    <x v="0"/>
    <n v="24"/>
    <x v="0"/>
    <n v="0"/>
  </r>
  <r>
    <s v="5138ef5d-56f5-4da7-98f4-328040a526f6"/>
    <s v="e49f94ea-771d-49d5-8f71-b6deb29a6c13"/>
    <x v="0"/>
    <x v="526"/>
    <x v="430"/>
    <x v="2"/>
    <x v="3"/>
    <x v="2"/>
    <d v="2022-09-19T00:00:00"/>
    <n v="5"/>
    <n v="478.84999999999997"/>
    <x v="4"/>
    <x v="15"/>
    <x v="2"/>
    <x v="2"/>
    <x v="3"/>
    <n v="1"/>
    <x v="3"/>
    <n v="0"/>
  </r>
  <r>
    <s v="2d9a0f99-218a-4410-bc72-467cd4109b1d"/>
    <s v="0ece0217-4932-48de-b3aa-a7a01698dd5a"/>
    <x v="1"/>
    <x v="527"/>
    <x v="431"/>
    <x v="6"/>
    <x v="3"/>
    <x v="1"/>
    <d v="2024-04-06T00:00:00"/>
    <n v="21"/>
    <n v="1298.6400000000001"/>
    <x v="2"/>
    <x v="18"/>
    <x v="0"/>
    <x v="1"/>
    <x v="0"/>
    <n v="24"/>
    <x v="0"/>
    <n v="0"/>
  </r>
  <r>
    <s v="39f12047-ebcb-451d-92e2-3b2c85f44e6a"/>
    <s v="b51e2934-cf09-416d-b6c7-e3b0d489c40f"/>
    <x v="0"/>
    <x v="528"/>
    <x v="432"/>
    <x v="11"/>
    <x v="2"/>
    <x v="6"/>
    <d v="2024-06-07T00:00:00"/>
    <n v="1"/>
    <n v="16.3"/>
    <x v="4"/>
    <x v="28"/>
    <x v="1"/>
    <x v="1"/>
    <x v="1"/>
    <n v="12"/>
    <x v="1"/>
    <n v="0"/>
  </r>
  <r>
    <s v="e7f9d33e-0c44-429b-bf83-18b8cca7d869"/>
    <s v="6923ef9d-dc3d-4175-bc47-0364dafe6336"/>
    <x v="2"/>
    <x v="529"/>
    <x v="433"/>
    <x v="5"/>
    <x v="0"/>
    <x v="0"/>
    <d v="2023-10-15T00:00:00"/>
    <n v="4"/>
    <n v="178.68"/>
    <x v="0"/>
    <x v="16"/>
    <x v="1"/>
    <x v="0"/>
    <x v="0"/>
    <n v="24"/>
    <x v="0"/>
    <n v="0"/>
  </r>
  <r>
    <s v="7b471e33-460b-4e26-b494-08c8727fe6dd"/>
    <s v="06882a5a-914e-4b39-9c92-37acf0c57e6e"/>
    <x v="2"/>
    <x v="530"/>
    <x v="434"/>
    <x v="9"/>
    <x v="0"/>
    <x v="2"/>
    <d v="2024-05-12T00:00:00"/>
    <n v="10"/>
    <n v="709.09999999999991"/>
    <x v="0"/>
    <x v="25"/>
    <x v="0"/>
    <x v="0"/>
    <x v="2"/>
    <n v="6"/>
    <x v="2"/>
    <n v="0"/>
  </r>
  <r>
    <s v="67e1ae95-e1e1-4866-8d45-ebb0935f0de6"/>
    <s v="223b5d80-eb47-43c4-a53a-7863568786e6"/>
    <x v="1"/>
    <x v="531"/>
    <x v="435"/>
    <x v="2"/>
    <x v="2"/>
    <x v="4"/>
    <d v="2024-04-21T00:00:00"/>
    <n v="1"/>
    <n v="92.05"/>
    <x v="5"/>
    <x v="9"/>
    <x v="0"/>
    <x v="1"/>
    <x v="2"/>
    <n v="6"/>
    <x v="2"/>
    <n v="0"/>
  </r>
  <r>
    <s v="a03ddb21-d89f-4c2a-8cf8-3c27eacdf374"/>
    <s v="43fbc9b0-7232-4183-8f56-0090fb98bbbb"/>
    <x v="0"/>
    <x v="532"/>
    <x v="436"/>
    <x v="2"/>
    <x v="0"/>
    <x v="6"/>
    <d v="2024-03-17T00:00:00"/>
    <n v="11"/>
    <n v="326.04000000000002"/>
    <x v="3"/>
    <x v="15"/>
    <x v="0"/>
    <x v="0"/>
    <x v="0"/>
    <n v="24"/>
    <x v="0"/>
    <n v="0"/>
  </r>
  <r>
    <s v="eaa74bff-e5b3-405d-93de-fa4d71019433"/>
    <s v="009be652-858c-4fbe-a597-e7a1dda26e79"/>
    <x v="2"/>
    <x v="533"/>
    <x v="37"/>
    <x v="10"/>
    <x v="3"/>
    <x v="0"/>
    <d v="2024-03-25T00:00:00"/>
    <n v="26"/>
    <n v="2002.78"/>
    <x v="4"/>
    <x v="24"/>
    <x v="0"/>
    <x v="0"/>
    <x v="3"/>
    <n v="1"/>
    <x v="3"/>
    <n v="0"/>
  </r>
  <r>
    <s v="a45a452a-70d2-43c4-8306-423dda301428"/>
    <s v="5fef21ca-d5e8-4c35-bda9-ea45d3d44009"/>
    <x v="0"/>
    <x v="534"/>
    <x v="80"/>
    <x v="9"/>
    <x v="1"/>
    <x v="5"/>
    <d v="2022-03-16T00:00:00"/>
    <n v="8"/>
    <n v="389.52"/>
    <x v="4"/>
    <x v="32"/>
    <x v="0"/>
    <x v="2"/>
    <x v="0"/>
    <n v="24"/>
    <x v="0"/>
    <n v="0"/>
  </r>
  <r>
    <s v="629012a9-963a-48c3-88b7-87618e068414"/>
    <s v="c6137293-73ac-4b35-8c8e-6ca1a7b299d4"/>
    <x v="2"/>
    <x v="535"/>
    <x v="437"/>
    <x v="3"/>
    <x v="0"/>
    <x v="5"/>
    <d v="2024-05-23T00:00:00"/>
    <n v="7"/>
    <n v="416.43"/>
    <x v="0"/>
    <x v="49"/>
    <x v="1"/>
    <x v="1"/>
    <x v="3"/>
    <n v="1"/>
    <x v="3"/>
    <n v="0"/>
  </r>
  <r>
    <s v="046f3da6-ac89-4b60-ab54-49621ddf8eda"/>
    <s v="5fd68ef9-c74e-4a31-b09e-8f2ceb7fc698"/>
    <x v="0"/>
    <x v="536"/>
    <x v="438"/>
    <x v="1"/>
    <x v="1"/>
    <x v="4"/>
    <d v="2021-12-17T00:00:00"/>
    <n v="1"/>
    <n v="95.73"/>
    <x v="1"/>
    <x v="16"/>
    <x v="0"/>
    <x v="2"/>
    <x v="1"/>
    <n v="12"/>
    <x v="1"/>
    <n v="0"/>
  </r>
  <r>
    <s v="272f6759-42b9-44b5-8101-8dd499c21501"/>
    <s v="98d65696-d6f2-4e7a-8e54-f81a2ac1e7e7"/>
    <x v="2"/>
    <x v="537"/>
    <x v="281"/>
    <x v="7"/>
    <x v="0"/>
    <x v="3"/>
    <d v="2024-04-11T00:00:00"/>
    <n v="6"/>
    <n v="588.18000000000006"/>
    <x v="1"/>
    <x v="8"/>
    <x v="0"/>
    <x v="0"/>
    <x v="1"/>
    <n v="12"/>
    <x v="1"/>
    <n v="0"/>
  </r>
  <r>
    <s v="df640f72-390a-4865-83c7-6c76a728f605"/>
    <s v="c95a1083-8479-46f6-b44a-4fccb490ccd4"/>
    <x v="2"/>
    <x v="538"/>
    <x v="319"/>
    <x v="6"/>
    <x v="0"/>
    <x v="1"/>
    <d v="2023-10-28T00:00:00"/>
    <n v="4"/>
    <n v="347.4"/>
    <x v="0"/>
    <x v="25"/>
    <x v="2"/>
    <x v="2"/>
    <x v="3"/>
    <n v="1"/>
    <x v="3"/>
    <n v="0"/>
  </r>
  <r>
    <s v="74261433-7b65-47fe-98a0-47053010be0c"/>
    <s v="f48fb130-6abd-45d4-9eb6-9e3508660716"/>
    <x v="0"/>
    <x v="539"/>
    <x v="439"/>
    <x v="11"/>
    <x v="0"/>
    <x v="6"/>
    <d v="2023-07-17T00:00:00"/>
    <n v="2"/>
    <n v="78.22"/>
    <x v="1"/>
    <x v="3"/>
    <x v="1"/>
    <x v="2"/>
    <x v="1"/>
    <n v="12"/>
    <x v="1"/>
    <n v="0"/>
  </r>
  <r>
    <s v="d093cdee-09b0-4e8a-ba3c-565bf96931dd"/>
    <s v="9ed0af15-b624-4244-87d1-c5f538afb965"/>
    <x v="0"/>
    <x v="540"/>
    <x v="440"/>
    <x v="3"/>
    <x v="0"/>
    <x v="3"/>
    <d v="2024-04-04T00:00:00"/>
    <n v="5"/>
    <n v="446.65"/>
    <x v="5"/>
    <x v="32"/>
    <x v="1"/>
    <x v="1"/>
    <x v="0"/>
    <n v="24"/>
    <x v="0"/>
    <n v="0"/>
  </r>
  <r>
    <s v="89b1494d-d030-4afd-a37e-d19242db325f"/>
    <s v="70821c1b-dd80-4614-8c7f-e3daf3031b34"/>
    <x v="2"/>
    <x v="541"/>
    <x v="408"/>
    <x v="2"/>
    <x v="3"/>
    <x v="2"/>
    <d v="2023-06-20T00:00:00"/>
    <n v="14"/>
    <n v="919.38"/>
    <x v="3"/>
    <x v="44"/>
    <x v="1"/>
    <x v="2"/>
    <x v="0"/>
    <n v="24"/>
    <x v="0"/>
    <n v="0"/>
  </r>
  <r>
    <s v="b2421bdd-53c2-487e-855e-ed8d7f333709"/>
    <s v="c58ac80c-b48a-4103-858d-ba1d0c07d1cf"/>
    <x v="1"/>
    <x v="542"/>
    <x v="387"/>
    <x v="1"/>
    <x v="3"/>
    <x v="6"/>
    <d v="2023-07-16T00:00:00"/>
    <n v="7"/>
    <n v="320.95"/>
    <x v="2"/>
    <x v="13"/>
    <x v="0"/>
    <x v="0"/>
    <x v="3"/>
    <n v="1"/>
    <x v="3"/>
    <n v="0"/>
  </r>
  <r>
    <s v="1520fafa-c0ce-42ba-a159-c46f0165cbc5"/>
    <s v="93589c8e-8f28-4025-bd3a-d158ced882a6"/>
    <x v="1"/>
    <x v="543"/>
    <x v="441"/>
    <x v="4"/>
    <x v="3"/>
    <x v="2"/>
    <d v="2023-12-17T00:00:00"/>
    <n v="15"/>
    <n v="1172.3999999999999"/>
    <x v="3"/>
    <x v="29"/>
    <x v="0"/>
    <x v="0"/>
    <x v="0"/>
    <n v="24"/>
    <x v="0"/>
    <n v="0"/>
  </r>
  <r>
    <s v="9075233f-aaae-481c-a95d-ffdf5dd85c53"/>
    <s v="1074708e-7551-459c-bcb0-9b451d35316d"/>
    <x v="1"/>
    <x v="544"/>
    <x v="217"/>
    <x v="1"/>
    <x v="1"/>
    <x v="3"/>
    <d v="2022-09-30T00:00:00"/>
    <n v="10"/>
    <n v="527"/>
    <x v="4"/>
    <x v="17"/>
    <x v="0"/>
    <x v="0"/>
    <x v="0"/>
    <n v="24"/>
    <x v="0"/>
    <n v="0"/>
  </r>
  <r>
    <s v="86e11453-a62b-4050-98f3-9b8ce55dc9ea"/>
    <s v="f3b6d244-261d-438e-8105-9ea52b06bc10"/>
    <x v="0"/>
    <x v="545"/>
    <x v="52"/>
    <x v="1"/>
    <x v="1"/>
    <x v="0"/>
    <d v="2023-03-21T00:00:00"/>
    <n v="16"/>
    <n v="1275.04"/>
    <x v="4"/>
    <x v="47"/>
    <x v="2"/>
    <x v="1"/>
    <x v="2"/>
    <n v="6"/>
    <x v="2"/>
    <n v="0"/>
  </r>
  <r>
    <s v="10da5d56-9115-4b9b-ad3e-8f7522df6625"/>
    <s v="6955c052-9599-4e59-ac5c-8cc3071784e9"/>
    <x v="2"/>
    <x v="546"/>
    <x v="442"/>
    <x v="3"/>
    <x v="1"/>
    <x v="1"/>
    <d v="2023-03-24T00:00:00"/>
    <n v="17"/>
    <n v="1293.02"/>
    <x v="2"/>
    <x v="14"/>
    <x v="0"/>
    <x v="0"/>
    <x v="1"/>
    <n v="12"/>
    <x v="1"/>
    <n v="0"/>
  </r>
  <r>
    <s v="32e3e7b8-1a2d-45b5-bd37-5d34f2f8e1e6"/>
    <s v="195083e7-a35c-4347-af6c-cc622d5c3335"/>
    <x v="1"/>
    <x v="547"/>
    <x v="164"/>
    <x v="2"/>
    <x v="2"/>
    <x v="4"/>
    <d v="2024-05-24T00:00:00"/>
    <n v="2"/>
    <n v="160.78"/>
    <x v="5"/>
    <x v="16"/>
    <x v="0"/>
    <x v="1"/>
    <x v="2"/>
    <n v="6"/>
    <x v="2"/>
    <n v="0"/>
  </r>
  <r>
    <s v="8df13ac7-af80-4317-badc-b5489889f26b"/>
    <s v="b50879ff-6335-4c0c-af52-85ba2cc0fbfa"/>
    <x v="1"/>
    <x v="484"/>
    <x v="443"/>
    <x v="8"/>
    <x v="3"/>
    <x v="6"/>
    <d v="2024-03-08T00:00:00"/>
    <n v="26"/>
    <n v="1485.64"/>
    <x v="1"/>
    <x v="45"/>
    <x v="0"/>
    <x v="0"/>
    <x v="2"/>
    <n v="6"/>
    <x v="2"/>
    <n v="0"/>
  </r>
  <r>
    <s v="7c7ba1a5-f54f-46e2-ba12-fe459c8f4f50"/>
    <s v="cca5f34a-ebfd-4ae8-aa6e-ab4d83b96ad4"/>
    <x v="2"/>
    <x v="548"/>
    <x v="444"/>
    <x v="9"/>
    <x v="3"/>
    <x v="6"/>
    <d v="2024-01-20T00:00:00"/>
    <n v="17"/>
    <n v="849.49"/>
    <x v="2"/>
    <x v="9"/>
    <x v="2"/>
    <x v="1"/>
    <x v="0"/>
    <n v="24"/>
    <x v="0"/>
    <n v="0"/>
  </r>
  <r>
    <s v="a8f414c8-c478-45c4-b77d-391cf5b3aa7e"/>
    <s v="354311f6-6102-4f17-96f8-e53e8df8cbaa"/>
    <x v="2"/>
    <x v="549"/>
    <x v="445"/>
    <x v="3"/>
    <x v="0"/>
    <x v="0"/>
    <d v="2023-12-27T00:00:00"/>
    <n v="2"/>
    <n v="14.06"/>
    <x v="1"/>
    <x v="22"/>
    <x v="0"/>
    <x v="2"/>
    <x v="0"/>
    <n v="24"/>
    <x v="0"/>
    <n v="0"/>
  </r>
  <r>
    <s v="1494a61f-583b-4037-9936-e12c45876366"/>
    <s v="942dbf7e-4ba1-40a2-a38d-e2da42174006"/>
    <x v="1"/>
    <x v="550"/>
    <x v="446"/>
    <x v="10"/>
    <x v="2"/>
    <x v="3"/>
    <d v="2024-02-16T00:00:00"/>
    <n v="1"/>
    <n v="14.72"/>
    <x v="0"/>
    <x v="5"/>
    <x v="0"/>
    <x v="0"/>
    <x v="3"/>
    <n v="1"/>
    <x v="3"/>
    <n v="0"/>
  </r>
  <r>
    <s v="651a70ce-0dc1-4757-91cf-0fe8eec86c8b"/>
    <s v="f2ad8b04-aa70-4484-b0ed-8bd23590af27"/>
    <x v="1"/>
    <x v="551"/>
    <x v="447"/>
    <x v="8"/>
    <x v="0"/>
    <x v="6"/>
    <d v="2023-10-22T00:00:00"/>
    <n v="10"/>
    <n v="327.59999999999997"/>
    <x v="1"/>
    <x v="45"/>
    <x v="1"/>
    <x v="2"/>
    <x v="0"/>
    <n v="24"/>
    <x v="0"/>
    <n v="0"/>
  </r>
  <r>
    <s v="211de8cd-9f67-43dd-aab7-9fe35ab9935e"/>
    <s v="fe0c6677-fbc2-4a0d-b8aa-14c88373fd5d"/>
    <x v="1"/>
    <x v="497"/>
    <x v="448"/>
    <x v="2"/>
    <x v="2"/>
    <x v="5"/>
    <d v="2024-04-27T00:00:00"/>
    <n v="1"/>
    <n v="98.38"/>
    <x v="4"/>
    <x v="7"/>
    <x v="0"/>
    <x v="2"/>
    <x v="0"/>
    <n v="24"/>
    <x v="0"/>
    <n v="0"/>
  </r>
  <r>
    <s v="e394e024-230f-40d9-b0dc-4ccdaa49f0c5"/>
    <s v="c06373fc-0fc8-47e8-82e7-a19d2ad5dcea"/>
    <x v="2"/>
    <x v="552"/>
    <x v="449"/>
    <x v="9"/>
    <x v="1"/>
    <x v="0"/>
    <d v="2023-11-27T00:00:00"/>
    <n v="27"/>
    <n v="983.06999999999994"/>
    <x v="0"/>
    <x v="3"/>
    <x v="0"/>
    <x v="2"/>
    <x v="2"/>
    <n v="6"/>
    <x v="2"/>
    <n v="0"/>
  </r>
  <r>
    <s v="58eebb66-ceb7-4338-b538-4e91c9009b82"/>
    <s v="2626acc2-902b-406d-bc70-1c2fd9dd19be"/>
    <x v="0"/>
    <x v="369"/>
    <x v="187"/>
    <x v="10"/>
    <x v="0"/>
    <x v="0"/>
    <d v="2024-05-26T00:00:00"/>
    <n v="16"/>
    <n v="157.6"/>
    <x v="4"/>
    <x v="0"/>
    <x v="1"/>
    <x v="1"/>
    <x v="0"/>
    <n v="24"/>
    <x v="0"/>
    <n v="0"/>
  </r>
  <r>
    <s v="1ef94f42-8f1b-463e-9c44-eec3050f9bb4"/>
    <s v="7d0f886c-d8ce-4d8a-b03e-b6352ddf6a31"/>
    <x v="2"/>
    <x v="553"/>
    <x v="450"/>
    <x v="9"/>
    <x v="1"/>
    <x v="6"/>
    <d v="2023-10-26T00:00:00"/>
    <n v="27"/>
    <n v="956.61"/>
    <x v="2"/>
    <x v="2"/>
    <x v="2"/>
    <x v="0"/>
    <x v="2"/>
    <n v="6"/>
    <x v="2"/>
    <n v="0"/>
  </r>
  <r>
    <s v="1d7b1295-105a-44ea-8d78-04efd239f789"/>
    <s v="aa500fed-359c-459d-8060-b57c3436991d"/>
    <x v="1"/>
    <x v="554"/>
    <x v="451"/>
    <x v="9"/>
    <x v="0"/>
    <x v="1"/>
    <d v="2024-05-23T00:00:00"/>
    <n v="10"/>
    <n v="949.5"/>
    <x v="4"/>
    <x v="39"/>
    <x v="0"/>
    <x v="0"/>
    <x v="1"/>
    <n v="12"/>
    <x v="1"/>
    <n v="0"/>
  </r>
  <r>
    <s v="380c17eb-5889-4521-8896-d6bbab0c0bb6"/>
    <s v="2b00d5cf-cb2e-47e3-b099-59295803f978"/>
    <x v="1"/>
    <x v="555"/>
    <x v="452"/>
    <x v="0"/>
    <x v="3"/>
    <x v="0"/>
    <d v="2022-10-11T00:00:00"/>
    <n v="7"/>
    <n v="597.03000000000009"/>
    <x v="0"/>
    <x v="50"/>
    <x v="2"/>
    <x v="2"/>
    <x v="0"/>
    <n v="24"/>
    <x v="0"/>
    <n v="0"/>
  </r>
  <r>
    <s v="e6fead2e-88c2-4815-b1a2-cbd3ecdbd3ae"/>
    <s v="55ecd497-1bc7-4544-9deb-71468a1ea92e"/>
    <x v="1"/>
    <x v="556"/>
    <x v="414"/>
    <x v="1"/>
    <x v="3"/>
    <x v="3"/>
    <d v="2023-08-15T00:00:00"/>
    <n v="8"/>
    <n v="330.88"/>
    <x v="2"/>
    <x v="32"/>
    <x v="0"/>
    <x v="2"/>
    <x v="1"/>
    <n v="12"/>
    <x v="1"/>
    <n v="0"/>
  </r>
  <r>
    <s v="ea4201e0-40a8-47f3-b238-027ac5050666"/>
    <s v="6128e604-9953-486a-9c36-a1ede3931290"/>
    <x v="2"/>
    <x v="557"/>
    <x v="81"/>
    <x v="7"/>
    <x v="3"/>
    <x v="2"/>
    <d v="2024-04-04T00:00:00"/>
    <n v="18"/>
    <n v="132.29999999999998"/>
    <x v="2"/>
    <x v="11"/>
    <x v="1"/>
    <x v="2"/>
    <x v="2"/>
    <n v="6"/>
    <x v="2"/>
    <n v="0"/>
  </r>
  <r>
    <s v="0228a8c6-70d3-4585-acac-61986feaa369"/>
    <s v="a348c95e-1bdd-4004-9d1a-c2a35e78348f"/>
    <x v="2"/>
    <x v="558"/>
    <x v="453"/>
    <x v="3"/>
    <x v="0"/>
    <x v="6"/>
    <d v="2024-03-06T00:00:00"/>
    <n v="4"/>
    <n v="271"/>
    <x v="6"/>
    <x v="7"/>
    <x v="1"/>
    <x v="2"/>
    <x v="3"/>
    <n v="1"/>
    <x v="3"/>
    <n v="0"/>
  </r>
  <r>
    <s v="c742d6b8-e9b4-4c4a-aaf3-30f91309e108"/>
    <s v="04de9430-ee06-49fb-93c7-bd60da894f80"/>
    <x v="2"/>
    <x v="559"/>
    <x v="454"/>
    <x v="1"/>
    <x v="0"/>
    <x v="2"/>
    <d v="2024-03-22T00:00:00"/>
    <n v="4"/>
    <n v="77.88"/>
    <x v="0"/>
    <x v="51"/>
    <x v="2"/>
    <x v="1"/>
    <x v="1"/>
    <n v="12"/>
    <x v="1"/>
    <n v="0"/>
  </r>
  <r>
    <s v="a9ca9998-8c80-4514-b0dd-14c548738d57"/>
    <s v="f5d08602-204a-4e9a-b39b-8e02829f3817"/>
    <x v="2"/>
    <x v="560"/>
    <x v="455"/>
    <x v="1"/>
    <x v="3"/>
    <x v="5"/>
    <d v="2023-07-27T00:00:00"/>
    <n v="8"/>
    <n v="797.04"/>
    <x v="1"/>
    <x v="16"/>
    <x v="1"/>
    <x v="0"/>
    <x v="2"/>
    <n v="6"/>
    <x v="2"/>
    <n v="0"/>
  </r>
  <r>
    <s v="275e6277-490e-426b-8225-7b294d215c2f"/>
    <s v="9adcd3c6-e6b8-4ab0-be81-9a60f3db1349"/>
    <x v="2"/>
    <x v="395"/>
    <x v="456"/>
    <x v="10"/>
    <x v="2"/>
    <x v="6"/>
    <d v="2024-06-09T00:00:00"/>
    <n v="5"/>
    <n v="72.599999999999994"/>
    <x v="2"/>
    <x v="39"/>
    <x v="1"/>
    <x v="0"/>
    <x v="1"/>
    <n v="12"/>
    <x v="1"/>
    <n v="0"/>
  </r>
  <r>
    <s v="37e38b3d-254c-4713-8d56-6ec741f1e673"/>
    <s v="f0a7db81-58c6-49c1-9325-7a8820b6a1c8"/>
    <x v="2"/>
    <x v="17"/>
    <x v="457"/>
    <x v="9"/>
    <x v="0"/>
    <x v="4"/>
    <d v="2024-04-29T00:00:00"/>
    <n v="9"/>
    <n v="786.42"/>
    <x v="1"/>
    <x v="7"/>
    <x v="0"/>
    <x v="1"/>
    <x v="1"/>
    <n v="12"/>
    <x v="1"/>
    <n v="0"/>
  </r>
  <r>
    <s v="7c297753-859d-4479-83ab-a36386453908"/>
    <s v="3b6ea1e8-e0f8-40f1-8a5b-6780834527c9"/>
    <x v="0"/>
    <x v="561"/>
    <x v="458"/>
    <x v="11"/>
    <x v="0"/>
    <x v="0"/>
    <d v="2024-02-25T00:00:00"/>
    <n v="10"/>
    <n v="329.6"/>
    <x v="2"/>
    <x v="5"/>
    <x v="0"/>
    <x v="1"/>
    <x v="1"/>
    <n v="12"/>
    <x v="1"/>
    <n v="0"/>
  </r>
  <r>
    <s v="62bf43b2-7c33-43e1-835c-15cf9480abed"/>
    <s v="6c6a82f3-1291-4647-8c6e-8abeef5abc6e"/>
    <x v="1"/>
    <x v="562"/>
    <x v="459"/>
    <x v="1"/>
    <x v="1"/>
    <x v="6"/>
    <d v="2022-07-08T00:00:00"/>
    <n v="7"/>
    <n v="324.52"/>
    <x v="4"/>
    <x v="47"/>
    <x v="2"/>
    <x v="1"/>
    <x v="3"/>
    <n v="1"/>
    <x v="3"/>
    <n v="0"/>
  </r>
  <r>
    <s v="fc070fc9-586a-4493-b276-4bc342ef82a9"/>
    <s v="0add1acf-e9de-4f9f-9e0c-9db53b023316"/>
    <x v="1"/>
    <x v="563"/>
    <x v="152"/>
    <x v="9"/>
    <x v="1"/>
    <x v="3"/>
    <d v="2023-06-30T00:00:00"/>
    <n v="23"/>
    <n v="1853.11"/>
    <x v="3"/>
    <x v="51"/>
    <x v="1"/>
    <x v="0"/>
    <x v="0"/>
    <n v="24"/>
    <x v="0"/>
    <n v="0"/>
  </r>
  <r>
    <s v="39d55ad7-af1a-4246-b1a8-58aae2c76866"/>
    <s v="1dba3e33-0883-4383-b11e-4803122f13d6"/>
    <x v="2"/>
    <x v="564"/>
    <x v="460"/>
    <x v="7"/>
    <x v="1"/>
    <x v="3"/>
    <d v="2022-08-19T00:00:00"/>
    <n v="11"/>
    <n v="762.96"/>
    <x v="0"/>
    <x v="51"/>
    <x v="2"/>
    <x v="0"/>
    <x v="2"/>
    <n v="6"/>
    <x v="2"/>
    <n v="0"/>
  </r>
  <r>
    <s v="006cbf0a-cb2e-427a-bf1e-a4a5c50d1f30"/>
    <s v="dd1ed5cb-930f-4195-bdea-6b0a821d9360"/>
    <x v="2"/>
    <x v="565"/>
    <x v="461"/>
    <x v="5"/>
    <x v="2"/>
    <x v="6"/>
    <d v="2024-06-10T00:00:00"/>
    <n v="1"/>
    <n v="94.1"/>
    <x v="4"/>
    <x v="14"/>
    <x v="0"/>
    <x v="2"/>
    <x v="2"/>
    <n v="6"/>
    <x v="2"/>
    <n v="0"/>
  </r>
  <r>
    <s v="6cea9472-111c-407a-bf2f-b1215f848687"/>
    <s v="3ab92f4f-82d1-40bd-b840-54985515e6fd"/>
    <x v="1"/>
    <x v="566"/>
    <x v="44"/>
    <x v="7"/>
    <x v="1"/>
    <x v="2"/>
    <d v="2022-12-30T00:00:00"/>
    <n v="15"/>
    <n v="214.35"/>
    <x v="0"/>
    <x v="8"/>
    <x v="0"/>
    <x v="0"/>
    <x v="2"/>
    <n v="6"/>
    <x v="2"/>
    <n v="0"/>
  </r>
  <r>
    <s v="1d8db960-2ea8-4875-922f-3a687c2f8ebb"/>
    <s v="0d5ddc98-b9e8-403c-8759-dfa6be1f5306"/>
    <x v="1"/>
    <x v="567"/>
    <x v="462"/>
    <x v="1"/>
    <x v="0"/>
    <x v="5"/>
    <d v="2024-05-26T00:00:00"/>
    <n v="6"/>
    <n v="534.06000000000006"/>
    <x v="0"/>
    <x v="28"/>
    <x v="2"/>
    <x v="0"/>
    <x v="3"/>
    <n v="1"/>
    <x v="3"/>
    <n v="0"/>
  </r>
  <r>
    <s v="f9ba7f72-0ee0-4da8-ad2c-8188e5e15de4"/>
    <s v="6ab70d26-b79a-41de-92fd-adaad92e32f1"/>
    <x v="1"/>
    <x v="568"/>
    <x v="450"/>
    <x v="9"/>
    <x v="1"/>
    <x v="6"/>
    <d v="2022-07-02T00:00:00"/>
    <n v="11"/>
    <n v="858.77"/>
    <x v="3"/>
    <x v="37"/>
    <x v="1"/>
    <x v="2"/>
    <x v="3"/>
    <n v="1"/>
    <x v="3"/>
    <n v="0"/>
  </r>
  <r>
    <s v="2f0f39d7-4787-4001-8478-c25565cae1b5"/>
    <s v="f5e7d116-d137-4b5d-990b-ed96e339dafb"/>
    <x v="2"/>
    <x v="569"/>
    <x v="463"/>
    <x v="9"/>
    <x v="0"/>
    <x v="6"/>
    <d v="2024-05-06T00:00:00"/>
    <n v="9"/>
    <n v="653.66999999999996"/>
    <x v="1"/>
    <x v="10"/>
    <x v="0"/>
    <x v="2"/>
    <x v="0"/>
    <n v="24"/>
    <x v="0"/>
    <n v="0"/>
  </r>
  <r>
    <s v="44529d8e-9605-4beb-871b-2034b1ee4a5d"/>
    <s v="c267953e-99e8-496a-a486-f9244c0ffef4"/>
    <x v="1"/>
    <x v="570"/>
    <x v="464"/>
    <x v="4"/>
    <x v="1"/>
    <x v="5"/>
    <d v="2022-11-02T00:00:00"/>
    <n v="14"/>
    <n v="596.96"/>
    <x v="0"/>
    <x v="20"/>
    <x v="1"/>
    <x v="1"/>
    <x v="0"/>
    <n v="24"/>
    <x v="0"/>
    <n v="0"/>
  </r>
  <r>
    <s v="93436d1f-78fc-4012-b63f-a30883ac919f"/>
    <s v="132705cd-53fe-4525-a247-c21d52b5fcdc"/>
    <x v="2"/>
    <x v="571"/>
    <x v="465"/>
    <x v="1"/>
    <x v="0"/>
    <x v="4"/>
    <d v="2024-05-22T00:00:00"/>
    <n v="5"/>
    <n v="104.55"/>
    <x v="2"/>
    <x v="36"/>
    <x v="2"/>
    <x v="2"/>
    <x v="3"/>
    <n v="1"/>
    <x v="3"/>
    <n v="0"/>
  </r>
  <r>
    <s v="07e41bf1-ce13-4caf-a78c-c3a85cea6f6c"/>
    <s v="d2f0a030-7c64-4e40-8c93-56f00da8292e"/>
    <x v="0"/>
    <x v="572"/>
    <x v="466"/>
    <x v="6"/>
    <x v="3"/>
    <x v="4"/>
    <d v="2023-03-07T00:00:00"/>
    <n v="9"/>
    <n v="747.72"/>
    <x v="5"/>
    <x v="19"/>
    <x v="0"/>
    <x v="0"/>
    <x v="2"/>
    <n v="6"/>
    <x v="2"/>
    <n v="0"/>
  </r>
  <r>
    <s v="e50ae584-bcd2-416c-bed9-230d6a8b44b5"/>
    <s v="08afef36-fd44-449b-bd55-01a086b6768c"/>
    <x v="1"/>
    <x v="573"/>
    <x v="467"/>
    <x v="5"/>
    <x v="1"/>
    <x v="5"/>
    <d v="2023-09-07T00:00:00"/>
    <n v="27"/>
    <n v="1931.85"/>
    <x v="4"/>
    <x v="6"/>
    <x v="1"/>
    <x v="2"/>
    <x v="1"/>
    <n v="12"/>
    <x v="1"/>
    <n v="0"/>
  </r>
  <r>
    <s v="f399ff8a-f418-45cb-9a19-0b4b5ae74010"/>
    <s v="8c3c15a7-3e8c-4f8f-a03b-cca3f32d6957"/>
    <x v="1"/>
    <x v="574"/>
    <x v="274"/>
    <x v="8"/>
    <x v="0"/>
    <x v="1"/>
    <d v="2024-03-07T00:00:00"/>
    <n v="14"/>
    <n v="1244.46"/>
    <x v="5"/>
    <x v="46"/>
    <x v="2"/>
    <x v="1"/>
    <x v="3"/>
    <n v="1"/>
    <x v="3"/>
    <n v="0"/>
  </r>
  <r>
    <s v="82ca6f29-eb22-4220-bac5-f215cbfc38c7"/>
    <s v="8936c822-8a37-44c7-b941-ebc70c0b937a"/>
    <x v="2"/>
    <x v="575"/>
    <x v="126"/>
    <x v="4"/>
    <x v="1"/>
    <x v="3"/>
    <d v="2023-11-09T00:00:00"/>
    <n v="26"/>
    <n v="2517.3199999999997"/>
    <x v="0"/>
    <x v="31"/>
    <x v="0"/>
    <x v="0"/>
    <x v="1"/>
    <n v="12"/>
    <x v="1"/>
    <n v="0"/>
  </r>
  <r>
    <s v="f89267fd-4df4-440c-b55a-cf78bba9b460"/>
    <s v="189e1724-6e79-49fe-aaed-e83e59f5809f"/>
    <x v="1"/>
    <x v="576"/>
    <x v="468"/>
    <x v="0"/>
    <x v="2"/>
    <x v="2"/>
    <d v="2024-05-08T00:00:00"/>
    <n v="2"/>
    <n v="198.9"/>
    <x v="3"/>
    <x v="13"/>
    <x v="0"/>
    <x v="2"/>
    <x v="3"/>
    <n v="1"/>
    <x v="3"/>
    <n v="0"/>
  </r>
  <r>
    <s v="209c61d6-5db0-4f0a-b84f-0875e7bb9a1a"/>
    <s v="6d363b3d-f9a9-4232-a616-efd0e2dad43e"/>
    <x v="0"/>
    <x v="577"/>
    <x v="181"/>
    <x v="4"/>
    <x v="3"/>
    <x v="1"/>
    <d v="2023-08-01T00:00:00"/>
    <n v="11"/>
    <n v="697.4"/>
    <x v="5"/>
    <x v="7"/>
    <x v="1"/>
    <x v="1"/>
    <x v="0"/>
    <n v="24"/>
    <x v="0"/>
    <n v="0"/>
  </r>
  <r>
    <s v="7652ae59-c197-4a93-a339-2ecc785f1f03"/>
    <s v="adb3d1bb-8203-495f-9e8b-18ee7f382a05"/>
    <x v="0"/>
    <x v="578"/>
    <x v="324"/>
    <x v="9"/>
    <x v="0"/>
    <x v="4"/>
    <d v="2024-05-23T00:00:00"/>
    <n v="10"/>
    <n v="85.3"/>
    <x v="3"/>
    <x v="14"/>
    <x v="2"/>
    <x v="1"/>
    <x v="3"/>
    <n v="1"/>
    <x v="3"/>
    <n v="0"/>
  </r>
  <r>
    <s v="a1d03008-c090-4597-b410-cd50e30ff15f"/>
    <s v="1d691736-c4bc-4c78-9882-d64a7b28f510"/>
    <x v="2"/>
    <x v="579"/>
    <x v="469"/>
    <x v="11"/>
    <x v="3"/>
    <x v="2"/>
    <d v="2023-04-18T00:00:00"/>
    <n v="12"/>
    <n v="76.199999999999989"/>
    <x v="3"/>
    <x v="1"/>
    <x v="0"/>
    <x v="2"/>
    <x v="2"/>
    <n v="6"/>
    <x v="2"/>
    <n v="0"/>
  </r>
  <r>
    <s v="fa7babfc-d736-43fd-9719-559e5a2bd2e7"/>
    <s v="67cdb076-a8d6-4ea6-8400-fe872c865052"/>
    <x v="1"/>
    <x v="580"/>
    <x v="102"/>
    <x v="2"/>
    <x v="0"/>
    <x v="0"/>
    <d v="2023-12-07T00:00:00"/>
    <n v="8"/>
    <n v="698.24"/>
    <x v="1"/>
    <x v="50"/>
    <x v="1"/>
    <x v="2"/>
    <x v="3"/>
    <n v="1"/>
    <x v="3"/>
    <n v="0"/>
  </r>
  <r>
    <s v="502e0600-643f-4aff-8687-de74d12dabf9"/>
    <s v="0fb624d2-89a1-4c1d-8afa-e47a023c1cf1"/>
    <x v="2"/>
    <x v="581"/>
    <x v="470"/>
    <x v="8"/>
    <x v="3"/>
    <x v="4"/>
    <d v="2022-09-14T00:00:00"/>
    <n v="9"/>
    <n v="866.52"/>
    <x v="5"/>
    <x v="10"/>
    <x v="0"/>
    <x v="1"/>
    <x v="3"/>
    <n v="1"/>
    <x v="3"/>
    <n v="0"/>
  </r>
  <r>
    <s v="28a0215b-7d8c-4faf-b8bf-6fb092d683ae"/>
    <s v="eaebc752-98b3-4741-8329-4d243ec6a515"/>
    <x v="1"/>
    <x v="582"/>
    <x v="252"/>
    <x v="11"/>
    <x v="3"/>
    <x v="4"/>
    <d v="2022-06-20T00:00:00"/>
    <n v="1"/>
    <n v="11.19"/>
    <x v="2"/>
    <x v="42"/>
    <x v="0"/>
    <x v="1"/>
    <x v="1"/>
    <n v="12"/>
    <x v="1"/>
    <n v="0"/>
  </r>
  <r>
    <s v="99bf0034-7f33-4f38-b502-dcf506a11dd7"/>
    <s v="8ba676a2-1b13-4d81-b544-f691869e9c02"/>
    <x v="2"/>
    <x v="583"/>
    <x v="471"/>
    <x v="7"/>
    <x v="1"/>
    <x v="6"/>
    <d v="2022-09-14T00:00:00"/>
    <n v="11"/>
    <n v="101.53"/>
    <x v="3"/>
    <x v="4"/>
    <x v="0"/>
    <x v="2"/>
    <x v="3"/>
    <n v="1"/>
    <x v="3"/>
    <n v="0"/>
  </r>
  <r>
    <s v="ee7e09fd-e22b-4586-a0e7-fcc008183aac"/>
    <s v="83bde3f8-0ebd-403e-9987-01d78280b8a1"/>
    <x v="1"/>
    <x v="389"/>
    <x v="472"/>
    <x v="11"/>
    <x v="2"/>
    <x v="5"/>
    <d v="2024-06-14T00:00:00"/>
    <n v="2"/>
    <n v="183.52"/>
    <x v="3"/>
    <x v="2"/>
    <x v="1"/>
    <x v="1"/>
    <x v="3"/>
    <n v="1"/>
    <x v="3"/>
    <n v="0"/>
  </r>
  <r>
    <s v="c90e54a8-6f39-453d-9c58-1d07270e37b0"/>
    <s v="e731a360-826e-464a-9b44-ae213568d6ba"/>
    <x v="1"/>
    <x v="584"/>
    <x v="79"/>
    <x v="7"/>
    <x v="0"/>
    <x v="0"/>
    <d v="2024-02-29T00:00:00"/>
    <n v="4"/>
    <n v="135.91999999999999"/>
    <x v="1"/>
    <x v="19"/>
    <x v="2"/>
    <x v="0"/>
    <x v="1"/>
    <n v="12"/>
    <x v="1"/>
    <n v="0"/>
  </r>
  <r>
    <s v="5a5b78e5-583b-4e5b-889e-3c82177f45e7"/>
    <s v="ab39d840-f572-4a32-8218-c3d66a569981"/>
    <x v="2"/>
    <x v="363"/>
    <x v="473"/>
    <x v="3"/>
    <x v="0"/>
    <x v="2"/>
    <d v="2024-04-17T00:00:00"/>
    <n v="5"/>
    <n v="290.05"/>
    <x v="2"/>
    <x v="44"/>
    <x v="0"/>
    <x v="2"/>
    <x v="3"/>
    <n v="1"/>
    <x v="3"/>
    <n v="0"/>
  </r>
  <r>
    <s v="299c83b2-9b0c-4e83-a45f-6e4bd572a453"/>
    <s v="bb4c3c42-4957-4f29-ac74-bb8a6eb6137d"/>
    <x v="0"/>
    <x v="585"/>
    <x v="474"/>
    <x v="4"/>
    <x v="0"/>
    <x v="4"/>
    <d v="2023-11-04T00:00:00"/>
    <n v="2"/>
    <n v="196.66"/>
    <x v="5"/>
    <x v="9"/>
    <x v="2"/>
    <x v="0"/>
    <x v="0"/>
    <n v="24"/>
    <x v="0"/>
    <n v="0"/>
  </r>
  <r>
    <s v="a9d7665a-4c68-4458-8441-42cccfcb030f"/>
    <s v="f7269b9f-8bf6-4923-8697-ef0b227e27ce"/>
    <x v="1"/>
    <x v="586"/>
    <x v="17"/>
    <x v="7"/>
    <x v="1"/>
    <x v="2"/>
    <d v="2021-11-08T00:00:00"/>
    <n v="2"/>
    <n v="136.52000000000001"/>
    <x v="2"/>
    <x v="44"/>
    <x v="2"/>
    <x v="0"/>
    <x v="0"/>
    <n v="24"/>
    <x v="0"/>
    <n v="0"/>
  </r>
  <r>
    <s v="9ab068cb-d8da-4e53-84bf-b2a71ee64582"/>
    <s v="b34c2e96-67ec-4443-86d3-a0db15d4e025"/>
    <x v="1"/>
    <x v="587"/>
    <x v="475"/>
    <x v="9"/>
    <x v="1"/>
    <x v="3"/>
    <d v="2022-11-16T00:00:00"/>
    <n v="16"/>
    <n v="689.28"/>
    <x v="4"/>
    <x v="35"/>
    <x v="0"/>
    <x v="2"/>
    <x v="3"/>
    <n v="1"/>
    <x v="3"/>
    <n v="0"/>
  </r>
  <r>
    <s v="dbcc1517-37b9-4a61-b3c9-6d76ce0b74b2"/>
    <s v="4889c2fc-f956-4fda-96a9-cf6b47bd1dab"/>
    <x v="1"/>
    <x v="588"/>
    <x v="299"/>
    <x v="11"/>
    <x v="0"/>
    <x v="2"/>
    <d v="2023-11-08T00:00:00"/>
    <n v="6"/>
    <n v="467.88"/>
    <x v="5"/>
    <x v="33"/>
    <x v="0"/>
    <x v="2"/>
    <x v="2"/>
    <n v="6"/>
    <x v="2"/>
    <n v="0"/>
  </r>
  <r>
    <s v="fda25435-af10-4f0d-88ab-777bea8b2d6e"/>
    <s v="e33dd88a-865b-4672-8242-a2baf47ee0c8"/>
    <x v="0"/>
    <x v="589"/>
    <x v="476"/>
    <x v="8"/>
    <x v="2"/>
    <x v="0"/>
    <d v="2024-01-31T00:00:00"/>
    <n v="1"/>
    <n v="55.13"/>
    <x v="4"/>
    <x v="8"/>
    <x v="0"/>
    <x v="0"/>
    <x v="3"/>
    <n v="1"/>
    <x v="3"/>
    <n v="0"/>
  </r>
  <r>
    <s v="d3953a47-be8c-4520-8c09-bc77c64cbd7c"/>
    <s v="a6caf16e-706d-4ae8-b39e-132169b21b88"/>
    <x v="2"/>
    <x v="590"/>
    <x v="477"/>
    <x v="9"/>
    <x v="1"/>
    <x v="2"/>
    <d v="2023-12-13T00:00:00"/>
    <n v="28"/>
    <n v="771.68"/>
    <x v="3"/>
    <x v="47"/>
    <x v="1"/>
    <x v="2"/>
    <x v="2"/>
    <n v="6"/>
    <x v="2"/>
    <n v="0"/>
  </r>
  <r>
    <s v="4b1abeef-8eee-4cab-a950-5308aa9bc820"/>
    <s v="89d2a599-bc3e-43d2-a3e1-54d426732aac"/>
    <x v="2"/>
    <x v="591"/>
    <x v="478"/>
    <x v="3"/>
    <x v="3"/>
    <x v="0"/>
    <d v="2023-01-06T00:00:00"/>
    <n v="2"/>
    <n v="61.54"/>
    <x v="4"/>
    <x v="16"/>
    <x v="1"/>
    <x v="0"/>
    <x v="3"/>
    <n v="1"/>
    <x v="3"/>
    <n v="0"/>
  </r>
  <r>
    <s v="f7b6a84e-5418-4be9-bd6d-052305b98c86"/>
    <s v="763ae498-af34-48f5-83c3-9d7f57bb9455"/>
    <x v="2"/>
    <x v="592"/>
    <x v="479"/>
    <x v="9"/>
    <x v="3"/>
    <x v="5"/>
    <d v="2022-12-12T00:00:00"/>
    <n v="5"/>
    <n v="147.6"/>
    <x v="5"/>
    <x v="27"/>
    <x v="1"/>
    <x v="0"/>
    <x v="1"/>
    <n v="12"/>
    <x v="1"/>
    <n v="0"/>
  </r>
  <r>
    <s v="f65c7f1e-3f78-4547-91d8-ce5fe163acaf"/>
    <s v="6d7921ea-54ae-4cdc-ac82-da46da51ded3"/>
    <x v="0"/>
    <x v="593"/>
    <x v="480"/>
    <x v="9"/>
    <x v="0"/>
    <x v="2"/>
    <d v="2024-01-26T00:00:00"/>
    <n v="6"/>
    <n v="333.42"/>
    <x v="1"/>
    <x v="17"/>
    <x v="2"/>
    <x v="1"/>
    <x v="3"/>
    <n v="1"/>
    <x v="3"/>
    <n v="0"/>
  </r>
  <r>
    <s v="dfd847f7-6927-4cff-b4b2-fea35f1395ee"/>
    <s v="da5628fe-0491-499b-9ba8-14632a9025be"/>
    <x v="0"/>
    <x v="594"/>
    <x v="481"/>
    <x v="7"/>
    <x v="1"/>
    <x v="6"/>
    <d v="2022-09-30T00:00:00"/>
    <n v="12"/>
    <n v="1142.1600000000001"/>
    <x v="1"/>
    <x v="26"/>
    <x v="1"/>
    <x v="2"/>
    <x v="3"/>
    <n v="1"/>
    <x v="3"/>
    <n v="0"/>
  </r>
  <r>
    <s v="5d1c8d01-f109-4b3f-b2de-d49eaf5e3da2"/>
    <s v="6eec43d4-8fba-4267-ab88-3263a3b98d06"/>
    <x v="1"/>
    <x v="172"/>
    <x v="482"/>
    <x v="0"/>
    <x v="0"/>
    <x v="1"/>
    <d v="2024-06-07T00:00:00"/>
    <n v="15"/>
    <n v="1064.0999999999999"/>
    <x v="3"/>
    <x v="42"/>
    <x v="1"/>
    <x v="0"/>
    <x v="3"/>
    <n v="1"/>
    <x v="3"/>
    <n v="0"/>
  </r>
  <r>
    <s v="1aa0e721-202a-48e7-a354-2b57bbb572b6"/>
    <s v="1ed5af96-fc1f-4578-9b2f-aff161770fa3"/>
    <x v="2"/>
    <x v="595"/>
    <x v="483"/>
    <x v="11"/>
    <x v="2"/>
    <x v="2"/>
    <d v="2024-05-30T00:00:00"/>
    <n v="1"/>
    <n v="21.05"/>
    <x v="1"/>
    <x v="22"/>
    <x v="0"/>
    <x v="1"/>
    <x v="0"/>
    <n v="24"/>
    <x v="0"/>
    <n v="0"/>
  </r>
  <r>
    <s v="4c4c3543-cba7-4ba5-b76b-0644d879f485"/>
    <s v="84d6ea31-5bcf-4822-879d-a9b1dbe82b70"/>
    <x v="0"/>
    <x v="596"/>
    <x v="484"/>
    <x v="4"/>
    <x v="0"/>
    <x v="6"/>
    <d v="2024-04-11T00:00:00"/>
    <n v="7"/>
    <n v="283.77999999999997"/>
    <x v="3"/>
    <x v="24"/>
    <x v="0"/>
    <x v="0"/>
    <x v="2"/>
    <n v="6"/>
    <x v="2"/>
    <n v="0"/>
  </r>
  <r>
    <s v="549dfadd-0e23-4d5b-a361-966c2bcdf0d3"/>
    <s v="9f59513b-e411-41f8-8e78-492e06517990"/>
    <x v="1"/>
    <x v="597"/>
    <x v="88"/>
    <x v="5"/>
    <x v="3"/>
    <x v="3"/>
    <d v="2022-12-04T00:00:00"/>
    <n v="6"/>
    <n v="265.86"/>
    <x v="5"/>
    <x v="32"/>
    <x v="2"/>
    <x v="0"/>
    <x v="2"/>
    <n v="6"/>
    <x v="2"/>
    <n v="0"/>
  </r>
  <r>
    <s v="39a4a97e-9dc3-4131-872c-1f36a5596e90"/>
    <s v="b7085f8e-56c9-4f8c-bd77-d34f93f42b38"/>
    <x v="2"/>
    <x v="598"/>
    <x v="185"/>
    <x v="6"/>
    <x v="3"/>
    <x v="6"/>
    <d v="2024-05-11T00:00:00"/>
    <n v="22"/>
    <n v="1544.62"/>
    <x v="4"/>
    <x v="23"/>
    <x v="2"/>
    <x v="1"/>
    <x v="3"/>
    <n v="1"/>
    <x v="3"/>
    <n v="0"/>
  </r>
  <r>
    <s v="eb5183f5-f51f-440a-876c-e427a6b9fab3"/>
    <s v="c9ad0cde-830a-4901-9250-5dd7adb887ed"/>
    <x v="0"/>
    <x v="599"/>
    <x v="273"/>
    <x v="3"/>
    <x v="0"/>
    <x v="4"/>
    <d v="2023-12-10T00:00:00"/>
    <n v="1"/>
    <n v="33.81"/>
    <x v="2"/>
    <x v="17"/>
    <x v="2"/>
    <x v="2"/>
    <x v="3"/>
    <n v="1"/>
    <x v="3"/>
    <n v="0"/>
  </r>
  <r>
    <s v="aa719ffd-2e21-415b-89c6-04868c41e9e3"/>
    <s v="d006853a-207d-49e9-acce-9d3088b394cf"/>
    <x v="1"/>
    <x v="600"/>
    <x v="397"/>
    <x v="10"/>
    <x v="0"/>
    <x v="6"/>
    <d v="2023-04-13T00:00:00"/>
    <n v="3"/>
    <n v="245.94"/>
    <x v="4"/>
    <x v="38"/>
    <x v="0"/>
    <x v="0"/>
    <x v="1"/>
    <n v="12"/>
    <x v="1"/>
    <n v="0"/>
  </r>
  <r>
    <s v="7225ddf4-0094-48e2-b7b9-50d3b2e40cb4"/>
    <s v="4e7373df-c8bf-45fd-ae1d-ebb26b075461"/>
    <x v="2"/>
    <x v="601"/>
    <x v="452"/>
    <x v="0"/>
    <x v="3"/>
    <x v="0"/>
    <d v="2023-09-18T00:00:00"/>
    <n v="18"/>
    <n v="1077.6599999999999"/>
    <x v="3"/>
    <x v="37"/>
    <x v="2"/>
    <x v="1"/>
    <x v="0"/>
    <n v="24"/>
    <x v="0"/>
    <n v="0"/>
  </r>
  <r>
    <s v="293e43c1-7548-45d1-800d-80f0e5877225"/>
    <s v="9e79281a-4ce2-40de-b9ab-7f7502f32dd2"/>
    <x v="0"/>
    <x v="602"/>
    <x v="485"/>
    <x v="2"/>
    <x v="0"/>
    <x v="0"/>
    <d v="2023-07-09T00:00:00"/>
    <n v="3"/>
    <n v="36.450000000000003"/>
    <x v="1"/>
    <x v="5"/>
    <x v="1"/>
    <x v="2"/>
    <x v="3"/>
    <n v="1"/>
    <x v="3"/>
    <n v="0"/>
  </r>
  <r>
    <s v="2b4a77d8-1721-45b0-a967-9b4c63121a14"/>
    <s v="ec74e759-8d0a-4f37-8ca3-ad4438204379"/>
    <x v="0"/>
    <x v="603"/>
    <x v="98"/>
    <x v="6"/>
    <x v="0"/>
    <x v="4"/>
    <d v="2023-12-11T00:00:00"/>
    <n v="5"/>
    <n v="62.15"/>
    <x v="4"/>
    <x v="19"/>
    <x v="1"/>
    <x v="0"/>
    <x v="3"/>
    <n v="1"/>
    <x v="3"/>
    <n v="0"/>
  </r>
  <r>
    <s v="cf8524f5-51a9-4491-b1d2-eec3fe5f442b"/>
    <s v="9ba70a34-b60b-43ea-b994-d1b8f93a499b"/>
    <x v="0"/>
    <x v="604"/>
    <x v="176"/>
    <x v="2"/>
    <x v="2"/>
    <x v="3"/>
    <d v="2024-04-29T00:00:00"/>
    <n v="1"/>
    <n v="40.270000000000003"/>
    <x v="3"/>
    <x v="27"/>
    <x v="2"/>
    <x v="0"/>
    <x v="0"/>
    <n v="24"/>
    <x v="0"/>
    <n v="0"/>
  </r>
  <r>
    <s v="08ae85dc-91b1-4409-9a5d-54e64ed6b558"/>
    <s v="a2e069c3-53ef-49a8-8096-5afa10067044"/>
    <x v="1"/>
    <x v="605"/>
    <x v="486"/>
    <x v="4"/>
    <x v="0"/>
    <x v="3"/>
    <d v="2023-12-20T00:00:00"/>
    <n v="4"/>
    <n v="311.32"/>
    <x v="0"/>
    <x v="10"/>
    <x v="1"/>
    <x v="1"/>
    <x v="0"/>
    <n v="24"/>
    <x v="0"/>
    <n v="0"/>
  </r>
  <r>
    <s v="097fbeaf-765d-4f5e-96e8-efe67a785c72"/>
    <s v="d4a12a89-5361-4b6c-8bc6-7ded173b1f1c"/>
    <x v="0"/>
    <x v="606"/>
    <x v="487"/>
    <x v="0"/>
    <x v="3"/>
    <x v="3"/>
    <d v="2022-11-09T00:00:00"/>
    <n v="8"/>
    <n v="563.36"/>
    <x v="2"/>
    <x v="15"/>
    <x v="0"/>
    <x v="1"/>
    <x v="3"/>
    <n v="1"/>
    <x v="3"/>
    <n v="0"/>
  </r>
  <r>
    <s v="b3e5e0d4-f4e0-4c83-8fb8-d7f7445c2dc4"/>
    <s v="33d0a9e3-eafc-474d-9ec4-80c80e92bf6a"/>
    <x v="1"/>
    <x v="607"/>
    <x v="96"/>
    <x v="0"/>
    <x v="0"/>
    <x v="5"/>
    <d v="2023-05-23T00:00:00"/>
    <n v="2"/>
    <n v="144.52000000000001"/>
    <x v="5"/>
    <x v="29"/>
    <x v="1"/>
    <x v="1"/>
    <x v="3"/>
    <n v="1"/>
    <x v="3"/>
    <n v="0"/>
  </r>
  <r>
    <s v="eec9ebb6-b1ef-4627-beec-22e80632425a"/>
    <s v="8b9749f3-230b-40e1-b2e7-d727df5d83c5"/>
    <x v="0"/>
    <x v="608"/>
    <x v="488"/>
    <x v="0"/>
    <x v="3"/>
    <x v="0"/>
    <d v="2023-09-09T00:00:00"/>
    <n v="19"/>
    <n v="1479.7199999999998"/>
    <x v="4"/>
    <x v="40"/>
    <x v="0"/>
    <x v="0"/>
    <x v="1"/>
    <n v="12"/>
    <x v="1"/>
    <n v="0"/>
  </r>
  <r>
    <s v="f8cfb9c4-35f5-4fc3-84e5-46e9300e5797"/>
    <s v="6b55e651-8bee-4406-a8ce-3457b2cfb410"/>
    <x v="1"/>
    <x v="609"/>
    <x v="62"/>
    <x v="5"/>
    <x v="1"/>
    <x v="4"/>
    <d v="2021-11-17T00:00:00"/>
    <n v="5"/>
    <n v="161.4"/>
    <x v="2"/>
    <x v="47"/>
    <x v="2"/>
    <x v="0"/>
    <x v="2"/>
    <n v="6"/>
    <x v="2"/>
    <n v="0"/>
  </r>
  <r>
    <s v="be65b6bf-a324-4c8c-acd5-ba25f785b7e9"/>
    <s v="67602a06-4400-4beb-8390-420620560ea0"/>
    <x v="1"/>
    <x v="610"/>
    <x v="295"/>
    <x v="1"/>
    <x v="0"/>
    <x v="1"/>
    <d v="2023-12-03T00:00:00"/>
    <n v="1"/>
    <n v="56.62"/>
    <x v="3"/>
    <x v="41"/>
    <x v="1"/>
    <x v="1"/>
    <x v="2"/>
    <n v="6"/>
    <x v="2"/>
    <n v="0"/>
  </r>
  <r>
    <s v="8202c069-84b3-4dc5-838e-12bca9749817"/>
    <s v="72e22447-af6a-4a5c-a3de-9c3c928b92e5"/>
    <x v="2"/>
    <x v="611"/>
    <x v="202"/>
    <x v="6"/>
    <x v="3"/>
    <x v="5"/>
    <d v="2024-02-14T00:00:00"/>
    <n v="19"/>
    <n v="1430.1299999999999"/>
    <x v="4"/>
    <x v="0"/>
    <x v="2"/>
    <x v="1"/>
    <x v="0"/>
    <n v="24"/>
    <x v="0"/>
    <n v="0"/>
  </r>
  <r>
    <s v="41199d72-1dd8-4602-9e4c-1adb08305860"/>
    <s v="350541a1-3a3e-47d9-a040-4152213a6bf6"/>
    <x v="1"/>
    <x v="612"/>
    <x v="489"/>
    <x v="8"/>
    <x v="3"/>
    <x v="3"/>
    <d v="2022-02-18T00:00:00"/>
    <n v="2"/>
    <n v="191.8"/>
    <x v="1"/>
    <x v="6"/>
    <x v="2"/>
    <x v="1"/>
    <x v="3"/>
    <n v="1"/>
    <x v="3"/>
    <n v="0"/>
  </r>
  <r>
    <s v="dfbc6e79-fd75-4f31-a096-7c6502c16651"/>
    <s v="77f30586-6553-4659-8903-f0c533075adb"/>
    <x v="2"/>
    <x v="613"/>
    <x v="490"/>
    <x v="4"/>
    <x v="0"/>
    <x v="5"/>
    <d v="2023-10-06T00:00:00"/>
    <n v="2"/>
    <n v="62.82"/>
    <x v="4"/>
    <x v="32"/>
    <x v="0"/>
    <x v="0"/>
    <x v="0"/>
    <n v="24"/>
    <x v="0"/>
    <n v="0"/>
  </r>
  <r>
    <s v="a4e802a8-1966-41a5-ac55-98ed24ffb1cb"/>
    <s v="fb30ff27-5336-4801-be95-a05cc1284fff"/>
    <x v="1"/>
    <x v="614"/>
    <x v="392"/>
    <x v="2"/>
    <x v="3"/>
    <x v="4"/>
    <d v="2024-03-08T00:00:00"/>
    <n v="23"/>
    <n v="1848.28"/>
    <x v="3"/>
    <x v="7"/>
    <x v="0"/>
    <x v="2"/>
    <x v="0"/>
    <n v="24"/>
    <x v="0"/>
    <n v="0"/>
  </r>
  <r>
    <s v="0053bce8-bdf0-4292-8695-596806243807"/>
    <s v="441bf69f-f8ca-4b09-b92a-0fe8694fe6c8"/>
    <x v="2"/>
    <x v="615"/>
    <x v="376"/>
    <x v="1"/>
    <x v="0"/>
    <x v="2"/>
    <d v="2024-04-02T00:00:00"/>
    <n v="4"/>
    <n v="270.8"/>
    <x v="5"/>
    <x v="19"/>
    <x v="2"/>
    <x v="2"/>
    <x v="1"/>
    <n v="12"/>
    <x v="1"/>
    <n v="0"/>
  </r>
  <r>
    <s v="016c9add-def6-402e-8bf1-1dcc80c5bf41"/>
    <s v="431c7e8e-4e5c-4cc0-aebe-e047da47baa5"/>
    <x v="0"/>
    <x v="616"/>
    <x v="491"/>
    <x v="5"/>
    <x v="0"/>
    <x v="5"/>
    <d v="2023-10-18T00:00:00"/>
    <n v="5"/>
    <n v="300.59999999999997"/>
    <x v="0"/>
    <x v="15"/>
    <x v="2"/>
    <x v="1"/>
    <x v="2"/>
    <n v="6"/>
    <x v="2"/>
    <n v="0"/>
  </r>
  <r>
    <s v="00fadc98-99df-48d3-913a-f188c204caca"/>
    <s v="12d93b64-3f71-42a0-ae2c-3cfcb5f73086"/>
    <x v="1"/>
    <x v="617"/>
    <x v="342"/>
    <x v="10"/>
    <x v="0"/>
    <x v="3"/>
    <d v="2024-01-10T00:00:00"/>
    <n v="11"/>
    <n v="1041.48"/>
    <x v="4"/>
    <x v="48"/>
    <x v="0"/>
    <x v="1"/>
    <x v="1"/>
    <n v="12"/>
    <x v="1"/>
    <n v="0"/>
  </r>
  <r>
    <s v="f402d5d4-e479-4df6-943d-83ed10bf1ccb"/>
    <s v="8a8771de-b322-4b37-be13-d19c7d5daaff"/>
    <x v="0"/>
    <x v="618"/>
    <x v="492"/>
    <x v="11"/>
    <x v="2"/>
    <x v="5"/>
    <d v="2024-06-13T00:00:00"/>
    <n v="1"/>
    <n v="8.49"/>
    <x v="4"/>
    <x v="10"/>
    <x v="2"/>
    <x v="1"/>
    <x v="3"/>
    <n v="1"/>
    <x v="3"/>
    <n v="0"/>
  </r>
  <r>
    <s v="f54aa029-e607-4dcd-95d7-9b1f14f1ee83"/>
    <s v="3918bd32-5af8-4b19-a020-06bbd2314a42"/>
    <x v="0"/>
    <x v="619"/>
    <x v="72"/>
    <x v="8"/>
    <x v="2"/>
    <x v="1"/>
    <d v="2024-05-08T00:00:00"/>
    <n v="4"/>
    <n v="76"/>
    <x v="4"/>
    <x v="9"/>
    <x v="1"/>
    <x v="2"/>
    <x v="3"/>
    <n v="1"/>
    <x v="3"/>
    <n v="0"/>
  </r>
  <r>
    <s v="e3cfd1a3-3a1a-4e52-88b6-b62a3bed3df3"/>
    <s v="f42bae15-445d-4ae9-a5bf-cac6ea3a798e"/>
    <x v="2"/>
    <x v="620"/>
    <x v="493"/>
    <x v="0"/>
    <x v="3"/>
    <x v="2"/>
    <d v="2024-05-27T00:00:00"/>
    <n v="27"/>
    <n v="2074.9499999999998"/>
    <x v="2"/>
    <x v="10"/>
    <x v="0"/>
    <x v="2"/>
    <x v="0"/>
    <n v="24"/>
    <x v="0"/>
    <n v="0"/>
  </r>
  <r>
    <s v="e033d44d-2e5e-4394-b3f1-7e6d2691cb82"/>
    <s v="325007b6-c203-4e7b-bf6e-91608cd59370"/>
    <x v="2"/>
    <x v="621"/>
    <x v="149"/>
    <x v="0"/>
    <x v="2"/>
    <x v="4"/>
    <d v="2024-05-20T00:00:00"/>
    <n v="2"/>
    <n v="25.92"/>
    <x v="3"/>
    <x v="36"/>
    <x v="1"/>
    <x v="0"/>
    <x v="2"/>
    <n v="6"/>
    <x v="2"/>
    <n v="0"/>
  </r>
  <r>
    <s v="1093ed58-ba46-4bd3-a175-e4beb0d24d8c"/>
    <s v="56a1832f-146e-4556-9dea-7591e2a6fcd4"/>
    <x v="2"/>
    <x v="622"/>
    <x v="494"/>
    <x v="3"/>
    <x v="1"/>
    <x v="0"/>
    <d v="2023-05-05T00:00:00"/>
    <n v="18"/>
    <n v="466.02"/>
    <x v="4"/>
    <x v="14"/>
    <x v="2"/>
    <x v="1"/>
    <x v="3"/>
    <n v="1"/>
    <x v="3"/>
    <n v="0"/>
  </r>
  <r>
    <s v="b50b2471-3411-4809-a532-9e8ee5edda7e"/>
    <s v="7bd282a6-1a1f-402f-a55c-96e8c65ad793"/>
    <x v="0"/>
    <x v="623"/>
    <x v="495"/>
    <x v="8"/>
    <x v="2"/>
    <x v="1"/>
    <d v="2024-05-13T00:00:00"/>
    <n v="5"/>
    <n v="155.29999999999998"/>
    <x v="3"/>
    <x v="14"/>
    <x v="2"/>
    <x v="0"/>
    <x v="2"/>
    <n v="6"/>
    <x v="2"/>
    <n v="0"/>
  </r>
  <r>
    <s v="38bf13d9-a4da-44f5-8b7a-a0789fb0cdab"/>
    <s v="11ffb50b-a9a9-4162-b852-1c4953a4c752"/>
    <x v="0"/>
    <x v="624"/>
    <x v="376"/>
    <x v="1"/>
    <x v="0"/>
    <x v="2"/>
    <d v="2024-03-27T00:00:00"/>
    <n v="4"/>
    <n v="286.68"/>
    <x v="1"/>
    <x v="45"/>
    <x v="0"/>
    <x v="1"/>
    <x v="1"/>
    <n v="12"/>
    <x v="1"/>
    <n v="0"/>
  </r>
  <r>
    <s v="1eaa4b0b-ddff-4223-a18a-9ad251d4033e"/>
    <s v="3eb85cd0-e742-4e00-ba87-f489ac8676ca"/>
    <x v="2"/>
    <x v="625"/>
    <x v="496"/>
    <x v="6"/>
    <x v="1"/>
    <x v="3"/>
    <d v="2022-03-13T00:00:00"/>
    <n v="8"/>
    <n v="62.96"/>
    <x v="4"/>
    <x v="1"/>
    <x v="0"/>
    <x v="0"/>
    <x v="3"/>
    <n v="1"/>
    <x v="3"/>
    <n v="0"/>
  </r>
  <r>
    <s v="c4be3557-57fc-489c-9f60-9293c5a9ef8e"/>
    <s v="6c1871c2-f0c7-45fc-bb45-2bf2600adce5"/>
    <x v="2"/>
    <x v="626"/>
    <x v="411"/>
    <x v="2"/>
    <x v="0"/>
    <x v="3"/>
    <d v="2024-06-10T00:00:00"/>
    <n v="14"/>
    <n v="1231.58"/>
    <x v="5"/>
    <x v="30"/>
    <x v="2"/>
    <x v="0"/>
    <x v="2"/>
    <n v="6"/>
    <x v="2"/>
    <n v="0"/>
  </r>
  <r>
    <s v="28005fa0-eab5-40d0-bd3b-d9d7c89396de"/>
    <s v="1e41da65-be81-4207-8fd4-5c26b168e68c"/>
    <x v="2"/>
    <x v="492"/>
    <x v="497"/>
    <x v="9"/>
    <x v="3"/>
    <x v="5"/>
    <d v="2022-09-06T00:00:00"/>
    <n v="1"/>
    <n v="52.73"/>
    <x v="0"/>
    <x v="10"/>
    <x v="2"/>
    <x v="2"/>
    <x v="0"/>
    <n v="24"/>
    <x v="0"/>
    <n v="0"/>
  </r>
  <r>
    <s v="9a05a931-a8bc-4a62-ad3f-9622d63ca7f9"/>
    <s v="1e5744eb-bc59-43b4-9691-c64af56189f9"/>
    <x v="0"/>
    <x v="627"/>
    <x v="319"/>
    <x v="6"/>
    <x v="0"/>
    <x v="1"/>
    <d v="2024-06-01T00:00:00"/>
    <n v="11"/>
    <n v="619.29999999999995"/>
    <x v="5"/>
    <x v="44"/>
    <x v="2"/>
    <x v="1"/>
    <x v="3"/>
    <n v="1"/>
    <x v="3"/>
    <n v="0"/>
  </r>
  <r>
    <s v="c63c9c9e-f315-48ff-8eb2-ea351881a10f"/>
    <s v="88c6627f-35b0-4314-9203-6ee7afe9464c"/>
    <x v="0"/>
    <x v="628"/>
    <x v="374"/>
    <x v="7"/>
    <x v="3"/>
    <x v="3"/>
    <d v="2023-12-29T00:00:00"/>
    <n v="15"/>
    <n v="994.94999999999993"/>
    <x v="0"/>
    <x v="20"/>
    <x v="0"/>
    <x v="2"/>
    <x v="0"/>
    <n v="24"/>
    <x v="0"/>
    <n v="0"/>
  </r>
  <r>
    <s v="cc0a69e2-0922-46ed-91b4-c5a054368eaa"/>
    <s v="6d7575c6-de16-4c76-84f9-5d3a822bcd06"/>
    <x v="1"/>
    <x v="629"/>
    <x v="498"/>
    <x v="6"/>
    <x v="3"/>
    <x v="0"/>
    <d v="2023-06-01T00:00:00"/>
    <n v="11"/>
    <n v="415.35999999999996"/>
    <x v="3"/>
    <x v="16"/>
    <x v="1"/>
    <x v="2"/>
    <x v="0"/>
    <n v="24"/>
    <x v="0"/>
    <n v="0"/>
  </r>
  <r>
    <s v="a89b44c2-f88f-4d77-83d0-fbcadf5cb0e0"/>
    <s v="048fd968-6ece-47d5-b55e-c62bdcb3976a"/>
    <x v="0"/>
    <x v="630"/>
    <x v="499"/>
    <x v="2"/>
    <x v="0"/>
    <x v="1"/>
    <d v="2023-08-28T00:00:00"/>
    <n v="5"/>
    <n v="176.25"/>
    <x v="0"/>
    <x v="17"/>
    <x v="0"/>
    <x v="0"/>
    <x v="1"/>
    <n v="12"/>
    <x v="1"/>
    <n v="0"/>
  </r>
  <r>
    <s v="d56dc6d1-9061-4310-88a4-d1fbb6b7153c"/>
    <s v="e24c36dd-8d57-4423-bec1-999a6a6ca598"/>
    <x v="1"/>
    <x v="631"/>
    <x v="500"/>
    <x v="0"/>
    <x v="3"/>
    <x v="0"/>
    <d v="2022-07-27T00:00:00"/>
    <n v="5"/>
    <n v="104.85"/>
    <x v="2"/>
    <x v="38"/>
    <x v="1"/>
    <x v="1"/>
    <x v="1"/>
    <n v="12"/>
    <x v="1"/>
    <n v="0"/>
  </r>
  <r>
    <s v="bc00d626-a6c8-4849-832b-26d1652cd9a5"/>
    <s v="37ed5a7b-8e0e-4896-97f3-c6151ac033c3"/>
    <x v="0"/>
    <x v="632"/>
    <x v="501"/>
    <x v="1"/>
    <x v="3"/>
    <x v="3"/>
    <d v="2024-01-20T00:00:00"/>
    <n v="14"/>
    <n v="809.62"/>
    <x v="5"/>
    <x v="28"/>
    <x v="1"/>
    <x v="0"/>
    <x v="0"/>
    <n v="24"/>
    <x v="0"/>
    <n v="0"/>
  </r>
  <r>
    <s v="ce861e9c-c973-4490-82e0-2aedc11b35a0"/>
    <s v="cedc0e43-dd5f-43a7-98ee-98a22591a375"/>
    <x v="2"/>
    <x v="633"/>
    <x v="338"/>
    <x v="11"/>
    <x v="0"/>
    <x v="5"/>
    <d v="2023-11-10T00:00:00"/>
    <n v="7"/>
    <n v="246.47"/>
    <x v="3"/>
    <x v="3"/>
    <x v="2"/>
    <x v="1"/>
    <x v="3"/>
    <n v="1"/>
    <x v="3"/>
    <n v="0"/>
  </r>
  <r>
    <s v="b5a5650e-e7ec-4bf1-aa85-2abec194de43"/>
    <s v="2d7a6016-5ef7-4103-afb1-c909d40c3b57"/>
    <x v="0"/>
    <x v="634"/>
    <x v="350"/>
    <x v="1"/>
    <x v="3"/>
    <x v="6"/>
    <d v="2023-10-22T00:00:00"/>
    <n v="11"/>
    <n v="1056.22"/>
    <x v="4"/>
    <x v="18"/>
    <x v="1"/>
    <x v="1"/>
    <x v="0"/>
    <n v="24"/>
    <x v="0"/>
    <n v="0"/>
  </r>
  <r>
    <s v="9d98ee7e-1184-4cc6-83c6-776a4afe13ea"/>
    <s v="b39a266d-2e65-4dbb-8ee0-898ddf41e50a"/>
    <x v="1"/>
    <x v="635"/>
    <x v="8"/>
    <x v="6"/>
    <x v="1"/>
    <x v="5"/>
    <d v="2023-02-14T00:00:00"/>
    <n v="19"/>
    <n v="1838.06"/>
    <x v="0"/>
    <x v="13"/>
    <x v="0"/>
    <x v="1"/>
    <x v="3"/>
    <n v="1"/>
    <x v="3"/>
    <n v="0"/>
  </r>
  <r>
    <s v="76786e0d-17a8-4fe2-a25a-a5e55c950282"/>
    <s v="370926e6-e89d-449e-94ad-17b788f40176"/>
    <x v="2"/>
    <x v="636"/>
    <x v="401"/>
    <x v="1"/>
    <x v="3"/>
    <x v="1"/>
    <d v="2023-07-26T00:00:00"/>
    <n v="8"/>
    <n v="511.28"/>
    <x v="6"/>
    <x v="0"/>
    <x v="2"/>
    <x v="1"/>
    <x v="1"/>
    <n v="12"/>
    <x v="1"/>
    <n v="0"/>
  </r>
  <r>
    <s v="c3f1355a-bbdf-4003-95f2-88e4c2c69724"/>
    <s v="9fc3e37c-6737-49a2-b482-70fc9ef76dc4"/>
    <x v="0"/>
    <x v="637"/>
    <x v="213"/>
    <x v="3"/>
    <x v="1"/>
    <x v="6"/>
    <d v="2023-03-16T00:00:00"/>
    <n v="16"/>
    <n v="1018.56"/>
    <x v="1"/>
    <x v="11"/>
    <x v="2"/>
    <x v="1"/>
    <x v="3"/>
    <n v="1"/>
    <x v="3"/>
    <n v="0"/>
  </r>
  <r>
    <s v="952db28c-7c45-4b89-85cd-db5541c23fe7"/>
    <s v="2fef80f4-d951-4feb-8fe2-ba298c2c2164"/>
    <x v="1"/>
    <x v="638"/>
    <x v="502"/>
    <x v="11"/>
    <x v="0"/>
    <x v="3"/>
    <d v="2023-08-07T00:00:00"/>
    <n v="4"/>
    <n v="357.16"/>
    <x v="2"/>
    <x v="14"/>
    <x v="1"/>
    <x v="2"/>
    <x v="1"/>
    <n v="12"/>
    <x v="1"/>
    <n v="0"/>
  </r>
  <r>
    <s v="283f1789-5480-4201-b23e-d4209da21dfd"/>
    <s v="bc63b111-277e-4556-adac-0d82ee63ee47"/>
    <x v="1"/>
    <x v="639"/>
    <x v="33"/>
    <x v="0"/>
    <x v="3"/>
    <x v="1"/>
    <d v="2023-08-15T00:00:00"/>
    <n v="17"/>
    <n v="1320.5600000000002"/>
    <x v="3"/>
    <x v="50"/>
    <x v="2"/>
    <x v="1"/>
    <x v="2"/>
    <n v="6"/>
    <x v="2"/>
    <n v="0"/>
  </r>
  <r>
    <s v="39fad8ae-71fa-42e7-ba91-bee866c5ebc7"/>
    <s v="a6810763-bc5f-4da2-955d-3d7b9a83577a"/>
    <x v="0"/>
    <x v="640"/>
    <x v="62"/>
    <x v="5"/>
    <x v="1"/>
    <x v="4"/>
    <d v="2023-06-30T00:00:00"/>
    <n v="25"/>
    <n v="869.75"/>
    <x v="3"/>
    <x v="1"/>
    <x v="1"/>
    <x v="2"/>
    <x v="0"/>
    <n v="24"/>
    <x v="0"/>
    <n v="0"/>
  </r>
  <r>
    <s v="130428f2-62af-486a-a0b1-d13eac079ebe"/>
    <s v="220b9274-e48e-41ae-a012-3b1c46468cc6"/>
    <x v="2"/>
    <x v="641"/>
    <x v="503"/>
    <x v="0"/>
    <x v="0"/>
    <x v="5"/>
    <d v="2023-08-02T00:00:00"/>
    <n v="5"/>
    <n v="198.64999999999998"/>
    <x v="4"/>
    <x v="14"/>
    <x v="1"/>
    <x v="1"/>
    <x v="2"/>
    <n v="6"/>
    <x v="2"/>
    <n v="0"/>
  </r>
  <r>
    <s v="98591952-d667-4cac-819f-bdf3d18ca10e"/>
    <s v="913f1e23-6e62-46ad-88cb-c837d6c96f63"/>
    <x v="1"/>
    <x v="642"/>
    <x v="155"/>
    <x v="3"/>
    <x v="3"/>
    <x v="3"/>
    <d v="2024-02-22T00:00:00"/>
    <n v="16"/>
    <n v="385.92"/>
    <x v="0"/>
    <x v="51"/>
    <x v="1"/>
    <x v="2"/>
    <x v="1"/>
    <n v="12"/>
    <x v="1"/>
    <n v="0"/>
  </r>
  <r>
    <s v="15fdabfd-c378-4321-9ce1-a7c8bfeffe91"/>
    <s v="2d70ea47-7e25-43f2-8d32-1db73a222c0e"/>
    <x v="2"/>
    <x v="643"/>
    <x v="258"/>
    <x v="11"/>
    <x v="3"/>
    <x v="4"/>
    <d v="2024-06-17T00:00:00"/>
    <n v="26"/>
    <n v="1333.28"/>
    <x v="2"/>
    <x v="31"/>
    <x v="0"/>
    <x v="2"/>
    <x v="0"/>
    <n v="24"/>
    <x v="0"/>
    <n v="0"/>
  </r>
  <r>
    <s v="2f3faf33-2c1e-45cc-8378-81572d98c122"/>
    <s v="1a547de1-236e-43cd-9ad4-87f2aa49beb2"/>
    <x v="2"/>
    <x v="644"/>
    <x v="504"/>
    <x v="0"/>
    <x v="0"/>
    <x v="3"/>
    <d v="2024-04-22T00:00:00"/>
    <n v="14"/>
    <n v="1283.1000000000001"/>
    <x v="1"/>
    <x v="24"/>
    <x v="2"/>
    <x v="0"/>
    <x v="1"/>
    <n v="12"/>
    <x v="1"/>
    <n v="0"/>
  </r>
  <r>
    <s v="0e285047-3c49-4dea-9590-cb0844e4da18"/>
    <s v="63320a79-14dd-42b8-8329-e8315134d489"/>
    <x v="0"/>
    <x v="645"/>
    <x v="505"/>
    <x v="5"/>
    <x v="2"/>
    <x v="6"/>
    <d v="2024-06-15T00:00:00"/>
    <n v="1"/>
    <n v="16.239999999999998"/>
    <x v="3"/>
    <x v="18"/>
    <x v="2"/>
    <x v="0"/>
    <x v="0"/>
    <n v="24"/>
    <x v="0"/>
    <n v="0"/>
  </r>
  <r>
    <s v="d664b4e0-4827-43db-99eb-5960877a11d0"/>
    <s v="3c5771e6-b66d-458f-b2fd-87a03ac2ee5e"/>
    <x v="0"/>
    <x v="646"/>
    <x v="313"/>
    <x v="4"/>
    <x v="3"/>
    <x v="3"/>
    <d v="2023-05-21T00:00:00"/>
    <n v="9"/>
    <n v="813.33"/>
    <x v="3"/>
    <x v="45"/>
    <x v="2"/>
    <x v="0"/>
    <x v="2"/>
    <n v="6"/>
    <x v="2"/>
    <n v="0"/>
  </r>
  <r>
    <s v="2c77b2a2-789c-430a-9457-20c3cbe9bacd"/>
    <s v="8bf0c561-0353-401f-8281-0d66021ef132"/>
    <x v="2"/>
    <x v="647"/>
    <x v="334"/>
    <x v="10"/>
    <x v="2"/>
    <x v="4"/>
    <d v="2024-05-24T00:00:00"/>
    <n v="4"/>
    <n v="224.12"/>
    <x v="4"/>
    <x v="42"/>
    <x v="1"/>
    <x v="2"/>
    <x v="2"/>
    <n v="6"/>
    <x v="2"/>
    <n v="0"/>
  </r>
  <r>
    <s v="20ceaf3c-2751-430a-9d85-6a423065465e"/>
    <s v="44f51b02-36d8-455f-8522-a9778b666cb6"/>
    <x v="0"/>
    <x v="648"/>
    <x v="506"/>
    <x v="0"/>
    <x v="3"/>
    <x v="2"/>
    <d v="2023-03-15T00:00:00"/>
    <n v="13"/>
    <n v="312.26"/>
    <x v="2"/>
    <x v="51"/>
    <x v="2"/>
    <x v="1"/>
    <x v="3"/>
    <n v="1"/>
    <x v="3"/>
    <n v="0"/>
  </r>
  <r>
    <s v="89f119d1-481c-4dee-87a2-9f186de8c9c4"/>
    <s v="25a39bcb-e5bf-429c-bc72-e859ad43e16c"/>
    <x v="0"/>
    <x v="649"/>
    <x v="507"/>
    <x v="10"/>
    <x v="2"/>
    <x v="3"/>
    <d v="2024-06-06T00:00:00"/>
    <n v="4"/>
    <n v="276"/>
    <x v="6"/>
    <x v="46"/>
    <x v="0"/>
    <x v="1"/>
    <x v="1"/>
    <n v="12"/>
    <x v="1"/>
    <n v="0"/>
  </r>
  <r>
    <s v="d4526d90-375f-4470-9732-ed0afa4871cd"/>
    <s v="b3236047-0e7d-43b1-acb8-b77581801f4c"/>
    <x v="2"/>
    <x v="650"/>
    <x v="244"/>
    <x v="6"/>
    <x v="1"/>
    <x v="0"/>
    <d v="2022-03-20T00:00:00"/>
    <n v="9"/>
    <n v="595.80000000000007"/>
    <x v="1"/>
    <x v="39"/>
    <x v="1"/>
    <x v="0"/>
    <x v="3"/>
    <n v="1"/>
    <x v="3"/>
    <n v="0"/>
  </r>
  <r>
    <s v="c79aa7fb-6ed8-4f3a-897d-5cacf880c947"/>
    <s v="4f15f0ff-ac37-48f5-ad28-5ec80faae34a"/>
    <x v="1"/>
    <x v="651"/>
    <x v="508"/>
    <x v="9"/>
    <x v="3"/>
    <x v="6"/>
    <d v="2022-11-26T00:00:00"/>
    <n v="3"/>
    <n v="49.800000000000004"/>
    <x v="5"/>
    <x v="22"/>
    <x v="1"/>
    <x v="1"/>
    <x v="1"/>
    <n v="12"/>
    <x v="1"/>
    <n v="0"/>
  </r>
  <r>
    <s v="8378aba2-b9de-4192-8f37-ede47bb9bfef"/>
    <s v="6a2b03e5-2ad5-4f94-8f6e-328656fa276e"/>
    <x v="0"/>
    <x v="652"/>
    <x v="112"/>
    <x v="3"/>
    <x v="0"/>
    <x v="5"/>
    <d v="2023-12-29T00:00:00"/>
    <n v="2"/>
    <n v="59.32"/>
    <x v="1"/>
    <x v="4"/>
    <x v="0"/>
    <x v="1"/>
    <x v="1"/>
    <n v="12"/>
    <x v="1"/>
    <n v="0"/>
  </r>
  <r>
    <s v="3145fb9e-ce67-4698-90a3-348b86e5bff8"/>
    <s v="3d55f720-822c-4af7-bc74-0ecd9b1df887"/>
    <x v="2"/>
    <x v="653"/>
    <x v="509"/>
    <x v="8"/>
    <x v="2"/>
    <x v="4"/>
    <d v="2024-03-26T00:00:00"/>
    <n v="2"/>
    <n v="21.42"/>
    <x v="5"/>
    <x v="25"/>
    <x v="2"/>
    <x v="1"/>
    <x v="2"/>
    <n v="6"/>
    <x v="2"/>
    <n v="0"/>
  </r>
  <r>
    <s v="31aac840-a310-4423-8199-b6e9d41d41de"/>
    <s v="95cdd175-1daf-45ed-92b3-cc5fd3f43303"/>
    <x v="0"/>
    <x v="654"/>
    <x v="412"/>
    <x v="11"/>
    <x v="3"/>
    <x v="3"/>
    <d v="2023-07-16T00:00:00"/>
    <n v="14"/>
    <n v="349.16"/>
    <x v="4"/>
    <x v="39"/>
    <x v="1"/>
    <x v="2"/>
    <x v="0"/>
    <n v="24"/>
    <x v="0"/>
    <n v="0"/>
  </r>
  <r>
    <s v="cf8c9d2e-776b-4cdc-a787-b08243064a4c"/>
    <s v="6492aa48-e520-4265-89a2-d0fd6e8462ba"/>
    <x v="0"/>
    <x v="655"/>
    <x v="402"/>
    <x v="8"/>
    <x v="3"/>
    <x v="4"/>
    <d v="2023-11-17T00:00:00"/>
    <n v="22"/>
    <n v="386.54"/>
    <x v="3"/>
    <x v="51"/>
    <x v="2"/>
    <x v="1"/>
    <x v="1"/>
    <n v="12"/>
    <x v="1"/>
    <n v="0"/>
  </r>
  <r>
    <s v="48885f3c-7673-4686-8e9f-574aa755f5b1"/>
    <s v="aab2e613-3df4-4333-9f2b-67c72fcdae73"/>
    <x v="2"/>
    <x v="656"/>
    <x v="81"/>
    <x v="7"/>
    <x v="3"/>
    <x v="2"/>
    <d v="2023-02-15T00:00:00"/>
    <n v="5"/>
    <n v="116.8"/>
    <x v="3"/>
    <x v="25"/>
    <x v="1"/>
    <x v="1"/>
    <x v="2"/>
    <n v="6"/>
    <x v="2"/>
    <n v="0"/>
  </r>
  <r>
    <s v="fc12a5bf-8d9c-40d6-945b-704ece17eff3"/>
    <s v="333d9d77-040e-4c85-b0d2-d9efc06b793f"/>
    <x v="0"/>
    <x v="657"/>
    <x v="510"/>
    <x v="5"/>
    <x v="0"/>
    <x v="2"/>
    <d v="2023-12-13T00:00:00"/>
    <n v="6"/>
    <n v="420.72"/>
    <x v="3"/>
    <x v="29"/>
    <x v="0"/>
    <x v="0"/>
    <x v="2"/>
    <n v="6"/>
    <x v="2"/>
    <n v="0"/>
  </r>
  <r>
    <s v="09f0ed8c-237f-433e-9bc7-c14986cc3401"/>
    <s v="6cc64ba6-60a5-4446-8b37-532108b5dc65"/>
    <x v="1"/>
    <x v="658"/>
    <x v="511"/>
    <x v="1"/>
    <x v="1"/>
    <x v="4"/>
    <d v="2022-06-15T00:00:00"/>
    <n v="6"/>
    <n v="58.199999999999996"/>
    <x v="0"/>
    <x v="43"/>
    <x v="2"/>
    <x v="2"/>
    <x v="3"/>
    <n v="1"/>
    <x v="3"/>
    <n v="0"/>
  </r>
  <r>
    <s v="ec24622d-2114-42aa-a18b-3fa3754a1788"/>
    <s v="56507a62-0864-441f-be15-ac4491e1629d"/>
    <x v="2"/>
    <x v="659"/>
    <x v="512"/>
    <x v="10"/>
    <x v="3"/>
    <x v="1"/>
    <d v="2023-09-01T00:00:00"/>
    <n v="19"/>
    <n v="278.92"/>
    <x v="6"/>
    <x v="21"/>
    <x v="0"/>
    <x v="2"/>
    <x v="0"/>
    <n v="24"/>
    <x v="0"/>
    <n v="0"/>
  </r>
  <r>
    <s v="1f1804ae-20da-4c4a-a070-336f7896b3f9"/>
    <s v="d1d0348b-e875-4381-9256-d6e7421e98a3"/>
    <x v="0"/>
    <x v="660"/>
    <x v="328"/>
    <x v="5"/>
    <x v="0"/>
    <x v="1"/>
    <d v="2024-03-09T00:00:00"/>
    <n v="10"/>
    <n v="177.5"/>
    <x v="2"/>
    <x v="22"/>
    <x v="0"/>
    <x v="1"/>
    <x v="0"/>
    <n v="24"/>
    <x v="0"/>
    <n v="0"/>
  </r>
  <r>
    <s v="1d16a7a7-605b-4876-a6ae-48c5f58a94b5"/>
    <s v="8bb1fed1-4bbc-4cc6-be06-a5aa1a85672f"/>
    <x v="2"/>
    <x v="275"/>
    <x v="513"/>
    <x v="7"/>
    <x v="3"/>
    <x v="4"/>
    <d v="2023-09-09T00:00:00"/>
    <n v="11"/>
    <n v="385.77"/>
    <x v="6"/>
    <x v="15"/>
    <x v="1"/>
    <x v="1"/>
    <x v="0"/>
    <n v="24"/>
    <x v="0"/>
    <n v="0"/>
  </r>
  <r>
    <s v="feaddb22-1137-41be-aafe-152077af70c1"/>
    <s v="368b49a4-bf99-4b8c-b9f5-e29fe4cb31f7"/>
    <x v="2"/>
    <x v="661"/>
    <x v="514"/>
    <x v="5"/>
    <x v="3"/>
    <x v="0"/>
    <d v="2022-10-24T00:00:00"/>
    <n v="5"/>
    <n v="166.9"/>
    <x v="6"/>
    <x v="33"/>
    <x v="0"/>
    <x v="2"/>
    <x v="0"/>
    <n v="24"/>
    <x v="0"/>
    <n v="0"/>
  </r>
  <r>
    <s v="16816c45-df3a-418c-98e7-87b466de42e0"/>
    <s v="9f12d6f1-f832-4673-95fb-a4085dacacf9"/>
    <x v="1"/>
    <x v="662"/>
    <x v="140"/>
    <x v="11"/>
    <x v="2"/>
    <x v="0"/>
    <d v="2024-05-21T00:00:00"/>
    <n v="1"/>
    <n v="29.23"/>
    <x v="2"/>
    <x v="46"/>
    <x v="2"/>
    <x v="1"/>
    <x v="0"/>
    <n v="24"/>
    <x v="0"/>
    <n v="0"/>
  </r>
  <r>
    <s v="aa338a9d-6ee3-4da2-a455-be75ab63f5b1"/>
    <s v="3f803e8d-aeb2-4c4b-b125-df226c144fd1"/>
    <x v="2"/>
    <x v="663"/>
    <x v="137"/>
    <x v="6"/>
    <x v="1"/>
    <x v="2"/>
    <d v="2023-03-14T00:00:00"/>
    <n v="20"/>
    <n v="1526"/>
    <x v="4"/>
    <x v="10"/>
    <x v="1"/>
    <x v="1"/>
    <x v="2"/>
    <n v="6"/>
    <x v="2"/>
    <n v="0"/>
  </r>
  <r>
    <s v="73d7b481-0732-4b6a-9315-8ccece0ea840"/>
    <s v="7b556e57-c3bf-454f-a09a-4c835d7706e5"/>
    <x v="2"/>
    <x v="420"/>
    <x v="200"/>
    <x v="10"/>
    <x v="2"/>
    <x v="0"/>
    <d v="2024-04-15T00:00:00"/>
    <n v="2"/>
    <n v="199.62"/>
    <x v="3"/>
    <x v="22"/>
    <x v="1"/>
    <x v="0"/>
    <x v="0"/>
    <n v="24"/>
    <x v="0"/>
    <n v="0"/>
  </r>
  <r>
    <s v="b3744f0d-b78e-4b9e-9576-da99a0234d84"/>
    <s v="726d9270-83ef-465b-b47f-18ef11eeae95"/>
    <x v="2"/>
    <x v="664"/>
    <x v="439"/>
    <x v="11"/>
    <x v="0"/>
    <x v="6"/>
    <d v="2023-10-08T00:00:00"/>
    <n v="5"/>
    <n v="278.64999999999998"/>
    <x v="5"/>
    <x v="34"/>
    <x v="0"/>
    <x v="2"/>
    <x v="2"/>
    <n v="6"/>
    <x v="2"/>
    <n v="0"/>
  </r>
  <r>
    <s v="44932997-051f-43b9-996d-cc6439944167"/>
    <s v="fd5ac5d6-7d08-4b50-a34c-c48247db91bc"/>
    <x v="2"/>
    <x v="665"/>
    <x v="515"/>
    <x v="11"/>
    <x v="3"/>
    <x v="6"/>
    <d v="2024-06-10T00:00:00"/>
    <n v="26"/>
    <n v="2462.2000000000003"/>
    <x v="1"/>
    <x v="1"/>
    <x v="1"/>
    <x v="0"/>
    <x v="0"/>
    <n v="24"/>
    <x v="0"/>
    <n v="0"/>
  </r>
  <r>
    <s v="27efa4c4-2885-4589-8dba-5febef45c2a2"/>
    <s v="b71bd89e-c251-49b6-b506-e7fac88a3248"/>
    <x v="2"/>
    <x v="666"/>
    <x v="88"/>
    <x v="5"/>
    <x v="3"/>
    <x v="3"/>
    <d v="2024-05-21T00:00:00"/>
    <n v="24"/>
    <n v="1024.32"/>
    <x v="5"/>
    <x v="49"/>
    <x v="0"/>
    <x v="0"/>
    <x v="0"/>
    <n v="24"/>
    <x v="0"/>
    <n v="0"/>
  </r>
  <r>
    <s v="68a7138d-12b5-4d66-9bda-98d563a4c01e"/>
    <s v="eed67c04-754e-47ad-b463-10e0531b2c9f"/>
    <x v="0"/>
    <x v="667"/>
    <x v="516"/>
    <x v="10"/>
    <x v="3"/>
    <x v="1"/>
    <d v="2024-01-29T00:00:00"/>
    <n v="24"/>
    <n v="363.12"/>
    <x v="3"/>
    <x v="20"/>
    <x v="1"/>
    <x v="0"/>
    <x v="2"/>
    <n v="6"/>
    <x v="2"/>
    <n v="0"/>
  </r>
  <r>
    <s v="161c6239-d304-4811-9169-98919c36fb3f"/>
    <s v="b6962bcc-e250-40db-8772-8ea3fe8216dc"/>
    <x v="2"/>
    <x v="668"/>
    <x v="350"/>
    <x v="1"/>
    <x v="3"/>
    <x v="6"/>
    <d v="2023-01-25T00:00:00"/>
    <n v="2"/>
    <n v="87.66"/>
    <x v="4"/>
    <x v="38"/>
    <x v="2"/>
    <x v="2"/>
    <x v="0"/>
    <n v="24"/>
    <x v="0"/>
    <n v="0"/>
  </r>
  <r>
    <s v="9f2a8173-5046-4b38-8826-b47239e19187"/>
    <s v="245eea6a-09ef-48c0-8a2c-3f62192b3b83"/>
    <x v="0"/>
    <x v="669"/>
    <x v="517"/>
    <x v="1"/>
    <x v="1"/>
    <x v="1"/>
    <d v="2023-05-29T00:00:00"/>
    <n v="18"/>
    <n v="596.34"/>
    <x v="6"/>
    <x v="24"/>
    <x v="0"/>
    <x v="1"/>
    <x v="1"/>
    <n v="12"/>
    <x v="1"/>
    <n v="0"/>
  </r>
  <r>
    <s v="df29595f-4a0a-4edd-9eb7-df2900d81869"/>
    <s v="a386a479-ceee-4340-b338-8cd030a1f686"/>
    <x v="0"/>
    <x v="670"/>
    <x v="72"/>
    <x v="8"/>
    <x v="2"/>
    <x v="1"/>
    <d v="2024-05-05T00:00:00"/>
    <n v="4"/>
    <n v="207.48"/>
    <x v="2"/>
    <x v="15"/>
    <x v="2"/>
    <x v="0"/>
    <x v="3"/>
    <n v="1"/>
    <x v="3"/>
    <n v="0"/>
  </r>
  <r>
    <s v="7d6474a5-300d-4562-847e-60af5554f989"/>
    <s v="ab4fb002-4d18-42df-bafc-54d258a03a74"/>
    <x v="1"/>
    <x v="671"/>
    <x v="518"/>
    <x v="8"/>
    <x v="0"/>
    <x v="1"/>
    <d v="2023-11-18T00:00:00"/>
    <n v="11"/>
    <n v="741.62"/>
    <x v="4"/>
    <x v="48"/>
    <x v="2"/>
    <x v="1"/>
    <x v="1"/>
    <n v="12"/>
    <x v="1"/>
    <n v="0"/>
  </r>
  <r>
    <s v="bece1999-87f8-4b50-b028-e09fd8a3e1ca"/>
    <s v="e0f7e9ae-fc77-4ef7-a0a4-e34a3fb68d39"/>
    <x v="1"/>
    <x v="672"/>
    <x v="184"/>
    <x v="4"/>
    <x v="3"/>
    <x v="3"/>
    <d v="2024-03-22T00:00:00"/>
    <n v="19"/>
    <n v="927.19999999999993"/>
    <x v="5"/>
    <x v="33"/>
    <x v="2"/>
    <x v="0"/>
    <x v="2"/>
    <n v="6"/>
    <x v="2"/>
    <n v="0"/>
  </r>
  <r>
    <s v="023493e3-4cff-4da4-b09f-179663c3fda8"/>
    <s v="02f16cda-1f7d-463b-9999-3a946ffb9196"/>
    <x v="1"/>
    <x v="673"/>
    <x v="69"/>
    <x v="5"/>
    <x v="2"/>
    <x v="5"/>
    <d v="2024-06-16T00:00:00"/>
    <n v="1"/>
    <n v="89.05"/>
    <x v="4"/>
    <x v="2"/>
    <x v="2"/>
    <x v="0"/>
    <x v="1"/>
    <n v="12"/>
    <x v="1"/>
    <n v="0"/>
  </r>
  <r>
    <s v="cecf7f3f-a298-41c3-86ca-36c456c47e43"/>
    <s v="ae1b541c-ee31-4132-985f-be7f7da5d316"/>
    <x v="0"/>
    <x v="674"/>
    <x v="519"/>
    <x v="7"/>
    <x v="1"/>
    <x v="5"/>
    <d v="2023-07-20T00:00:00"/>
    <n v="21"/>
    <n v="1505.49"/>
    <x v="5"/>
    <x v="18"/>
    <x v="2"/>
    <x v="1"/>
    <x v="0"/>
    <n v="24"/>
    <x v="0"/>
    <n v="0"/>
  </r>
  <r>
    <s v="6144d71a-273c-490d-bedd-ada7b90c7e85"/>
    <s v="43437486-3774-4435-a4f8-f243cf5be6b5"/>
    <x v="2"/>
    <x v="675"/>
    <x v="285"/>
    <x v="7"/>
    <x v="0"/>
    <x v="3"/>
    <d v="2023-11-16T00:00:00"/>
    <n v="2"/>
    <n v="103.04"/>
    <x v="4"/>
    <x v="8"/>
    <x v="1"/>
    <x v="1"/>
    <x v="2"/>
    <n v="6"/>
    <x v="2"/>
    <n v="0"/>
  </r>
  <r>
    <s v="80384ce8-c859-423a-9600-49b62c815e9e"/>
    <s v="f742fc9b-0d60-4f57-a84a-8dc20c73493e"/>
    <x v="1"/>
    <x v="676"/>
    <x v="520"/>
    <x v="5"/>
    <x v="0"/>
    <x v="1"/>
    <d v="2024-06-13T00:00:00"/>
    <n v="12"/>
    <n v="210.12"/>
    <x v="3"/>
    <x v="14"/>
    <x v="1"/>
    <x v="0"/>
    <x v="3"/>
    <n v="1"/>
    <x v="3"/>
    <n v="0"/>
  </r>
  <r>
    <s v="fc5d959a-49cd-4217-8596-039ab366338a"/>
    <s v="76eeaee2-5712-49b8-a675-39c299a58d24"/>
    <x v="0"/>
    <x v="436"/>
    <x v="521"/>
    <x v="0"/>
    <x v="3"/>
    <x v="5"/>
    <d v="2024-04-24T00:00:00"/>
    <n v="26"/>
    <n v="1110.72"/>
    <x v="4"/>
    <x v="29"/>
    <x v="0"/>
    <x v="1"/>
    <x v="2"/>
    <n v="6"/>
    <x v="2"/>
    <n v="0"/>
  </r>
  <r>
    <s v="41ecafbd-c77b-45a6-99eb-07846ab8f7ca"/>
    <s v="09e72851-9656-4d29-83b7-a5517c4e21af"/>
    <x v="1"/>
    <x v="677"/>
    <x v="316"/>
    <x v="8"/>
    <x v="2"/>
    <x v="4"/>
    <d v="2024-06-14T00:00:00"/>
    <n v="5"/>
    <n v="359.6"/>
    <x v="1"/>
    <x v="37"/>
    <x v="1"/>
    <x v="0"/>
    <x v="0"/>
    <n v="24"/>
    <x v="0"/>
    <n v="0"/>
  </r>
  <r>
    <s v="ddab1dbf-af55-4792-adcc-1adc6a558f77"/>
    <s v="08b428b2-2401-40b7-aa65-f7d0ca9d33fa"/>
    <x v="2"/>
    <x v="678"/>
    <x v="393"/>
    <x v="7"/>
    <x v="1"/>
    <x v="4"/>
    <d v="2023-11-03T00:00:00"/>
    <n v="25"/>
    <n v="801.5"/>
    <x v="0"/>
    <x v="42"/>
    <x v="1"/>
    <x v="0"/>
    <x v="2"/>
    <n v="6"/>
    <x v="2"/>
    <n v="0"/>
  </r>
  <r>
    <s v="7b839c25-5bdf-465d-be29-4489e80c5c33"/>
    <s v="571281e8-bc15-4366-b724-40eaeed58721"/>
    <x v="1"/>
    <x v="445"/>
    <x v="334"/>
    <x v="10"/>
    <x v="2"/>
    <x v="4"/>
    <d v="2024-06-09T00:00:00"/>
    <n v="4"/>
    <n v="59.52"/>
    <x v="5"/>
    <x v="32"/>
    <x v="0"/>
    <x v="2"/>
    <x v="2"/>
    <n v="6"/>
    <x v="2"/>
    <n v="0"/>
  </r>
  <r>
    <s v="135d694c-0757-4306-ba29-466bab231cd6"/>
    <s v="31d3fd7f-626e-47ce-a72f-e43112384b26"/>
    <x v="2"/>
    <x v="679"/>
    <x v="522"/>
    <x v="4"/>
    <x v="1"/>
    <x v="1"/>
    <d v="2022-12-15T00:00:00"/>
    <n v="15"/>
    <n v="1368.75"/>
    <x v="0"/>
    <x v="27"/>
    <x v="0"/>
    <x v="0"/>
    <x v="0"/>
    <n v="24"/>
    <x v="0"/>
    <n v="0"/>
  </r>
  <r>
    <s v="d56735ba-9f34-4a1f-8273-c56f133aa053"/>
    <s v="ab8b582e-d00e-4dc4-8339-714f0461ecff"/>
    <x v="1"/>
    <x v="680"/>
    <x v="434"/>
    <x v="9"/>
    <x v="0"/>
    <x v="2"/>
    <d v="2024-04-27T00:00:00"/>
    <n v="9"/>
    <n v="571.05000000000007"/>
    <x v="1"/>
    <x v="16"/>
    <x v="2"/>
    <x v="1"/>
    <x v="2"/>
    <n v="6"/>
    <x v="2"/>
    <n v="0"/>
  </r>
  <r>
    <s v="74d0d408-80ea-4646-a21e-cf50bfe51ab1"/>
    <s v="dedd6490-1c23-430a-85ae-5448cb11f70a"/>
    <x v="2"/>
    <x v="681"/>
    <x v="165"/>
    <x v="5"/>
    <x v="3"/>
    <x v="2"/>
    <d v="2022-08-28T00:00:00"/>
    <n v="3"/>
    <n v="240.87"/>
    <x v="2"/>
    <x v="33"/>
    <x v="1"/>
    <x v="2"/>
    <x v="2"/>
    <n v="6"/>
    <x v="2"/>
    <n v="0"/>
  </r>
  <r>
    <s v="01f869e9-f70a-441d-a2ac-6d0d8aa620cc"/>
    <s v="5381791b-f70a-4d64-82b1-9c8d84a55df5"/>
    <x v="2"/>
    <x v="682"/>
    <x v="350"/>
    <x v="1"/>
    <x v="3"/>
    <x v="6"/>
    <d v="2024-03-27T00:00:00"/>
    <n v="16"/>
    <n v="1350.24"/>
    <x v="4"/>
    <x v="17"/>
    <x v="1"/>
    <x v="2"/>
    <x v="0"/>
    <n v="24"/>
    <x v="0"/>
    <n v="0"/>
  </r>
  <r>
    <s v="60ae5505-6b39-4a75-9c53-5c7642f06137"/>
    <s v="5fd44176-bcc3-47ff-9130-22ec33a7bab4"/>
    <x v="2"/>
    <x v="176"/>
    <x v="498"/>
    <x v="6"/>
    <x v="3"/>
    <x v="0"/>
    <d v="2023-04-16T00:00:00"/>
    <n v="10"/>
    <n v="509.3"/>
    <x v="5"/>
    <x v="12"/>
    <x v="0"/>
    <x v="0"/>
    <x v="2"/>
    <n v="6"/>
    <x v="2"/>
    <n v="0"/>
  </r>
  <r>
    <s v="1295f41c-8fd8-400a-9e5f-c50762ed7118"/>
    <s v="f67656bc-5da4-4d8b-8890-a66dd8b10702"/>
    <x v="2"/>
    <x v="683"/>
    <x v="337"/>
    <x v="7"/>
    <x v="0"/>
    <x v="1"/>
    <d v="2024-02-03T00:00:00"/>
    <n v="4"/>
    <n v="354.84"/>
    <x v="2"/>
    <x v="16"/>
    <x v="0"/>
    <x v="1"/>
    <x v="2"/>
    <n v="6"/>
    <x v="2"/>
    <n v="0"/>
  </r>
  <r>
    <s v="b23bccdc-40b7-4f73-8e72-f710a8f535cb"/>
    <s v="722c11af-47ad-4c1c-9958-43e6722df2f3"/>
    <x v="2"/>
    <x v="684"/>
    <x v="523"/>
    <x v="1"/>
    <x v="1"/>
    <x v="6"/>
    <d v="2023-05-23T00:00:00"/>
    <n v="18"/>
    <n v="1128.96"/>
    <x v="3"/>
    <x v="16"/>
    <x v="1"/>
    <x v="2"/>
    <x v="1"/>
    <n v="12"/>
    <x v="1"/>
    <n v="0"/>
  </r>
  <r>
    <s v="e0c94248-81d0-4a99-9024-14083cec7094"/>
    <s v="17b266f3-142f-459f-953c-b777503c9586"/>
    <x v="2"/>
    <x v="685"/>
    <x v="524"/>
    <x v="1"/>
    <x v="0"/>
    <x v="3"/>
    <d v="2024-04-01T00:00:00"/>
    <n v="4"/>
    <n v="220.12"/>
    <x v="2"/>
    <x v="27"/>
    <x v="1"/>
    <x v="1"/>
    <x v="0"/>
    <n v="24"/>
    <x v="0"/>
    <n v="0"/>
  </r>
  <r>
    <s v="59809bcd-95d4-4188-b6aa-7f142d8c69b4"/>
    <s v="bab71f17-beb4-41ef-a59e-e05baca62da3"/>
    <x v="0"/>
    <x v="686"/>
    <x v="525"/>
    <x v="10"/>
    <x v="0"/>
    <x v="1"/>
    <d v="2023-07-22T00:00:00"/>
    <n v="6"/>
    <n v="564.48"/>
    <x v="3"/>
    <x v="2"/>
    <x v="0"/>
    <x v="2"/>
    <x v="3"/>
    <n v="1"/>
    <x v="3"/>
    <n v="0"/>
  </r>
  <r>
    <s v="ede682f1-8e7d-41f6-915d-512f8ce63dcb"/>
    <s v="e33f31ee-0957-4805-b235-1b4cf935719a"/>
    <x v="1"/>
    <x v="687"/>
    <x v="470"/>
    <x v="8"/>
    <x v="3"/>
    <x v="4"/>
    <d v="2022-04-29T00:00:00"/>
    <n v="4"/>
    <n v="135.96"/>
    <x v="4"/>
    <x v="45"/>
    <x v="1"/>
    <x v="1"/>
    <x v="3"/>
    <n v="1"/>
    <x v="3"/>
    <n v="0"/>
  </r>
  <r>
    <s v="7f19d331-987f-4a4c-bd7f-c060548a72fb"/>
    <s v="80a15398-053a-49bb-9294-e8cfa8240fd0"/>
    <x v="1"/>
    <x v="688"/>
    <x v="406"/>
    <x v="7"/>
    <x v="1"/>
    <x v="1"/>
    <d v="2024-05-20T00:00:00"/>
    <n v="31"/>
    <n v="3051.3300000000004"/>
    <x v="3"/>
    <x v="0"/>
    <x v="2"/>
    <x v="0"/>
    <x v="3"/>
    <n v="1"/>
    <x v="3"/>
    <n v="0"/>
  </r>
  <r>
    <s v="9aa65040-f1d5-421b-bfa9-c824d415e5dd"/>
    <s v="14466454-36c7-40ab-a709-1754e2fd7fa9"/>
    <x v="0"/>
    <x v="689"/>
    <x v="60"/>
    <x v="0"/>
    <x v="0"/>
    <x v="2"/>
    <d v="2024-02-20T00:00:00"/>
    <n v="11"/>
    <n v="997.7"/>
    <x v="3"/>
    <x v="1"/>
    <x v="1"/>
    <x v="0"/>
    <x v="1"/>
    <n v="12"/>
    <x v="1"/>
    <n v="0"/>
  </r>
  <r>
    <s v="024fda81-cf4f-44a0-8fa2-faec36f1502e"/>
    <s v="ab25aa98-e4eb-46d4-8f88-a3e6eb8ac026"/>
    <x v="1"/>
    <x v="690"/>
    <x v="250"/>
    <x v="1"/>
    <x v="0"/>
    <x v="1"/>
    <d v="2024-04-09T00:00:00"/>
    <n v="4"/>
    <n v="194.32"/>
    <x v="4"/>
    <x v="3"/>
    <x v="0"/>
    <x v="1"/>
    <x v="2"/>
    <n v="6"/>
    <x v="2"/>
    <n v="0"/>
  </r>
  <r>
    <s v="4c1cc3af-02ff-44d6-844d-a9fc5ddd1eee"/>
    <s v="145497d8-8e4e-4996-92bd-9b6433bc1c19"/>
    <x v="0"/>
    <x v="691"/>
    <x v="526"/>
    <x v="11"/>
    <x v="3"/>
    <x v="6"/>
    <d v="2023-03-13T00:00:00"/>
    <n v="11"/>
    <n v="909.26"/>
    <x v="3"/>
    <x v="17"/>
    <x v="1"/>
    <x v="0"/>
    <x v="2"/>
    <n v="6"/>
    <x v="2"/>
    <n v="0"/>
  </r>
  <r>
    <s v="ecdfdea3-9f24-433e-9659-cf4c45a8f698"/>
    <s v="d338cc68-bbec-4b0d-83a9-9fab9b23d154"/>
    <x v="1"/>
    <x v="692"/>
    <x v="144"/>
    <x v="11"/>
    <x v="3"/>
    <x v="5"/>
    <d v="2023-04-21T00:00:00"/>
    <n v="12"/>
    <n v="832.80000000000007"/>
    <x v="1"/>
    <x v="31"/>
    <x v="1"/>
    <x v="0"/>
    <x v="0"/>
    <n v="24"/>
    <x v="0"/>
    <n v="0"/>
  </r>
  <r>
    <s v="3310ecad-b07d-49aa-8c40-bb84130b3871"/>
    <s v="cd8e4634-c87f-4f3c-abc9-ccf8818b954e"/>
    <x v="2"/>
    <x v="693"/>
    <x v="457"/>
    <x v="9"/>
    <x v="0"/>
    <x v="4"/>
    <d v="2024-03-05T00:00:00"/>
    <n v="8"/>
    <n v="283.04000000000002"/>
    <x v="2"/>
    <x v="51"/>
    <x v="2"/>
    <x v="2"/>
    <x v="3"/>
    <n v="1"/>
    <x v="3"/>
    <n v="0"/>
  </r>
  <r>
    <s v="9eb36d49-1799-49cf-a4d3-f421c04487d1"/>
    <s v="78fce96b-d1c6-4888-9e45-d7ea0f07488f"/>
    <x v="0"/>
    <x v="694"/>
    <x v="527"/>
    <x v="9"/>
    <x v="0"/>
    <x v="4"/>
    <d v="2024-03-11T00:00:00"/>
    <n v="7"/>
    <n v="481.59999999999997"/>
    <x v="1"/>
    <x v="13"/>
    <x v="1"/>
    <x v="1"/>
    <x v="1"/>
    <n v="12"/>
    <x v="1"/>
    <n v="0"/>
  </r>
  <r>
    <s v="9122fa84-2108-45e1-bc95-fd9dc279c392"/>
    <s v="70ea2df1-5b31-4bc1-9d46-bb12b487b875"/>
    <x v="1"/>
    <x v="695"/>
    <x v="528"/>
    <x v="9"/>
    <x v="0"/>
    <x v="6"/>
    <d v="2023-10-07T00:00:00"/>
    <n v="2"/>
    <n v="170.16"/>
    <x v="4"/>
    <x v="15"/>
    <x v="0"/>
    <x v="0"/>
    <x v="0"/>
    <n v="24"/>
    <x v="0"/>
    <n v="0"/>
  </r>
  <r>
    <s v="85b9c972-7c36-4b92-a121-a481743d71bb"/>
    <s v="fa31fa4b-d7d3-4f55-859a-dc6bd9ebad1d"/>
    <x v="2"/>
    <x v="696"/>
    <x v="309"/>
    <x v="1"/>
    <x v="3"/>
    <x v="0"/>
    <d v="2024-05-08T00:00:00"/>
    <n v="17"/>
    <n v="1123.1899999999998"/>
    <x v="5"/>
    <x v="50"/>
    <x v="2"/>
    <x v="1"/>
    <x v="3"/>
    <n v="1"/>
    <x v="3"/>
    <n v="0"/>
  </r>
  <r>
    <s v="26e5747c-71b0-4315-80ef-a5559d132508"/>
    <s v="1855d5d7-1fec-4993-9b4b-ddb88ff0d13a"/>
    <x v="1"/>
    <x v="697"/>
    <x v="196"/>
    <x v="5"/>
    <x v="0"/>
    <x v="4"/>
    <d v="2024-04-17T00:00:00"/>
    <n v="11"/>
    <n v="517.77"/>
    <x v="4"/>
    <x v="46"/>
    <x v="1"/>
    <x v="2"/>
    <x v="1"/>
    <n v="12"/>
    <x v="1"/>
    <n v="0"/>
  </r>
  <r>
    <s v="c834c4db-c039-4729-8613-4917186faa8f"/>
    <s v="ed32e8e9-82b5-485c-8264-29bac2d19a05"/>
    <x v="1"/>
    <x v="698"/>
    <x v="529"/>
    <x v="6"/>
    <x v="1"/>
    <x v="2"/>
    <d v="2022-01-15T00:00:00"/>
    <n v="7"/>
    <n v="632.24"/>
    <x v="4"/>
    <x v="12"/>
    <x v="1"/>
    <x v="1"/>
    <x v="2"/>
    <n v="6"/>
    <x v="2"/>
    <n v="0"/>
  </r>
  <r>
    <s v="6ad32b15-bcd2-467d-aa06-12fdebdb0151"/>
    <s v="ca6f64ea-1620-4a08-a062-0a2959516d2b"/>
    <x v="2"/>
    <x v="699"/>
    <x v="22"/>
    <x v="1"/>
    <x v="3"/>
    <x v="4"/>
    <d v="2023-09-18T00:00:00"/>
    <n v="9"/>
    <n v="319.86"/>
    <x v="2"/>
    <x v="48"/>
    <x v="0"/>
    <x v="0"/>
    <x v="1"/>
    <n v="12"/>
    <x v="1"/>
    <n v="0"/>
  </r>
  <r>
    <s v="f5c098b5-22e0-4843-a995-be87c154c166"/>
    <s v="d113fe6c-fdb2-4edb-ac57-8b22cdd37e32"/>
    <x v="0"/>
    <x v="700"/>
    <x v="530"/>
    <x v="3"/>
    <x v="0"/>
    <x v="1"/>
    <d v="2024-03-03T00:00:00"/>
    <n v="4"/>
    <n v="200.2"/>
    <x v="4"/>
    <x v="10"/>
    <x v="2"/>
    <x v="0"/>
    <x v="3"/>
    <n v="1"/>
    <x v="3"/>
    <n v="0"/>
  </r>
  <r>
    <s v="31f9090f-34f5-4a77-8888-61696b2a3068"/>
    <s v="024994ff-c422-4c88-907b-d6fd24eb67c2"/>
    <x v="0"/>
    <x v="701"/>
    <x v="523"/>
    <x v="1"/>
    <x v="1"/>
    <x v="6"/>
    <d v="2023-11-19T00:00:00"/>
    <n v="24"/>
    <n v="1293.5999999999999"/>
    <x v="4"/>
    <x v="8"/>
    <x v="0"/>
    <x v="2"/>
    <x v="3"/>
    <n v="1"/>
    <x v="3"/>
    <n v="0"/>
  </r>
  <r>
    <s v="e54ab246-6bcf-48ec-9163-ef428013543d"/>
    <s v="0c3b4486-c557-4c20-a9d4-d27cda6e7c98"/>
    <x v="1"/>
    <x v="250"/>
    <x v="38"/>
    <x v="9"/>
    <x v="0"/>
    <x v="0"/>
    <d v="2024-04-29T00:00:00"/>
    <n v="9"/>
    <n v="165.06"/>
    <x v="0"/>
    <x v="47"/>
    <x v="0"/>
    <x v="0"/>
    <x v="3"/>
    <n v="1"/>
    <x v="3"/>
    <n v="0"/>
  </r>
  <r>
    <s v="301ae9c2-22cb-40a8-af20-473ec3b67a06"/>
    <s v="029db50c-7d7a-44d7-8465-bc74c9acf91f"/>
    <x v="1"/>
    <x v="702"/>
    <x v="531"/>
    <x v="2"/>
    <x v="2"/>
    <x v="1"/>
    <d v="2024-04-20T00:00:00"/>
    <n v="1"/>
    <n v="72.72"/>
    <x v="0"/>
    <x v="46"/>
    <x v="1"/>
    <x v="2"/>
    <x v="0"/>
    <n v="24"/>
    <x v="0"/>
    <n v="0"/>
  </r>
  <r>
    <s v="fd845c74-9bce-4304-a1f4-bfb8bd413ce5"/>
    <s v="4c4e4aaf-15ad-43ec-8c07-58e1e0316b6c"/>
    <x v="0"/>
    <x v="703"/>
    <x v="532"/>
    <x v="4"/>
    <x v="3"/>
    <x v="1"/>
    <d v="2024-06-01T00:00:00"/>
    <n v="21"/>
    <n v="220.5"/>
    <x v="3"/>
    <x v="48"/>
    <x v="2"/>
    <x v="2"/>
    <x v="0"/>
    <n v="24"/>
    <x v="0"/>
    <n v="0"/>
  </r>
  <r>
    <s v="fe16c78b-c7ef-420a-b308-b629326e9f28"/>
    <s v="6f6266bc-6b6e-4b5f-8a91-b50e80392fa6"/>
    <x v="0"/>
    <x v="704"/>
    <x v="533"/>
    <x v="6"/>
    <x v="3"/>
    <x v="3"/>
    <d v="2022-10-23T00:00:00"/>
    <n v="4"/>
    <n v="130.72"/>
    <x v="5"/>
    <x v="41"/>
    <x v="2"/>
    <x v="0"/>
    <x v="3"/>
    <n v="1"/>
    <x v="3"/>
    <n v="0"/>
  </r>
  <r>
    <s v="1cfcef1b-04d9-445f-b216-da76cda4cd07"/>
    <s v="0773fc13-0e8b-4981-b5fd-af7a8e0fe097"/>
    <x v="0"/>
    <x v="705"/>
    <x v="291"/>
    <x v="6"/>
    <x v="1"/>
    <x v="6"/>
    <d v="2023-05-13T00:00:00"/>
    <n v="22"/>
    <n v="189.42"/>
    <x v="1"/>
    <x v="51"/>
    <x v="2"/>
    <x v="2"/>
    <x v="2"/>
    <n v="6"/>
    <x v="2"/>
    <n v="0"/>
  </r>
  <r>
    <s v="470139fc-9f35-4ea5-a2bb-429b72f746d2"/>
    <s v="de24e4ea-06e0-4368-a7d5-42ad3ed22ba8"/>
    <x v="2"/>
    <x v="706"/>
    <x v="534"/>
    <x v="2"/>
    <x v="3"/>
    <x v="2"/>
    <d v="2024-04-17T00:00:00"/>
    <n v="25"/>
    <n v="2396.75"/>
    <x v="0"/>
    <x v="18"/>
    <x v="2"/>
    <x v="0"/>
    <x v="3"/>
    <n v="1"/>
    <x v="3"/>
    <n v="0"/>
  </r>
  <r>
    <s v="fe5d6ece-c54b-4b82-9ea1-053d8909a7d3"/>
    <s v="d39cf249-5ad1-499a-af8d-7aa19cada327"/>
    <x v="2"/>
    <x v="707"/>
    <x v="165"/>
    <x v="5"/>
    <x v="3"/>
    <x v="2"/>
    <d v="2024-04-15T00:00:00"/>
    <n v="22"/>
    <n v="1504.36"/>
    <x v="3"/>
    <x v="49"/>
    <x v="0"/>
    <x v="2"/>
    <x v="2"/>
    <n v="6"/>
    <x v="2"/>
    <n v="0"/>
  </r>
  <r>
    <s v="eecd5748-691c-4d6f-9ca7-3b9b830ed472"/>
    <s v="d8f276cf-f849-41fb-af8d-50cb7fde2115"/>
    <x v="1"/>
    <x v="708"/>
    <x v="214"/>
    <x v="9"/>
    <x v="1"/>
    <x v="6"/>
    <d v="2022-11-27T00:00:00"/>
    <n v="15"/>
    <n v="1449"/>
    <x v="1"/>
    <x v="0"/>
    <x v="2"/>
    <x v="1"/>
    <x v="1"/>
    <n v="12"/>
    <x v="1"/>
    <n v="0"/>
  </r>
  <r>
    <s v="58f1961a-20e4-4b3f-9f52-fbda94c00b0e"/>
    <s v="f093ed8d-dad1-4862-8d24-5d3afe6f76fb"/>
    <x v="1"/>
    <x v="709"/>
    <x v="535"/>
    <x v="0"/>
    <x v="3"/>
    <x v="3"/>
    <d v="2022-09-21T00:00:00"/>
    <n v="7"/>
    <n v="388.43"/>
    <x v="5"/>
    <x v="9"/>
    <x v="2"/>
    <x v="2"/>
    <x v="3"/>
    <n v="1"/>
    <x v="3"/>
    <n v="0"/>
  </r>
  <r>
    <s v="3ee4fe09-739b-4f69-933f-220de5c986ac"/>
    <s v="3ef6078c-5559-4d80-a78e-27bfe23eff9c"/>
    <x v="1"/>
    <x v="710"/>
    <x v="525"/>
    <x v="10"/>
    <x v="0"/>
    <x v="1"/>
    <d v="2023-08-05T00:00:00"/>
    <n v="6"/>
    <n v="487.20000000000005"/>
    <x v="2"/>
    <x v="1"/>
    <x v="1"/>
    <x v="0"/>
    <x v="3"/>
    <n v="1"/>
    <x v="3"/>
    <n v="0"/>
  </r>
  <r>
    <s v="3fdefc53-3af9-43f9-bf9e-47459bffbb3b"/>
    <s v="6a0fc8df-8acb-4d42-bc52-3e54fb8383da"/>
    <x v="1"/>
    <x v="711"/>
    <x v="536"/>
    <x v="8"/>
    <x v="3"/>
    <x v="0"/>
    <d v="2023-06-03T00:00:00"/>
    <n v="17"/>
    <n v="689.69"/>
    <x v="5"/>
    <x v="27"/>
    <x v="0"/>
    <x v="0"/>
    <x v="2"/>
    <n v="6"/>
    <x v="2"/>
    <n v="0"/>
  </r>
  <r>
    <s v="2136c7c5-f91f-42d3-9339-16b9018b7f98"/>
    <s v="461d9aef-e43e-44a5-b25c-59e7d2414483"/>
    <x v="0"/>
    <x v="712"/>
    <x v="268"/>
    <x v="9"/>
    <x v="1"/>
    <x v="0"/>
    <d v="2023-05-05T00:00:00"/>
    <n v="21"/>
    <n v="810.81"/>
    <x v="2"/>
    <x v="45"/>
    <x v="2"/>
    <x v="1"/>
    <x v="1"/>
    <n v="12"/>
    <x v="1"/>
    <n v="0"/>
  </r>
  <r>
    <s v="4f67065b-f295-4082-ae95-12e47d235ddd"/>
    <s v="27e000b7-5c20-42de-9f5c-304aa4acf215"/>
    <x v="0"/>
    <x v="713"/>
    <x v="410"/>
    <x v="4"/>
    <x v="3"/>
    <x v="1"/>
    <d v="2023-05-29T00:00:00"/>
    <n v="9"/>
    <n v="368.46"/>
    <x v="3"/>
    <x v="2"/>
    <x v="0"/>
    <x v="0"/>
    <x v="2"/>
    <n v="6"/>
    <x v="2"/>
    <n v="0"/>
  </r>
  <r>
    <s v="c0cd3377-0d32-432a-814b-343692efa0b2"/>
    <s v="4be27ccf-e539-45b4-a4b9-a640e5a80803"/>
    <x v="0"/>
    <x v="714"/>
    <x v="537"/>
    <x v="2"/>
    <x v="2"/>
    <x v="1"/>
    <d v="2024-06-11T00:00:00"/>
    <n v="2"/>
    <n v="135"/>
    <x v="2"/>
    <x v="13"/>
    <x v="1"/>
    <x v="1"/>
    <x v="1"/>
    <n v="12"/>
    <x v="1"/>
    <n v="0"/>
  </r>
  <r>
    <s v="6ec8e3ff-75bb-4e60-9e98-84c063bba89c"/>
    <s v="bb56972a-bad9-4cc1-afc5-0e2662256a8d"/>
    <x v="0"/>
    <x v="715"/>
    <x v="538"/>
    <x v="11"/>
    <x v="0"/>
    <x v="6"/>
    <d v="2023-10-09T00:00:00"/>
    <n v="6"/>
    <n v="234.89999999999998"/>
    <x v="4"/>
    <x v="9"/>
    <x v="0"/>
    <x v="2"/>
    <x v="2"/>
    <n v="6"/>
    <x v="2"/>
    <n v="0"/>
  </r>
  <r>
    <s v="e107d805-b698-4b62-8970-aad67c6ec82f"/>
    <s v="99a72019-38df-4b8f-95e3-4660a6f24603"/>
    <x v="2"/>
    <x v="716"/>
    <x v="258"/>
    <x v="11"/>
    <x v="3"/>
    <x v="4"/>
    <d v="2023-10-14T00:00:00"/>
    <n v="18"/>
    <n v="1629.54"/>
    <x v="1"/>
    <x v="0"/>
    <x v="0"/>
    <x v="0"/>
    <x v="2"/>
    <n v="6"/>
    <x v="2"/>
    <n v="0"/>
  </r>
  <r>
    <s v="a80aff04-ef0b-46f8-bb0e-23d0a6284395"/>
    <s v="61bc580d-170e-465a-b842-c193007aabfa"/>
    <x v="0"/>
    <x v="717"/>
    <x v="539"/>
    <x v="1"/>
    <x v="0"/>
    <x v="6"/>
    <d v="2024-02-26T00:00:00"/>
    <n v="3"/>
    <n v="23.669999999999998"/>
    <x v="4"/>
    <x v="37"/>
    <x v="0"/>
    <x v="1"/>
    <x v="3"/>
    <n v="1"/>
    <x v="3"/>
    <n v="0"/>
  </r>
  <r>
    <s v="f9ef6c4f-44dc-4faa-a460-c383a172be16"/>
    <s v="5987d3a8-9466-46c1-938f-9bc13f7538b2"/>
    <x v="1"/>
    <x v="718"/>
    <x v="540"/>
    <x v="8"/>
    <x v="3"/>
    <x v="2"/>
    <d v="2022-09-24T00:00:00"/>
    <n v="8"/>
    <n v="187.12"/>
    <x v="5"/>
    <x v="50"/>
    <x v="2"/>
    <x v="0"/>
    <x v="2"/>
    <n v="6"/>
    <x v="2"/>
    <n v="0"/>
  </r>
  <r>
    <s v="c0d7f05a-36cd-46b5-b8a6-8fe7c88c182e"/>
    <s v="4408b300-4657-40d0-8f63-1e420a40d8de"/>
    <x v="0"/>
    <x v="719"/>
    <x v="266"/>
    <x v="4"/>
    <x v="0"/>
    <x v="1"/>
    <d v="2024-01-24T00:00:00"/>
    <n v="5"/>
    <n v="78.3"/>
    <x v="6"/>
    <x v="13"/>
    <x v="1"/>
    <x v="1"/>
    <x v="1"/>
    <n v="12"/>
    <x v="1"/>
    <n v="0"/>
  </r>
  <r>
    <s v="9f07f107-c280-406e-bf90-9783e06ba9d0"/>
    <s v="5c3c3a06-c016-4896-95d1-5a31d6a996a7"/>
    <x v="1"/>
    <x v="720"/>
    <x v="541"/>
    <x v="5"/>
    <x v="0"/>
    <x v="5"/>
    <d v="2023-12-11T00:00:00"/>
    <n v="6"/>
    <n v="54.12"/>
    <x v="2"/>
    <x v="40"/>
    <x v="2"/>
    <x v="1"/>
    <x v="2"/>
    <n v="6"/>
    <x v="2"/>
    <n v="0"/>
  </r>
  <r>
    <s v="648ac23c-1fb1-4521-8224-fb7f7c1e25ff"/>
    <s v="a61d6886-3c88-4ec7-a19a-10ccf28915f9"/>
    <x v="2"/>
    <x v="721"/>
    <x v="294"/>
    <x v="9"/>
    <x v="3"/>
    <x v="0"/>
    <d v="2024-05-01T00:00:00"/>
    <n v="21"/>
    <n v="559.44000000000005"/>
    <x v="4"/>
    <x v="49"/>
    <x v="1"/>
    <x v="2"/>
    <x v="1"/>
    <n v="12"/>
    <x v="1"/>
    <n v="0"/>
  </r>
  <r>
    <s v="fd5b4b20-5996-4049-a875-3dd2f5b1ad8f"/>
    <s v="511db072-8f45-4947-b813-9e3cf1ce6086"/>
    <x v="2"/>
    <x v="192"/>
    <x v="475"/>
    <x v="9"/>
    <x v="1"/>
    <x v="3"/>
    <d v="2023-12-17T00:00:00"/>
    <n v="29"/>
    <n v="1376.0500000000002"/>
    <x v="4"/>
    <x v="15"/>
    <x v="1"/>
    <x v="2"/>
    <x v="2"/>
    <n v="6"/>
    <x v="2"/>
    <n v="0"/>
  </r>
  <r>
    <s v="ec90c7f9-8719-4020-a694-674dbaa40a39"/>
    <s v="349347cf-5609-41f1-adc1-4b5b79f1849f"/>
    <x v="1"/>
    <x v="722"/>
    <x v="492"/>
    <x v="11"/>
    <x v="2"/>
    <x v="5"/>
    <d v="2024-06-07T00:00:00"/>
    <n v="1"/>
    <n v="84.51"/>
    <x v="5"/>
    <x v="2"/>
    <x v="2"/>
    <x v="2"/>
    <x v="0"/>
    <n v="24"/>
    <x v="0"/>
    <n v="0"/>
  </r>
  <r>
    <s v="2cd40def-dfcb-45b3-9063-45846cf3197e"/>
    <s v="a521ddec-3895-4391-85e5-15e5abca3a85"/>
    <x v="0"/>
    <x v="723"/>
    <x v="167"/>
    <x v="11"/>
    <x v="3"/>
    <x v="5"/>
    <d v="2023-09-14T00:00:00"/>
    <n v="16"/>
    <n v="417.12"/>
    <x v="5"/>
    <x v="42"/>
    <x v="2"/>
    <x v="1"/>
    <x v="0"/>
    <n v="24"/>
    <x v="0"/>
    <n v="0"/>
  </r>
  <r>
    <s v="23779cce-1ae0-4942-a1a8-4a56d1fc7198"/>
    <s v="9e7cc24c-130b-414b-991f-723a3c11de1c"/>
    <x v="0"/>
    <x v="724"/>
    <x v="542"/>
    <x v="6"/>
    <x v="1"/>
    <x v="5"/>
    <d v="2021-09-21T00:00:00"/>
    <n v="3"/>
    <n v="155.76"/>
    <x v="3"/>
    <x v="48"/>
    <x v="0"/>
    <x v="0"/>
    <x v="0"/>
    <n v="24"/>
    <x v="0"/>
    <n v="0"/>
  </r>
  <r>
    <s v="7fff6901-6028-4b2a-bef7-c5bba5f1bc19"/>
    <s v="e1b08329-9aea-4a43-ac67-92d588628982"/>
    <x v="1"/>
    <x v="725"/>
    <x v="439"/>
    <x v="11"/>
    <x v="0"/>
    <x v="6"/>
    <d v="2023-11-04T00:00:00"/>
    <n v="6"/>
    <n v="559.86"/>
    <x v="2"/>
    <x v="51"/>
    <x v="2"/>
    <x v="2"/>
    <x v="3"/>
    <n v="1"/>
    <x v="3"/>
    <n v="0"/>
  </r>
  <r>
    <s v="4e6d7b8e-5c5f-44f6-9b55-306762550a11"/>
    <s v="1e4d7e8f-e51e-43ad-a725-f091597c8d57"/>
    <x v="0"/>
    <x v="726"/>
    <x v="543"/>
    <x v="9"/>
    <x v="1"/>
    <x v="4"/>
    <d v="2023-04-06T00:00:00"/>
    <n v="20"/>
    <n v="1367.8"/>
    <x v="3"/>
    <x v="12"/>
    <x v="1"/>
    <x v="0"/>
    <x v="2"/>
    <n v="6"/>
    <x v="2"/>
    <n v="0"/>
  </r>
  <r>
    <s v="50404ff2-0fa7-481c-9f57-59686d8e05c2"/>
    <s v="f7a4c2fd-4515-4075-ae6d-571879eb141b"/>
    <x v="0"/>
    <x v="727"/>
    <x v="86"/>
    <x v="5"/>
    <x v="0"/>
    <x v="0"/>
    <d v="2023-12-26T00:00:00"/>
    <n v="6"/>
    <n v="484.91999999999996"/>
    <x v="3"/>
    <x v="29"/>
    <x v="0"/>
    <x v="2"/>
    <x v="1"/>
    <n v="12"/>
    <x v="1"/>
    <n v="0"/>
  </r>
  <r>
    <s v="a6bd7f06-77fd-45f1-a816-ce3cf5174f1d"/>
    <s v="2cc04cd9-95ef-4fd3-b1da-05b8b04c111a"/>
    <x v="2"/>
    <x v="728"/>
    <x v="542"/>
    <x v="6"/>
    <x v="1"/>
    <x v="5"/>
    <d v="2022-06-20T00:00:00"/>
    <n v="12"/>
    <n v="688.08"/>
    <x v="4"/>
    <x v="35"/>
    <x v="2"/>
    <x v="1"/>
    <x v="0"/>
    <n v="24"/>
    <x v="0"/>
    <n v="0"/>
  </r>
  <r>
    <s v="799b8e7c-c43b-4a5b-b465-0a86eed7e1e7"/>
    <s v="8820d097-81fd-46ee-b61b-2d2e9b022317"/>
    <x v="1"/>
    <x v="729"/>
    <x v="422"/>
    <x v="11"/>
    <x v="0"/>
    <x v="0"/>
    <d v="2023-06-26T00:00:00"/>
    <n v="2"/>
    <n v="196.28"/>
    <x v="0"/>
    <x v="51"/>
    <x v="0"/>
    <x v="2"/>
    <x v="1"/>
    <n v="12"/>
    <x v="1"/>
    <n v="0"/>
  </r>
  <r>
    <s v="2ceccece-7395-4eac-a309-e7dea1c61113"/>
    <s v="aec651b5-8e1e-49b2-b0df-83ae4f07cc49"/>
    <x v="0"/>
    <x v="326"/>
    <x v="544"/>
    <x v="6"/>
    <x v="0"/>
    <x v="0"/>
    <d v="2023-08-08T00:00:00"/>
    <n v="1"/>
    <n v="60.92"/>
    <x v="4"/>
    <x v="19"/>
    <x v="0"/>
    <x v="0"/>
    <x v="3"/>
    <n v="1"/>
    <x v="3"/>
    <n v="0"/>
  </r>
  <r>
    <s v="39da4de7-9e47-4a69-91c1-17c1812052f8"/>
    <s v="564f6c9b-1463-4d74-8f61-ee37d05ce9d6"/>
    <x v="2"/>
    <x v="730"/>
    <x v="458"/>
    <x v="11"/>
    <x v="0"/>
    <x v="0"/>
    <d v="2024-03-16T00:00:00"/>
    <n v="10"/>
    <n v="93.2"/>
    <x v="2"/>
    <x v="51"/>
    <x v="1"/>
    <x v="1"/>
    <x v="1"/>
    <n v="12"/>
    <x v="1"/>
    <n v="0"/>
  </r>
  <r>
    <s v="3d5ff080-6f6d-4f78-9f21-98e954d402c9"/>
    <s v="d33b804e-8dbe-4894-802c-c2dcd6e550ee"/>
    <x v="0"/>
    <x v="731"/>
    <x v="545"/>
    <x v="3"/>
    <x v="1"/>
    <x v="4"/>
    <d v="2022-04-21T00:00:00"/>
    <n v="5"/>
    <n v="119.05"/>
    <x v="0"/>
    <x v="35"/>
    <x v="1"/>
    <x v="0"/>
    <x v="0"/>
    <n v="24"/>
    <x v="0"/>
    <n v="0"/>
  </r>
  <r>
    <s v="04f37b04-0f44-4d86-8823-a96ae37c4199"/>
    <s v="ca14dda6-4e25-418f-9887-f8acab354402"/>
    <x v="0"/>
    <x v="732"/>
    <x v="546"/>
    <x v="10"/>
    <x v="3"/>
    <x v="5"/>
    <d v="2022-07-17T00:00:00"/>
    <n v="6"/>
    <n v="260.70000000000005"/>
    <x v="3"/>
    <x v="6"/>
    <x v="1"/>
    <x v="1"/>
    <x v="0"/>
    <n v="24"/>
    <x v="0"/>
    <n v="0"/>
  </r>
  <r>
    <s v="13b99a59-2206-4c71-a470-974c2e8f9270"/>
    <s v="6f27ff8c-b351-49ac-a927-a0a01e767a42"/>
    <x v="1"/>
    <x v="733"/>
    <x v="547"/>
    <x v="6"/>
    <x v="1"/>
    <x v="4"/>
    <d v="2022-10-10T00:00:00"/>
    <n v="15"/>
    <n v="931.8"/>
    <x v="4"/>
    <x v="25"/>
    <x v="2"/>
    <x v="0"/>
    <x v="3"/>
    <n v="1"/>
    <x v="3"/>
    <n v="0"/>
  </r>
  <r>
    <s v="499968c7-bf49-4739-a7b6-236af773f132"/>
    <s v="b8c59152-6e43-4566-80f1-e7cfdf6b952e"/>
    <x v="0"/>
    <x v="734"/>
    <x v="14"/>
    <x v="5"/>
    <x v="3"/>
    <x v="3"/>
    <d v="2024-02-10T00:00:00"/>
    <n v="20"/>
    <n v="1566.6"/>
    <x v="5"/>
    <x v="6"/>
    <x v="1"/>
    <x v="2"/>
    <x v="2"/>
    <n v="6"/>
    <x v="2"/>
    <n v="0"/>
  </r>
  <r>
    <s v="68ae0e70-e33e-4253-944d-8d8313e10e68"/>
    <s v="a8af0a1b-9f5a-44b5-8c84-d2f049e291ca"/>
    <x v="2"/>
    <x v="735"/>
    <x v="548"/>
    <x v="2"/>
    <x v="0"/>
    <x v="6"/>
    <d v="2023-12-26T00:00:00"/>
    <n v="9"/>
    <n v="398.16"/>
    <x v="2"/>
    <x v="4"/>
    <x v="0"/>
    <x v="1"/>
    <x v="1"/>
    <n v="12"/>
    <x v="1"/>
    <n v="0"/>
  </r>
  <r>
    <s v="07e9e701-89a8-41fd-affe-d0c23f3af1b3"/>
    <s v="26792787-04a2-4f42-b8d0-1b546b6b3ae7"/>
    <x v="0"/>
    <x v="736"/>
    <x v="549"/>
    <x v="9"/>
    <x v="1"/>
    <x v="4"/>
    <d v="2023-12-26T00:00:00"/>
    <n v="29"/>
    <n v="2101.3399999999997"/>
    <x v="4"/>
    <x v="15"/>
    <x v="1"/>
    <x v="0"/>
    <x v="3"/>
    <n v="1"/>
    <x v="3"/>
    <n v="0"/>
  </r>
  <r>
    <s v="4bdf2db3-b39b-417d-bd4a-35e382f7309b"/>
    <s v="2713f209-4570-4a12-971a-23ab69e532dd"/>
    <x v="0"/>
    <x v="737"/>
    <x v="550"/>
    <x v="8"/>
    <x v="2"/>
    <x v="2"/>
    <d v="2024-04-26T00:00:00"/>
    <n v="4"/>
    <n v="140.56"/>
    <x v="2"/>
    <x v="41"/>
    <x v="1"/>
    <x v="0"/>
    <x v="2"/>
    <n v="6"/>
    <x v="2"/>
    <n v="0"/>
  </r>
  <r>
    <s v="59aa0fbe-3ff7-4450-852e-01f4b5f6a209"/>
    <s v="5caddc8e-53d8-495a-b99c-8c63b55eec38"/>
    <x v="0"/>
    <x v="537"/>
    <x v="551"/>
    <x v="2"/>
    <x v="3"/>
    <x v="6"/>
    <d v="2024-06-10T00:00:00"/>
    <n v="26"/>
    <n v="2548.7800000000002"/>
    <x v="0"/>
    <x v="8"/>
    <x v="0"/>
    <x v="0"/>
    <x v="3"/>
    <n v="1"/>
    <x v="3"/>
    <n v="0"/>
  </r>
  <r>
    <s v="23340e40-e83e-457b-a185-4a78bf0ddb78"/>
    <s v="de8d48aa-45a0-4bad-b8db-a54d7dec0e00"/>
    <x v="0"/>
    <x v="738"/>
    <x v="552"/>
    <x v="4"/>
    <x v="0"/>
    <x v="4"/>
    <d v="2024-02-19T00:00:00"/>
    <n v="6"/>
    <n v="532.14"/>
    <x v="2"/>
    <x v="34"/>
    <x v="0"/>
    <x v="2"/>
    <x v="2"/>
    <n v="6"/>
    <x v="2"/>
    <n v="0"/>
  </r>
  <r>
    <s v="fecc7d79-51eb-4f3d-8542-6d540e7d8fe1"/>
    <s v="48dc0896-0798-4730-b8ab-1fbebed3f4d4"/>
    <x v="0"/>
    <x v="739"/>
    <x v="553"/>
    <x v="1"/>
    <x v="1"/>
    <x v="5"/>
    <d v="2022-07-14T00:00:00"/>
    <n v="7"/>
    <n v="404.67"/>
    <x v="3"/>
    <x v="21"/>
    <x v="0"/>
    <x v="1"/>
    <x v="2"/>
    <n v="6"/>
    <x v="2"/>
    <n v="0"/>
  </r>
  <r>
    <s v="083d2246-3aa1-478a-b849-7fd8cb9b9052"/>
    <s v="8b6c5030-e8b1-4fc6-aac2-cc1cedd9357e"/>
    <x v="1"/>
    <x v="740"/>
    <x v="554"/>
    <x v="0"/>
    <x v="2"/>
    <x v="0"/>
    <d v="2024-04-30T00:00:00"/>
    <n v="2"/>
    <n v="150.9"/>
    <x v="5"/>
    <x v="44"/>
    <x v="2"/>
    <x v="2"/>
    <x v="3"/>
    <n v="1"/>
    <x v="3"/>
    <n v="0"/>
  </r>
  <r>
    <s v="fc25f58e-c7c4-4895-b8cf-9e4a105cc278"/>
    <s v="6476a8de-41c4-4c0a-bdf8-9a06f92379a1"/>
    <x v="0"/>
    <x v="741"/>
    <x v="555"/>
    <x v="11"/>
    <x v="0"/>
    <x v="5"/>
    <d v="2023-10-08T00:00:00"/>
    <n v="6"/>
    <n v="469.20000000000005"/>
    <x v="0"/>
    <x v="28"/>
    <x v="2"/>
    <x v="0"/>
    <x v="3"/>
    <n v="1"/>
    <x v="3"/>
    <n v="0"/>
  </r>
  <r>
    <s v="7c3d7fbb-e692-4576-9d8d-11743435a077"/>
    <s v="890b7c0c-3765-4d01-905f-deb36ebf6ecc"/>
    <x v="2"/>
    <x v="742"/>
    <x v="524"/>
    <x v="1"/>
    <x v="0"/>
    <x v="3"/>
    <d v="2023-12-05T00:00:00"/>
    <n v="1"/>
    <n v="91.28"/>
    <x v="3"/>
    <x v="51"/>
    <x v="1"/>
    <x v="1"/>
    <x v="2"/>
    <n v="6"/>
    <x v="2"/>
    <n v="0"/>
  </r>
  <r>
    <s v="8af98391-af50-4c92-8f10-1c27826b21ba"/>
    <s v="b4e44679-426e-4634-b4ff-6f102393a953"/>
    <x v="0"/>
    <x v="743"/>
    <x v="433"/>
    <x v="5"/>
    <x v="0"/>
    <x v="0"/>
    <d v="2024-02-14T00:00:00"/>
    <n v="8"/>
    <n v="154.24"/>
    <x v="2"/>
    <x v="51"/>
    <x v="1"/>
    <x v="1"/>
    <x v="0"/>
    <n v="24"/>
    <x v="0"/>
    <n v="0"/>
  </r>
  <r>
    <s v="825d01c6-2499-4c37-98c8-05e68805959d"/>
    <s v="e8fe7365-b51c-4201-b9c0-cd2faa387745"/>
    <x v="0"/>
    <x v="744"/>
    <x v="446"/>
    <x v="10"/>
    <x v="2"/>
    <x v="3"/>
    <d v="2024-02-15T00:00:00"/>
    <n v="1"/>
    <n v="58.04"/>
    <x v="4"/>
    <x v="4"/>
    <x v="2"/>
    <x v="2"/>
    <x v="2"/>
    <n v="6"/>
    <x v="2"/>
    <n v="0"/>
  </r>
  <r>
    <s v="cff784c3-ec90-41a2-9acd-d937ffea7d19"/>
    <s v="5f4657c3-2abc-4048-a85c-2b08ab467cee"/>
    <x v="1"/>
    <x v="745"/>
    <x v="376"/>
    <x v="1"/>
    <x v="0"/>
    <x v="2"/>
    <d v="2024-02-08T00:00:00"/>
    <n v="2"/>
    <n v="91.4"/>
    <x v="2"/>
    <x v="10"/>
    <x v="2"/>
    <x v="2"/>
    <x v="1"/>
    <n v="12"/>
    <x v="1"/>
    <n v="0"/>
  </r>
  <r>
    <s v="ae483f19-1b63-4a77-9c8c-ba2ecf3e9019"/>
    <s v="6daa3f3c-5d44-45a5-b798-5db1c06bfd35"/>
    <x v="1"/>
    <x v="746"/>
    <x v="478"/>
    <x v="3"/>
    <x v="3"/>
    <x v="0"/>
    <d v="2024-03-16T00:00:00"/>
    <n v="17"/>
    <n v="1575.9"/>
    <x v="2"/>
    <x v="17"/>
    <x v="2"/>
    <x v="1"/>
    <x v="1"/>
    <n v="12"/>
    <x v="1"/>
    <n v="0"/>
  </r>
  <r>
    <s v="b0b21b46-34f8-4cdc-b9bb-126f95129a62"/>
    <s v="1edc1d48-1593-427b-9a9a-81449f8de810"/>
    <x v="1"/>
    <x v="747"/>
    <x v="431"/>
    <x v="6"/>
    <x v="3"/>
    <x v="1"/>
    <d v="2024-06-04T00:00:00"/>
    <n v="23"/>
    <n v="344.54"/>
    <x v="2"/>
    <x v="37"/>
    <x v="1"/>
    <x v="1"/>
    <x v="3"/>
    <n v="1"/>
    <x v="3"/>
    <n v="0"/>
  </r>
  <r>
    <s v="806539b9-3b8a-4feb-81f5-0117313ba2b8"/>
    <s v="5880b204-2d18-4431-b9fe-ccc9f0258fac"/>
    <x v="1"/>
    <x v="748"/>
    <x v="361"/>
    <x v="1"/>
    <x v="0"/>
    <x v="2"/>
    <d v="2024-01-24T00:00:00"/>
    <n v="1"/>
    <n v="98.34"/>
    <x v="5"/>
    <x v="39"/>
    <x v="1"/>
    <x v="0"/>
    <x v="0"/>
    <n v="24"/>
    <x v="0"/>
    <n v="0"/>
  </r>
  <r>
    <s v="9a8a320c-d473-46b9-81b2-411ff4c6c992"/>
    <s v="834e822b-7b71-49e5-a8fa-7d7d9426fea3"/>
    <x v="0"/>
    <x v="749"/>
    <x v="291"/>
    <x v="6"/>
    <x v="1"/>
    <x v="6"/>
    <d v="2021-12-08T00:00:00"/>
    <n v="5"/>
    <n v="440.85"/>
    <x v="1"/>
    <x v="1"/>
    <x v="2"/>
    <x v="1"/>
    <x v="3"/>
    <n v="1"/>
    <x v="3"/>
    <n v="0"/>
  </r>
  <r>
    <s v="25d62190-b3e0-44a8-ae2c-962b271e98e6"/>
    <s v="0d07c375-a871-441d-8cb1-06eb1eb82564"/>
    <x v="2"/>
    <x v="750"/>
    <x v="556"/>
    <x v="0"/>
    <x v="2"/>
    <x v="0"/>
    <d v="2024-04-02T00:00:00"/>
    <n v="1"/>
    <n v="12.01"/>
    <x v="3"/>
    <x v="15"/>
    <x v="2"/>
    <x v="1"/>
    <x v="0"/>
    <n v="24"/>
    <x v="0"/>
    <n v="0"/>
  </r>
  <r>
    <s v="5a69ccb3-6323-4f2b-bb93-e393f58330cb"/>
    <s v="a420b03e-f122-4143-91d9-38652c4e2fe6"/>
    <x v="2"/>
    <x v="751"/>
    <x v="557"/>
    <x v="10"/>
    <x v="0"/>
    <x v="5"/>
    <d v="2023-09-22T00:00:00"/>
    <n v="8"/>
    <n v="413.12"/>
    <x v="4"/>
    <x v="43"/>
    <x v="0"/>
    <x v="1"/>
    <x v="2"/>
    <n v="6"/>
    <x v="2"/>
    <n v="0"/>
  </r>
  <r>
    <s v="d72fa479-cd49-4ecf-bd5d-69c275fe9fa1"/>
    <s v="35ea80aa-e29a-47a4-8442-7c847b84a193"/>
    <x v="2"/>
    <x v="752"/>
    <x v="136"/>
    <x v="11"/>
    <x v="0"/>
    <x v="5"/>
    <d v="2023-12-12T00:00:00"/>
    <n v="7"/>
    <n v="512.19000000000005"/>
    <x v="2"/>
    <x v="5"/>
    <x v="2"/>
    <x v="0"/>
    <x v="0"/>
    <n v="24"/>
    <x v="0"/>
    <n v="0"/>
  </r>
  <r>
    <s v="6bf3722c-4338-4414-b893-7257b7c6fe74"/>
    <s v="2517f959-4e35-49c4-aa3d-8335a338cb35"/>
    <x v="1"/>
    <x v="753"/>
    <x v="558"/>
    <x v="1"/>
    <x v="1"/>
    <x v="3"/>
    <d v="2022-01-01T00:00:00"/>
    <n v="1"/>
    <n v="75.12"/>
    <x v="2"/>
    <x v="25"/>
    <x v="1"/>
    <x v="2"/>
    <x v="2"/>
    <n v="6"/>
    <x v="2"/>
    <n v="0"/>
  </r>
  <r>
    <s v="1fb9422f-c9f4-4a31-ad33-f45c533a031a"/>
    <s v="3ced7b20-6e47-4612-8c98-a249ba614525"/>
    <x v="0"/>
    <x v="754"/>
    <x v="261"/>
    <x v="4"/>
    <x v="1"/>
    <x v="3"/>
    <d v="2023-01-28T00:00:00"/>
    <n v="17"/>
    <n v="1549.04"/>
    <x v="4"/>
    <x v="47"/>
    <x v="1"/>
    <x v="1"/>
    <x v="3"/>
    <n v="1"/>
    <x v="3"/>
    <n v="0"/>
  </r>
  <r>
    <s v="d5e6cff6-96c5-4383-a0d4-18fca9c882fc"/>
    <s v="e7f806ba-da45-4f97-b6ae-0989646b44e1"/>
    <x v="0"/>
    <x v="755"/>
    <x v="559"/>
    <x v="11"/>
    <x v="2"/>
    <x v="1"/>
    <d v="2024-05-26T00:00:00"/>
    <n v="1"/>
    <n v="80.989999999999995"/>
    <x v="5"/>
    <x v="40"/>
    <x v="2"/>
    <x v="1"/>
    <x v="3"/>
    <n v="1"/>
    <x v="3"/>
    <n v="0"/>
  </r>
  <r>
    <s v="bdf54ea6-7f84-4c46-8f85-caa9a2585e40"/>
    <s v="05bea0d1-47b9-4c1e-955d-da458b6259db"/>
    <x v="0"/>
    <x v="756"/>
    <x v="560"/>
    <x v="0"/>
    <x v="0"/>
    <x v="1"/>
    <d v="2023-10-27T00:00:00"/>
    <n v="8"/>
    <n v="276.32"/>
    <x v="0"/>
    <x v="17"/>
    <x v="1"/>
    <x v="0"/>
    <x v="3"/>
    <n v="1"/>
    <x v="3"/>
    <n v="0"/>
  </r>
  <r>
    <s v="ab7afbf4-09b6-4dc8-ad70-524a7bbaabd7"/>
    <s v="908aa777-6a1b-4a5f-884c-5a9954492563"/>
    <x v="2"/>
    <x v="757"/>
    <x v="561"/>
    <x v="3"/>
    <x v="3"/>
    <x v="5"/>
    <d v="2023-01-26T00:00:00"/>
    <n v="3"/>
    <n v="157.05000000000001"/>
    <x v="2"/>
    <x v="8"/>
    <x v="2"/>
    <x v="1"/>
    <x v="3"/>
    <n v="1"/>
    <x v="3"/>
    <n v="0"/>
  </r>
  <r>
    <s v="5ea08c07-8341-4a51-af9b-0d19e3859d82"/>
    <s v="69d22a84-cef5-4c65-af28-bf7c9b1312b8"/>
    <x v="2"/>
    <x v="624"/>
    <x v="327"/>
    <x v="2"/>
    <x v="0"/>
    <x v="2"/>
    <d v="2023-05-11T00:00:00"/>
    <n v="2"/>
    <n v="143.34"/>
    <x v="3"/>
    <x v="42"/>
    <x v="0"/>
    <x v="2"/>
    <x v="2"/>
    <n v="6"/>
    <x v="2"/>
    <n v="0"/>
  </r>
  <r>
    <s v="348ff247-a5ed-4748-94d2-2c81edf7fa0a"/>
    <s v="d1f9ead8-2edf-4faa-9a08-2f1eb147eb8a"/>
    <x v="1"/>
    <x v="758"/>
    <x v="154"/>
    <x v="8"/>
    <x v="2"/>
    <x v="2"/>
    <d v="2024-02-19T00:00:00"/>
    <n v="1"/>
    <n v="18.149999999999999"/>
    <x v="1"/>
    <x v="21"/>
    <x v="1"/>
    <x v="0"/>
    <x v="0"/>
    <n v="24"/>
    <x v="0"/>
    <n v="0"/>
  </r>
  <r>
    <s v="e75d7ee9-b156-4903-b2f4-64a95591e0cc"/>
    <s v="5dd34087-5d57-4571-af93-f942604bf163"/>
    <x v="2"/>
    <x v="759"/>
    <x v="562"/>
    <x v="7"/>
    <x v="0"/>
    <x v="2"/>
    <d v="2024-03-28T00:00:00"/>
    <n v="6"/>
    <n v="140.57999999999998"/>
    <x v="1"/>
    <x v="38"/>
    <x v="1"/>
    <x v="0"/>
    <x v="1"/>
    <n v="12"/>
    <x v="1"/>
    <n v="0"/>
  </r>
  <r>
    <s v="472ca254-ce2c-4d29-8f39-ff252c407575"/>
    <s v="d13b48d7-fc62-44ce-a6bf-29ea0f53e01c"/>
    <x v="2"/>
    <x v="760"/>
    <x v="563"/>
    <x v="1"/>
    <x v="1"/>
    <x v="1"/>
    <d v="2023-12-22T00:00:00"/>
    <n v="24"/>
    <n v="1216.8000000000002"/>
    <x v="4"/>
    <x v="29"/>
    <x v="2"/>
    <x v="1"/>
    <x v="1"/>
    <n v="12"/>
    <x v="1"/>
    <n v="0"/>
  </r>
  <r>
    <s v="fce90d81-ae38-4658-bf2b-362714017dbd"/>
    <s v="2592937f-b1aa-42d3-b15f-cc14ab4a0b2c"/>
    <x v="2"/>
    <x v="246"/>
    <x v="468"/>
    <x v="0"/>
    <x v="2"/>
    <x v="2"/>
    <d v="2024-04-29T00:00:00"/>
    <n v="2"/>
    <n v="66.66"/>
    <x v="4"/>
    <x v="33"/>
    <x v="2"/>
    <x v="1"/>
    <x v="3"/>
    <n v="1"/>
    <x v="3"/>
    <n v="0"/>
  </r>
  <r>
    <s v="3d63c173-37c0-4b3d-a288-f2fb2eb8e9f9"/>
    <s v="db988ba1-e870-47d3-b3d7-c22de0c3739c"/>
    <x v="2"/>
    <x v="761"/>
    <x v="564"/>
    <x v="9"/>
    <x v="1"/>
    <x v="0"/>
    <d v="2022-04-19T00:00:00"/>
    <n v="9"/>
    <n v="782.46"/>
    <x v="3"/>
    <x v="7"/>
    <x v="1"/>
    <x v="2"/>
    <x v="3"/>
    <n v="1"/>
    <x v="3"/>
    <n v="0"/>
  </r>
  <r>
    <s v="b40c8730-5683-4078-b42a-1859184b7dd7"/>
    <s v="fc5eff36-493e-40c0-a7a0-dcf4fba26d88"/>
    <x v="0"/>
    <x v="762"/>
    <x v="565"/>
    <x v="0"/>
    <x v="3"/>
    <x v="2"/>
    <d v="2022-04-08T00:00:00"/>
    <n v="1"/>
    <n v="60.7"/>
    <x v="2"/>
    <x v="38"/>
    <x v="2"/>
    <x v="0"/>
    <x v="1"/>
    <n v="12"/>
    <x v="1"/>
    <n v="0"/>
  </r>
  <r>
    <s v="e0849aff-ee51-4e2a-bc82-f0e21d10cca4"/>
    <s v="141eb755-0b79-4e85-894f-3efb9004f1e4"/>
    <x v="2"/>
    <x v="763"/>
    <x v="566"/>
    <x v="0"/>
    <x v="2"/>
    <x v="6"/>
    <d v="2024-05-01T00:00:00"/>
    <n v="2"/>
    <n v="171.28"/>
    <x v="3"/>
    <x v="27"/>
    <x v="0"/>
    <x v="0"/>
    <x v="2"/>
    <n v="6"/>
    <x v="2"/>
    <n v="0"/>
  </r>
  <r>
    <s v="87000785-216a-4ddb-9e86-c9bfe4f003f2"/>
    <s v="079dce28-6c1f-4dbb-962a-9eea5b33c0c7"/>
    <x v="2"/>
    <x v="764"/>
    <x v="567"/>
    <x v="8"/>
    <x v="0"/>
    <x v="6"/>
    <d v="2024-03-19T00:00:00"/>
    <n v="14"/>
    <n v="1140.4399999999998"/>
    <x v="2"/>
    <x v="50"/>
    <x v="0"/>
    <x v="0"/>
    <x v="0"/>
    <n v="24"/>
    <x v="0"/>
    <n v="0"/>
  </r>
  <r>
    <s v="1659ac4a-3d07-47d3-9300-d31e996a7670"/>
    <s v="bc10c8d5-72c9-47d0-bb50-556ee2f31f9b"/>
    <x v="2"/>
    <x v="765"/>
    <x v="568"/>
    <x v="9"/>
    <x v="3"/>
    <x v="2"/>
    <d v="2022-11-18T00:00:00"/>
    <n v="3"/>
    <n v="299.52"/>
    <x v="4"/>
    <x v="12"/>
    <x v="1"/>
    <x v="0"/>
    <x v="0"/>
    <n v="24"/>
    <x v="0"/>
    <n v="0"/>
  </r>
  <r>
    <s v="e8551b2e-6f83-45b5-88cc-883a6df6e1eb"/>
    <s v="a5e38f3d-3bd4-4dd1-8eeb-b49dc2aca4c6"/>
    <x v="2"/>
    <x v="766"/>
    <x v="569"/>
    <x v="3"/>
    <x v="0"/>
    <x v="0"/>
    <d v="2024-06-02T00:00:00"/>
    <n v="7"/>
    <n v="598.42999999999995"/>
    <x v="1"/>
    <x v="10"/>
    <x v="2"/>
    <x v="2"/>
    <x v="3"/>
    <n v="1"/>
    <x v="3"/>
    <n v="0"/>
  </r>
  <r>
    <s v="438268e6-e881-403e-9549-25e97a5bab68"/>
    <s v="7a982956-a1df-4131-8e94-163766a44740"/>
    <x v="2"/>
    <x v="767"/>
    <x v="109"/>
    <x v="11"/>
    <x v="3"/>
    <x v="6"/>
    <d v="2022-12-25T00:00:00"/>
    <n v="8"/>
    <n v="354.96"/>
    <x v="0"/>
    <x v="36"/>
    <x v="1"/>
    <x v="2"/>
    <x v="3"/>
    <n v="1"/>
    <x v="3"/>
    <n v="0"/>
  </r>
  <r>
    <s v="b69626af-3beb-477f-ba4f-08c4f5c33dc9"/>
    <s v="64bb2951-ee28-4c8e-9803-8897df2763b8"/>
    <x v="1"/>
    <x v="768"/>
    <x v="43"/>
    <x v="0"/>
    <x v="3"/>
    <x v="0"/>
    <d v="2022-12-27T00:00:00"/>
    <n v="10"/>
    <n v="848.6"/>
    <x v="2"/>
    <x v="48"/>
    <x v="1"/>
    <x v="0"/>
    <x v="0"/>
    <n v="24"/>
    <x v="0"/>
    <n v="0"/>
  </r>
  <r>
    <s v="597711a1-22f3-4cca-b5da-c4b7764d2743"/>
    <s v="5085a6f6-5aa0-4541-8f8d-0b559a3fb333"/>
    <x v="0"/>
    <x v="769"/>
    <x v="398"/>
    <x v="5"/>
    <x v="3"/>
    <x v="6"/>
    <d v="2022-07-28T00:00:00"/>
    <n v="2"/>
    <n v="21.36"/>
    <x v="5"/>
    <x v="5"/>
    <x v="0"/>
    <x v="2"/>
    <x v="3"/>
    <n v="1"/>
    <x v="3"/>
    <n v="0"/>
  </r>
  <r>
    <s v="02c4c29e-fc8f-418c-ab79-9cd2ffc4757e"/>
    <s v="8dab00a1-d9c7-42bf-9036-3ed44d96fed1"/>
    <x v="1"/>
    <x v="770"/>
    <x v="406"/>
    <x v="7"/>
    <x v="1"/>
    <x v="1"/>
    <d v="2022-05-01T00:00:00"/>
    <n v="7"/>
    <n v="267.96000000000004"/>
    <x v="1"/>
    <x v="50"/>
    <x v="0"/>
    <x v="0"/>
    <x v="1"/>
    <n v="12"/>
    <x v="1"/>
    <n v="0"/>
  </r>
  <r>
    <s v="e3635fe6-91b7-4612-b41a-f87318ccf311"/>
    <s v="d4bdc0d2-8510-4ad0-b020-cee8b2986586"/>
    <x v="0"/>
    <x v="771"/>
    <x v="570"/>
    <x v="1"/>
    <x v="0"/>
    <x v="4"/>
    <d v="2024-03-07T00:00:00"/>
    <n v="3"/>
    <n v="277.14"/>
    <x v="2"/>
    <x v="2"/>
    <x v="0"/>
    <x v="2"/>
    <x v="2"/>
    <n v="6"/>
    <x v="2"/>
    <n v="0"/>
  </r>
  <r>
    <s v="8bd2405d-16ef-41e9-b1b5-5f5a5e07ba65"/>
    <s v="a22915da-d8f5-46d4-82d9-17ff230dfaab"/>
    <x v="1"/>
    <x v="772"/>
    <x v="571"/>
    <x v="4"/>
    <x v="3"/>
    <x v="5"/>
    <d v="2023-05-25T00:00:00"/>
    <n v="9"/>
    <n v="866.43"/>
    <x v="2"/>
    <x v="21"/>
    <x v="0"/>
    <x v="1"/>
    <x v="0"/>
    <n v="24"/>
    <x v="0"/>
    <n v="0"/>
  </r>
  <r>
    <s v="d29100aa-f8b4-4ec0-85e6-96e83fefe597"/>
    <s v="71f9a0bd-3e4f-4643-90a4-9977347077db"/>
    <x v="1"/>
    <x v="773"/>
    <x v="277"/>
    <x v="4"/>
    <x v="1"/>
    <x v="5"/>
    <d v="2024-04-11T00:00:00"/>
    <n v="32"/>
    <n v="2107.1999999999998"/>
    <x v="4"/>
    <x v="1"/>
    <x v="1"/>
    <x v="1"/>
    <x v="3"/>
    <n v="1"/>
    <x v="3"/>
    <n v="0"/>
  </r>
  <r>
    <s v="9c9aed3b-c06a-4cd3-856a-689640dc17fc"/>
    <s v="06701ebf-ca85-495e-bb9a-72143274bc32"/>
    <x v="1"/>
    <x v="606"/>
    <x v="194"/>
    <x v="2"/>
    <x v="2"/>
    <x v="2"/>
    <d v="2024-06-07T00:00:00"/>
    <n v="2"/>
    <n v="140.84"/>
    <x v="3"/>
    <x v="31"/>
    <x v="0"/>
    <x v="0"/>
    <x v="0"/>
    <n v="24"/>
    <x v="0"/>
    <n v="0"/>
  </r>
  <r>
    <s v="84a9d61e-6048-48a1-9757-63483d39a283"/>
    <s v="8744e33b-fd79-4258-b98e-5bc7d278d032"/>
    <x v="0"/>
    <x v="774"/>
    <x v="572"/>
    <x v="9"/>
    <x v="1"/>
    <x v="2"/>
    <d v="2023-08-16T00:00:00"/>
    <n v="25"/>
    <n v="225.74999999999997"/>
    <x v="0"/>
    <x v="26"/>
    <x v="2"/>
    <x v="2"/>
    <x v="0"/>
    <n v="24"/>
    <x v="0"/>
    <n v="0"/>
  </r>
  <r>
    <s v="d5fc8be9-b7f5-480d-803a-1eab24d77e9c"/>
    <s v="7eec6b45-c350-400f-80de-815486ae22ae"/>
    <x v="0"/>
    <x v="775"/>
    <x v="301"/>
    <x v="6"/>
    <x v="0"/>
    <x v="4"/>
    <d v="2024-01-05T00:00:00"/>
    <n v="6"/>
    <n v="323.28000000000003"/>
    <x v="5"/>
    <x v="14"/>
    <x v="0"/>
    <x v="1"/>
    <x v="1"/>
    <n v="12"/>
    <x v="1"/>
    <n v="0"/>
  </r>
  <r>
    <s v="26cbef72-35b3-4739-80b5-4103ca352db9"/>
    <s v="73982cab-2415-4d55-8cce-a091c14c549b"/>
    <x v="1"/>
    <x v="776"/>
    <x v="4"/>
    <x v="3"/>
    <x v="3"/>
    <x v="2"/>
    <d v="2024-02-01T00:00:00"/>
    <n v="15"/>
    <n v="854.25"/>
    <x v="1"/>
    <x v="38"/>
    <x v="2"/>
    <x v="0"/>
    <x v="3"/>
    <n v="1"/>
    <x v="3"/>
    <n v="0"/>
  </r>
  <r>
    <s v="cf204b00-406f-411e-8d56-c7d6fbbbd61a"/>
    <s v="bfe83bcc-8c5a-424e-a713-2ab9c228f741"/>
    <x v="1"/>
    <x v="777"/>
    <x v="346"/>
    <x v="4"/>
    <x v="0"/>
    <x v="6"/>
    <d v="2024-06-17T00:00:00"/>
    <n v="10"/>
    <n v="373.1"/>
    <x v="2"/>
    <x v="7"/>
    <x v="0"/>
    <x v="1"/>
    <x v="0"/>
    <n v="24"/>
    <x v="0"/>
    <n v="0"/>
  </r>
  <r>
    <s v="62912ecb-827a-472c-98fd-41d07989072f"/>
    <s v="c642044f-a374-4f4f-8b60-fcd9d0b1fa6a"/>
    <x v="0"/>
    <x v="778"/>
    <x v="236"/>
    <x v="6"/>
    <x v="0"/>
    <x v="6"/>
    <d v="2023-10-02T00:00:00"/>
    <n v="3"/>
    <n v="34.56"/>
    <x v="1"/>
    <x v="9"/>
    <x v="2"/>
    <x v="1"/>
    <x v="0"/>
    <n v="24"/>
    <x v="0"/>
    <n v="0"/>
  </r>
  <r>
    <s v="7f208f12-9109-4345-b1d4-4b700d8653a8"/>
    <s v="04b9e7a6-d456-4d8c-a2e5-6ca539f9d173"/>
    <x v="0"/>
    <x v="779"/>
    <x v="573"/>
    <x v="4"/>
    <x v="1"/>
    <x v="2"/>
    <d v="2024-01-04T00:00:00"/>
    <n v="28"/>
    <n v="749"/>
    <x v="0"/>
    <x v="26"/>
    <x v="0"/>
    <x v="0"/>
    <x v="3"/>
    <n v="1"/>
    <x v="3"/>
    <n v="0"/>
  </r>
  <r>
    <s v="55c2bb0c-fe4a-484e-8639-603e5573ef9e"/>
    <s v="1af7e56b-70c6-4a7f-ac76-fc38ba0e9eb9"/>
    <x v="1"/>
    <x v="780"/>
    <x v="46"/>
    <x v="4"/>
    <x v="3"/>
    <x v="0"/>
    <d v="2023-07-13T00:00:00"/>
    <n v="11"/>
    <n v="429.10999999999996"/>
    <x v="5"/>
    <x v="9"/>
    <x v="1"/>
    <x v="1"/>
    <x v="0"/>
    <n v="24"/>
    <x v="0"/>
    <n v="0"/>
  </r>
  <r>
    <s v="43f4eca7-9a1c-47b8-a929-ef5b50eb3ce1"/>
    <s v="73bf4c58-15ea-4744-8e05-7932f6ec743e"/>
    <x v="1"/>
    <x v="781"/>
    <x v="574"/>
    <x v="9"/>
    <x v="3"/>
    <x v="0"/>
    <d v="2024-02-25T00:00:00"/>
    <n v="19"/>
    <n v="880.46"/>
    <x v="1"/>
    <x v="0"/>
    <x v="0"/>
    <x v="1"/>
    <x v="1"/>
    <n v="12"/>
    <x v="1"/>
    <n v="0"/>
  </r>
  <r>
    <s v="54acf3ec-682a-4c03-9e6a-9dd83c417e14"/>
    <s v="3048848f-f4e1-4c0a-8533-cee4f605f286"/>
    <x v="1"/>
    <x v="782"/>
    <x v="575"/>
    <x v="4"/>
    <x v="0"/>
    <x v="4"/>
    <d v="2023-10-20T00:00:00"/>
    <n v="2"/>
    <n v="122.28"/>
    <x v="0"/>
    <x v="33"/>
    <x v="0"/>
    <x v="0"/>
    <x v="0"/>
    <n v="24"/>
    <x v="0"/>
    <n v="0"/>
  </r>
  <r>
    <s v="fbd39a48-99fd-43b0-a1e2-d25399078457"/>
    <s v="8865dfd4-ded7-4ce5-92e5-573897ff9ee4"/>
    <x v="1"/>
    <x v="783"/>
    <x v="226"/>
    <x v="3"/>
    <x v="3"/>
    <x v="5"/>
    <d v="2023-02-03T00:00:00"/>
    <n v="3"/>
    <n v="220.89"/>
    <x v="5"/>
    <x v="15"/>
    <x v="1"/>
    <x v="0"/>
    <x v="3"/>
    <n v="1"/>
    <x v="3"/>
    <n v="0"/>
  </r>
  <r>
    <s v="fb5181f9-4db3-46f8-b24b-9b4f7ecf68ff"/>
    <s v="96490e3e-3591-43cb-8031-52b0de9476cf"/>
    <x v="2"/>
    <x v="784"/>
    <x v="432"/>
    <x v="11"/>
    <x v="2"/>
    <x v="6"/>
    <d v="2024-06-16T00:00:00"/>
    <n v="1"/>
    <n v="36.25"/>
    <x v="2"/>
    <x v="35"/>
    <x v="1"/>
    <x v="1"/>
    <x v="0"/>
    <n v="24"/>
    <x v="0"/>
    <n v="0"/>
  </r>
  <r>
    <s v="419426b1-0431-4f58-a314-7974d2d173ff"/>
    <s v="96cc158c-5241-49c1-90a3-1d7d23de18dc"/>
    <x v="0"/>
    <x v="785"/>
    <x v="251"/>
    <x v="2"/>
    <x v="2"/>
    <x v="2"/>
    <d v="2024-05-02T00:00:00"/>
    <n v="1"/>
    <n v="6.87"/>
    <x v="0"/>
    <x v="47"/>
    <x v="2"/>
    <x v="2"/>
    <x v="3"/>
    <n v="1"/>
    <x v="3"/>
    <n v="0"/>
  </r>
  <r>
    <s v="d3e4ddd4-5d87-4cf1-8e51-0397886c2b4f"/>
    <s v="94a1ce2a-340e-475b-adbc-47622238ed87"/>
    <x v="0"/>
    <x v="786"/>
    <x v="176"/>
    <x v="2"/>
    <x v="2"/>
    <x v="3"/>
    <d v="2024-04-29T00:00:00"/>
    <n v="1"/>
    <n v="8.8800000000000008"/>
    <x v="2"/>
    <x v="29"/>
    <x v="2"/>
    <x v="0"/>
    <x v="3"/>
    <n v="1"/>
    <x v="3"/>
    <n v="0"/>
  </r>
  <r>
    <s v="195833dc-16cb-42d7-86e2-d7a5b441b273"/>
    <s v="07d40dfd-85ac-420c-bce9-3d616e318d37"/>
    <x v="2"/>
    <x v="787"/>
    <x v="576"/>
    <x v="1"/>
    <x v="1"/>
    <x v="2"/>
    <d v="2024-04-01T00:00:00"/>
    <n v="28"/>
    <n v="825.71999999999991"/>
    <x v="0"/>
    <x v="1"/>
    <x v="1"/>
    <x v="2"/>
    <x v="3"/>
    <n v="1"/>
    <x v="3"/>
    <n v="0"/>
  </r>
  <r>
    <s v="30d9db63-ca99-4641-923b-98cb0a867343"/>
    <s v="26d78095-2081-460d-bf4d-6ebb86b1b2f5"/>
    <x v="2"/>
    <x v="788"/>
    <x v="303"/>
    <x v="10"/>
    <x v="3"/>
    <x v="4"/>
    <d v="2024-03-24T00:00:00"/>
    <n v="26"/>
    <n v="1958.3199999999997"/>
    <x v="2"/>
    <x v="40"/>
    <x v="1"/>
    <x v="2"/>
    <x v="0"/>
    <n v="24"/>
    <x v="0"/>
    <n v="0"/>
  </r>
  <r>
    <s v="fbe066e4-81b8-4f57-8379-5ddd527cdab6"/>
    <s v="6167c737-c597-469a-b00a-4240c0933baf"/>
    <x v="0"/>
    <x v="789"/>
    <x v="577"/>
    <x v="4"/>
    <x v="1"/>
    <x v="6"/>
    <d v="2022-11-15T00:00:00"/>
    <n v="14"/>
    <n v="905.66"/>
    <x v="3"/>
    <x v="27"/>
    <x v="1"/>
    <x v="1"/>
    <x v="1"/>
    <n v="12"/>
    <x v="1"/>
    <n v="0"/>
  </r>
  <r>
    <s v="f709b42a-9908-4930-85d9-ff4826c42c82"/>
    <s v="941fbe2d-9b23-4f37-af7c-125de8526655"/>
    <x v="0"/>
    <x v="790"/>
    <x v="164"/>
    <x v="2"/>
    <x v="2"/>
    <x v="4"/>
    <d v="2024-05-17T00:00:00"/>
    <n v="2"/>
    <n v="156.26"/>
    <x v="2"/>
    <x v="9"/>
    <x v="1"/>
    <x v="0"/>
    <x v="0"/>
    <n v="24"/>
    <x v="0"/>
    <n v="0"/>
  </r>
  <r>
    <s v="736b5797-397b-4c13-99e6-096282d13b71"/>
    <s v="a9a354c8-82f8-41d6-ac25-7c56fce5da2d"/>
    <x v="2"/>
    <x v="791"/>
    <x v="578"/>
    <x v="3"/>
    <x v="1"/>
    <x v="1"/>
    <d v="2021-11-24T00:00:00"/>
    <n v="1"/>
    <n v="78.05"/>
    <x v="3"/>
    <x v="46"/>
    <x v="1"/>
    <x v="1"/>
    <x v="3"/>
    <n v="1"/>
    <x v="3"/>
    <n v="0"/>
  </r>
  <r>
    <s v="37b9e229-6ec9-49ce-bca9-fdefc8aafe9c"/>
    <s v="ab0f9583-6fcd-4aa3-bb02-a344917ff155"/>
    <x v="2"/>
    <x v="792"/>
    <x v="579"/>
    <x v="10"/>
    <x v="3"/>
    <x v="3"/>
    <d v="2022-08-03T00:00:00"/>
    <n v="6"/>
    <n v="518.22"/>
    <x v="1"/>
    <x v="21"/>
    <x v="0"/>
    <x v="0"/>
    <x v="2"/>
    <n v="6"/>
    <x v="2"/>
    <n v="0"/>
  </r>
  <r>
    <s v="2339c186-9d0f-46f6-aa88-7cb4a210506a"/>
    <s v="ef947e8e-4d45-49a0-9cdd-15dc063abf16"/>
    <x v="2"/>
    <x v="793"/>
    <x v="195"/>
    <x v="9"/>
    <x v="3"/>
    <x v="0"/>
    <d v="2023-08-17T00:00:00"/>
    <n v="13"/>
    <n v="954.59000000000015"/>
    <x v="1"/>
    <x v="26"/>
    <x v="0"/>
    <x v="0"/>
    <x v="1"/>
    <n v="12"/>
    <x v="1"/>
    <n v="0"/>
  </r>
  <r>
    <s v="8f2a92d9-67bd-41fa-b53a-4edbcfe0c8de"/>
    <s v="5983f215-5226-4708-b8a6-771fa40b703f"/>
    <x v="0"/>
    <x v="794"/>
    <x v="119"/>
    <x v="10"/>
    <x v="2"/>
    <x v="4"/>
    <d v="2024-05-10T00:00:00"/>
    <n v="4"/>
    <n v="392.04"/>
    <x v="2"/>
    <x v="23"/>
    <x v="1"/>
    <x v="2"/>
    <x v="2"/>
    <n v="6"/>
    <x v="2"/>
    <n v="0"/>
  </r>
  <r>
    <s v="e9edcad0-68cb-4e8b-914c-62751667dde6"/>
    <s v="29d459a6-d882-40cf-bf7b-43c84e4b2635"/>
    <x v="1"/>
    <x v="795"/>
    <x v="580"/>
    <x v="9"/>
    <x v="3"/>
    <x v="3"/>
    <d v="2023-08-12T00:00:00"/>
    <n v="12"/>
    <n v="1084.68"/>
    <x v="0"/>
    <x v="42"/>
    <x v="0"/>
    <x v="1"/>
    <x v="2"/>
    <n v="6"/>
    <x v="2"/>
    <n v="0"/>
  </r>
  <r>
    <s v="e46dcffd-88cf-40dd-9a45-65a16f8bc9f0"/>
    <s v="69eecfe1-42fe-48a4-8244-b4ff834b96ec"/>
    <x v="2"/>
    <x v="796"/>
    <x v="581"/>
    <x v="4"/>
    <x v="1"/>
    <x v="3"/>
    <d v="2024-01-06T00:00:00"/>
    <n v="28"/>
    <n v="1700.72"/>
    <x v="2"/>
    <x v="41"/>
    <x v="1"/>
    <x v="2"/>
    <x v="1"/>
    <n v="12"/>
    <x v="1"/>
    <n v="0"/>
  </r>
  <r>
    <s v="86714700-db91-4452-9a2e-8dea4103ef8f"/>
    <s v="568ed5e4-37c4-47e8-aae4-d560bc2f028b"/>
    <x v="0"/>
    <x v="797"/>
    <x v="582"/>
    <x v="1"/>
    <x v="0"/>
    <x v="3"/>
    <d v="2024-03-25T00:00:00"/>
    <n v="4"/>
    <n v="399.44"/>
    <x v="0"/>
    <x v="27"/>
    <x v="1"/>
    <x v="0"/>
    <x v="2"/>
    <n v="6"/>
    <x v="2"/>
    <n v="0"/>
  </r>
  <r>
    <s v="47ba6c69-0a93-4916-a965-b36153cadf35"/>
    <s v="8aa3d4b5-b3c4-42f7-ac58-55b20e59df28"/>
    <x v="0"/>
    <x v="798"/>
    <x v="554"/>
    <x v="0"/>
    <x v="2"/>
    <x v="0"/>
    <d v="2024-03-30T00:00:00"/>
    <n v="1"/>
    <n v="17.5"/>
    <x v="2"/>
    <x v="42"/>
    <x v="2"/>
    <x v="0"/>
    <x v="0"/>
    <n v="24"/>
    <x v="0"/>
    <n v="0"/>
  </r>
  <r>
    <s v="76b98622-39e2-41de-941a-c6b9eff46b1f"/>
    <s v="bc86ddb3-8b5a-40ae-bf75-2828324054d8"/>
    <x v="1"/>
    <x v="799"/>
    <x v="583"/>
    <x v="8"/>
    <x v="0"/>
    <x v="1"/>
    <d v="2023-09-01T00:00:00"/>
    <n v="8"/>
    <n v="602.64"/>
    <x v="4"/>
    <x v="3"/>
    <x v="1"/>
    <x v="0"/>
    <x v="0"/>
    <n v="24"/>
    <x v="0"/>
    <n v="0"/>
  </r>
  <r>
    <s v="8ff0e71a-6f63-4c46-9f3f-0cdc8208912d"/>
    <s v="45550f04-bb01-4ede-a8aa-abad393bd362"/>
    <x v="0"/>
    <x v="800"/>
    <x v="561"/>
    <x v="3"/>
    <x v="3"/>
    <x v="5"/>
    <d v="2024-03-11T00:00:00"/>
    <n v="17"/>
    <n v="1411"/>
    <x v="2"/>
    <x v="11"/>
    <x v="2"/>
    <x v="1"/>
    <x v="0"/>
    <n v="24"/>
    <x v="0"/>
    <n v="0"/>
  </r>
  <r>
    <s v="57bdc553-ac1f-4c69-a661-959b5ac9e664"/>
    <s v="d3d292aa-4ad2-4624-b071-436b66727979"/>
    <x v="2"/>
    <x v="801"/>
    <x v="584"/>
    <x v="10"/>
    <x v="2"/>
    <x v="2"/>
    <d v="2024-05-07T00:00:00"/>
    <n v="3"/>
    <n v="121.32"/>
    <x v="0"/>
    <x v="14"/>
    <x v="2"/>
    <x v="0"/>
    <x v="1"/>
    <n v="12"/>
    <x v="1"/>
    <n v="0"/>
  </r>
  <r>
    <s v="7bf87acf-d36d-40aa-a814-7db63ea1e444"/>
    <s v="953693c4-21f3-49cd-aef9-e6d6a27da048"/>
    <x v="2"/>
    <x v="802"/>
    <x v="585"/>
    <x v="3"/>
    <x v="3"/>
    <x v="6"/>
    <d v="2024-03-07T00:00:00"/>
    <n v="16"/>
    <n v="379.2"/>
    <x v="1"/>
    <x v="10"/>
    <x v="2"/>
    <x v="1"/>
    <x v="2"/>
    <n v="6"/>
    <x v="2"/>
    <n v="0"/>
  </r>
  <r>
    <s v="cc5b07a8-76ca-4844-be7d-045edd4df492"/>
    <s v="03d686f1-bec6-4419-84c0-d541592a25dc"/>
    <x v="1"/>
    <x v="803"/>
    <x v="586"/>
    <x v="1"/>
    <x v="3"/>
    <x v="2"/>
    <d v="2023-03-26T00:00:00"/>
    <n v="4"/>
    <n v="57.52"/>
    <x v="1"/>
    <x v="44"/>
    <x v="1"/>
    <x v="2"/>
    <x v="3"/>
    <n v="1"/>
    <x v="3"/>
    <n v="0"/>
  </r>
  <r>
    <s v="cd208934-5fb5-4f6d-a89a-b9e687ebba41"/>
    <s v="422ff9f9-1a1b-428f-bb0a-b71be923ea5e"/>
    <x v="1"/>
    <x v="804"/>
    <x v="587"/>
    <x v="0"/>
    <x v="3"/>
    <x v="6"/>
    <d v="2023-07-29T00:00:00"/>
    <n v="17"/>
    <n v="1294.04"/>
    <x v="5"/>
    <x v="14"/>
    <x v="2"/>
    <x v="2"/>
    <x v="1"/>
    <n v="12"/>
    <x v="1"/>
    <n v="0"/>
  </r>
  <r>
    <s v="f4089a2d-9eaa-445d-85dd-a7789158d55f"/>
    <s v="91aab98a-dc5d-444b-999e-c22aff991d43"/>
    <x v="2"/>
    <x v="805"/>
    <x v="439"/>
    <x v="11"/>
    <x v="0"/>
    <x v="6"/>
    <d v="2023-12-09T00:00:00"/>
    <n v="7"/>
    <n v="336"/>
    <x v="2"/>
    <x v="42"/>
    <x v="2"/>
    <x v="2"/>
    <x v="1"/>
    <n v="12"/>
    <x v="1"/>
    <n v="0"/>
  </r>
  <r>
    <s v="bc77245e-ea05-4458-941c-defdabb8b52a"/>
    <s v="36fa9d24-86c3-4280-824f-f2c412f573df"/>
    <x v="2"/>
    <x v="806"/>
    <x v="321"/>
    <x v="3"/>
    <x v="3"/>
    <x v="0"/>
    <d v="2023-07-10T00:00:00"/>
    <n v="9"/>
    <n v="655.19999999999993"/>
    <x v="1"/>
    <x v="47"/>
    <x v="1"/>
    <x v="0"/>
    <x v="2"/>
    <n v="6"/>
    <x v="2"/>
    <n v="0"/>
  </r>
  <r>
    <s v="4deb54a3-cebd-47e1-a743-3c9651dad8bc"/>
    <s v="d78ffc35-4e88-4010-9cf4-173773d167ff"/>
    <x v="2"/>
    <x v="807"/>
    <x v="66"/>
    <x v="10"/>
    <x v="2"/>
    <x v="6"/>
    <d v="2024-02-21T00:00:00"/>
    <n v="1"/>
    <n v="18.93"/>
    <x v="1"/>
    <x v="30"/>
    <x v="1"/>
    <x v="0"/>
    <x v="2"/>
    <n v="6"/>
    <x v="2"/>
    <n v="0"/>
  </r>
  <r>
    <s v="875a60ab-66b0-4bf1-8c18-94fad6ece1f1"/>
    <s v="0ab9cf65-3c71-4d29-8687-27d7ab1c83cc"/>
    <x v="0"/>
    <x v="808"/>
    <x v="365"/>
    <x v="4"/>
    <x v="0"/>
    <x v="5"/>
    <d v="2024-06-02T00:00:00"/>
    <n v="9"/>
    <n v="830.87999999999988"/>
    <x v="3"/>
    <x v="23"/>
    <x v="1"/>
    <x v="0"/>
    <x v="2"/>
    <n v="6"/>
    <x v="2"/>
    <n v="0"/>
  </r>
  <r>
    <s v="0c55e527-e26c-4b26-b523-233faf6f1271"/>
    <s v="c6745fb7-fb1b-4149-ba02-f3a7696f7c4f"/>
    <x v="0"/>
    <x v="323"/>
    <x v="588"/>
    <x v="9"/>
    <x v="3"/>
    <x v="5"/>
    <d v="2023-09-12T00:00:00"/>
    <n v="13"/>
    <n v="573.30000000000007"/>
    <x v="3"/>
    <x v="51"/>
    <x v="1"/>
    <x v="0"/>
    <x v="2"/>
    <n v="6"/>
    <x v="2"/>
    <n v="0"/>
  </r>
  <r>
    <s v="32baebf1-8c39-43b8-90e8-290c199246f0"/>
    <s v="d152c7d0-9693-47fa-8abd-ebb50906787f"/>
    <x v="1"/>
    <x v="809"/>
    <x v="42"/>
    <x v="11"/>
    <x v="0"/>
    <x v="2"/>
    <d v="2023-06-09T00:00:00"/>
    <n v="2"/>
    <n v="68"/>
    <x v="4"/>
    <x v="26"/>
    <x v="1"/>
    <x v="1"/>
    <x v="3"/>
    <n v="1"/>
    <x v="3"/>
    <n v="0"/>
  </r>
  <r>
    <s v="485b3edd-d9fc-413a-955c-b469ae96f80e"/>
    <s v="cac1cee3-e818-464b-b328-9ddcec563ac8"/>
    <x v="0"/>
    <x v="810"/>
    <x v="120"/>
    <x v="11"/>
    <x v="0"/>
    <x v="4"/>
    <d v="2023-12-24T00:00:00"/>
    <n v="8"/>
    <n v="756.72"/>
    <x v="1"/>
    <x v="35"/>
    <x v="0"/>
    <x v="1"/>
    <x v="0"/>
    <n v="24"/>
    <x v="0"/>
    <n v="0"/>
  </r>
  <r>
    <s v="90dec29d-afc8-4c39-a34f-df62d1586275"/>
    <s v="111ea60b-92ad-49a5-b355-46304e041e1d"/>
    <x v="1"/>
    <x v="811"/>
    <x v="128"/>
    <x v="2"/>
    <x v="0"/>
    <x v="3"/>
    <d v="2023-12-01T00:00:00"/>
    <n v="8"/>
    <n v="792.88"/>
    <x v="1"/>
    <x v="45"/>
    <x v="2"/>
    <x v="0"/>
    <x v="0"/>
    <n v="24"/>
    <x v="0"/>
    <n v="0"/>
  </r>
  <r>
    <s v="2d4d2d88-7dc2-4d46-a15e-d3baf6e0d193"/>
    <s v="d7716b57-f294-4991-b4f5-47382da296f2"/>
    <x v="0"/>
    <x v="812"/>
    <x v="48"/>
    <x v="7"/>
    <x v="3"/>
    <x v="0"/>
    <d v="2023-03-30T00:00:00"/>
    <n v="6"/>
    <n v="143.34"/>
    <x v="0"/>
    <x v="17"/>
    <x v="1"/>
    <x v="0"/>
    <x v="1"/>
    <n v="12"/>
    <x v="1"/>
    <n v="0"/>
  </r>
  <r>
    <s v="8067b79b-5907-4594-97ac-d43358226fd0"/>
    <s v="f8c2d31c-a737-44eb-88aa-5aebe325ca31"/>
    <x v="0"/>
    <x v="813"/>
    <x v="589"/>
    <x v="10"/>
    <x v="0"/>
    <x v="2"/>
    <d v="2023-04-05T00:00:00"/>
    <n v="3"/>
    <n v="202.20000000000002"/>
    <x v="1"/>
    <x v="2"/>
    <x v="2"/>
    <x v="1"/>
    <x v="0"/>
    <n v="24"/>
    <x v="0"/>
    <n v="0"/>
  </r>
  <r>
    <s v="506eb820-fc13-431f-998a-977e177516f2"/>
    <s v="27eaffca-c590-4063-beb5-1cb69415687c"/>
    <x v="1"/>
    <x v="814"/>
    <x v="590"/>
    <x v="10"/>
    <x v="2"/>
    <x v="0"/>
    <d v="2024-02-20T00:00:00"/>
    <n v="1"/>
    <n v="15.12"/>
    <x v="4"/>
    <x v="22"/>
    <x v="2"/>
    <x v="0"/>
    <x v="0"/>
    <n v="24"/>
    <x v="0"/>
    <n v="0"/>
  </r>
  <r>
    <s v="74e91135-d507-4881-8de6-471541ab02fc"/>
    <s v="b77dc351-533e-4b87-8861-bc8ba6bfed38"/>
    <x v="2"/>
    <x v="815"/>
    <x v="591"/>
    <x v="4"/>
    <x v="0"/>
    <x v="5"/>
    <d v="2023-12-05T00:00:00"/>
    <n v="3"/>
    <n v="200.52"/>
    <x v="0"/>
    <x v="1"/>
    <x v="0"/>
    <x v="1"/>
    <x v="0"/>
    <n v="24"/>
    <x v="0"/>
    <n v="0"/>
  </r>
  <r>
    <s v="2a8912e1-7c43-454c-ae45-69e032cbcac5"/>
    <s v="6e2bb3bc-ba36-4887-baad-3ba86d4e6b54"/>
    <x v="1"/>
    <x v="816"/>
    <x v="592"/>
    <x v="7"/>
    <x v="1"/>
    <x v="5"/>
    <d v="2023-02-19T00:00:00"/>
    <n v="16"/>
    <n v="1337.44"/>
    <x v="1"/>
    <x v="16"/>
    <x v="0"/>
    <x v="2"/>
    <x v="3"/>
    <n v="1"/>
    <x v="3"/>
    <n v="0"/>
  </r>
  <r>
    <s v="daa95cc5-5514-49f8-99ff-7cf828251e50"/>
    <s v="57a316af-b126-4ec8-a507-a51cd23c9ebc"/>
    <x v="1"/>
    <x v="817"/>
    <x v="257"/>
    <x v="3"/>
    <x v="0"/>
    <x v="6"/>
    <d v="2024-04-24T00:00:00"/>
    <n v="6"/>
    <n v="420.18"/>
    <x v="0"/>
    <x v="13"/>
    <x v="0"/>
    <x v="2"/>
    <x v="3"/>
    <n v="1"/>
    <x v="3"/>
    <n v="0"/>
  </r>
  <r>
    <s v="90c6529f-046b-493a-8003-752af44bb31e"/>
    <s v="813174b9-0150-43e4-bd9d-821978108886"/>
    <x v="2"/>
    <x v="818"/>
    <x v="192"/>
    <x v="9"/>
    <x v="3"/>
    <x v="4"/>
    <d v="2023-06-26T00:00:00"/>
    <n v="11"/>
    <n v="491.15"/>
    <x v="3"/>
    <x v="14"/>
    <x v="2"/>
    <x v="0"/>
    <x v="0"/>
    <n v="24"/>
    <x v="0"/>
    <n v="0"/>
  </r>
  <r>
    <s v="1a1b4cb2-c6a4-4b1e-b328-117903dadba8"/>
    <s v="c372749e-6e30-4af5-992d-094c52b1cf27"/>
    <x v="0"/>
    <x v="819"/>
    <x v="511"/>
    <x v="1"/>
    <x v="1"/>
    <x v="4"/>
    <d v="2023-01-02T00:00:00"/>
    <n v="13"/>
    <n v="538.07000000000005"/>
    <x v="3"/>
    <x v="9"/>
    <x v="2"/>
    <x v="1"/>
    <x v="2"/>
    <n v="6"/>
    <x v="2"/>
    <n v="0"/>
  </r>
  <r>
    <s v="ead62927-a298-4056-9cef-e3e30356574f"/>
    <s v="5ae278fa-1493-47fb-b460-cb3ea1d1f67a"/>
    <x v="1"/>
    <x v="820"/>
    <x v="593"/>
    <x v="4"/>
    <x v="3"/>
    <x v="6"/>
    <d v="2023-09-06T00:00:00"/>
    <n v="13"/>
    <n v="793.26"/>
    <x v="5"/>
    <x v="33"/>
    <x v="2"/>
    <x v="0"/>
    <x v="2"/>
    <n v="6"/>
    <x v="2"/>
    <n v="0"/>
  </r>
  <r>
    <s v="11f6ce35-c09d-4e94-9a89-ada9c43fdf8f"/>
    <s v="813b948a-81b0-4941-9315-ce79b4121c44"/>
    <x v="1"/>
    <x v="821"/>
    <x v="429"/>
    <x v="10"/>
    <x v="3"/>
    <x v="5"/>
    <d v="2024-06-06T00:00:00"/>
    <n v="28"/>
    <n v="2485"/>
    <x v="6"/>
    <x v="32"/>
    <x v="0"/>
    <x v="0"/>
    <x v="1"/>
    <n v="12"/>
    <x v="1"/>
    <n v="0"/>
  </r>
  <r>
    <s v="e77eda96-c59e-4d3c-b091-7fd67e7213bd"/>
    <s v="5ec45e34-72c2-4171-bb78-7244887696a8"/>
    <x v="0"/>
    <x v="822"/>
    <x v="490"/>
    <x v="4"/>
    <x v="0"/>
    <x v="5"/>
    <d v="2024-05-04T00:00:00"/>
    <n v="8"/>
    <n v="746.08"/>
    <x v="0"/>
    <x v="21"/>
    <x v="2"/>
    <x v="1"/>
    <x v="2"/>
    <n v="6"/>
    <x v="2"/>
    <n v="0"/>
  </r>
  <r>
    <s v="94553dde-1b7a-41e4-913d-92154fe4d346"/>
    <s v="8232dc41-5a53-4bb5-88da-b1eb1c571080"/>
    <x v="0"/>
    <x v="823"/>
    <x v="454"/>
    <x v="1"/>
    <x v="0"/>
    <x v="2"/>
    <d v="2024-03-11T00:00:00"/>
    <n v="4"/>
    <n v="40.36"/>
    <x v="4"/>
    <x v="51"/>
    <x v="0"/>
    <x v="2"/>
    <x v="3"/>
    <n v="1"/>
    <x v="3"/>
    <n v="0"/>
  </r>
  <r>
    <s v="36f960ff-9f4b-4446-8829-c1bae5978062"/>
    <s v="6c4c1f0d-6641-4792-a09c-c0e65c7f22ef"/>
    <x v="2"/>
    <x v="824"/>
    <x v="594"/>
    <x v="7"/>
    <x v="1"/>
    <x v="0"/>
    <d v="2022-04-27T00:00:00"/>
    <n v="7"/>
    <n v="155.75"/>
    <x v="5"/>
    <x v="35"/>
    <x v="0"/>
    <x v="0"/>
    <x v="1"/>
    <n v="12"/>
    <x v="1"/>
    <n v="0"/>
  </r>
  <r>
    <s v="f8d7bcbd-5a30-44a5-a9bf-b0a8fe3a8ca4"/>
    <s v="9494743a-f9f8-41fb-8062-d415bb052109"/>
    <x v="1"/>
    <x v="719"/>
    <x v="595"/>
    <x v="10"/>
    <x v="2"/>
    <x v="2"/>
    <d v="2024-05-31T00:00:00"/>
    <n v="4"/>
    <n v="62.64"/>
    <x v="1"/>
    <x v="17"/>
    <x v="0"/>
    <x v="1"/>
    <x v="3"/>
    <n v="1"/>
    <x v="3"/>
    <n v="0"/>
  </r>
  <r>
    <s v="b03ae90a-670b-44f4-ad97-8a6e63654db2"/>
    <s v="1fcf28bc-d0a2-44a2-a8b6-e6a3e9bff187"/>
    <x v="2"/>
    <x v="825"/>
    <x v="596"/>
    <x v="6"/>
    <x v="3"/>
    <x v="6"/>
    <d v="2023-07-15T00:00:00"/>
    <n v="12"/>
    <n v="280.44"/>
    <x v="1"/>
    <x v="48"/>
    <x v="0"/>
    <x v="2"/>
    <x v="3"/>
    <n v="1"/>
    <x v="3"/>
    <n v="0"/>
  </r>
  <r>
    <s v="eef7e104-ff17-4a30-8de3-38ae92fe743f"/>
    <s v="953e18dc-907d-4a0b-bc10-5d4483103575"/>
    <x v="1"/>
    <x v="826"/>
    <x v="597"/>
    <x v="2"/>
    <x v="2"/>
    <x v="6"/>
    <d v="2024-04-21T00:00:00"/>
    <n v="1"/>
    <n v="53.12"/>
    <x v="2"/>
    <x v="7"/>
    <x v="0"/>
    <x v="2"/>
    <x v="0"/>
    <n v="24"/>
    <x v="0"/>
    <n v="0"/>
  </r>
  <r>
    <s v="8ebc5886-94b6-44f0-9545-3460a43637eb"/>
    <s v="793ee02c-0fa9-4d92-b46e-8b4fe70a5704"/>
    <x v="1"/>
    <x v="827"/>
    <x v="598"/>
    <x v="0"/>
    <x v="0"/>
    <x v="1"/>
    <d v="2023-05-11T00:00:00"/>
    <n v="3"/>
    <n v="194.39999999999998"/>
    <x v="5"/>
    <x v="23"/>
    <x v="0"/>
    <x v="2"/>
    <x v="3"/>
    <n v="1"/>
    <x v="3"/>
    <n v="0"/>
  </r>
  <r>
    <s v="a7e9bef7-4555-48f4-9ef7-4eee9e8d1625"/>
    <s v="49e83dea-a165-4532-a323-e26d81a39889"/>
    <x v="2"/>
    <x v="828"/>
    <x v="599"/>
    <x v="4"/>
    <x v="3"/>
    <x v="0"/>
    <d v="2023-02-13T00:00:00"/>
    <n v="6"/>
    <n v="447.29999999999995"/>
    <x v="4"/>
    <x v="0"/>
    <x v="2"/>
    <x v="0"/>
    <x v="3"/>
    <n v="1"/>
    <x v="3"/>
    <n v="0"/>
  </r>
  <r>
    <s v="8fd51a6c-97d0-45ee-ad13-d7c064e8589f"/>
    <s v="5bcd94a6-3dfd-41c5-b965-4fd18eb87f23"/>
    <x v="0"/>
    <x v="829"/>
    <x v="600"/>
    <x v="2"/>
    <x v="0"/>
    <x v="6"/>
    <d v="2024-02-16T00:00:00"/>
    <n v="11"/>
    <n v="985.16000000000008"/>
    <x v="1"/>
    <x v="48"/>
    <x v="2"/>
    <x v="1"/>
    <x v="3"/>
    <n v="1"/>
    <x v="3"/>
    <n v="0"/>
  </r>
  <r>
    <s v="4870f842-fb9b-47d9-bd88-32d85e043f3c"/>
    <s v="1f9ca9da-42cf-4729-bc7b-241e46008db9"/>
    <x v="2"/>
    <x v="830"/>
    <x v="252"/>
    <x v="11"/>
    <x v="3"/>
    <x v="4"/>
    <d v="2022-12-14T00:00:00"/>
    <n v="7"/>
    <n v="692.71999999999991"/>
    <x v="0"/>
    <x v="21"/>
    <x v="1"/>
    <x v="1"/>
    <x v="0"/>
    <n v="24"/>
    <x v="0"/>
    <n v="0"/>
  </r>
  <r>
    <s v="de0f05b3-70d8-4eb6-92ec-cd3dac679236"/>
    <s v="c646c269-8501-4a7e-9c82-fb025d55ff3b"/>
    <x v="0"/>
    <x v="831"/>
    <x v="601"/>
    <x v="0"/>
    <x v="0"/>
    <x v="6"/>
    <d v="2024-05-18T00:00:00"/>
    <n v="15"/>
    <n v="1019.55"/>
    <x v="3"/>
    <x v="10"/>
    <x v="1"/>
    <x v="1"/>
    <x v="0"/>
    <n v="24"/>
    <x v="0"/>
    <n v="0"/>
  </r>
  <r>
    <s v="91ff686b-1a9a-4db8-9d23-597b23e39cad"/>
    <s v="fcf23205-ff0f-4b6f-8a2b-9eeedfb2e958"/>
    <x v="0"/>
    <x v="832"/>
    <x v="467"/>
    <x v="5"/>
    <x v="1"/>
    <x v="5"/>
    <d v="2022-07-05T00:00:00"/>
    <n v="13"/>
    <n v="1109.03"/>
    <x v="2"/>
    <x v="39"/>
    <x v="1"/>
    <x v="2"/>
    <x v="3"/>
    <n v="1"/>
    <x v="3"/>
    <n v="0"/>
  </r>
  <r>
    <s v="e0c19b6f-bc55-4385-9779-240a612a0dec"/>
    <s v="aeec7fe7-f367-443b-bc64-14921b3cb13e"/>
    <x v="2"/>
    <x v="833"/>
    <x v="602"/>
    <x v="6"/>
    <x v="1"/>
    <x v="1"/>
    <d v="2023-11-26T00:00:00"/>
    <n v="28"/>
    <n v="2209.48"/>
    <x v="0"/>
    <x v="0"/>
    <x v="0"/>
    <x v="2"/>
    <x v="3"/>
    <n v="1"/>
    <x v="3"/>
    <n v="0"/>
  </r>
  <r>
    <s v="dd176457-5c07-4df5-85ef-b5429658463c"/>
    <s v="e8ecdd33-3af2-4268-998b-270d26945e41"/>
    <x v="1"/>
    <x v="834"/>
    <x v="603"/>
    <x v="6"/>
    <x v="0"/>
    <x v="2"/>
    <d v="2024-02-08T00:00:00"/>
    <n v="8"/>
    <n v="273.76"/>
    <x v="5"/>
    <x v="13"/>
    <x v="2"/>
    <x v="2"/>
    <x v="1"/>
    <n v="12"/>
    <x v="1"/>
    <n v="0"/>
  </r>
  <r>
    <s v="115bd820-350c-4a96-8922-afb429caa65d"/>
    <s v="bb5b68e5-4ab4-4ad9-a185-bcf985c67984"/>
    <x v="2"/>
    <x v="835"/>
    <x v="604"/>
    <x v="8"/>
    <x v="0"/>
    <x v="3"/>
    <d v="2024-03-24T00:00:00"/>
    <n v="15"/>
    <n v="135.9"/>
    <x v="4"/>
    <x v="15"/>
    <x v="2"/>
    <x v="0"/>
    <x v="2"/>
    <n v="6"/>
    <x v="2"/>
    <n v="0"/>
  </r>
  <r>
    <s v="9e30be92-5a5a-4396-bdf9-44d4a0a54f39"/>
    <s v="a6cf5719-dcfe-4dba-bd1f-129395b68e3b"/>
    <x v="0"/>
    <x v="836"/>
    <x v="551"/>
    <x v="2"/>
    <x v="3"/>
    <x v="6"/>
    <d v="2022-05-13T00:00:00"/>
    <n v="1"/>
    <n v="5.03"/>
    <x v="5"/>
    <x v="5"/>
    <x v="1"/>
    <x v="0"/>
    <x v="0"/>
    <n v="24"/>
    <x v="0"/>
    <n v="0"/>
  </r>
  <r>
    <s v="33010948-74ca-4ccc-9f22-93a2a6ccb60d"/>
    <s v="9aa66804-19d1-4d41-b09e-678e14d33ee3"/>
    <x v="2"/>
    <x v="837"/>
    <x v="185"/>
    <x v="6"/>
    <x v="3"/>
    <x v="6"/>
    <d v="2023-09-20T00:00:00"/>
    <n v="15"/>
    <n v="465"/>
    <x v="5"/>
    <x v="28"/>
    <x v="0"/>
    <x v="2"/>
    <x v="1"/>
    <n v="12"/>
    <x v="1"/>
    <n v="0"/>
  </r>
  <r>
    <s v="60d62cd5-c21c-4b0b-b172-6eccafcd5adb"/>
    <s v="e45a94e7-e566-4aa3-9a45-4d5c53516c1c"/>
    <x v="1"/>
    <x v="838"/>
    <x v="605"/>
    <x v="1"/>
    <x v="0"/>
    <x v="0"/>
    <d v="2024-04-11T00:00:00"/>
    <n v="4"/>
    <n v="195.6"/>
    <x v="0"/>
    <x v="37"/>
    <x v="2"/>
    <x v="0"/>
    <x v="2"/>
    <n v="6"/>
    <x v="2"/>
    <n v="0"/>
  </r>
  <r>
    <s v="40b5dbb8-8c51-4b7f-99ad-036b88bd03fa"/>
    <s v="0cc309f0-7908-41ff-8cb4-205185dded05"/>
    <x v="2"/>
    <x v="839"/>
    <x v="554"/>
    <x v="0"/>
    <x v="2"/>
    <x v="0"/>
    <d v="2024-06-03T00:00:00"/>
    <n v="3"/>
    <n v="196.92000000000002"/>
    <x v="0"/>
    <x v="42"/>
    <x v="1"/>
    <x v="0"/>
    <x v="3"/>
    <n v="1"/>
    <x v="3"/>
    <n v="0"/>
  </r>
  <r>
    <s v="419c6f2f-690c-49c0-8397-ba5906bf9648"/>
    <s v="27cd7873-fb89-47f0-82c6-d81b6eaa2ae9"/>
    <x v="2"/>
    <x v="840"/>
    <x v="98"/>
    <x v="6"/>
    <x v="0"/>
    <x v="4"/>
    <d v="2023-10-28T00:00:00"/>
    <n v="4"/>
    <n v="58.68"/>
    <x v="1"/>
    <x v="25"/>
    <x v="1"/>
    <x v="2"/>
    <x v="1"/>
    <n v="12"/>
    <x v="1"/>
    <n v="0"/>
  </r>
  <r>
    <s v="ec37025d-f5fc-4faa-9395-746d8476bc61"/>
    <s v="fc4943cd-9e65-47fe-bf4a-eb53b2cd6175"/>
    <x v="0"/>
    <x v="841"/>
    <x v="606"/>
    <x v="9"/>
    <x v="3"/>
    <x v="1"/>
    <d v="2022-12-31T00:00:00"/>
    <n v="5"/>
    <n v="344.7"/>
    <x v="0"/>
    <x v="35"/>
    <x v="2"/>
    <x v="2"/>
    <x v="1"/>
    <n v="12"/>
    <x v="1"/>
    <n v="0"/>
  </r>
  <r>
    <s v="7b606376-f221-4997-9738-0d860e52c5d8"/>
    <s v="ec74a126-c779-408d-9c19-c89fc229dbcd"/>
    <x v="1"/>
    <x v="842"/>
    <x v="571"/>
    <x v="4"/>
    <x v="3"/>
    <x v="5"/>
    <d v="2023-07-04T00:00:00"/>
    <n v="10"/>
    <n v="811.7"/>
    <x v="2"/>
    <x v="39"/>
    <x v="2"/>
    <x v="2"/>
    <x v="0"/>
    <n v="24"/>
    <x v="0"/>
    <n v="0"/>
  </r>
  <r>
    <s v="9e7489fa-1e08-4a7d-a009-6c364a4fcd0c"/>
    <s v="0dc1c46f-4e93-484f-872d-445df830b71b"/>
    <x v="1"/>
    <x v="843"/>
    <x v="460"/>
    <x v="7"/>
    <x v="1"/>
    <x v="3"/>
    <d v="2023-05-17T00:00:00"/>
    <n v="19"/>
    <n v="429.40000000000003"/>
    <x v="1"/>
    <x v="39"/>
    <x v="2"/>
    <x v="1"/>
    <x v="2"/>
    <n v="6"/>
    <x v="2"/>
    <n v="0"/>
  </r>
  <r>
    <s v="7dacd7e6-89f5-486b-b26d-4bb6e7e9d505"/>
    <s v="d4e67fb7-23c6-42d2-9ab4-37f603386405"/>
    <x v="0"/>
    <x v="844"/>
    <x v="154"/>
    <x v="8"/>
    <x v="2"/>
    <x v="2"/>
    <d v="2024-04-12T00:00:00"/>
    <n v="3"/>
    <n v="133.32"/>
    <x v="4"/>
    <x v="13"/>
    <x v="2"/>
    <x v="0"/>
    <x v="1"/>
    <n v="12"/>
    <x v="1"/>
    <n v="0"/>
  </r>
  <r>
    <s v="21510834-e0e3-4204-956b-5afe13171872"/>
    <s v="6436378e-b03f-4901-9876-b1a45e989031"/>
    <x v="1"/>
    <x v="845"/>
    <x v="607"/>
    <x v="1"/>
    <x v="1"/>
    <x v="5"/>
    <d v="2022-09-07T00:00:00"/>
    <n v="9"/>
    <n v="489.59999999999997"/>
    <x v="2"/>
    <x v="20"/>
    <x v="2"/>
    <x v="0"/>
    <x v="0"/>
    <n v="24"/>
    <x v="0"/>
    <n v="0"/>
  </r>
  <r>
    <s v="4ac8e680-b076-4311-a8cb-f8a8a0d3fde7"/>
    <s v="d332dbcf-45ec-4bf5-82ef-a6e371c9bdf0"/>
    <x v="1"/>
    <x v="846"/>
    <x v="449"/>
    <x v="9"/>
    <x v="1"/>
    <x v="0"/>
    <d v="2022-06-30T00:00:00"/>
    <n v="10"/>
    <n v="479.20000000000005"/>
    <x v="5"/>
    <x v="51"/>
    <x v="1"/>
    <x v="2"/>
    <x v="2"/>
    <n v="6"/>
    <x v="2"/>
    <n v="0"/>
  </r>
  <r>
    <s v="252835f8-332f-453f-bada-b6247942720f"/>
    <s v="5d43a619-3ace-4dcf-b0f8-daa1c84ad552"/>
    <x v="2"/>
    <x v="847"/>
    <x v="608"/>
    <x v="7"/>
    <x v="3"/>
    <x v="3"/>
    <d v="2024-02-12T00:00:00"/>
    <n v="16"/>
    <n v="1295.68"/>
    <x v="3"/>
    <x v="49"/>
    <x v="2"/>
    <x v="2"/>
    <x v="0"/>
    <n v="24"/>
    <x v="0"/>
    <n v="0"/>
  </r>
  <r>
    <s v="6fee7436-f768-4c82-bf81-7e1cad70d18f"/>
    <s v="53e73d11-6635-4137-a219-44ca2049443a"/>
    <x v="0"/>
    <x v="848"/>
    <x v="434"/>
    <x v="9"/>
    <x v="0"/>
    <x v="2"/>
    <d v="2023-10-21T00:00:00"/>
    <n v="3"/>
    <n v="288.75"/>
    <x v="0"/>
    <x v="32"/>
    <x v="1"/>
    <x v="1"/>
    <x v="0"/>
    <n v="24"/>
    <x v="0"/>
    <n v="0"/>
  </r>
  <r>
    <s v="7433afaa-c3f9-4738-afb2-b78dd43d60d7"/>
    <s v="d91bdbb3-1b9f-40d4-911e-5863d54cd830"/>
    <x v="1"/>
    <x v="849"/>
    <x v="609"/>
    <x v="2"/>
    <x v="0"/>
    <x v="0"/>
    <d v="2024-04-06T00:00:00"/>
    <n v="12"/>
    <n v="970.80000000000007"/>
    <x v="5"/>
    <x v="18"/>
    <x v="1"/>
    <x v="0"/>
    <x v="1"/>
    <n v="12"/>
    <x v="1"/>
    <n v="0"/>
  </r>
  <r>
    <s v="f33149da-1741-4bb7-aba2-74fdf4a998ee"/>
    <s v="573870e0-2e27-4689-ad98-4be3d1dd50fc"/>
    <x v="0"/>
    <x v="850"/>
    <x v="21"/>
    <x v="4"/>
    <x v="3"/>
    <x v="3"/>
    <d v="2023-07-18T00:00:00"/>
    <n v="11"/>
    <n v="136.51"/>
    <x v="1"/>
    <x v="17"/>
    <x v="2"/>
    <x v="2"/>
    <x v="0"/>
    <n v="24"/>
    <x v="0"/>
    <n v="0"/>
  </r>
  <r>
    <s v="7fdc1cf2-0628-4d43-b67f-9a06341a1e26"/>
    <s v="49f40887-ff31-40a2-ba18-8a63a6baaa4b"/>
    <x v="2"/>
    <x v="851"/>
    <x v="217"/>
    <x v="1"/>
    <x v="1"/>
    <x v="3"/>
    <d v="2023-01-22T00:00:00"/>
    <n v="14"/>
    <n v="1140.58"/>
    <x v="0"/>
    <x v="40"/>
    <x v="2"/>
    <x v="1"/>
    <x v="1"/>
    <n v="12"/>
    <x v="1"/>
    <n v="0"/>
  </r>
  <r>
    <s v="a44165d7-7687-4c3f-8de5-bb3c98140b8a"/>
    <s v="22707f9e-968d-4cc5-a431-63406b836552"/>
    <x v="1"/>
    <x v="852"/>
    <x v="610"/>
    <x v="9"/>
    <x v="3"/>
    <x v="6"/>
    <d v="2023-05-03T00:00:00"/>
    <n v="9"/>
    <n v="101.97"/>
    <x v="2"/>
    <x v="5"/>
    <x v="1"/>
    <x v="0"/>
    <x v="3"/>
    <n v="1"/>
    <x v="3"/>
    <n v="0"/>
  </r>
  <r>
    <s v="d21ee789-c8d8-42ee-9fbe-89dedbfe8f08"/>
    <s v="c21bfaab-b7c1-432c-b64d-d715a6fbb68f"/>
    <x v="0"/>
    <x v="853"/>
    <x v="204"/>
    <x v="0"/>
    <x v="2"/>
    <x v="4"/>
    <d v="2024-06-12T00:00:00"/>
    <n v="3"/>
    <n v="82.26"/>
    <x v="5"/>
    <x v="23"/>
    <x v="2"/>
    <x v="2"/>
    <x v="3"/>
    <n v="1"/>
    <x v="3"/>
    <n v="0"/>
  </r>
  <r>
    <s v="362d18dc-6ca7-4494-852e-3be9032c5943"/>
    <s v="46c823d3-6e58-4523-89c5-ec550f3be8be"/>
    <x v="1"/>
    <x v="854"/>
    <x v="611"/>
    <x v="6"/>
    <x v="0"/>
    <x v="2"/>
    <d v="2024-04-17T00:00:00"/>
    <n v="9"/>
    <n v="175.85999999999999"/>
    <x v="5"/>
    <x v="16"/>
    <x v="1"/>
    <x v="0"/>
    <x v="3"/>
    <n v="1"/>
    <x v="3"/>
    <n v="0"/>
  </r>
  <r>
    <s v="3a0dcbcc-4ad5-499a-a8e4-80b7acf4d970"/>
    <s v="b4c27332-467c-4a49-bcb4-f6c888b8e1af"/>
    <x v="0"/>
    <x v="855"/>
    <x v="612"/>
    <x v="11"/>
    <x v="2"/>
    <x v="3"/>
    <d v="2024-06-05T00:00:00"/>
    <n v="1"/>
    <n v="23.76"/>
    <x v="0"/>
    <x v="32"/>
    <x v="2"/>
    <x v="1"/>
    <x v="3"/>
    <n v="1"/>
    <x v="3"/>
    <n v="0"/>
  </r>
  <r>
    <s v="76553a34-de8a-497a-bd87-509597c077d1"/>
    <s v="e80728ec-f9c6-4210-82ef-22052a46e9d8"/>
    <x v="2"/>
    <x v="856"/>
    <x v="85"/>
    <x v="5"/>
    <x v="3"/>
    <x v="4"/>
    <d v="2024-05-01T00:00:00"/>
    <n v="23"/>
    <n v="1269.3699999999999"/>
    <x v="1"/>
    <x v="8"/>
    <x v="0"/>
    <x v="0"/>
    <x v="2"/>
    <n v="6"/>
    <x v="2"/>
    <n v="0"/>
  </r>
  <r>
    <s v="38041d3d-06a2-4541-aa8b-68d52cafad22"/>
    <s v="b15dc563-b3fe-4aa1-8a99-34563f33de30"/>
    <x v="2"/>
    <x v="857"/>
    <x v="405"/>
    <x v="11"/>
    <x v="3"/>
    <x v="4"/>
    <d v="2022-12-02T00:00:00"/>
    <n v="7"/>
    <n v="481.67"/>
    <x v="1"/>
    <x v="3"/>
    <x v="2"/>
    <x v="1"/>
    <x v="1"/>
    <n v="12"/>
    <x v="1"/>
    <n v="0"/>
  </r>
  <r>
    <s v="774201ab-6d22-4d82-b35c-ab588f4cc552"/>
    <s v="d7817dd1-a2d1-4df1-906c-48b59f533aae"/>
    <x v="1"/>
    <x v="858"/>
    <x v="613"/>
    <x v="5"/>
    <x v="2"/>
    <x v="6"/>
    <d v="2024-06-16T00:00:00"/>
    <n v="1"/>
    <n v="49.68"/>
    <x v="0"/>
    <x v="36"/>
    <x v="2"/>
    <x v="2"/>
    <x v="1"/>
    <n v="12"/>
    <x v="1"/>
    <n v="0"/>
  </r>
  <r>
    <s v="6e152cce-4d04-466a-aaf7-1ce54d871149"/>
    <s v="9aa65a13-0eab-406f-adf2-6d4ce959f640"/>
    <x v="1"/>
    <x v="859"/>
    <x v="614"/>
    <x v="1"/>
    <x v="3"/>
    <x v="6"/>
    <d v="2024-05-12T00:00:00"/>
    <n v="18"/>
    <n v="1731.06"/>
    <x v="3"/>
    <x v="51"/>
    <x v="0"/>
    <x v="1"/>
    <x v="3"/>
    <n v="1"/>
    <x v="3"/>
    <n v="0"/>
  </r>
  <r>
    <s v="bb495390-4f9a-4cfc-a7fa-479994789d96"/>
    <s v="a4577afa-6095-4d12-bba6-e76c712faae8"/>
    <x v="0"/>
    <x v="860"/>
    <x v="444"/>
    <x v="9"/>
    <x v="3"/>
    <x v="6"/>
    <d v="2024-02-08T00:00:00"/>
    <n v="18"/>
    <n v="500.93999999999994"/>
    <x v="0"/>
    <x v="21"/>
    <x v="0"/>
    <x v="2"/>
    <x v="0"/>
    <n v="24"/>
    <x v="0"/>
    <n v="0"/>
  </r>
  <r>
    <s v="b28ac24c-d04b-45cd-9d31-bd91ceb7e814"/>
    <s v="6232ce3e-667a-41af-994e-aa0630cd5e5a"/>
    <x v="1"/>
    <x v="861"/>
    <x v="283"/>
    <x v="11"/>
    <x v="3"/>
    <x v="1"/>
    <d v="2024-01-14T00:00:00"/>
    <n v="21"/>
    <n v="1627.5"/>
    <x v="0"/>
    <x v="26"/>
    <x v="2"/>
    <x v="1"/>
    <x v="1"/>
    <n v="12"/>
    <x v="1"/>
    <n v="0"/>
  </r>
  <r>
    <s v="8457414c-b2f5-452b-9980-30e2d72934e2"/>
    <s v="fc2edad2-51a7-448d-be86-a77b0620b2a5"/>
    <x v="2"/>
    <x v="862"/>
    <x v="322"/>
    <x v="5"/>
    <x v="2"/>
    <x v="2"/>
    <d v="2024-06-08T00:00:00"/>
    <n v="1"/>
    <n v="87.67"/>
    <x v="5"/>
    <x v="39"/>
    <x v="2"/>
    <x v="0"/>
    <x v="3"/>
    <n v="1"/>
    <x v="3"/>
    <n v="0"/>
  </r>
  <r>
    <s v="e343c6b1-6349-42e6-93d8-c22368d46788"/>
    <s v="539814fe-5922-46f9-a5cb-2703b01fc5be"/>
    <x v="2"/>
    <x v="863"/>
    <x v="615"/>
    <x v="2"/>
    <x v="3"/>
    <x v="5"/>
    <d v="2023-01-06T00:00:00"/>
    <n v="9"/>
    <n v="525.6"/>
    <x v="4"/>
    <x v="9"/>
    <x v="0"/>
    <x v="2"/>
    <x v="0"/>
    <n v="24"/>
    <x v="0"/>
    <n v="0"/>
  </r>
  <r>
    <s v="f235e879-8698-4745-b229-2b4fdb427723"/>
    <s v="b8867754-aa0b-4bca-b73a-dc6259b9eaea"/>
    <x v="1"/>
    <x v="864"/>
    <x v="403"/>
    <x v="10"/>
    <x v="0"/>
    <x v="3"/>
    <d v="2023-08-11T00:00:00"/>
    <n v="6"/>
    <n v="369.84000000000003"/>
    <x v="4"/>
    <x v="28"/>
    <x v="0"/>
    <x v="0"/>
    <x v="1"/>
    <n v="12"/>
    <x v="1"/>
    <n v="0"/>
  </r>
  <r>
    <s v="2ce0e1be-9509-41d4-b5b2-5b3e659473a8"/>
    <s v="e779238c-ef05-4810-9eed-d280e623d967"/>
    <x v="0"/>
    <x v="865"/>
    <x v="160"/>
    <x v="8"/>
    <x v="3"/>
    <x v="5"/>
    <d v="2022-11-21T00:00:00"/>
    <n v="11"/>
    <n v="503.14000000000004"/>
    <x v="2"/>
    <x v="14"/>
    <x v="2"/>
    <x v="0"/>
    <x v="3"/>
    <n v="1"/>
    <x v="3"/>
    <n v="0"/>
  </r>
  <r>
    <s v="a5827fc7-ef47-4b67-afa1-27195b42a48a"/>
    <s v="26b642fe-aeaf-4114-b8dd-5571c6975fa3"/>
    <x v="2"/>
    <x v="866"/>
    <x v="616"/>
    <x v="11"/>
    <x v="3"/>
    <x v="1"/>
    <d v="2022-07-27T00:00:00"/>
    <n v="3"/>
    <n v="173.22"/>
    <x v="0"/>
    <x v="8"/>
    <x v="0"/>
    <x v="1"/>
    <x v="0"/>
    <n v="24"/>
    <x v="0"/>
    <n v="0"/>
  </r>
  <r>
    <s v="82e026de-e31d-4e3b-885a-33fb70c2279b"/>
    <s v="f97a70f9-2a85-482d-9286-33b33980337f"/>
    <x v="2"/>
    <x v="867"/>
    <x v="617"/>
    <x v="1"/>
    <x v="3"/>
    <x v="4"/>
    <d v="2024-05-29T00:00:00"/>
    <n v="18"/>
    <n v="802.98"/>
    <x v="0"/>
    <x v="9"/>
    <x v="0"/>
    <x v="0"/>
    <x v="2"/>
    <n v="6"/>
    <x v="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E593E6-28BA-4B99-AB6D-A32DF3D0A036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C89:D97" firstHeaderRow="1" firstDataRow="1" firstDataCol="1"/>
  <pivotFields count="22">
    <pivotField dataField="1" showAll="0"/>
    <pivotField showAll="0"/>
    <pivotField showAll="0"/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numFmtId="1" showAll="0"/>
    <pivotField axis="axisRow" showAll="0">
      <items count="8">
        <item x="3"/>
        <item x="1"/>
        <item x="4"/>
        <item x="5"/>
        <item x="0"/>
        <item x="6"/>
        <item x="2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Venta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05DA16-F360-4796-B8CC-E33F72E30FC3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C25:D67" firstHeaderRow="1" firstDataRow="1" firstDataCol="1"/>
  <pivotFields count="22">
    <pivotField dataField="1" showAll="0"/>
    <pivotField showAll="0"/>
    <pivotField showAll="0"/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showAll="0"/>
    <pivotField numFmtId="14" showAll="0"/>
    <pivotField numFmtId="1" showAll="0"/>
    <pivotField numFmtId="1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x="2"/>
        <item x="3"/>
        <item x="4"/>
        <item sd="0" x="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21"/>
    <field x="19"/>
  </rowFields>
  <rowItems count="42">
    <i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Venta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B12982-7E21-4FA3-92AE-99FC1A4683EA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C73:D81" firstHeaderRow="1" firstDataRow="1" firstDataCol="1"/>
  <pivotFields count="22">
    <pivotField dataField="1" showAll="0"/>
    <pivotField showAll="0"/>
    <pivotField showAll="0"/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axis="axisRow"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numFmtId="1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Venta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EA33B5-EDF2-4AD6-91E6-118A24C0D90A}" name="TablaDinámica1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>
  <location ref="C156:D161" firstHeaderRow="1" firstDataRow="1" firstDataCol="1"/>
  <pivotFields count="22">
    <pivotField dataField="1" showAll="0"/>
    <pivotField showAll="0"/>
    <pivotField showAll="0"/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numFmtId="1" showAll="0"/>
    <pivotField showAll="0">
      <items count="8">
        <item x="3"/>
        <item x="1"/>
        <item x="4"/>
        <item x="5"/>
        <item x="0"/>
        <item x="6"/>
        <item x="2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Ventas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46AE54-D5D7-4DB9-95C5-2924897CF802}" name="KPIs_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5:D6" firstHeaderRow="0" firstDataRow="1" firstDataCol="0"/>
  <pivotFields count="22">
    <pivotField dataField="1" showAll="0"/>
    <pivotField showAll="0"/>
    <pivotField showAll="0"/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showAll="0"/>
    <pivotField numFmtId="14" showAll="0"/>
    <pivotField numFmtId="1" showAll="0"/>
    <pivotField dataField="1" numFmtId="1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Ventas" fld="0" subtotal="count" baseField="0" baseItem="0" numFmtId="3"/>
    <dataField name="Beneficios" fld="10" baseField="0" baseItem="1" numFmtId="44"/>
  </dataFields>
  <formats count="2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319DDA-6440-4648-A555-BBE0FD1A90E1}" name="KPIs_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5:F6" firstHeaderRow="1" firstDataRow="1" firstDataCol="0" rowPageCount="2" colPageCount="1"/>
  <pivotFields count="22">
    <pivotField showAll="0"/>
    <pivotField showAll="0"/>
    <pivotField showAll="0"/>
    <pivotField dataField="1"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axis="axisPage" showAll="0">
      <items count="13">
        <item x="8"/>
        <item x="10"/>
        <item x="0"/>
        <item x="2"/>
        <item x="11"/>
        <item x="5"/>
        <item x="6"/>
        <item x="9"/>
        <item x="4"/>
        <item x="7"/>
        <item x="3"/>
        <item x="1"/>
        <item t="default"/>
      </items>
    </pivotField>
    <pivotField axis="axisPage" numFmtId="1" showAll="0">
      <items count="5">
        <item x="1"/>
        <item x="3"/>
        <item x="0"/>
        <item x="2"/>
        <item t="default"/>
      </items>
    </pivotField>
    <pivotField showAll="0"/>
    <pivotField numFmtId="14" showAll="0"/>
    <pivotField numFmtId="1" showAll="0"/>
    <pivotField numFmtId="1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Items count="1">
    <i/>
  </rowItems>
  <colItems count="1">
    <i/>
  </colItems>
  <pageFields count="2">
    <pageField fld="6" item="3" hier="-1"/>
    <pageField fld="5" item="4" hier="-1"/>
  </pageFields>
  <dataFields count="1">
    <dataField name="Suma de Ingresos mensu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66BF2F-5B28-416A-B59B-B9DEF9AF40E1}" name="Tipo_Sub_B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F13:G17" firstHeaderRow="1" firstDataRow="1" firstDataCol="1"/>
  <pivotFields count="22"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showAll="0"/>
    <pivotField numFmtId="14" showAll="0"/>
    <pivotField numFmtId="1" showAll="0"/>
    <pivotField dataField="1" numFmtId="1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Beneficios" fld="10" baseField="0" baseItem="0" numFmtId="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BE5D12-9CA5-4EA2-96EB-032B1AA79C60}" name="TablaDiná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F106:G113" firstHeaderRow="1" firstDataRow="1" firstDataCol="1"/>
  <pivotFields count="22">
    <pivotField showAll="0"/>
    <pivotField showAll="0"/>
    <pivotField showAll="0"/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dataField="1" numFmtId="1" showAll="0"/>
    <pivotField showAll="0">
      <items count="8">
        <item x="3"/>
        <item x="1"/>
        <item x="4"/>
        <item x="5"/>
        <item x="0"/>
        <item x="6"/>
        <item x="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2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Beneficios" fld="10" baseField="0" baseItem="0" numFmtId="1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3F63C9-5921-4C40-971D-4820301BA7C3}" name="Tipo_Sub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>
  <location ref="C13:D17" firstHeaderRow="1" firstDataRow="1" firstDataCol="1"/>
  <pivotFields count="22">
    <pivotField dataField="1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showAll="0"/>
    <pivotField numFmtId="14" showAll="0"/>
    <pivotField numFmtId="1" showAll="0"/>
    <pivotField numFmtId="1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Ventas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60172E-F4B1-4BBC-B01E-24B43F7E0560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F25:G67" firstHeaderRow="1" firstDataRow="1" firstDataCol="1"/>
  <pivotFields count="22">
    <pivotField showAll="0"/>
    <pivotField showAll="0"/>
    <pivotField showAll="0"/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showAll="0"/>
    <pivotField numFmtId="14" showAll="0"/>
    <pivotField numFmtId="1" showAll="0"/>
    <pivotField dataField="1" numFmtId="1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x="2"/>
        <item x="3"/>
        <item x="4"/>
        <item sd="0" x="5"/>
        <item t="default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</pivotFields>
  <rowFields count="2">
    <field x="21"/>
    <field x="19"/>
  </rowFields>
  <rowItems count="42">
    <i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Beneficios" fld="10" baseField="0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F5F1BD-FBFA-417E-802D-241F53D2A5F5}" name="TablaDinámica1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F140:G144" firstHeaderRow="1" firstDataRow="1" firstDataCol="1"/>
  <pivotFields count="22">
    <pivotField showAll="0"/>
    <pivotField showAll="0"/>
    <pivotField showAll="0"/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dataField="1" numFmtId="1" showAll="0"/>
    <pivotField showAll="0">
      <items count="8">
        <item x="3"/>
        <item x="1"/>
        <item x="4"/>
        <item x="5"/>
        <item x="0"/>
        <item x="6"/>
        <item x="2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2"/>
        <item x="0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Beneficios" fld="10" baseField="0" baseItem="0" numFmtId="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4EDF17-F0AA-46C3-B663-8C6A13EF0EC2}" name="TablaDiná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>
  <location ref="C106:D113" firstHeaderRow="1" firstDataRow="1" firstDataCol="1"/>
  <pivotFields count="22">
    <pivotField dataField="1" showAll="0"/>
    <pivotField showAll="0"/>
    <pivotField showAll="0"/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numFmtId="1" showAll="0"/>
    <pivotField showAll="0">
      <items count="8">
        <item x="3"/>
        <item x="1"/>
        <item x="4"/>
        <item x="5"/>
        <item x="0"/>
        <item x="6"/>
        <item x="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2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Ventas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A894B8-24FB-4560-BF47-302E78377CF9}" name="TablaDinámica1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7">
  <location ref="F156:G161" firstHeaderRow="1" firstDataRow="1" firstDataCol="1"/>
  <pivotFields count="22">
    <pivotField showAll="0"/>
    <pivotField showAll="0"/>
    <pivotField showAll="0"/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dataField="1" numFmtId="1" showAll="0"/>
    <pivotField showAll="0">
      <items count="8">
        <item x="3"/>
        <item x="1"/>
        <item x="4"/>
        <item x="5"/>
        <item x="0"/>
        <item x="6"/>
        <item x="2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Beneficios" fld="10" baseField="0" baseItem="0" numFmtId="1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2E2E8-043C-4D14-A96E-15C216ADD996}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F73:G81" firstHeaderRow="1" firstDataRow="1" firstDataCol="1"/>
  <pivotFields count="22">
    <pivotField showAll="0"/>
    <pivotField showAll="0"/>
    <pivotField showAll="0"/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axis="axisRow"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dataField="1" numFmtId="1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Beneficios" fld="10" baseField="0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E76C1D-32BA-46C9-B955-6B5B5652C289}" name="TablaDinámica10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F123:G127" firstHeaderRow="1" firstDataRow="1" firstDataCol="1"/>
  <pivotFields count="22">
    <pivotField showAll="0"/>
    <pivotField showAll="0"/>
    <pivotField showAll="0"/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dataField="1" numFmtId="1" showAll="0"/>
    <pivotField showAll="0">
      <items count="8">
        <item x="3"/>
        <item x="1"/>
        <item x="4"/>
        <item x="5"/>
        <item x="0"/>
        <item x="6"/>
        <item x="2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Beneficios" fld="10" baseField="0" baseItem="0" numFmtId="1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27088E-6725-4628-A3CD-F9B4BD6F710B}" name="TablaDinámica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C123:D127" firstHeaderRow="1" firstDataRow="1" firstDataCol="1"/>
  <pivotFields count="22">
    <pivotField dataField="1" showAll="0"/>
    <pivotField showAll="0"/>
    <pivotField showAll="0"/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numFmtId="1" showAll="0"/>
    <pivotField showAll="0">
      <items count="8">
        <item x="3"/>
        <item x="1"/>
        <item x="4"/>
        <item x="5"/>
        <item x="0"/>
        <item x="6"/>
        <item x="2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Ventas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5E0E55-9CE9-491C-816F-9091186DEE92}" name="TablaDinámica1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C140:D144" firstHeaderRow="1" firstDataRow="1" firstDataCol="1"/>
  <pivotFields count="22">
    <pivotField dataField="1" showAll="0"/>
    <pivotField showAll="0"/>
    <pivotField showAll="0"/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numFmtId="1" showAll="0"/>
    <pivotField showAll="0">
      <items count="8">
        <item x="3"/>
        <item x="1"/>
        <item x="4"/>
        <item x="5"/>
        <item x="0"/>
        <item x="6"/>
        <item x="2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2"/>
        <item x="0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Ventas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8B1169-09EF-408A-B960-60BB9CFC40C8}" name="TablaDiná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F89:G97" firstHeaderRow="1" firstDataRow="1" firstDataCol="1"/>
  <pivotFields count="22">
    <pivotField showAll="0"/>
    <pivotField showAll="0"/>
    <pivotField showAll="0"/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dataField="1" numFmtId="1" showAll="0"/>
    <pivotField axis="axisRow" showAll="0">
      <items count="8">
        <item x="3"/>
        <item x="1"/>
        <item x="4"/>
        <item x="5"/>
        <item x="0"/>
        <item x="6"/>
        <item x="2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Beneficios" fld="10" baseField="0" baseItem="0" numFmtId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EE7A9E-EA88-4F6F-AA03-EF83D7DC42D8}" name="KPIs_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I5:I6" firstHeaderRow="1" firstDataRow="1" firstDataCol="0" rowPageCount="2" colPageCount="1"/>
  <pivotFields count="22">
    <pivotField dataField="1" showAll="0"/>
    <pivotField showAll="0"/>
    <pivotField showAll="0"/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axis="axisPage" showAll="0">
      <items count="13">
        <item x="8"/>
        <item x="10"/>
        <item x="0"/>
        <item x="2"/>
        <item x="11"/>
        <item x="5"/>
        <item x="6"/>
        <item x="9"/>
        <item x="4"/>
        <item x="7"/>
        <item x="3"/>
        <item x="1"/>
        <item t="default"/>
      </items>
    </pivotField>
    <pivotField axis="axisPage" numFmtId="1" showAll="0">
      <items count="5">
        <item x="1"/>
        <item x="3"/>
        <item x="0"/>
        <item x="2"/>
        <item t="default"/>
      </items>
    </pivotField>
    <pivotField showAll="0"/>
    <pivotField numFmtId="14" showAll="0"/>
    <pivotField numFmtId="1" showAll="0"/>
    <pivotField numFmtId="1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Items count="1">
    <i/>
  </rowItems>
  <colItems count="1">
    <i/>
  </colItems>
  <pageFields count="2">
    <pageField fld="6" item="3" hier="-1"/>
    <pageField fld="5" item="4" hier="-1"/>
  </pageFields>
  <dataFields count="1">
    <dataField name="Cuenta de ID usuari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38CB13-98B5-46F8-8805-3E06C1AB1690}" name="TablaDinámica1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5">
  <location ref="C156:D161" firstHeaderRow="1" firstDataRow="1" firstDataCol="1"/>
  <pivotFields count="22"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869">
        <item x="836"/>
        <item x="140"/>
        <item x="373"/>
        <item x="82"/>
        <item x="424"/>
        <item x="67"/>
        <item x="509"/>
        <item x="171"/>
        <item x="365"/>
        <item x="310"/>
        <item x="366"/>
        <item x="299"/>
        <item x="355"/>
        <item x="579"/>
        <item x="396"/>
        <item x="24"/>
        <item x="476"/>
        <item x="785"/>
        <item x="322"/>
        <item x="549"/>
        <item x="350"/>
        <item x="440"/>
        <item x="557"/>
        <item x="49"/>
        <item x="18"/>
        <item x="12"/>
        <item x="625"/>
        <item x="717"/>
        <item x="315"/>
        <item x="413"/>
        <item x="618"/>
        <item x="578"/>
        <item x="705"/>
        <item x="237"/>
        <item x="786"/>
        <item x="488"/>
        <item x="720"/>
        <item x="774"/>
        <item x="835"/>
        <item x="241"/>
        <item x="313"/>
        <item x="583"/>
        <item x="730"/>
        <item x="156"/>
        <item x="658"/>
        <item x="369"/>
        <item x="823"/>
        <item x="223"/>
        <item x="703"/>
        <item x="215"/>
        <item x="769"/>
        <item x="653"/>
        <item x="142"/>
        <item x="582"/>
        <item x="35"/>
        <item x="34"/>
        <item x="852"/>
        <item x="338"/>
        <item x="778"/>
        <item x="252"/>
        <item x="278"/>
        <item x="7"/>
        <item x="750"/>
        <item x="602"/>
        <item x="108"/>
        <item x="850"/>
        <item x="603"/>
        <item x="29"/>
        <item x="70"/>
        <item x="368"/>
        <item x="621"/>
        <item x="30"/>
        <item x="513"/>
        <item x="225"/>
        <item x="304"/>
        <item x="566"/>
        <item x="486"/>
        <item x="803"/>
        <item x="243"/>
        <item x="32"/>
        <item x="395"/>
        <item x="840"/>
        <item x="659"/>
        <item x="550"/>
        <item x="106"/>
        <item x="16"/>
        <item x="449"/>
        <item x="445"/>
        <item x="506"/>
        <item x="747"/>
        <item x="814"/>
        <item x="667"/>
        <item x="161"/>
        <item x="319"/>
        <item x="110"/>
        <item x="432"/>
        <item x="378"/>
        <item x="13"/>
        <item x="9"/>
        <item x="272"/>
        <item x="719"/>
        <item x="133"/>
        <item x="150"/>
        <item x="221"/>
        <item x="507"/>
        <item x="64"/>
        <item x="114"/>
        <item x="645"/>
        <item x="500"/>
        <item x="528"/>
        <item x="218"/>
        <item x="392"/>
        <item x="651"/>
        <item x="345"/>
        <item x="336"/>
        <item x="798"/>
        <item x="676"/>
        <item x="655"/>
        <item x="660"/>
        <item x="758"/>
        <item x="102"/>
        <item x="177"/>
        <item x="250"/>
        <item x="384"/>
        <item x="201"/>
        <item x="347"/>
        <item x="807"/>
        <item x="619"/>
        <item x="185"/>
        <item x="494"/>
        <item x="743"/>
        <item x="247"/>
        <item x="517"/>
        <item x="372"/>
        <item x="559"/>
        <item x="854"/>
        <item x="41"/>
        <item x="446"/>
        <item x="107"/>
        <item x="148"/>
        <item x="65"/>
        <item x="37"/>
        <item x="262"/>
        <item x="411"/>
        <item x="571"/>
        <item x="631"/>
        <item x="595"/>
        <item x="515"/>
        <item x="493"/>
        <item x="160"/>
        <item x="220"/>
        <item x="281"/>
        <item x="175"/>
        <item x="68"/>
        <item x="264"/>
        <item x="824"/>
        <item x="135"/>
        <item x="843"/>
        <item x="334"/>
        <item x="189"/>
        <item x="505"/>
        <item x="376"/>
        <item x="23"/>
        <item x="656"/>
        <item x="825"/>
        <item x="718"/>
        <item x="759"/>
        <item x="802"/>
        <item x="285"/>
        <item x="855"/>
        <item x="731"/>
        <item x="812"/>
        <item x="425"/>
        <item x="42"/>
        <item x="648"/>
        <item x="642"/>
        <item x="408"/>
        <item x="503"/>
        <item x="143"/>
        <item x="654"/>
        <item x="214"/>
        <item x="134"/>
        <item x="297"/>
        <item x="145"/>
        <item x="95"/>
        <item x="239"/>
        <item x="260"/>
        <item x="622"/>
        <item x="270"/>
        <item x="434"/>
        <item x="31"/>
        <item x="723"/>
        <item x="28"/>
        <item x="316"/>
        <item x="251"/>
        <item x="721"/>
        <item x="307"/>
        <item x="779"/>
        <item x="301"/>
        <item x="442"/>
        <item x="359"/>
        <item x="328"/>
        <item x="853"/>
        <item x="590"/>
        <item x="860"/>
        <item x="118"/>
        <item x="325"/>
        <item x="501"/>
        <item x="94"/>
        <item x="112"/>
        <item x="83"/>
        <item x="119"/>
        <item x="343"/>
        <item x="662"/>
        <item x="357"/>
        <item x="787"/>
        <item x="592"/>
        <item x="532"/>
        <item x="652"/>
        <item x="59"/>
        <item x="459"/>
        <item x="379"/>
        <item x="33"/>
        <item x="344"/>
        <item x="402"/>
        <item x="79"/>
        <item x="591"/>
        <item x="837"/>
        <item x="623"/>
        <item x="471"/>
        <item x="437"/>
        <item x="62"/>
        <item x="613"/>
        <item x="514"/>
        <item x="375"/>
        <item x="181"/>
        <item x="678"/>
        <item x="475"/>
        <item x="609"/>
        <item x="320"/>
        <item x="131"/>
        <item x="286"/>
        <item x="263"/>
        <item x="704"/>
        <item x="551"/>
        <item x="157"/>
        <item x="97"/>
        <item x="561"/>
        <item x="400"/>
        <item x="669"/>
        <item x="246"/>
        <item x="661"/>
        <item x="453"/>
        <item x="75"/>
        <item x="599"/>
        <item x="287"/>
        <item x="584"/>
        <item x="687"/>
        <item x="809"/>
        <item x="834"/>
        <item x="478"/>
        <item x="360"/>
        <item x="255"/>
        <item x="756"/>
        <item x="640"/>
        <item x="275"/>
        <item x="348"/>
        <item x="737"/>
        <item x="633"/>
        <item x="84"/>
        <item x="630"/>
        <item x="693"/>
        <item x="553"/>
        <item x="11"/>
        <item x="699"/>
        <item x="274"/>
        <item x="300"/>
        <item x="191"/>
        <item x="784"/>
        <item x="430"/>
        <item x="248"/>
        <item x="427"/>
        <item x="552"/>
        <item x="242"/>
        <item x="219"/>
        <item x="257"/>
        <item x="87"/>
        <item x="182"/>
        <item x="777"/>
        <item x="228"/>
        <item x="483"/>
        <item x="200"/>
        <item x="1"/>
        <item x="629"/>
        <item x="265"/>
        <item x="213"/>
        <item x="45"/>
        <item x="438"/>
        <item x="342"/>
        <item x="770"/>
        <item x="127"/>
        <item x="712"/>
        <item x="391"/>
        <item x="194"/>
        <item x="129"/>
        <item x="508"/>
        <item x="410"/>
        <item x="780"/>
        <item x="178"/>
        <item x="539"/>
        <item x="715"/>
        <item x="55"/>
        <item x="58"/>
        <item x="22"/>
        <item x="641"/>
        <item x="464"/>
        <item x="472"/>
        <item x="604"/>
        <item x="81"/>
        <item x="801"/>
        <item x="27"/>
        <item x="167"/>
        <item x="596"/>
        <item x="711"/>
        <item x="57"/>
        <item x="91"/>
        <item x="123"/>
        <item x="713"/>
        <item x="556"/>
        <item x="819"/>
        <item x="454"/>
        <item x="458"/>
        <item x="117"/>
        <item x="433"/>
        <item x="51"/>
        <item x="254"/>
        <item x="525"/>
        <item x="570"/>
        <item x="666"/>
        <item x="436"/>
        <item x="383"/>
        <item x="4"/>
        <item x="477"/>
        <item x="587"/>
        <item x="210"/>
        <item x="512"/>
        <item x="136"/>
        <item x="20"/>
        <item x="732"/>
        <item x="10"/>
        <item x="122"/>
        <item x="668"/>
        <item x="166"/>
        <item x="323"/>
        <item x="735"/>
        <item x="597"/>
        <item x="767"/>
        <item x="844"/>
        <item x="211"/>
        <item x="867"/>
        <item x="818"/>
        <item x="529"/>
        <item x="159"/>
        <item x="364"/>
        <item x="463"/>
        <item x="409"/>
        <item x="109"/>
        <item x="510"/>
        <item x="141"/>
        <item x="447"/>
        <item x="103"/>
        <item x="745"/>
        <item x="865"/>
        <item x="542"/>
        <item x="351"/>
        <item x="5"/>
        <item x="43"/>
        <item x="193"/>
        <item x="781"/>
        <item x="562"/>
        <item x="450"/>
        <item x="407"/>
        <item x="203"/>
        <item x="697"/>
        <item x="192"/>
        <item x="205"/>
        <item x="846"/>
        <item x="805"/>
        <item x="98"/>
        <item x="40"/>
        <item x="321"/>
        <item x="502"/>
        <item x="86"/>
        <item x="690"/>
        <item x="273"/>
        <item x="534"/>
        <item x="672"/>
        <item x="838"/>
        <item x="858"/>
        <item x="337"/>
        <item x="406"/>
        <item x="163"/>
        <item x="548"/>
        <item x="700"/>
        <item x="244"/>
        <item x="311"/>
        <item x="154"/>
        <item x="266"/>
        <item x="760"/>
        <item x="276"/>
        <item x="120"/>
        <item x="176"/>
        <item x="356"/>
        <item x="232"/>
        <item x="455"/>
        <item x="204"/>
        <item x="643"/>
        <item x="139"/>
        <item x="324"/>
        <item x="675"/>
        <item x="333"/>
        <item x="751"/>
        <item x="187"/>
        <item x="294"/>
        <item x="670"/>
        <item x="724"/>
        <item x="99"/>
        <item x="60"/>
        <item x="207"/>
        <item x="757"/>
        <item x="56"/>
        <item x="544"/>
        <item x="492"/>
        <item x="283"/>
        <item x="826"/>
        <item x="302"/>
        <item x="74"/>
        <item x="367"/>
        <item x="521"/>
        <item x="775"/>
        <item x="701"/>
        <item x="305"/>
        <item x="168"/>
        <item x="231"/>
        <item x="25"/>
        <item x="405"/>
        <item x="845"/>
        <item x="314"/>
        <item x="382"/>
        <item x="78"/>
        <item x="412"/>
        <item x="267"/>
        <item x="21"/>
        <item x="63"/>
        <item x="390"/>
        <item x="346"/>
        <item x="685"/>
        <item x="138"/>
        <item x="589"/>
        <item x="44"/>
        <item x="856"/>
        <item x="709"/>
        <item x="593"/>
        <item x="190"/>
        <item x="664"/>
        <item x="19"/>
        <item x="647"/>
        <item x="627"/>
        <item x="610"/>
        <item x="776"/>
        <item x="484"/>
        <item x="76"/>
        <item x="728"/>
        <item x="399"/>
        <item x="416"/>
        <item x="234"/>
        <item x="866"/>
        <item x="524"/>
        <item x="739"/>
        <item x="632"/>
        <item x="363"/>
        <item x="744"/>
        <item x="292"/>
        <item x="38"/>
        <item x="473"/>
        <item x="863"/>
        <item x="504"/>
        <item x="227"/>
        <item x="496"/>
        <item x="206"/>
        <item x="111"/>
        <item x="520"/>
        <item x="535"/>
        <item x="601"/>
        <item x="198"/>
        <item x="616"/>
        <item x="318"/>
        <item x="423"/>
        <item x="519"/>
        <item x="762"/>
        <item x="796"/>
        <item x="456"/>
        <item x="326"/>
        <item x="820"/>
        <item x="782"/>
        <item x="288"/>
        <item x="309"/>
        <item x="864"/>
        <item x="113"/>
        <item x="527"/>
        <item x="183"/>
        <item x="733"/>
        <item x="422"/>
        <item x="149"/>
        <item x="14"/>
        <item x="684"/>
        <item x="69"/>
        <item x="6"/>
        <item x="577"/>
        <item x="398"/>
        <item x="680"/>
        <item x="637"/>
        <item x="387"/>
        <item x="636"/>
        <item x="130"/>
        <item x="271"/>
        <item x="349"/>
        <item x="491"/>
        <item x="209"/>
        <item x="789"/>
        <item x="827"/>
        <item x="419"/>
        <item x="441"/>
        <item x="15"/>
        <item x="152"/>
        <item x="839"/>
        <item x="428"/>
        <item x="541"/>
        <item x="3"/>
        <item x="381"/>
        <item x="329"/>
        <item x="121"/>
        <item x="773"/>
        <item x="696"/>
        <item x="650"/>
        <item x="628"/>
        <item x="466"/>
        <item x="815"/>
        <item x="352"/>
        <item x="482"/>
        <item x="813"/>
        <item x="671"/>
        <item x="230"/>
        <item x="714"/>
        <item x="615"/>
        <item x="558"/>
        <item x="831"/>
        <item x="511"/>
        <item x="462"/>
        <item x="586"/>
        <item x="707"/>
        <item x="726"/>
        <item x="474"/>
        <item x="0"/>
        <item x="694"/>
        <item x="857"/>
        <item x="841"/>
        <item x="649"/>
        <item x="93"/>
        <item x="308"/>
        <item x="564"/>
        <item x="692"/>
        <item x="61"/>
        <item x="435"/>
        <item x="817"/>
        <item x="657"/>
        <item x="598"/>
        <item x="606"/>
        <item x="53"/>
        <item x="377"/>
        <item x="530"/>
        <item x="172"/>
        <item x="457"/>
        <item x="573"/>
        <item x="388"/>
        <item x="624"/>
        <item x="674"/>
        <item x="677"/>
        <item x="253"/>
        <item x="439"/>
        <item x="465"/>
        <item x="607"/>
        <item x="312"/>
        <item x="125"/>
        <item x="736"/>
        <item x="174"/>
        <item x="569"/>
        <item x="702"/>
        <item x="806"/>
        <item x="2"/>
        <item x="158"/>
        <item x="362"/>
        <item x="752"/>
        <item x="256"/>
        <item x="341"/>
        <item x="72"/>
        <item x="793"/>
        <item x="783"/>
        <item x="291"/>
        <item x="236"/>
        <item x="197"/>
        <item x="258"/>
        <item x="151"/>
        <item x="277"/>
        <item x="196"/>
        <item x="828"/>
        <item x="165"/>
        <item x="280"/>
        <item x="303"/>
        <item x="170"/>
        <item x="753"/>
        <item x="611"/>
        <item x="788"/>
        <item x="799"/>
        <item x="740"/>
        <item x="137"/>
        <item x="546"/>
        <item x="804"/>
        <item x="663"/>
        <item x="47"/>
        <item x="327"/>
        <item x="393"/>
        <item x="620"/>
        <item x="229"/>
        <item x="533"/>
        <item x="54"/>
        <item x="861"/>
        <item x="639"/>
        <item x="605"/>
        <item x="608"/>
        <item x="588"/>
        <item x="791"/>
        <item x="568"/>
        <item x="790"/>
        <item x="128"/>
        <item x="543"/>
        <item x="741"/>
        <item x="298"/>
        <item x="734"/>
        <item x="238"/>
        <item x="495"/>
        <item x="39"/>
        <item x="833"/>
        <item x="100"/>
        <item x="331"/>
        <item x="199"/>
        <item x="46"/>
        <item x="404"/>
        <item x="545"/>
        <item x="523"/>
        <item x="361"/>
        <item x="431"/>
        <item x="92"/>
        <item x="681"/>
        <item x="614"/>
        <item x="547"/>
        <item x="563"/>
        <item x="727"/>
        <item x="451"/>
        <item x="849"/>
        <item x="847"/>
        <item x="755"/>
        <item x="443"/>
        <item x="487"/>
        <item x="842"/>
        <item x="710"/>
        <item x="147"/>
        <item x="764"/>
        <item x="851"/>
        <item x="290"/>
        <item x="518"/>
        <item x="490"/>
        <item x="124"/>
        <item x="600"/>
        <item x="212"/>
        <item x="153"/>
        <item x="249"/>
        <item x="259"/>
        <item x="485"/>
        <item x="469"/>
        <item x="415"/>
        <item x="489"/>
        <item x="162"/>
        <item x="691"/>
        <item x="105"/>
        <item x="245"/>
        <item x="800"/>
        <item x="572"/>
        <item x="8"/>
        <item x="358"/>
        <item x="235"/>
        <item x="816"/>
        <item x="403"/>
        <item x="296"/>
        <item x="682"/>
        <item x="722"/>
        <item x="768"/>
        <item x="26"/>
        <item x="104"/>
        <item x="695"/>
        <item x="101"/>
        <item x="555"/>
        <item x="832"/>
        <item x="766"/>
        <item x="332"/>
        <item x="763"/>
        <item x="417"/>
        <item x="353"/>
        <item x="268"/>
        <item x="36"/>
        <item x="792"/>
        <item x="146"/>
        <item x="85"/>
        <item x="371"/>
        <item x="481"/>
        <item x="386"/>
        <item x="538"/>
        <item x="761"/>
        <item x="226"/>
        <item x="202"/>
        <item x="580"/>
        <item x="208"/>
        <item x="468"/>
        <item x="17"/>
        <item x="862"/>
        <item x="626"/>
        <item x="186"/>
        <item x="295"/>
        <item x="132"/>
        <item x="749"/>
        <item x="216"/>
        <item x="80"/>
        <item x="52"/>
        <item x="279"/>
        <item x="88"/>
        <item x="738"/>
        <item x="683"/>
        <item x="821"/>
        <item x="71"/>
        <item x="164"/>
        <item x="574"/>
        <item x="567"/>
        <item x="673"/>
        <item x="394"/>
        <item x="638"/>
        <item x="540"/>
        <item x="480"/>
        <item x="169"/>
        <item x="269"/>
        <item x="829"/>
        <item x="448"/>
        <item x="50"/>
        <item x="698"/>
        <item x="646"/>
        <item x="795"/>
        <item x="188"/>
        <item x="222"/>
        <item x="716"/>
        <item x="233"/>
        <item x="689"/>
        <item x="240"/>
        <item x="414"/>
        <item x="754"/>
        <item x="679"/>
        <item x="742"/>
        <item x="470"/>
        <item x="644"/>
        <item x="389"/>
        <item x="155"/>
        <item x="195"/>
        <item x="531"/>
        <item x="217"/>
        <item x="808"/>
        <item x="173"/>
        <item x="771"/>
        <item x="289"/>
        <item x="293"/>
        <item x="96"/>
        <item x="746"/>
        <item x="180"/>
        <item x="452"/>
        <item x="461"/>
        <item x="48"/>
        <item x="467"/>
        <item x="822"/>
        <item x="401"/>
        <item x="725"/>
        <item x="77"/>
        <item x="144"/>
        <item x="116"/>
        <item x="179"/>
        <item x="686"/>
        <item x="565"/>
        <item x="306"/>
        <item x="282"/>
        <item x="374"/>
        <item x="479"/>
        <item x="810"/>
        <item x="339"/>
        <item x="617"/>
        <item x="665"/>
        <item x="460"/>
        <item x="89"/>
        <item x="554"/>
        <item x="429"/>
        <item x="330"/>
        <item x="594"/>
        <item x="317"/>
        <item x="126"/>
        <item x="536"/>
        <item x="526"/>
        <item x="444"/>
        <item x="426"/>
        <item x="706"/>
        <item x="612"/>
        <item x="634"/>
        <item x="859"/>
        <item x="848"/>
        <item x="772"/>
        <item x="581"/>
        <item x="418"/>
        <item x="184"/>
        <item x="708"/>
        <item x="340"/>
        <item x="516"/>
        <item x="370"/>
        <item x="635"/>
        <item x="73"/>
        <item x="575"/>
        <item x="397"/>
        <item x="385"/>
        <item x="354"/>
        <item x="66"/>
        <item x="522"/>
        <item x="261"/>
        <item x="380"/>
        <item x="115"/>
        <item x="794"/>
        <item x="537"/>
        <item x="729"/>
        <item x="224"/>
        <item x="498"/>
        <item x="585"/>
        <item x="748"/>
        <item x="497"/>
        <item x="688"/>
        <item x="421"/>
        <item x="830"/>
        <item x="811"/>
        <item x="90"/>
        <item x="499"/>
        <item x="576"/>
        <item x="335"/>
        <item x="560"/>
        <item x="420"/>
        <item x="765"/>
        <item x="797"/>
        <item x="284"/>
        <item t="default"/>
      </items>
    </pivotField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>
      <items count="13">
        <item x="8"/>
        <item x="10"/>
        <item x="0"/>
        <item x="2"/>
        <item x="11"/>
        <item x="5"/>
        <item x="6"/>
        <item x="9"/>
        <item x="4"/>
        <item x="7"/>
        <item x="3"/>
        <item x="1"/>
        <item t="default"/>
      </items>
    </pivotField>
    <pivotField numFmtId="1" showAll="0">
      <items count="5">
        <item x="1"/>
        <item x="3"/>
        <item x="0"/>
        <item x="2"/>
        <item t="default"/>
      </items>
    </pivotField>
    <pivotField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dataField="1" numFmtId="1" showAll="0"/>
    <pivotField showAll="0">
      <items count="8">
        <item x="3"/>
        <item x="1"/>
        <item x="4"/>
        <item x="5"/>
        <item x="0"/>
        <item x="6"/>
        <item x="2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Ingresos totales" fld="10" baseField="0" baseItem="0" numFmtId="1"/>
  </dataFields>
  <chartFormats count="2">
    <chartFormat chart="2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01E4CD-38F4-4C23-84DA-A8DA1FFE2DAB}" name="TablaDiná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C106:D113" firstHeaderRow="1" firstDataRow="1" firstDataCol="1"/>
  <pivotFields count="22"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869">
        <item x="836"/>
        <item x="140"/>
        <item x="373"/>
        <item x="82"/>
        <item x="424"/>
        <item x="67"/>
        <item x="509"/>
        <item x="171"/>
        <item x="365"/>
        <item x="310"/>
        <item x="366"/>
        <item x="299"/>
        <item x="355"/>
        <item x="579"/>
        <item x="396"/>
        <item x="24"/>
        <item x="476"/>
        <item x="785"/>
        <item x="322"/>
        <item x="549"/>
        <item x="350"/>
        <item x="440"/>
        <item x="557"/>
        <item x="49"/>
        <item x="18"/>
        <item x="12"/>
        <item x="625"/>
        <item x="717"/>
        <item x="315"/>
        <item x="413"/>
        <item x="618"/>
        <item x="578"/>
        <item x="705"/>
        <item x="237"/>
        <item x="786"/>
        <item x="488"/>
        <item x="720"/>
        <item x="774"/>
        <item x="835"/>
        <item x="241"/>
        <item x="313"/>
        <item x="583"/>
        <item x="730"/>
        <item x="156"/>
        <item x="658"/>
        <item x="369"/>
        <item x="823"/>
        <item x="223"/>
        <item x="703"/>
        <item x="215"/>
        <item x="769"/>
        <item x="653"/>
        <item x="142"/>
        <item x="582"/>
        <item x="35"/>
        <item x="34"/>
        <item x="852"/>
        <item x="338"/>
        <item x="778"/>
        <item x="252"/>
        <item x="278"/>
        <item x="7"/>
        <item x="750"/>
        <item x="602"/>
        <item x="108"/>
        <item x="850"/>
        <item x="603"/>
        <item x="29"/>
        <item x="70"/>
        <item x="368"/>
        <item x="621"/>
        <item x="30"/>
        <item x="513"/>
        <item x="225"/>
        <item x="304"/>
        <item x="566"/>
        <item x="486"/>
        <item x="803"/>
        <item x="243"/>
        <item x="32"/>
        <item x="395"/>
        <item x="840"/>
        <item x="659"/>
        <item x="550"/>
        <item x="106"/>
        <item x="16"/>
        <item x="449"/>
        <item x="445"/>
        <item x="506"/>
        <item x="747"/>
        <item x="814"/>
        <item x="667"/>
        <item x="161"/>
        <item x="319"/>
        <item x="110"/>
        <item x="432"/>
        <item x="378"/>
        <item x="13"/>
        <item x="9"/>
        <item x="272"/>
        <item x="719"/>
        <item x="133"/>
        <item x="150"/>
        <item x="221"/>
        <item x="507"/>
        <item x="64"/>
        <item x="114"/>
        <item x="645"/>
        <item x="500"/>
        <item x="528"/>
        <item x="218"/>
        <item x="392"/>
        <item x="651"/>
        <item x="345"/>
        <item x="336"/>
        <item x="798"/>
        <item x="676"/>
        <item x="655"/>
        <item x="660"/>
        <item x="758"/>
        <item x="102"/>
        <item x="177"/>
        <item x="250"/>
        <item x="384"/>
        <item x="201"/>
        <item x="347"/>
        <item x="807"/>
        <item x="619"/>
        <item x="185"/>
        <item x="494"/>
        <item x="743"/>
        <item x="247"/>
        <item x="517"/>
        <item x="372"/>
        <item x="559"/>
        <item x="854"/>
        <item x="41"/>
        <item x="446"/>
        <item x="107"/>
        <item x="148"/>
        <item x="65"/>
        <item x="37"/>
        <item x="262"/>
        <item x="411"/>
        <item x="571"/>
        <item x="631"/>
        <item x="595"/>
        <item x="515"/>
        <item x="493"/>
        <item x="160"/>
        <item x="220"/>
        <item x="281"/>
        <item x="175"/>
        <item x="68"/>
        <item x="264"/>
        <item x="824"/>
        <item x="135"/>
        <item x="843"/>
        <item x="334"/>
        <item x="189"/>
        <item x="505"/>
        <item x="376"/>
        <item x="23"/>
        <item x="656"/>
        <item x="825"/>
        <item x="718"/>
        <item x="759"/>
        <item x="802"/>
        <item x="285"/>
        <item x="855"/>
        <item x="731"/>
        <item x="812"/>
        <item x="425"/>
        <item x="42"/>
        <item x="648"/>
        <item x="642"/>
        <item x="408"/>
        <item x="503"/>
        <item x="143"/>
        <item x="654"/>
        <item x="214"/>
        <item x="134"/>
        <item x="297"/>
        <item x="145"/>
        <item x="95"/>
        <item x="239"/>
        <item x="260"/>
        <item x="622"/>
        <item x="270"/>
        <item x="434"/>
        <item x="31"/>
        <item x="723"/>
        <item x="28"/>
        <item x="316"/>
        <item x="251"/>
        <item x="721"/>
        <item x="307"/>
        <item x="779"/>
        <item x="301"/>
        <item x="442"/>
        <item x="359"/>
        <item x="328"/>
        <item x="853"/>
        <item x="590"/>
        <item x="860"/>
        <item x="118"/>
        <item x="325"/>
        <item x="501"/>
        <item x="94"/>
        <item x="112"/>
        <item x="83"/>
        <item x="119"/>
        <item x="343"/>
        <item x="662"/>
        <item x="357"/>
        <item x="787"/>
        <item x="592"/>
        <item x="532"/>
        <item x="652"/>
        <item x="59"/>
        <item x="459"/>
        <item x="379"/>
        <item x="33"/>
        <item x="344"/>
        <item x="402"/>
        <item x="79"/>
        <item x="591"/>
        <item x="837"/>
        <item x="623"/>
        <item x="471"/>
        <item x="437"/>
        <item x="62"/>
        <item x="613"/>
        <item x="514"/>
        <item x="375"/>
        <item x="181"/>
        <item x="678"/>
        <item x="475"/>
        <item x="609"/>
        <item x="320"/>
        <item x="131"/>
        <item x="286"/>
        <item x="263"/>
        <item x="704"/>
        <item x="551"/>
        <item x="157"/>
        <item x="97"/>
        <item x="561"/>
        <item x="400"/>
        <item x="669"/>
        <item x="246"/>
        <item x="661"/>
        <item x="453"/>
        <item x="75"/>
        <item x="599"/>
        <item x="287"/>
        <item x="584"/>
        <item x="687"/>
        <item x="809"/>
        <item x="834"/>
        <item x="478"/>
        <item x="360"/>
        <item x="255"/>
        <item x="756"/>
        <item x="640"/>
        <item x="275"/>
        <item x="348"/>
        <item x="737"/>
        <item x="633"/>
        <item x="84"/>
        <item x="630"/>
        <item x="693"/>
        <item x="553"/>
        <item x="11"/>
        <item x="699"/>
        <item x="274"/>
        <item x="300"/>
        <item x="191"/>
        <item x="784"/>
        <item x="430"/>
        <item x="248"/>
        <item x="427"/>
        <item x="552"/>
        <item x="242"/>
        <item x="219"/>
        <item x="257"/>
        <item x="87"/>
        <item x="182"/>
        <item x="777"/>
        <item x="228"/>
        <item x="483"/>
        <item x="200"/>
        <item x="1"/>
        <item x="629"/>
        <item x="265"/>
        <item x="213"/>
        <item x="45"/>
        <item x="438"/>
        <item x="342"/>
        <item x="770"/>
        <item x="127"/>
        <item x="712"/>
        <item x="391"/>
        <item x="194"/>
        <item x="129"/>
        <item x="508"/>
        <item x="410"/>
        <item x="780"/>
        <item x="178"/>
        <item x="539"/>
        <item x="715"/>
        <item x="55"/>
        <item x="58"/>
        <item x="22"/>
        <item x="641"/>
        <item x="464"/>
        <item x="472"/>
        <item x="604"/>
        <item x="81"/>
        <item x="801"/>
        <item x="27"/>
        <item x="167"/>
        <item x="596"/>
        <item x="711"/>
        <item x="57"/>
        <item x="91"/>
        <item x="123"/>
        <item x="713"/>
        <item x="556"/>
        <item x="819"/>
        <item x="454"/>
        <item x="458"/>
        <item x="117"/>
        <item x="433"/>
        <item x="51"/>
        <item x="254"/>
        <item x="525"/>
        <item x="570"/>
        <item x="666"/>
        <item x="436"/>
        <item x="383"/>
        <item x="4"/>
        <item x="477"/>
        <item x="587"/>
        <item x="210"/>
        <item x="512"/>
        <item x="136"/>
        <item x="20"/>
        <item x="732"/>
        <item x="10"/>
        <item x="122"/>
        <item x="668"/>
        <item x="166"/>
        <item x="323"/>
        <item x="735"/>
        <item x="597"/>
        <item x="767"/>
        <item x="844"/>
        <item x="211"/>
        <item x="867"/>
        <item x="818"/>
        <item x="529"/>
        <item x="159"/>
        <item x="364"/>
        <item x="463"/>
        <item x="409"/>
        <item x="109"/>
        <item x="510"/>
        <item x="141"/>
        <item x="447"/>
        <item x="103"/>
        <item x="745"/>
        <item x="865"/>
        <item x="542"/>
        <item x="351"/>
        <item x="5"/>
        <item x="43"/>
        <item x="193"/>
        <item x="781"/>
        <item x="562"/>
        <item x="450"/>
        <item x="407"/>
        <item x="203"/>
        <item x="697"/>
        <item x="192"/>
        <item x="205"/>
        <item x="846"/>
        <item x="805"/>
        <item x="98"/>
        <item x="40"/>
        <item x="321"/>
        <item x="502"/>
        <item x="86"/>
        <item x="690"/>
        <item x="273"/>
        <item x="534"/>
        <item x="672"/>
        <item x="838"/>
        <item x="858"/>
        <item x="337"/>
        <item x="406"/>
        <item x="163"/>
        <item x="548"/>
        <item x="700"/>
        <item x="244"/>
        <item x="311"/>
        <item x="154"/>
        <item x="266"/>
        <item x="760"/>
        <item x="276"/>
        <item x="120"/>
        <item x="176"/>
        <item x="356"/>
        <item x="232"/>
        <item x="455"/>
        <item x="204"/>
        <item x="643"/>
        <item x="139"/>
        <item x="324"/>
        <item x="675"/>
        <item x="333"/>
        <item x="751"/>
        <item x="187"/>
        <item x="294"/>
        <item x="670"/>
        <item x="724"/>
        <item x="99"/>
        <item x="60"/>
        <item x="207"/>
        <item x="757"/>
        <item x="56"/>
        <item x="544"/>
        <item x="492"/>
        <item x="283"/>
        <item x="826"/>
        <item x="302"/>
        <item x="74"/>
        <item x="367"/>
        <item x="521"/>
        <item x="775"/>
        <item x="701"/>
        <item x="305"/>
        <item x="168"/>
        <item x="231"/>
        <item x="25"/>
        <item x="405"/>
        <item x="845"/>
        <item x="314"/>
        <item x="382"/>
        <item x="78"/>
        <item x="412"/>
        <item x="267"/>
        <item x="21"/>
        <item x="63"/>
        <item x="390"/>
        <item x="346"/>
        <item x="685"/>
        <item x="138"/>
        <item x="589"/>
        <item x="44"/>
        <item x="856"/>
        <item x="709"/>
        <item x="593"/>
        <item x="190"/>
        <item x="664"/>
        <item x="19"/>
        <item x="647"/>
        <item x="627"/>
        <item x="610"/>
        <item x="776"/>
        <item x="484"/>
        <item x="76"/>
        <item x="728"/>
        <item x="399"/>
        <item x="416"/>
        <item x="234"/>
        <item x="866"/>
        <item x="524"/>
        <item x="739"/>
        <item x="632"/>
        <item x="363"/>
        <item x="744"/>
        <item x="292"/>
        <item x="38"/>
        <item x="473"/>
        <item x="863"/>
        <item x="504"/>
        <item x="227"/>
        <item x="496"/>
        <item x="206"/>
        <item x="111"/>
        <item x="520"/>
        <item x="535"/>
        <item x="601"/>
        <item x="198"/>
        <item x="616"/>
        <item x="318"/>
        <item x="423"/>
        <item x="519"/>
        <item x="762"/>
        <item x="796"/>
        <item x="456"/>
        <item x="326"/>
        <item x="820"/>
        <item x="782"/>
        <item x="288"/>
        <item x="309"/>
        <item x="864"/>
        <item x="113"/>
        <item x="527"/>
        <item x="183"/>
        <item x="733"/>
        <item x="422"/>
        <item x="149"/>
        <item x="14"/>
        <item x="684"/>
        <item x="69"/>
        <item x="6"/>
        <item x="577"/>
        <item x="398"/>
        <item x="680"/>
        <item x="637"/>
        <item x="387"/>
        <item x="636"/>
        <item x="130"/>
        <item x="271"/>
        <item x="349"/>
        <item x="491"/>
        <item x="209"/>
        <item x="789"/>
        <item x="827"/>
        <item x="419"/>
        <item x="441"/>
        <item x="15"/>
        <item x="152"/>
        <item x="839"/>
        <item x="428"/>
        <item x="541"/>
        <item x="3"/>
        <item x="381"/>
        <item x="329"/>
        <item x="121"/>
        <item x="773"/>
        <item x="696"/>
        <item x="650"/>
        <item x="628"/>
        <item x="466"/>
        <item x="815"/>
        <item x="352"/>
        <item x="482"/>
        <item x="813"/>
        <item x="671"/>
        <item x="230"/>
        <item x="714"/>
        <item x="615"/>
        <item x="558"/>
        <item x="831"/>
        <item x="511"/>
        <item x="462"/>
        <item x="586"/>
        <item x="707"/>
        <item x="726"/>
        <item x="474"/>
        <item x="0"/>
        <item x="694"/>
        <item x="857"/>
        <item x="841"/>
        <item x="649"/>
        <item x="93"/>
        <item x="308"/>
        <item x="564"/>
        <item x="692"/>
        <item x="61"/>
        <item x="435"/>
        <item x="817"/>
        <item x="657"/>
        <item x="598"/>
        <item x="606"/>
        <item x="53"/>
        <item x="377"/>
        <item x="530"/>
        <item x="172"/>
        <item x="457"/>
        <item x="573"/>
        <item x="388"/>
        <item x="624"/>
        <item x="674"/>
        <item x="677"/>
        <item x="253"/>
        <item x="439"/>
        <item x="465"/>
        <item x="607"/>
        <item x="312"/>
        <item x="125"/>
        <item x="736"/>
        <item x="174"/>
        <item x="569"/>
        <item x="702"/>
        <item x="806"/>
        <item x="2"/>
        <item x="158"/>
        <item x="362"/>
        <item x="752"/>
        <item x="256"/>
        <item x="341"/>
        <item x="72"/>
        <item x="793"/>
        <item x="783"/>
        <item x="291"/>
        <item x="236"/>
        <item x="197"/>
        <item x="258"/>
        <item x="151"/>
        <item x="277"/>
        <item x="196"/>
        <item x="828"/>
        <item x="165"/>
        <item x="280"/>
        <item x="303"/>
        <item x="170"/>
        <item x="753"/>
        <item x="611"/>
        <item x="788"/>
        <item x="799"/>
        <item x="740"/>
        <item x="137"/>
        <item x="546"/>
        <item x="804"/>
        <item x="663"/>
        <item x="47"/>
        <item x="327"/>
        <item x="393"/>
        <item x="620"/>
        <item x="229"/>
        <item x="533"/>
        <item x="54"/>
        <item x="861"/>
        <item x="639"/>
        <item x="605"/>
        <item x="608"/>
        <item x="588"/>
        <item x="791"/>
        <item x="568"/>
        <item x="790"/>
        <item x="128"/>
        <item x="543"/>
        <item x="741"/>
        <item x="298"/>
        <item x="734"/>
        <item x="238"/>
        <item x="495"/>
        <item x="39"/>
        <item x="833"/>
        <item x="100"/>
        <item x="331"/>
        <item x="199"/>
        <item x="46"/>
        <item x="404"/>
        <item x="545"/>
        <item x="523"/>
        <item x="361"/>
        <item x="431"/>
        <item x="92"/>
        <item x="681"/>
        <item x="614"/>
        <item x="547"/>
        <item x="563"/>
        <item x="727"/>
        <item x="451"/>
        <item x="849"/>
        <item x="847"/>
        <item x="755"/>
        <item x="443"/>
        <item x="487"/>
        <item x="842"/>
        <item x="710"/>
        <item x="147"/>
        <item x="764"/>
        <item x="851"/>
        <item x="290"/>
        <item x="518"/>
        <item x="490"/>
        <item x="124"/>
        <item x="600"/>
        <item x="212"/>
        <item x="153"/>
        <item x="249"/>
        <item x="259"/>
        <item x="485"/>
        <item x="469"/>
        <item x="415"/>
        <item x="489"/>
        <item x="162"/>
        <item x="691"/>
        <item x="105"/>
        <item x="245"/>
        <item x="800"/>
        <item x="572"/>
        <item x="8"/>
        <item x="358"/>
        <item x="235"/>
        <item x="816"/>
        <item x="403"/>
        <item x="296"/>
        <item x="682"/>
        <item x="722"/>
        <item x="768"/>
        <item x="26"/>
        <item x="104"/>
        <item x="695"/>
        <item x="101"/>
        <item x="555"/>
        <item x="832"/>
        <item x="766"/>
        <item x="332"/>
        <item x="763"/>
        <item x="417"/>
        <item x="353"/>
        <item x="268"/>
        <item x="36"/>
        <item x="792"/>
        <item x="146"/>
        <item x="85"/>
        <item x="371"/>
        <item x="481"/>
        <item x="386"/>
        <item x="538"/>
        <item x="761"/>
        <item x="226"/>
        <item x="202"/>
        <item x="580"/>
        <item x="208"/>
        <item x="468"/>
        <item x="17"/>
        <item x="862"/>
        <item x="626"/>
        <item x="186"/>
        <item x="295"/>
        <item x="132"/>
        <item x="749"/>
        <item x="216"/>
        <item x="80"/>
        <item x="52"/>
        <item x="279"/>
        <item x="88"/>
        <item x="738"/>
        <item x="683"/>
        <item x="821"/>
        <item x="71"/>
        <item x="164"/>
        <item x="574"/>
        <item x="567"/>
        <item x="673"/>
        <item x="394"/>
        <item x="638"/>
        <item x="540"/>
        <item x="480"/>
        <item x="169"/>
        <item x="269"/>
        <item x="829"/>
        <item x="448"/>
        <item x="50"/>
        <item x="698"/>
        <item x="646"/>
        <item x="795"/>
        <item x="188"/>
        <item x="222"/>
        <item x="716"/>
        <item x="233"/>
        <item x="689"/>
        <item x="240"/>
        <item x="414"/>
        <item x="754"/>
        <item x="679"/>
        <item x="742"/>
        <item x="470"/>
        <item x="644"/>
        <item x="389"/>
        <item x="155"/>
        <item x="195"/>
        <item x="531"/>
        <item x="217"/>
        <item x="808"/>
        <item x="173"/>
        <item x="771"/>
        <item x="289"/>
        <item x="293"/>
        <item x="96"/>
        <item x="746"/>
        <item x="180"/>
        <item x="452"/>
        <item x="461"/>
        <item x="48"/>
        <item x="467"/>
        <item x="822"/>
        <item x="401"/>
        <item x="725"/>
        <item x="77"/>
        <item x="144"/>
        <item x="116"/>
        <item x="179"/>
        <item x="686"/>
        <item x="565"/>
        <item x="306"/>
        <item x="282"/>
        <item x="374"/>
        <item x="479"/>
        <item x="810"/>
        <item x="339"/>
        <item x="617"/>
        <item x="665"/>
        <item x="460"/>
        <item x="89"/>
        <item x="554"/>
        <item x="429"/>
        <item x="330"/>
        <item x="594"/>
        <item x="317"/>
        <item x="126"/>
        <item x="536"/>
        <item x="526"/>
        <item x="444"/>
        <item x="426"/>
        <item x="706"/>
        <item x="612"/>
        <item x="634"/>
        <item x="859"/>
        <item x="848"/>
        <item x="772"/>
        <item x="581"/>
        <item x="418"/>
        <item x="184"/>
        <item x="708"/>
        <item x="340"/>
        <item x="516"/>
        <item x="370"/>
        <item x="635"/>
        <item x="73"/>
        <item x="575"/>
        <item x="397"/>
        <item x="385"/>
        <item x="354"/>
        <item x="66"/>
        <item x="522"/>
        <item x="261"/>
        <item x="380"/>
        <item x="115"/>
        <item x="794"/>
        <item x="537"/>
        <item x="729"/>
        <item x="224"/>
        <item x="498"/>
        <item x="585"/>
        <item x="748"/>
        <item x="497"/>
        <item x="688"/>
        <item x="421"/>
        <item x="830"/>
        <item x="811"/>
        <item x="90"/>
        <item x="499"/>
        <item x="576"/>
        <item x="335"/>
        <item x="560"/>
        <item x="420"/>
        <item x="765"/>
        <item x="797"/>
        <item x="284"/>
        <item t="default"/>
      </items>
    </pivotField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>
      <items count="13">
        <item x="8"/>
        <item x="10"/>
        <item x="0"/>
        <item x="2"/>
        <item x="11"/>
        <item x="5"/>
        <item x="6"/>
        <item x="9"/>
        <item x="4"/>
        <item x="7"/>
        <item x="3"/>
        <item x="1"/>
        <item t="default"/>
      </items>
    </pivotField>
    <pivotField numFmtId="1" showAll="0">
      <items count="5">
        <item x="1"/>
        <item x="3"/>
        <item x="0"/>
        <item x="2"/>
        <item t="default"/>
      </items>
    </pivotField>
    <pivotField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dataField="1" numFmtId="1" showAll="0"/>
    <pivotField showAll="0">
      <items count="8">
        <item x="3"/>
        <item x="1"/>
        <item x="4"/>
        <item x="5"/>
        <item x="0"/>
        <item x="6"/>
        <item x="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2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de Ingresos totales" fld="10" baseField="0" baseItem="0" numFmtId="1"/>
  </dataFields>
  <chartFormats count="1">
    <chartFormat chart="1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FB43FA-21F5-4A24-9D54-8DED0FAE5382}" name="TablaDinámica1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>
  <location ref="C140:D144" firstHeaderRow="1" firstDataRow="1" firstDataCol="1"/>
  <pivotFields count="22"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869">
        <item x="836"/>
        <item x="140"/>
        <item x="373"/>
        <item x="82"/>
        <item x="424"/>
        <item x="67"/>
        <item x="509"/>
        <item x="171"/>
        <item x="365"/>
        <item x="310"/>
        <item x="366"/>
        <item x="299"/>
        <item x="355"/>
        <item x="579"/>
        <item x="396"/>
        <item x="24"/>
        <item x="476"/>
        <item x="785"/>
        <item x="322"/>
        <item x="549"/>
        <item x="350"/>
        <item x="440"/>
        <item x="557"/>
        <item x="49"/>
        <item x="18"/>
        <item x="12"/>
        <item x="625"/>
        <item x="717"/>
        <item x="315"/>
        <item x="413"/>
        <item x="618"/>
        <item x="578"/>
        <item x="705"/>
        <item x="237"/>
        <item x="786"/>
        <item x="488"/>
        <item x="720"/>
        <item x="774"/>
        <item x="835"/>
        <item x="241"/>
        <item x="313"/>
        <item x="583"/>
        <item x="730"/>
        <item x="156"/>
        <item x="658"/>
        <item x="369"/>
        <item x="823"/>
        <item x="223"/>
        <item x="703"/>
        <item x="215"/>
        <item x="769"/>
        <item x="653"/>
        <item x="142"/>
        <item x="582"/>
        <item x="35"/>
        <item x="34"/>
        <item x="852"/>
        <item x="338"/>
        <item x="778"/>
        <item x="252"/>
        <item x="278"/>
        <item x="7"/>
        <item x="750"/>
        <item x="602"/>
        <item x="108"/>
        <item x="850"/>
        <item x="603"/>
        <item x="29"/>
        <item x="70"/>
        <item x="368"/>
        <item x="621"/>
        <item x="30"/>
        <item x="513"/>
        <item x="225"/>
        <item x="304"/>
        <item x="566"/>
        <item x="486"/>
        <item x="803"/>
        <item x="243"/>
        <item x="32"/>
        <item x="395"/>
        <item x="840"/>
        <item x="659"/>
        <item x="550"/>
        <item x="106"/>
        <item x="16"/>
        <item x="449"/>
        <item x="445"/>
        <item x="506"/>
        <item x="747"/>
        <item x="814"/>
        <item x="667"/>
        <item x="161"/>
        <item x="319"/>
        <item x="110"/>
        <item x="432"/>
        <item x="378"/>
        <item x="13"/>
        <item x="9"/>
        <item x="272"/>
        <item x="719"/>
        <item x="133"/>
        <item x="150"/>
        <item x="221"/>
        <item x="507"/>
        <item x="64"/>
        <item x="114"/>
        <item x="645"/>
        <item x="500"/>
        <item x="528"/>
        <item x="218"/>
        <item x="392"/>
        <item x="651"/>
        <item x="345"/>
        <item x="336"/>
        <item x="798"/>
        <item x="676"/>
        <item x="655"/>
        <item x="660"/>
        <item x="758"/>
        <item x="102"/>
        <item x="177"/>
        <item x="250"/>
        <item x="384"/>
        <item x="201"/>
        <item x="347"/>
        <item x="807"/>
        <item x="619"/>
        <item x="185"/>
        <item x="494"/>
        <item x="743"/>
        <item x="247"/>
        <item x="517"/>
        <item x="372"/>
        <item x="559"/>
        <item x="854"/>
        <item x="41"/>
        <item x="446"/>
        <item x="107"/>
        <item x="148"/>
        <item x="65"/>
        <item x="37"/>
        <item x="262"/>
        <item x="411"/>
        <item x="571"/>
        <item x="631"/>
        <item x="595"/>
        <item x="515"/>
        <item x="493"/>
        <item x="160"/>
        <item x="220"/>
        <item x="281"/>
        <item x="175"/>
        <item x="68"/>
        <item x="264"/>
        <item x="824"/>
        <item x="135"/>
        <item x="843"/>
        <item x="334"/>
        <item x="189"/>
        <item x="505"/>
        <item x="376"/>
        <item x="23"/>
        <item x="656"/>
        <item x="825"/>
        <item x="718"/>
        <item x="759"/>
        <item x="802"/>
        <item x="285"/>
        <item x="855"/>
        <item x="731"/>
        <item x="812"/>
        <item x="425"/>
        <item x="42"/>
        <item x="648"/>
        <item x="642"/>
        <item x="408"/>
        <item x="503"/>
        <item x="143"/>
        <item x="654"/>
        <item x="214"/>
        <item x="134"/>
        <item x="297"/>
        <item x="145"/>
        <item x="95"/>
        <item x="239"/>
        <item x="260"/>
        <item x="622"/>
        <item x="270"/>
        <item x="434"/>
        <item x="31"/>
        <item x="723"/>
        <item x="28"/>
        <item x="316"/>
        <item x="251"/>
        <item x="721"/>
        <item x="307"/>
        <item x="779"/>
        <item x="301"/>
        <item x="442"/>
        <item x="359"/>
        <item x="328"/>
        <item x="853"/>
        <item x="590"/>
        <item x="860"/>
        <item x="118"/>
        <item x="325"/>
        <item x="501"/>
        <item x="94"/>
        <item x="112"/>
        <item x="83"/>
        <item x="119"/>
        <item x="343"/>
        <item x="662"/>
        <item x="357"/>
        <item x="787"/>
        <item x="592"/>
        <item x="532"/>
        <item x="652"/>
        <item x="59"/>
        <item x="459"/>
        <item x="379"/>
        <item x="33"/>
        <item x="344"/>
        <item x="402"/>
        <item x="79"/>
        <item x="591"/>
        <item x="837"/>
        <item x="623"/>
        <item x="471"/>
        <item x="437"/>
        <item x="62"/>
        <item x="613"/>
        <item x="514"/>
        <item x="375"/>
        <item x="181"/>
        <item x="678"/>
        <item x="475"/>
        <item x="609"/>
        <item x="320"/>
        <item x="131"/>
        <item x="286"/>
        <item x="263"/>
        <item x="704"/>
        <item x="551"/>
        <item x="157"/>
        <item x="97"/>
        <item x="561"/>
        <item x="400"/>
        <item x="669"/>
        <item x="246"/>
        <item x="661"/>
        <item x="453"/>
        <item x="75"/>
        <item x="599"/>
        <item x="287"/>
        <item x="584"/>
        <item x="687"/>
        <item x="809"/>
        <item x="834"/>
        <item x="478"/>
        <item x="360"/>
        <item x="255"/>
        <item x="756"/>
        <item x="640"/>
        <item x="275"/>
        <item x="348"/>
        <item x="737"/>
        <item x="633"/>
        <item x="84"/>
        <item x="630"/>
        <item x="693"/>
        <item x="553"/>
        <item x="11"/>
        <item x="699"/>
        <item x="274"/>
        <item x="300"/>
        <item x="191"/>
        <item x="784"/>
        <item x="430"/>
        <item x="248"/>
        <item x="427"/>
        <item x="552"/>
        <item x="242"/>
        <item x="219"/>
        <item x="257"/>
        <item x="87"/>
        <item x="182"/>
        <item x="777"/>
        <item x="228"/>
        <item x="483"/>
        <item x="200"/>
        <item x="1"/>
        <item x="629"/>
        <item x="265"/>
        <item x="213"/>
        <item x="45"/>
        <item x="438"/>
        <item x="342"/>
        <item x="770"/>
        <item x="127"/>
        <item x="712"/>
        <item x="391"/>
        <item x="194"/>
        <item x="129"/>
        <item x="508"/>
        <item x="410"/>
        <item x="780"/>
        <item x="178"/>
        <item x="539"/>
        <item x="715"/>
        <item x="55"/>
        <item x="58"/>
        <item x="22"/>
        <item x="641"/>
        <item x="464"/>
        <item x="472"/>
        <item x="604"/>
        <item x="81"/>
        <item x="801"/>
        <item x="27"/>
        <item x="167"/>
        <item x="596"/>
        <item x="711"/>
        <item x="57"/>
        <item x="91"/>
        <item x="123"/>
        <item x="713"/>
        <item x="556"/>
        <item x="819"/>
        <item x="454"/>
        <item x="458"/>
        <item x="117"/>
        <item x="433"/>
        <item x="51"/>
        <item x="254"/>
        <item x="525"/>
        <item x="570"/>
        <item x="666"/>
        <item x="436"/>
        <item x="383"/>
        <item x="4"/>
        <item x="477"/>
        <item x="587"/>
        <item x="210"/>
        <item x="512"/>
        <item x="136"/>
        <item x="20"/>
        <item x="732"/>
        <item x="10"/>
        <item x="122"/>
        <item x="668"/>
        <item x="166"/>
        <item x="323"/>
        <item x="735"/>
        <item x="597"/>
        <item x="767"/>
        <item x="844"/>
        <item x="211"/>
        <item x="867"/>
        <item x="818"/>
        <item x="529"/>
        <item x="159"/>
        <item x="364"/>
        <item x="463"/>
        <item x="409"/>
        <item x="109"/>
        <item x="510"/>
        <item x="141"/>
        <item x="447"/>
        <item x="103"/>
        <item x="745"/>
        <item x="865"/>
        <item x="542"/>
        <item x="351"/>
        <item x="5"/>
        <item x="43"/>
        <item x="193"/>
        <item x="781"/>
        <item x="562"/>
        <item x="450"/>
        <item x="407"/>
        <item x="203"/>
        <item x="697"/>
        <item x="192"/>
        <item x="205"/>
        <item x="846"/>
        <item x="805"/>
        <item x="98"/>
        <item x="40"/>
        <item x="321"/>
        <item x="502"/>
        <item x="86"/>
        <item x="690"/>
        <item x="273"/>
        <item x="534"/>
        <item x="672"/>
        <item x="838"/>
        <item x="858"/>
        <item x="337"/>
        <item x="406"/>
        <item x="163"/>
        <item x="548"/>
        <item x="700"/>
        <item x="244"/>
        <item x="311"/>
        <item x="154"/>
        <item x="266"/>
        <item x="760"/>
        <item x="276"/>
        <item x="120"/>
        <item x="176"/>
        <item x="356"/>
        <item x="232"/>
        <item x="455"/>
        <item x="204"/>
        <item x="643"/>
        <item x="139"/>
        <item x="324"/>
        <item x="675"/>
        <item x="333"/>
        <item x="751"/>
        <item x="187"/>
        <item x="294"/>
        <item x="670"/>
        <item x="724"/>
        <item x="99"/>
        <item x="60"/>
        <item x="207"/>
        <item x="757"/>
        <item x="56"/>
        <item x="544"/>
        <item x="492"/>
        <item x="283"/>
        <item x="826"/>
        <item x="302"/>
        <item x="74"/>
        <item x="367"/>
        <item x="521"/>
        <item x="775"/>
        <item x="701"/>
        <item x="305"/>
        <item x="168"/>
        <item x="231"/>
        <item x="25"/>
        <item x="405"/>
        <item x="845"/>
        <item x="314"/>
        <item x="382"/>
        <item x="78"/>
        <item x="412"/>
        <item x="267"/>
        <item x="21"/>
        <item x="63"/>
        <item x="390"/>
        <item x="346"/>
        <item x="685"/>
        <item x="138"/>
        <item x="589"/>
        <item x="44"/>
        <item x="856"/>
        <item x="709"/>
        <item x="593"/>
        <item x="190"/>
        <item x="664"/>
        <item x="19"/>
        <item x="647"/>
        <item x="627"/>
        <item x="610"/>
        <item x="776"/>
        <item x="484"/>
        <item x="76"/>
        <item x="728"/>
        <item x="399"/>
        <item x="416"/>
        <item x="234"/>
        <item x="866"/>
        <item x="524"/>
        <item x="739"/>
        <item x="632"/>
        <item x="363"/>
        <item x="744"/>
        <item x="292"/>
        <item x="38"/>
        <item x="473"/>
        <item x="863"/>
        <item x="504"/>
        <item x="227"/>
        <item x="496"/>
        <item x="206"/>
        <item x="111"/>
        <item x="520"/>
        <item x="535"/>
        <item x="601"/>
        <item x="198"/>
        <item x="616"/>
        <item x="318"/>
        <item x="423"/>
        <item x="519"/>
        <item x="762"/>
        <item x="796"/>
        <item x="456"/>
        <item x="326"/>
        <item x="820"/>
        <item x="782"/>
        <item x="288"/>
        <item x="309"/>
        <item x="864"/>
        <item x="113"/>
        <item x="527"/>
        <item x="183"/>
        <item x="733"/>
        <item x="422"/>
        <item x="149"/>
        <item x="14"/>
        <item x="684"/>
        <item x="69"/>
        <item x="6"/>
        <item x="577"/>
        <item x="398"/>
        <item x="680"/>
        <item x="637"/>
        <item x="387"/>
        <item x="636"/>
        <item x="130"/>
        <item x="271"/>
        <item x="349"/>
        <item x="491"/>
        <item x="209"/>
        <item x="789"/>
        <item x="827"/>
        <item x="419"/>
        <item x="441"/>
        <item x="15"/>
        <item x="152"/>
        <item x="839"/>
        <item x="428"/>
        <item x="541"/>
        <item x="3"/>
        <item x="381"/>
        <item x="329"/>
        <item x="121"/>
        <item x="773"/>
        <item x="696"/>
        <item x="650"/>
        <item x="628"/>
        <item x="466"/>
        <item x="815"/>
        <item x="352"/>
        <item x="482"/>
        <item x="813"/>
        <item x="671"/>
        <item x="230"/>
        <item x="714"/>
        <item x="615"/>
        <item x="558"/>
        <item x="831"/>
        <item x="511"/>
        <item x="462"/>
        <item x="586"/>
        <item x="707"/>
        <item x="726"/>
        <item x="474"/>
        <item x="0"/>
        <item x="694"/>
        <item x="857"/>
        <item x="841"/>
        <item x="649"/>
        <item x="93"/>
        <item x="308"/>
        <item x="564"/>
        <item x="692"/>
        <item x="61"/>
        <item x="435"/>
        <item x="817"/>
        <item x="657"/>
        <item x="598"/>
        <item x="606"/>
        <item x="53"/>
        <item x="377"/>
        <item x="530"/>
        <item x="172"/>
        <item x="457"/>
        <item x="573"/>
        <item x="388"/>
        <item x="624"/>
        <item x="674"/>
        <item x="677"/>
        <item x="253"/>
        <item x="439"/>
        <item x="465"/>
        <item x="607"/>
        <item x="312"/>
        <item x="125"/>
        <item x="736"/>
        <item x="174"/>
        <item x="569"/>
        <item x="702"/>
        <item x="806"/>
        <item x="2"/>
        <item x="158"/>
        <item x="362"/>
        <item x="752"/>
        <item x="256"/>
        <item x="341"/>
        <item x="72"/>
        <item x="793"/>
        <item x="783"/>
        <item x="291"/>
        <item x="236"/>
        <item x="197"/>
        <item x="258"/>
        <item x="151"/>
        <item x="277"/>
        <item x="196"/>
        <item x="828"/>
        <item x="165"/>
        <item x="280"/>
        <item x="303"/>
        <item x="170"/>
        <item x="753"/>
        <item x="611"/>
        <item x="788"/>
        <item x="799"/>
        <item x="740"/>
        <item x="137"/>
        <item x="546"/>
        <item x="804"/>
        <item x="663"/>
        <item x="47"/>
        <item x="327"/>
        <item x="393"/>
        <item x="620"/>
        <item x="229"/>
        <item x="533"/>
        <item x="54"/>
        <item x="861"/>
        <item x="639"/>
        <item x="605"/>
        <item x="608"/>
        <item x="588"/>
        <item x="791"/>
        <item x="568"/>
        <item x="790"/>
        <item x="128"/>
        <item x="543"/>
        <item x="741"/>
        <item x="298"/>
        <item x="734"/>
        <item x="238"/>
        <item x="495"/>
        <item x="39"/>
        <item x="833"/>
        <item x="100"/>
        <item x="331"/>
        <item x="199"/>
        <item x="46"/>
        <item x="404"/>
        <item x="545"/>
        <item x="523"/>
        <item x="361"/>
        <item x="431"/>
        <item x="92"/>
        <item x="681"/>
        <item x="614"/>
        <item x="547"/>
        <item x="563"/>
        <item x="727"/>
        <item x="451"/>
        <item x="849"/>
        <item x="847"/>
        <item x="755"/>
        <item x="443"/>
        <item x="487"/>
        <item x="842"/>
        <item x="710"/>
        <item x="147"/>
        <item x="764"/>
        <item x="851"/>
        <item x="290"/>
        <item x="518"/>
        <item x="490"/>
        <item x="124"/>
        <item x="600"/>
        <item x="212"/>
        <item x="153"/>
        <item x="249"/>
        <item x="259"/>
        <item x="485"/>
        <item x="469"/>
        <item x="415"/>
        <item x="489"/>
        <item x="162"/>
        <item x="691"/>
        <item x="105"/>
        <item x="245"/>
        <item x="800"/>
        <item x="572"/>
        <item x="8"/>
        <item x="358"/>
        <item x="235"/>
        <item x="816"/>
        <item x="403"/>
        <item x="296"/>
        <item x="682"/>
        <item x="722"/>
        <item x="768"/>
        <item x="26"/>
        <item x="104"/>
        <item x="695"/>
        <item x="101"/>
        <item x="555"/>
        <item x="832"/>
        <item x="766"/>
        <item x="332"/>
        <item x="763"/>
        <item x="417"/>
        <item x="353"/>
        <item x="268"/>
        <item x="36"/>
        <item x="792"/>
        <item x="146"/>
        <item x="85"/>
        <item x="371"/>
        <item x="481"/>
        <item x="386"/>
        <item x="538"/>
        <item x="761"/>
        <item x="226"/>
        <item x="202"/>
        <item x="580"/>
        <item x="208"/>
        <item x="468"/>
        <item x="17"/>
        <item x="862"/>
        <item x="626"/>
        <item x="186"/>
        <item x="295"/>
        <item x="132"/>
        <item x="749"/>
        <item x="216"/>
        <item x="80"/>
        <item x="52"/>
        <item x="279"/>
        <item x="88"/>
        <item x="738"/>
        <item x="683"/>
        <item x="821"/>
        <item x="71"/>
        <item x="164"/>
        <item x="574"/>
        <item x="567"/>
        <item x="673"/>
        <item x="394"/>
        <item x="638"/>
        <item x="540"/>
        <item x="480"/>
        <item x="169"/>
        <item x="269"/>
        <item x="829"/>
        <item x="448"/>
        <item x="50"/>
        <item x="698"/>
        <item x="646"/>
        <item x="795"/>
        <item x="188"/>
        <item x="222"/>
        <item x="716"/>
        <item x="233"/>
        <item x="689"/>
        <item x="240"/>
        <item x="414"/>
        <item x="754"/>
        <item x="679"/>
        <item x="742"/>
        <item x="470"/>
        <item x="644"/>
        <item x="389"/>
        <item x="155"/>
        <item x="195"/>
        <item x="531"/>
        <item x="217"/>
        <item x="808"/>
        <item x="173"/>
        <item x="771"/>
        <item x="289"/>
        <item x="293"/>
        <item x="96"/>
        <item x="746"/>
        <item x="180"/>
        <item x="452"/>
        <item x="461"/>
        <item x="48"/>
        <item x="467"/>
        <item x="822"/>
        <item x="401"/>
        <item x="725"/>
        <item x="77"/>
        <item x="144"/>
        <item x="116"/>
        <item x="179"/>
        <item x="686"/>
        <item x="565"/>
        <item x="306"/>
        <item x="282"/>
        <item x="374"/>
        <item x="479"/>
        <item x="810"/>
        <item x="339"/>
        <item x="617"/>
        <item x="665"/>
        <item x="460"/>
        <item x="89"/>
        <item x="554"/>
        <item x="429"/>
        <item x="330"/>
        <item x="594"/>
        <item x="317"/>
        <item x="126"/>
        <item x="536"/>
        <item x="526"/>
        <item x="444"/>
        <item x="426"/>
        <item x="706"/>
        <item x="612"/>
        <item x="634"/>
        <item x="859"/>
        <item x="848"/>
        <item x="772"/>
        <item x="581"/>
        <item x="418"/>
        <item x="184"/>
        <item x="708"/>
        <item x="340"/>
        <item x="516"/>
        <item x="370"/>
        <item x="635"/>
        <item x="73"/>
        <item x="575"/>
        <item x="397"/>
        <item x="385"/>
        <item x="354"/>
        <item x="66"/>
        <item x="522"/>
        <item x="261"/>
        <item x="380"/>
        <item x="115"/>
        <item x="794"/>
        <item x="537"/>
        <item x="729"/>
        <item x="224"/>
        <item x="498"/>
        <item x="585"/>
        <item x="748"/>
        <item x="497"/>
        <item x="688"/>
        <item x="421"/>
        <item x="830"/>
        <item x="811"/>
        <item x="90"/>
        <item x="499"/>
        <item x="576"/>
        <item x="335"/>
        <item x="560"/>
        <item x="420"/>
        <item x="765"/>
        <item x="797"/>
        <item x="284"/>
        <item t="default"/>
      </items>
    </pivotField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>
      <items count="13">
        <item x="8"/>
        <item x="10"/>
        <item x="0"/>
        <item x="2"/>
        <item x="11"/>
        <item x="5"/>
        <item x="6"/>
        <item x="9"/>
        <item x="4"/>
        <item x="7"/>
        <item x="3"/>
        <item x="1"/>
        <item t="default"/>
      </items>
    </pivotField>
    <pivotField numFmtId="1" showAll="0">
      <items count="5">
        <item x="1"/>
        <item x="3"/>
        <item x="0"/>
        <item x="2"/>
        <item t="default"/>
      </items>
    </pivotField>
    <pivotField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dataField="1" numFmtId="1" showAll="0"/>
    <pivotField showAll="0">
      <items count="8">
        <item x="3"/>
        <item x="1"/>
        <item x="4"/>
        <item x="5"/>
        <item x="0"/>
        <item x="6"/>
        <item x="2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2"/>
        <item x="0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Ingresos totales" fld="10" baseField="0" baseItem="0" numFmtId="1"/>
  </dataFields>
  <chartFormats count="2">
    <chartFormat chart="2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6643D9-2CD6-4A35-BECC-50C22C181358}" name="KPIs_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I5:I6" firstHeaderRow="1" firstDataRow="1" firstDataCol="0" rowPageCount="2" colPageCount="1"/>
  <pivotFields count="22">
    <pivotField dataField="1" showAll="0"/>
    <pivotField showAll="0"/>
    <pivotField showAll="0">
      <items count="4">
        <item x="0"/>
        <item x="2"/>
        <item x="1"/>
        <item t="default"/>
      </items>
    </pivotField>
    <pivotField showAll="0">
      <items count="869">
        <item x="836"/>
        <item x="140"/>
        <item x="373"/>
        <item x="82"/>
        <item x="424"/>
        <item x="67"/>
        <item x="509"/>
        <item x="171"/>
        <item x="365"/>
        <item x="310"/>
        <item x="366"/>
        <item x="299"/>
        <item x="355"/>
        <item x="579"/>
        <item x="396"/>
        <item x="24"/>
        <item x="476"/>
        <item x="785"/>
        <item x="322"/>
        <item x="549"/>
        <item x="350"/>
        <item x="440"/>
        <item x="557"/>
        <item x="49"/>
        <item x="18"/>
        <item x="12"/>
        <item x="625"/>
        <item x="717"/>
        <item x="315"/>
        <item x="413"/>
        <item x="618"/>
        <item x="578"/>
        <item x="705"/>
        <item x="237"/>
        <item x="786"/>
        <item x="488"/>
        <item x="720"/>
        <item x="774"/>
        <item x="835"/>
        <item x="241"/>
        <item x="313"/>
        <item x="583"/>
        <item x="730"/>
        <item x="156"/>
        <item x="658"/>
        <item x="369"/>
        <item x="823"/>
        <item x="223"/>
        <item x="703"/>
        <item x="215"/>
        <item x="769"/>
        <item x="653"/>
        <item x="142"/>
        <item x="582"/>
        <item x="35"/>
        <item x="34"/>
        <item x="852"/>
        <item x="338"/>
        <item x="778"/>
        <item x="252"/>
        <item x="278"/>
        <item x="7"/>
        <item x="750"/>
        <item x="602"/>
        <item x="108"/>
        <item x="850"/>
        <item x="603"/>
        <item x="29"/>
        <item x="70"/>
        <item x="368"/>
        <item x="621"/>
        <item x="30"/>
        <item x="513"/>
        <item x="225"/>
        <item x="304"/>
        <item x="566"/>
        <item x="486"/>
        <item x="803"/>
        <item x="243"/>
        <item x="32"/>
        <item x="395"/>
        <item x="840"/>
        <item x="659"/>
        <item x="550"/>
        <item x="106"/>
        <item x="16"/>
        <item x="449"/>
        <item x="445"/>
        <item x="506"/>
        <item x="747"/>
        <item x="814"/>
        <item x="667"/>
        <item x="161"/>
        <item x="319"/>
        <item x="110"/>
        <item x="432"/>
        <item x="378"/>
        <item x="13"/>
        <item x="9"/>
        <item x="272"/>
        <item x="719"/>
        <item x="133"/>
        <item x="150"/>
        <item x="221"/>
        <item x="507"/>
        <item x="64"/>
        <item x="114"/>
        <item x="645"/>
        <item x="500"/>
        <item x="528"/>
        <item x="218"/>
        <item x="392"/>
        <item x="651"/>
        <item x="345"/>
        <item x="336"/>
        <item x="798"/>
        <item x="676"/>
        <item x="655"/>
        <item x="660"/>
        <item x="758"/>
        <item x="102"/>
        <item x="177"/>
        <item x="250"/>
        <item x="384"/>
        <item x="201"/>
        <item x="347"/>
        <item x="807"/>
        <item x="619"/>
        <item x="185"/>
        <item x="494"/>
        <item x="743"/>
        <item x="247"/>
        <item x="517"/>
        <item x="372"/>
        <item x="559"/>
        <item x="854"/>
        <item x="41"/>
        <item x="446"/>
        <item x="107"/>
        <item x="148"/>
        <item x="65"/>
        <item x="37"/>
        <item x="262"/>
        <item x="411"/>
        <item x="571"/>
        <item x="631"/>
        <item x="595"/>
        <item x="515"/>
        <item x="493"/>
        <item x="160"/>
        <item x="220"/>
        <item x="281"/>
        <item x="175"/>
        <item x="68"/>
        <item x="264"/>
        <item x="824"/>
        <item x="135"/>
        <item x="843"/>
        <item x="334"/>
        <item x="189"/>
        <item x="505"/>
        <item x="376"/>
        <item x="23"/>
        <item x="656"/>
        <item x="825"/>
        <item x="718"/>
        <item x="759"/>
        <item x="802"/>
        <item x="285"/>
        <item x="855"/>
        <item x="731"/>
        <item x="812"/>
        <item x="425"/>
        <item x="42"/>
        <item x="648"/>
        <item x="642"/>
        <item x="408"/>
        <item x="503"/>
        <item x="143"/>
        <item x="654"/>
        <item x="214"/>
        <item x="134"/>
        <item x="297"/>
        <item x="145"/>
        <item x="95"/>
        <item x="239"/>
        <item x="260"/>
        <item x="622"/>
        <item x="270"/>
        <item x="434"/>
        <item x="31"/>
        <item x="723"/>
        <item x="28"/>
        <item x="316"/>
        <item x="251"/>
        <item x="721"/>
        <item x="307"/>
        <item x="779"/>
        <item x="301"/>
        <item x="442"/>
        <item x="359"/>
        <item x="328"/>
        <item x="853"/>
        <item x="590"/>
        <item x="860"/>
        <item x="118"/>
        <item x="325"/>
        <item x="501"/>
        <item x="94"/>
        <item x="112"/>
        <item x="83"/>
        <item x="119"/>
        <item x="343"/>
        <item x="662"/>
        <item x="357"/>
        <item x="787"/>
        <item x="592"/>
        <item x="532"/>
        <item x="652"/>
        <item x="59"/>
        <item x="459"/>
        <item x="379"/>
        <item x="33"/>
        <item x="344"/>
        <item x="402"/>
        <item x="79"/>
        <item x="591"/>
        <item x="837"/>
        <item x="623"/>
        <item x="471"/>
        <item x="437"/>
        <item x="62"/>
        <item x="613"/>
        <item x="514"/>
        <item x="375"/>
        <item x="181"/>
        <item x="678"/>
        <item x="475"/>
        <item x="609"/>
        <item x="320"/>
        <item x="131"/>
        <item x="286"/>
        <item x="263"/>
        <item x="704"/>
        <item x="551"/>
        <item x="157"/>
        <item x="97"/>
        <item x="561"/>
        <item x="400"/>
        <item x="669"/>
        <item x="246"/>
        <item x="661"/>
        <item x="453"/>
        <item x="75"/>
        <item x="599"/>
        <item x="287"/>
        <item x="584"/>
        <item x="687"/>
        <item x="809"/>
        <item x="834"/>
        <item x="478"/>
        <item x="360"/>
        <item x="255"/>
        <item x="756"/>
        <item x="640"/>
        <item x="275"/>
        <item x="348"/>
        <item x="737"/>
        <item x="633"/>
        <item x="84"/>
        <item x="630"/>
        <item x="693"/>
        <item x="553"/>
        <item x="11"/>
        <item x="699"/>
        <item x="274"/>
        <item x="300"/>
        <item x="191"/>
        <item x="784"/>
        <item x="430"/>
        <item x="248"/>
        <item x="427"/>
        <item x="552"/>
        <item x="242"/>
        <item x="219"/>
        <item x="257"/>
        <item x="87"/>
        <item x="182"/>
        <item x="777"/>
        <item x="228"/>
        <item x="483"/>
        <item x="200"/>
        <item x="1"/>
        <item x="629"/>
        <item x="265"/>
        <item x="213"/>
        <item x="45"/>
        <item x="438"/>
        <item x="342"/>
        <item x="770"/>
        <item x="127"/>
        <item x="712"/>
        <item x="391"/>
        <item x="194"/>
        <item x="129"/>
        <item x="508"/>
        <item x="410"/>
        <item x="780"/>
        <item x="178"/>
        <item x="539"/>
        <item x="715"/>
        <item x="55"/>
        <item x="58"/>
        <item x="22"/>
        <item x="641"/>
        <item x="464"/>
        <item x="472"/>
        <item x="604"/>
        <item x="81"/>
        <item x="801"/>
        <item x="27"/>
        <item x="167"/>
        <item x="596"/>
        <item x="711"/>
        <item x="57"/>
        <item x="91"/>
        <item x="123"/>
        <item x="713"/>
        <item x="556"/>
        <item x="819"/>
        <item x="454"/>
        <item x="458"/>
        <item x="117"/>
        <item x="433"/>
        <item x="51"/>
        <item x="254"/>
        <item x="525"/>
        <item x="570"/>
        <item x="666"/>
        <item x="436"/>
        <item x="383"/>
        <item x="4"/>
        <item x="477"/>
        <item x="587"/>
        <item x="210"/>
        <item x="512"/>
        <item x="136"/>
        <item x="20"/>
        <item x="732"/>
        <item x="10"/>
        <item x="122"/>
        <item x="668"/>
        <item x="166"/>
        <item x="323"/>
        <item x="735"/>
        <item x="597"/>
        <item x="767"/>
        <item x="844"/>
        <item x="211"/>
        <item x="867"/>
        <item x="818"/>
        <item x="529"/>
        <item x="159"/>
        <item x="364"/>
        <item x="463"/>
        <item x="409"/>
        <item x="109"/>
        <item x="510"/>
        <item x="141"/>
        <item x="447"/>
        <item x="103"/>
        <item x="745"/>
        <item x="865"/>
        <item x="542"/>
        <item x="351"/>
        <item x="5"/>
        <item x="43"/>
        <item x="193"/>
        <item x="781"/>
        <item x="562"/>
        <item x="450"/>
        <item x="407"/>
        <item x="203"/>
        <item x="697"/>
        <item x="192"/>
        <item x="205"/>
        <item x="846"/>
        <item x="805"/>
        <item x="98"/>
        <item x="40"/>
        <item x="321"/>
        <item x="502"/>
        <item x="86"/>
        <item x="690"/>
        <item x="273"/>
        <item x="534"/>
        <item x="672"/>
        <item x="838"/>
        <item x="858"/>
        <item x="337"/>
        <item x="406"/>
        <item x="163"/>
        <item x="548"/>
        <item x="700"/>
        <item x="244"/>
        <item x="311"/>
        <item x="154"/>
        <item x="266"/>
        <item x="760"/>
        <item x="276"/>
        <item x="120"/>
        <item x="176"/>
        <item x="356"/>
        <item x="232"/>
        <item x="455"/>
        <item x="204"/>
        <item x="643"/>
        <item x="139"/>
        <item x="324"/>
        <item x="675"/>
        <item x="333"/>
        <item x="751"/>
        <item x="187"/>
        <item x="294"/>
        <item x="670"/>
        <item x="724"/>
        <item x="99"/>
        <item x="60"/>
        <item x="207"/>
        <item x="757"/>
        <item x="56"/>
        <item x="544"/>
        <item x="492"/>
        <item x="283"/>
        <item x="826"/>
        <item x="302"/>
        <item x="74"/>
        <item x="367"/>
        <item x="521"/>
        <item x="775"/>
        <item x="701"/>
        <item x="305"/>
        <item x="168"/>
        <item x="231"/>
        <item x="25"/>
        <item x="405"/>
        <item x="845"/>
        <item x="314"/>
        <item x="382"/>
        <item x="78"/>
        <item x="412"/>
        <item x="267"/>
        <item x="21"/>
        <item x="63"/>
        <item x="390"/>
        <item x="346"/>
        <item x="685"/>
        <item x="138"/>
        <item x="589"/>
        <item x="44"/>
        <item x="856"/>
        <item x="709"/>
        <item x="593"/>
        <item x="190"/>
        <item x="664"/>
        <item x="19"/>
        <item x="647"/>
        <item x="627"/>
        <item x="610"/>
        <item x="776"/>
        <item x="484"/>
        <item x="76"/>
        <item x="728"/>
        <item x="399"/>
        <item x="416"/>
        <item x="234"/>
        <item x="866"/>
        <item x="524"/>
        <item x="739"/>
        <item x="632"/>
        <item x="363"/>
        <item x="744"/>
        <item x="292"/>
        <item x="38"/>
        <item x="473"/>
        <item x="863"/>
        <item x="504"/>
        <item x="227"/>
        <item x="496"/>
        <item x="206"/>
        <item x="111"/>
        <item x="520"/>
        <item x="535"/>
        <item x="601"/>
        <item x="198"/>
        <item x="616"/>
        <item x="318"/>
        <item x="423"/>
        <item x="519"/>
        <item x="762"/>
        <item x="796"/>
        <item x="456"/>
        <item x="326"/>
        <item x="820"/>
        <item x="782"/>
        <item x="288"/>
        <item x="309"/>
        <item x="864"/>
        <item x="113"/>
        <item x="527"/>
        <item x="183"/>
        <item x="733"/>
        <item x="422"/>
        <item x="149"/>
        <item x="14"/>
        <item x="684"/>
        <item x="69"/>
        <item x="6"/>
        <item x="577"/>
        <item x="398"/>
        <item x="680"/>
        <item x="637"/>
        <item x="387"/>
        <item x="636"/>
        <item x="130"/>
        <item x="271"/>
        <item x="349"/>
        <item x="491"/>
        <item x="209"/>
        <item x="789"/>
        <item x="827"/>
        <item x="419"/>
        <item x="441"/>
        <item x="15"/>
        <item x="152"/>
        <item x="839"/>
        <item x="428"/>
        <item x="541"/>
        <item x="3"/>
        <item x="381"/>
        <item x="329"/>
        <item x="121"/>
        <item x="773"/>
        <item x="696"/>
        <item x="650"/>
        <item x="628"/>
        <item x="466"/>
        <item x="815"/>
        <item x="352"/>
        <item x="482"/>
        <item x="813"/>
        <item x="671"/>
        <item x="230"/>
        <item x="714"/>
        <item x="615"/>
        <item x="558"/>
        <item x="831"/>
        <item x="511"/>
        <item x="462"/>
        <item x="586"/>
        <item x="707"/>
        <item x="726"/>
        <item x="474"/>
        <item x="0"/>
        <item x="694"/>
        <item x="857"/>
        <item x="841"/>
        <item x="649"/>
        <item x="93"/>
        <item x="308"/>
        <item x="564"/>
        <item x="692"/>
        <item x="61"/>
        <item x="435"/>
        <item x="817"/>
        <item x="657"/>
        <item x="598"/>
        <item x="606"/>
        <item x="53"/>
        <item x="377"/>
        <item x="530"/>
        <item x="172"/>
        <item x="457"/>
        <item x="573"/>
        <item x="388"/>
        <item x="624"/>
        <item x="674"/>
        <item x="677"/>
        <item x="253"/>
        <item x="439"/>
        <item x="465"/>
        <item x="607"/>
        <item x="312"/>
        <item x="125"/>
        <item x="736"/>
        <item x="174"/>
        <item x="569"/>
        <item x="702"/>
        <item x="806"/>
        <item x="2"/>
        <item x="158"/>
        <item x="362"/>
        <item x="752"/>
        <item x="256"/>
        <item x="341"/>
        <item x="72"/>
        <item x="793"/>
        <item x="783"/>
        <item x="291"/>
        <item x="236"/>
        <item x="197"/>
        <item x="258"/>
        <item x="151"/>
        <item x="277"/>
        <item x="196"/>
        <item x="828"/>
        <item x="165"/>
        <item x="280"/>
        <item x="303"/>
        <item x="170"/>
        <item x="753"/>
        <item x="611"/>
        <item x="788"/>
        <item x="799"/>
        <item x="740"/>
        <item x="137"/>
        <item x="546"/>
        <item x="804"/>
        <item x="663"/>
        <item x="47"/>
        <item x="327"/>
        <item x="393"/>
        <item x="620"/>
        <item x="229"/>
        <item x="533"/>
        <item x="54"/>
        <item x="861"/>
        <item x="639"/>
        <item x="605"/>
        <item x="608"/>
        <item x="588"/>
        <item x="791"/>
        <item x="568"/>
        <item x="790"/>
        <item x="128"/>
        <item x="543"/>
        <item x="741"/>
        <item x="298"/>
        <item x="734"/>
        <item x="238"/>
        <item x="495"/>
        <item x="39"/>
        <item x="833"/>
        <item x="100"/>
        <item x="331"/>
        <item x="199"/>
        <item x="46"/>
        <item x="404"/>
        <item x="545"/>
        <item x="523"/>
        <item x="361"/>
        <item x="431"/>
        <item x="92"/>
        <item x="681"/>
        <item x="614"/>
        <item x="547"/>
        <item x="563"/>
        <item x="727"/>
        <item x="451"/>
        <item x="849"/>
        <item x="847"/>
        <item x="755"/>
        <item x="443"/>
        <item x="487"/>
        <item x="842"/>
        <item x="710"/>
        <item x="147"/>
        <item x="764"/>
        <item x="851"/>
        <item x="290"/>
        <item x="518"/>
        <item x="490"/>
        <item x="124"/>
        <item x="600"/>
        <item x="212"/>
        <item x="153"/>
        <item x="249"/>
        <item x="259"/>
        <item x="485"/>
        <item x="469"/>
        <item x="415"/>
        <item x="489"/>
        <item x="162"/>
        <item x="691"/>
        <item x="105"/>
        <item x="245"/>
        <item x="800"/>
        <item x="572"/>
        <item x="8"/>
        <item x="358"/>
        <item x="235"/>
        <item x="816"/>
        <item x="403"/>
        <item x="296"/>
        <item x="682"/>
        <item x="722"/>
        <item x="768"/>
        <item x="26"/>
        <item x="104"/>
        <item x="695"/>
        <item x="101"/>
        <item x="555"/>
        <item x="832"/>
        <item x="766"/>
        <item x="332"/>
        <item x="763"/>
        <item x="417"/>
        <item x="353"/>
        <item x="268"/>
        <item x="36"/>
        <item x="792"/>
        <item x="146"/>
        <item x="85"/>
        <item x="371"/>
        <item x="481"/>
        <item x="386"/>
        <item x="538"/>
        <item x="761"/>
        <item x="226"/>
        <item x="202"/>
        <item x="580"/>
        <item x="208"/>
        <item x="468"/>
        <item x="17"/>
        <item x="862"/>
        <item x="626"/>
        <item x="186"/>
        <item x="295"/>
        <item x="132"/>
        <item x="749"/>
        <item x="216"/>
        <item x="80"/>
        <item x="52"/>
        <item x="279"/>
        <item x="88"/>
        <item x="738"/>
        <item x="683"/>
        <item x="821"/>
        <item x="71"/>
        <item x="164"/>
        <item x="574"/>
        <item x="567"/>
        <item x="673"/>
        <item x="394"/>
        <item x="638"/>
        <item x="540"/>
        <item x="480"/>
        <item x="169"/>
        <item x="269"/>
        <item x="829"/>
        <item x="448"/>
        <item x="50"/>
        <item x="698"/>
        <item x="646"/>
        <item x="795"/>
        <item x="188"/>
        <item x="222"/>
        <item x="716"/>
        <item x="233"/>
        <item x="689"/>
        <item x="240"/>
        <item x="414"/>
        <item x="754"/>
        <item x="679"/>
        <item x="742"/>
        <item x="470"/>
        <item x="644"/>
        <item x="389"/>
        <item x="155"/>
        <item x="195"/>
        <item x="531"/>
        <item x="217"/>
        <item x="808"/>
        <item x="173"/>
        <item x="771"/>
        <item x="289"/>
        <item x="293"/>
        <item x="96"/>
        <item x="746"/>
        <item x="180"/>
        <item x="452"/>
        <item x="461"/>
        <item x="48"/>
        <item x="467"/>
        <item x="822"/>
        <item x="401"/>
        <item x="725"/>
        <item x="77"/>
        <item x="144"/>
        <item x="116"/>
        <item x="179"/>
        <item x="686"/>
        <item x="565"/>
        <item x="306"/>
        <item x="282"/>
        <item x="374"/>
        <item x="479"/>
        <item x="810"/>
        <item x="339"/>
        <item x="617"/>
        <item x="665"/>
        <item x="460"/>
        <item x="89"/>
        <item x="554"/>
        <item x="429"/>
        <item x="330"/>
        <item x="594"/>
        <item x="317"/>
        <item x="126"/>
        <item x="536"/>
        <item x="526"/>
        <item x="444"/>
        <item x="426"/>
        <item x="706"/>
        <item x="612"/>
        <item x="634"/>
        <item x="859"/>
        <item x="848"/>
        <item x="772"/>
        <item x="581"/>
        <item x="418"/>
        <item x="184"/>
        <item x="708"/>
        <item x="340"/>
        <item x="516"/>
        <item x="370"/>
        <item x="635"/>
        <item x="73"/>
        <item x="575"/>
        <item x="397"/>
        <item x="385"/>
        <item x="354"/>
        <item x="66"/>
        <item x="522"/>
        <item x="261"/>
        <item x="380"/>
        <item x="115"/>
        <item x="794"/>
        <item x="537"/>
        <item x="729"/>
        <item x="224"/>
        <item x="498"/>
        <item x="585"/>
        <item x="748"/>
        <item x="497"/>
        <item x="688"/>
        <item x="421"/>
        <item x="830"/>
        <item x="811"/>
        <item x="90"/>
        <item x="499"/>
        <item x="576"/>
        <item x="335"/>
        <item x="560"/>
        <item x="420"/>
        <item x="765"/>
        <item x="797"/>
        <item x="284"/>
        <item t="default"/>
      </items>
    </pivotField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axis="axisPage" showAll="0">
      <items count="13">
        <item x="8"/>
        <item x="10"/>
        <item x="0"/>
        <item x="2"/>
        <item x="11"/>
        <item x="5"/>
        <item x="6"/>
        <item x="9"/>
        <item x="4"/>
        <item x="7"/>
        <item x="3"/>
        <item x="1"/>
        <item t="default"/>
      </items>
    </pivotField>
    <pivotField axis="axisPage" numFmtId="1" multipleItemSelectionAllowed="1" showAll="0">
      <items count="5">
        <item x="1"/>
        <item x="3"/>
        <item x="0"/>
        <item x="2"/>
        <item t="default"/>
      </items>
    </pivotField>
    <pivotField showAll="0"/>
    <pivotField numFmtId="14" showAll="0"/>
    <pivotField numFmtId="1" showAll="0"/>
    <pivotField numFmtId="1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Items count="1">
    <i/>
  </rowItems>
  <colItems count="1">
    <i/>
  </colItems>
  <pageFields count="2">
    <pageField fld="6" hier="-1"/>
    <pageField fld="5" hier="-1"/>
  </pageFields>
  <dataFields count="1">
    <dataField name="Ventas último m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639114-5666-4307-8C6C-3EF6999128DF}" name="KPIs_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5:F6" firstHeaderRow="1" firstDataRow="1" firstDataCol="0" rowPageCount="2" colPageCount="1"/>
  <pivotFields count="22">
    <pivotField showAll="0"/>
    <pivotField showAll="0"/>
    <pivotField showAll="0">
      <items count="4">
        <item x="0"/>
        <item x="2"/>
        <item x="1"/>
        <item t="default"/>
      </items>
    </pivotField>
    <pivotField dataField="1" showAll="0">
      <items count="869">
        <item x="836"/>
        <item x="140"/>
        <item x="373"/>
        <item x="82"/>
        <item x="424"/>
        <item x="67"/>
        <item x="509"/>
        <item x="171"/>
        <item x="365"/>
        <item x="310"/>
        <item x="366"/>
        <item x="299"/>
        <item x="355"/>
        <item x="579"/>
        <item x="396"/>
        <item x="24"/>
        <item x="476"/>
        <item x="785"/>
        <item x="322"/>
        <item x="549"/>
        <item x="350"/>
        <item x="440"/>
        <item x="557"/>
        <item x="49"/>
        <item x="18"/>
        <item x="12"/>
        <item x="625"/>
        <item x="717"/>
        <item x="315"/>
        <item x="413"/>
        <item x="618"/>
        <item x="578"/>
        <item x="705"/>
        <item x="237"/>
        <item x="786"/>
        <item x="488"/>
        <item x="720"/>
        <item x="774"/>
        <item x="835"/>
        <item x="241"/>
        <item x="313"/>
        <item x="583"/>
        <item x="730"/>
        <item x="156"/>
        <item x="658"/>
        <item x="369"/>
        <item x="823"/>
        <item x="223"/>
        <item x="703"/>
        <item x="215"/>
        <item x="769"/>
        <item x="653"/>
        <item x="142"/>
        <item x="582"/>
        <item x="35"/>
        <item x="34"/>
        <item x="852"/>
        <item x="338"/>
        <item x="778"/>
        <item x="252"/>
        <item x="278"/>
        <item x="7"/>
        <item x="750"/>
        <item x="602"/>
        <item x="108"/>
        <item x="850"/>
        <item x="603"/>
        <item x="29"/>
        <item x="70"/>
        <item x="368"/>
        <item x="621"/>
        <item x="30"/>
        <item x="513"/>
        <item x="225"/>
        <item x="304"/>
        <item x="566"/>
        <item x="486"/>
        <item x="803"/>
        <item x="243"/>
        <item x="32"/>
        <item x="395"/>
        <item x="840"/>
        <item x="659"/>
        <item x="550"/>
        <item x="106"/>
        <item x="16"/>
        <item x="449"/>
        <item x="445"/>
        <item x="506"/>
        <item x="747"/>
        <item x="814"/>
        <item x="667"/>
        <item x="161"/>
        <item x="319"/>
        <item x="110"/>
        <item x="432"/>
        <item x="378"/>
        <item x="13"/>
        <item x="9"/>
        <item x="272"/>
        <item x="719"/>
        <item x="133"/>
        <item x="150"/>
        <item x="221"/>
        <item x="507"/>
        <item x="64"/>
        <item x="114"/>
        <item x="645"/>
        <item x="500"/>
        <item x="528"/>
        <item x="218"/>
        <item x="392"/>
        <item x="651"/>
        <item x="345"/>
        <item x="336"/>
        <item x="798"/>
        <item x="676"/>
        <item x="655"/>
        <item x="660"/>
        <item x="758"/>
        <item x="102"/>
        <item x="177"/>
        <item x="250"/>
        <item x="384"/>
        <item x="201"/>
        <item x="347"/>
        <item x="807"/>
        <item x="619"/>
        <item x="185"/>
        <item x="494"/>
        <item x="743"/>
        <item x="247"/>
        <item x="517"/>
        <item x="372"/>
        <item x="559"/>
        <item x="854"/>
        <item x="41"/>
        <item x="446"/>
        <item x="107"/>
        <item x="148"/>
        <item x="65"/>
        <item x="37"/>
        <item x="262"/>
        <item x="411"/>
        <item x="571"/>
        <item x="631"/>
        <item x="595"/>
        <item x="515"/>
        <item x="493"/>
        <item x="160"/>
        <item x="220"/>
        <item x="281"/>
        <item x="175"/>
        <item x="68"/>
        <item x="264"/>
        <item x="824"/>
        <item x="135"/>
        <item x="843"/>
        <item x="334"/>
        <item x="189"/>
        <item x="505"/>
        <item x="376"/>
        <item x="23"/>
        <item x="656"/>
        <item x="825"/>
        <item x="718"/>
        <item x="759"/>
        <item x="802"/>
        <item x="285"/>
        <item x="855"/>
        <item x="731"/>
        <item x="812"/>
        <item x="425"/>
        <item x="42"/>
        <item x="648"/>
        <item x="642"/>
        <item x="408"/>
        <item x="503"/>
        <item x="143"/>
        <item x="654"/>
        <item x="214"/>
        <item x="134"/>
        <item x="297"/>
        <item x="145"/>
        <item x="95"/>
        <item x="239"/>
        <item x="260"/>
        <item x="622"/>
        <item x="270"/>
        <item x="434"/>
        <item x="31"/>
        <item x="723"/>
        <item x="28"/>
        <item x="316"/>
        <item x="251"/>
        <item x="721"/>
        <item x="307"/>
        <item x="779"/>
        <item x="301"/>
        <item x="442"/>
        <item x="359"/>
        <item x="328"/>
        <item x="853"/>
        <item x="590"/>
        <item x="860"/>
        <item x="118"/>
        <item x="325"/>
        <item x="501"/>
        <item x="94"/>
        <item x="112"/>
        <item x="83"/>
        <item x="119"/>
        <item x="343"/>
        <item x="662"/>
        <item x="357"/>
        <item x="787"/>
        <item x="592"/>
        <item x="532"/>
        <item x="652"/>
        <item x="59"/>
        <item x="459"/>
        <item x="379"/>
        <item x="33"/>
        <item x="344"/>
        <item x="402"/>
        <item x="79"/>
        <item x="591"/>
        <item x="837"/>
        <item x="623"/>
        <item x="471"/>
        <item x="437"/>
        <item x="62"/>
        <item x="613"/>
        <item x="514"/>
        <item x="375"/>
        <item x="181"/>
        <item x="678"/>
        <item x="475"/>
        <item x="609"/>
        <item x="320"/>
        <item x="131"/>
        <item x="286"/>
        <item x="263"/>
        <item x="704"/>
        <item x="551"/>
        <item x="157"/>
        <item x="97"/>
        <item x="561"/>
        <item x="400"/>
        <item x="669"/>
        <item x="246"/>
        <item x="661"/>
        <item x="453"/>
        <item x="75"/>
        <item x="599"/>
        <item x="287"/>
        <item x="584"/>
        <item x="687"/>
        <item x="809"/>
        <item x="834"/>
        <item x="478"/>
        <item x="360"/>
        <item x="255"/>
        <item x="756"/>
        <item x="640"/>
        <item x="275"/>
        <item x="348"/>
        <item x="737"/>
        <item x="633"/>
        <item x="84"/>
        <item x="630"/>
        <item x="693"/>
        <item x="553"/>
        <item x="11"/>
        <item x="699"/>
        <item x="274"/>
        <item x="300"/>
        <item x="191"/>
        <item x="784"/>
        <item x="430"/>
        <item x="248"/>
        <item x="427"/>
        <item x="552"/>
        <item x="242"/>
        <item x="219"/>
        <item x="257"/>
        <item x="87"/>
        <item x="182"/>
        <item x="777"/>
        <item x="228"/>
        <item x="483"/>
        <item x="200"/>
        <item x="1"/>
        <item x="629"/>
        <item x="265"/>
        <item x="213"/>
        <item x="45"/>
        <item x="438"/>
        <item x="342"/>
        <item x="770"/>
        <item x="127"/>
        <item x="712"/>
        <item x="391"/>
        <item x="194"/>
        <item x="129"/>
        <item x="508"/>
        <item x="410"/>
        <item x="780"/>
        <item x="178"/>
        <item x="539"/>
        <item x="715"/>
        <item x="55"/>
        <item x="58"/>
        <item x="22"/>
        <item x="641"/>
        <item x="464"/>
        <item x="472"/>
        <item x="604"/>
        <item x="81"/>
        <item x="801"/>
        <item x="27"/>
        <item x="167"/>
        <item x="596"/>
        <item x="711"/>
        <item x="57"/>
        <item x="91"/>
        <item x="123"/>
        <item x="713"/>
        <item x="556"/>
        <item x="819"/>
        <item x="454"/>
        <item x="458"/>
        <item x="117"/>
        <item x="433"/>
        <item x="51"/>
        <item x="254"/>
        <item x="525"/>
        <item x="570"/>
        <item x="666"/>
        <item x="436"/>
        <item x="383"/>
        <item x="4"/>
        <item x="477"/>
        <item x="587"/>
        <item x="210"/>
        <item x="512"/>
        <item x="136"/>
        <item x="20"/>
        <item x="732"/>
        <item x="10"/>
        <item x="122"/>
        <item x="668"/>
        <item x="166"/>
        <item x="323"/>
        <item x="735"/>
        <item x="597"/>
        <item x="767"/>
        <item x="844"/>
        <item x="211"/>
        <item x="867"/>
        <item x="818"/>
        <item x="529"/>
        <item x="159"/>
        <item x="364"/>
        <item x="463"/>
        <item x="409"/>
        <item x="109"/>
        <item x="510"/>
        <item x="141"/>
        <item x="447"/>
        <item x="103"/>
        <item x="745"/>
        <item x="865"/>
        <item x="542"/>
        <item x="351"/>
        <item x="5"/>
        <item x="43"/>
        <item x="193"/>
        <item x="781"/>
        <item x="562"/>
        <item x="450"/>
        <item x="407"/>
        <item x="203"/>
        <item x="697"/>
        <item x="192"/>
        <item x="205"/>
        <item x="846"/>
        <item x="805"/>
        <item x="98"/>
        <item x="40"/>
        <item x="321"/>
        <item x="502"/>
        <item x="86"/>
        <item x="690"/>
        <item x="273"/>
        <item x="534"/>
        <item x="672"/>
        <item x="838"/>
        <item x="858"/>
        <item x="337"/>
        <item x="406"/>
        <item x="163"/>
        <item x="548"/>
        <item x="700"/>
        <item x="244"/>
        <item x="311"/>
        <item x="154"/>
        <item x="266"/>
        <item x="760"/>
        <item x="276"/>
        <item x="120"/>
        <item x="176"/>
        <item x="356"/>
        <item x="232"/>
        <item x="455"/>
        <item x="204"/>
        <item x="643"/>
        <item x="139"/>
        <item x="324"/>
        <item x="675"/>
        <item x="333"/>
        <item x="751"/>
        <item x="187"/>
        <item x="294"/>
        <item x="670"/>
        <item x="724"/>
        <item x="99"/>
        <item x="60"/>
        <item x="207"/>
        <item x="757"/>
        <item x="56"/>
        <item x="544"/>
        <item x="492"/>
        <item x="283"/>
        <item x="826"/>
        <item x="302"/>
        <item x="74"/>
        <item x="367"/>
        <item x="521"/>
        <item x="775"/>
        <item x="701"/>
        <item x="305"/>
        <item x="168"/>
        <item x="231"/>
        <item x="25"/>
        <item x="405"/>
        <item x="845"/>
        <item x="314"/>
        <item x="382"/>
        <item x="78"/>
        <item x="412"/>
        <item x="267"/>
        <item x="21"/>
        <item x="63"/>
        <item x="390"/>
        <item x="346"/>
        <item x="685"/>
        <item x="138"/>
        <item x="589"/>
        <item x="44"/>
        <item x="856"/>
        <item x="709"/>
        <item x="593"/>
        <item x="190"/>
        <item x="664"/>
        <item x="19"/>
        <item x="647"/>
        <item x="627"/>
        <item x="610"/>
        <item x="776"/>
        <item x="484"/>
        <item x="76"/>
        <item x="728"/>
        <item x="399"/>
        <item x="416"/>
        <item x="234"/>
        <item x="866"/>
        <item x="524"/>
        <item x="739"/>
        <item x="632"/>
        <item x="363"/>
        <item x="744"/>
        <item x="292"/>
        <item x="38"/>
        <item x="473"/>
        <item x="863"/>
        <item x="504"/>
        <item x="227"/>
        <item x="496"/>
        <item x="206"/>
        <item x="111"/>
        <item x="520"/>
        <item x="535"/>
        <item x="601"/>
        <item x="198"/>
        <item x="616"/>
        <item x="318"/>
        <item x="423"/>
        <item x="519"/>
        <item x="762"/>
        <item x="796"/>
        <item x="456"/>
        <item x="326"/>
        <item x="820"/>
        <item x="782"/>
        <item x="288"/>
        <item x="309"/>
        <item x="864"/>
        <item x="113"/>
        <item x="527"/>
        <item x="183"/>
        <item x="733"/>
        <item x="422"/>
        <item x="149"/>
        <item x="14"/>
        <item x="684"/>
        <item x="69"/>
        <item x="6"/>
        <item x="577"/>
        <item x="398"/>
        <item x="680"/>
        <item x="637"/>
        <item x="387"/>
        <item x="636"/>
        <item x="130"/>
        <item x="271"/>
        <item x="349"/>
        <item x="491"/>
        <item x="209"/>
        <item x="789"/>
        <item x="827"/>
        <item x="419"/>
        <item x="441"/>
        <item x="15"/>
        <item x="152"/>
        <item x="839"/>
        <item x="428"/>
        <item x="541"/>
        <item x="3"/>
        <item x="381"/>
        <item x="329"/>
        <item x="121"/>
        <item x="773"/>
        <item x="696"/>
        <item x="650"/>
        <item x="628"/>
        <item x="466"/>
        <item x="815"/>
        <item x="352"/>
        <item x="482"/>
        <item x="813"/>
        <item x="671"/>
        <item x="230"/>
        <item x="714"/>
        <item x="615"/>
        <item x="558"/>
        <item x="831"/>
        <item x="511"/>
        <item x="462"/>
        <item x="586"/>
        <item x="707"/>
        <item x="726"/>
        <item x="474"/>
        <item x="0"/>
        <item x="694"/>
        <item x="857"/>
        <item x="841"/>
        <item x="649"/>
        <item x="93"/>
        <item x="308"/>
        <item x="564"/>
        <item x="692"/>
        <item x="61"/>
        <item x="435"/>
        <item x="817"/>
        <item x="657"/>
        <item x="598"/>
        <item x="606"/>
        <item x="53"/>
        <item x="377"/>
        <item x="530"/>
        <item x="172"/>
        <item x="457"/>
        <item x="573"/>
        <item x="388"/>
        <item x="624"/>
        <item x="674"/>
        <item x="677"/>
        <item x="253"/>
        <item x="439"/>
        <item x="465"/>
        <item x="607"/>
        <item x="312"/>
        <item x="125"/>
        <item x="736"/>
        <item x="174"/>
        <item x="569"/>
        <item x="702"/>
        <item x="806"/>
        <item x="2"/>
        <item x="158"/>
        <item x="362"/>
        <item x="752"/>
        <item x="256"/>
        <item x="341"/>
        <item x="72"/>
        <item x="793"/>
        <item x="783"/>
        <item x="291"/>
        <item x="236"/>
        <item x="197"/>
        <item x="258"/>
        <item x="151"/>
        <item x="277"/>
        <item x="196"/>
        <item x="828"/>
        <item x="165"/>
        <item x="280"/>
        <item x="303"/>
        <item x="170"/>
        <item x="753"/>
        <item x="611"/>
        <item x="788"/>
        <item x="799"/>
        <item x="740"/>
        <item x="137"/>
        <item x="546"/>
        <item x="804"/>
        <item x="663"/>
        <item x="47"/>
        <item x="327"/>
        <item x="393"/>
        <item x="620"/>
        <item x="229"/>
        <item x="533"/>
        <item x="54"/>
        <item x="861"/>
        <item x="639"/>
        <item x="605"/>
        <item x="608"/>
        <item x="588"/>
        <item x="791"/>
        <item x="568"/>
        <item x="790"/>
        <item x="128"/>
        <item x="543"/>
        <item x="741"/>
        <item x="298"/>
        <item x="734"/>
        <item x="238"/>
        <item x="495"/>
        <item x="39"/>
        <item x="833"/>
        <item x="100"/>
        <item x="331"/>
        <item x="199"/>
        <item x="46"/>
        <item x="404"/>
        <item x="545"/>
        <item x="523"/>
        <item x="361"/>
        <item x="431"/>
        <item x="92"/>
        <item x="681"/>
        <item x="614"/>
        <item x="547"/>
        <item x="563"/>
        <item x="727"/>
        <item x="451"/>
        <item x="849"/>
        <item x="847"/>
        <item x="755"/>
        <item x="443"/>
        <item x="487"/>
        <item x="842"/>
        <item x="710"/>
        <item x="147"/>
        <item x="764"/>
        <item x="851"/>
        <item x="290"/>
        <item x="518"/>
        <item x="490"/>
        <item x="124"/>
        <item x="600"/>
        <item x="212"/>
        <item x="153"/>
        <item x="249"/>
        <item x="259"/>
        <item x="485"/>
        <item x="469"/>
        <item x="415"/>
        <item x="489"/>
        <item x="162"/>
        <item x="691"/>
        <item x="105"/>
        <item x="245"/>
        <item x="800"/>
        <item x="572"/>
        <item x="8"/>
        <item x="358"/>
        <item x="235"/>
        <item x="816"/>
        <item x="403"/>
        <item x="296"/>
        <item x="682"/>
        <item x="722"/>
        <item x="768"/>
        <item x="26"/>
        <item x="104"/>
        <item x="695"/>
        <item x="101"/>
        <item x="555"/>
        <item x="832"/>
        <item x="766"/>
        <item x="332"/>
        <item x="763"/>
        <item x="417"/>
        <item x="353"/>
        <item x="268"/>
        <item x="36"/>
        <item x="792"/>
        <item x="146"/>
        <item x="85"/>
        <item x="371"/>
        <item x="481"/>
        <item x="386"/>
        <item x="538"/>
        <item x="761"/>
        <item x="226"/>
        <item x="202"/>
        <item x="580"/>
        <item x="208"/>
        <item x="468"/>
        <item x="17"/>
        <item x="862"/>
        <item x="626"/>
        <item x="186"/>
        <item x="295"/>
        <item x="132"/>
        <item x="749"/>
        <item x="216"/>
        <item x="80"/>
        <item x="52"/>
        <item x="279"/>
        <item x="88"/>
        <item x="738"/>
        <item x="683"/>
        <item x="821"/>
        <item x="71"/>
        <item x="164"/>
        <item x="574"/>
        <item x="567"/>
        <item x="673"/>
        <item x="394"/>
        <item x="638"/>
        <item x="540"/>
        <item x="480"/>
        <item x="169"/>
        <item x="269"/>
        <item x="829"/>
        <item x="448"/>
        <item x="50"/>
        <item x="698"/>
        <item x="646"/>
        <item x="795"/>
        <item x="188"/>
        <item x="222"/>
        <item x="716"/>
        <item x="233"/>
        <item x="689"/>
        <item x="240"/>
        <item x="414"/>
        <item x="754"/>
        <item x="679"/>
        <item x="742"/>
        <item x="470"/>
        <item x="644"/>
        <item x="389"/>
        <item x="155"/>
        <item x="195"/>
        <item x="531"/>
        <item x="217"/>
        <item x="808"/>
        <item x="173"/>
        <item x="771"/>
        <item x="289"/>
        <item x="293"/>
        <item x="96"/>
        <item x="746"/>
        <item x="180"/>
        <item x="452"/>
        <item x="461"/>
        <item x="48"/>
        <item x="467"/>
        <item x="822"/>
        <item x="401"/>
        <item x="725"/>
        <item x="77"/>
        <item x="144"/>
        <item x="116"/>
        <item x="179"/>
        <item x="686"/>
        <item x="565"/>
        <item x="306"/>
        <item x="282"/>
        <item x="374"/>
        <item x="479"/>
        <item x="810"/>
        <item x="339"/>
        <item x="617"/>
        <item x="665"/>
        <item x="460"/>
        <item x="89"/>
        <item x="554"/>
        <item x="429"/>
        <item x="330"/>
        <item x="594"/>
        <item x="317"/>
        <item x="126"/>
        <item x="536"/>
        <item x="526"/>
        <item x="444"/>
        <item x="426"/>
        <item x="706"/>
        <item x="612"/>
        <item x="634"/>
        <item x="859"/>
        <item x="848"/>
        <item x="772"/>
        <item x="581"/>
        <item x="418"/>
        <item x="184"/>
        <item x="708"/>
        <item x="340"/>
        <item x="516"/>
        <item x="370"/>
        <item x="635"/>
        <item x="73"/>
        <item x="575"/>
        <item x="397"/>
        <item x="385"/>
        <item x="354"/>
        <item x="66"/>
        <item x="522"/>
        <item x="261"/>
        <item x="380"/>
        <item x="115"/>
        <item x="794"/>
        <item x="537"/>
        <item x="729"/>
        <item x="224"/>
        <item x="498"/>
        <item x="585"/>
        <item x="748"/>
        <item x="497"/>
        <item x="688"/>
        <item x="421"/>
        <item x="830"/>
        <item x="811"/>
        <item x="90"/>
        <item x="499"/>
        <item x="576"/>
        <item x="335"/>
        <item x="560"/>
        <item x="420"/>
        <item x="765"/>
        <item x="797"/>
        <item x="284"/>
        <item t="default"/>
      </items>
    </pivotField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axis="axisPage" showAll="0">
      <items count="13">
        <item x="8"/>
        <item x="10"/>
        <item x="0"/>
        <item x="2"/>
        <item x="11"/>
        <item x="5"/>
        <item x="6"/>
        <item x="9"/>
        <item x="4"/>
        <item x="7"/>
        <item x="3"/>
        <item x="1"/>
        <item t="default"/>
      </items>
    </pivotField>
    <pivotField axis="axisPage" numFmtId="1" showAll="0">
      <items count="5">
        <item x="1"/>
        <item x="3"/>
        <item x="0"/>
        <item x="2"/>
        <item t="default"/>
      </items>
    </pivotField>
    <pivotField showAll="0"/>
    <pivotField numFmtId="14" showAll="0"/>
    <pivotField numFmtId="1" showAll="0"/>
    <pivotField numFmtId="1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Items count="1">
    <i/>
  </rowItems>
  <colItems count="1">
    <i/>
  </colItems>
  <pageFields count="2">
    <pageField fld="6" hier="-1"/>
    <pageField fld="5" hier="-1"/>
  </pageFields>
  <dataFields count="1">
    <dataField name="Ingresos último m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DDE2ED-5DE1-45C5-BC94-9F8F876FCBD7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C73:D81" firstHeaderRow="1" firstDataRow="1" firstDataCol="1"/>
  <pivotFields count="22"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869">
        <item x="836"/>
        <item x="140"/>
        <item x="373"/>
        <item x="82"/>
        <item x="424"/>
        <item x="67"/>
        <item x="509"/>
        <item x="171"/>
        <item x="365"/>
        <item x="310"/>
        <item x="366"/>
        <item x="299"/>
        <item x="355"/>
        <item x="579"/>
        <item x="396"/>
        <item x="24"/>
        <item x="476"/>
        <item x="785"/>
        <item x="322"/>
        <item x="549"/>
        <item x="350"/>
        <item x="440"/>
        <item x="557"/>
        <item x="49"/>
        <item x="18"/>
        <item x="12"/>
        <item x="625"/>
        <item x="717"/>
        <item x="315"/>
        <item x="413"/>
        <item x="618"/>
        <item x="578"/>
        <item x="705"/>
        <item x="237"/>
        <item x="786"/>
        <item x="488"/>
        <item x="720"/>
        <item x="774"/>
        <item x="835"/>
        <item x="241"/>
        <item x="313"/>
        <item x="583"/>
        <item x="730"/>
        <item x="156"/>
        <item x="658"/>
        <item x="369"/>
        <item x="823"/>
        <item x="223"/>
        <item x="703"/>
        <item x="215"/>
        <item x="769"/>
        <item x="653"/>
        <item x="142"/>
        <item x="582"/>
        <item x="35"/>
        <item x="34"/>
        <item x="852"/>
        <item x="338"/>
        <item x="778"/>
        <item x="252"/>
        <item x="278"/>
        <item x="7"/>
        <item x="750"/>
        <item x="602"/>
        <item x="108"/>
        <item x="850"/>
        <item x="603"/>
        <item x="29"/>
        <item x="70"/>
        <item x="368"/>
        <item x="621"/>
        <item x="30"/>
        <item x="513"/>
        <item x="225"/>
        <item x="304"/>
        <item x="566"/>
        <item x="486"/>
        <item x="803"/>
        <item x="243"/>
        <item x="32"/>
        <item x="395"/>
        <item x="840"/>
        <item x="659"/>
        <item x="550"/>
        <item x="106"/>
        <item x="16"/>
        <item x="449"/>
        <item x="445"/>
        <item x="506"/>
        <item x="747"/>
        <item x="814"/>
        <item x="667"/>
        <item x="161"/>
        <item x="319"/>
        <item x="110"/>
        <item x="432"/>
        <item x="378"/>
        <item x="13"/>
        <item x="9"/>
        <item x="272"/>
        <item x="719"/>
        <item x="133"/>
        <item x="150"/>
        <item x="221"/>
        <item x="507"/>
        <item x="64"/>
        <item x="114"/>
        <item x="645"/>
        <item x="500"/>
        <item x="528"/>
        <item x="218"/>
        <item x="392"/>
        <item x="651"/>
        <item x="345"/>
        <item x="336"/>
        <item x="798"/>
        <item x="676"/>
        <item x="655"/>
        <item x="660"/>
        <item x="758"/>
        <item x="102"/>
        <item x="177"/>
        <item x="250"/>
        <item x="384"/>
        <item x="201"/>
        <item x="347"/>
        <item x="807"/>
        <item x="619"/>
        <item x="185"/>
        <item x="494"/>
        <item x="743"/>
        <item x="247"/>
        <item x="517"/>
        <item x="372"/>
        <item x="559"/>
        <item x="854"/>
        <item x="41"/>
        <item x="446"/>
        <item x="107"/>
        <item x="148"/>
        <item x="65"/>
        <item x="37"/>
        <item x="262"/>
        <item x="411"/>
        <item x="571"/>
        <item x="631"/>
        <item x="595"/>
        <item x="515"/>
        <item x="493"/>
        <item x="160"/>
        <item x="220"/>
        <item x="281"/>
        <item x="175"/>
        <item x="68"/>
        <item x="264"/>
        <item x="824"/>
        <item x="135"/>
        <item x="843"/>
        <item x="334"/>
        <item x="189"/>
        <item x="505"/>
        <item x="376"/>
        <item x="23"/>
        <item x="656"/>
        <item x="825"/>
        <item x="718"/>
        <item x="759"/>
        <item x="802"/>
        <item x="285"/>
        <item x="855"/>
        <item x="731"/>
        <item x="812"/>
        <item x="425"/>
        <item x="42"/>
        <item x="648"/>
        <item x="642"/>
        <item x="408"/>
        <item x="503"/>
        <item x="143"/>
        <item x="654"/>
        <item x="214"/>
        <item x="134"/>
        <item x="297"/>
        <item x="145"/>
        <item x="95"/>
        <item x="239"/>
        <item x="260"/>
        <item x="622"/>
        <item x="270"/>
        <item x="434"/>
        <item x="31"/>
        <item x="723"/>
        <item x="28"/>
        <item x="316"/>
        <item x="251"/>
        <item x="721"/>
        <item x="307"/>
        <item x="779"/>
        <item x="301"/>
        <item x="442"/>
        <item x="359"/>
        <item x="328"/>
        <item x="853"/>
        <item x="590"/>
        <item x="860"/>
        <item x="118"/>
        <item x="325"/>
        <item x="501"/>
        <item x="94"/>
        <item x="112"/>
        <item x="83"/>
        <item x="119"/>
        <item x="343"/>
        <item x="662"/>
        <item x="357"/>
        <item x="787"/>
        <item x="592"/>
        <item x="532"/>
        <item x="652"/>
        <item x="59"/>
        <item x="459"/>
        <item x="379"/>
        <item x="33"/>
        <item x="344"/>
        <item x="402"/>
        <item x="79"/>
        <item x="591"/>
        <item x="837"/>
        <item x="623"/>
        <item x="471"/>
        <item x="437"/>
        <item x="62"/>
        <item x="613"/>
        <item x="514"/>
        <item x="375"/>
        <item x="181"/>
        <item x="678"/>
        <item x="475"/>
        <item x="609"/>
        <item x="320"/>
        <item x="131"/>
        <item x="286"/>
        <item x="263"/>
        <item x="704"/>
        <item x="551"/>
        <item x="157"/>
        <item x="97"/>
        <item x="561"/>
        <item x="400"/>
        <item x="669"/>
        <item x="246"/>
        <item x="661"/>
        <item x="453"/>
        <item x="75"/>
        <item x="599"/>
        <item x="287"/>
        <item x="584"/>
        <item x="687"/>
        <item x="809"/>
        <item x="834"/>
        <item x="478"/>
        <item x="360"/>
        <item x="255"/>
        <item x="756"/>
        <item x="640"/>
        <item x="275"/>
        <item x="348"/>
        <item x="737"/>
        <item x="633"/>
        <item x="84"/>
        <item x="630"/>
        <item x="693"/>
        <item x="553"/>
        <item x="11"/>
        <item x="699"/>
        <item x="274"/>
        <item x="300"/>
        <item x="191"/>
        <item x="784"/>
        <item x="430"/>
        <item x="248"/>
        <item x="427"/>
        <item x="552"/>
        <item x="242"/>
        <item x="219"/>
        <item x="257"/>
        <item x="87"/>
        <item x="182"/>
        <item x="777"/>
        <item x="228"/>
        <item x="483"/>
        <item x="200"/>
        <item x="1"/>
        <item x="629"/>
        <item x="265"/>
        <item x="213"/>
        <item x="45"/>
        <item x="438"/>
        <item x="342"/>
        <item x="770"/>
        <item x="127"/>
        <item x="712"/>
        <item x="391"/>
        <item x="194"/>
        <item x="129"/>
        <item x="508"/>
        <item x="410"/>
        <item x="780"/>
        <item x="178"/>
        <item x="539"/>
        <item x="715"/>
        <item x="55"/>
        <item x="58"/>
        <item x="22"/>
        <item x="641"/>
        <item x="464"/>
        <item x="472"/>
        <item x="604"/>
        <item x="81"/>
        <item x="801"/>
        <item x="27"/>
        <item x="167"/>
        <item x="596"/>
        <item x="711"/>
        <item x="57"/>
        <item x="91"/>
        <item x="123"/>
        <item x="713"/>
        <item x="556"/>
        <item x="819"/>
        <item x="454"/>
        <item x="458"/>
        <item x="117"/>
        <item x="433"/>
        <item x="51"/>
        <item x="254"/>
        <item x="525"/>
        <item x="570"/>
        <item x="666"/>
        <item x="436"/>
        <item x="383"/>
        <item x="4"/>
        <item x="477"/>
        <item x="587"/>
        <item x="210"/>
        <item x="512"/>
        <item x="136"/>
        <item x="20"/>
        <item x="732"/>
        <item x="10"/>
        <item x="122"/>
        <item x="668"/>
        <item x="166"/>
        <item x="323"/>
        <item x="735"/>
        <item x="597"/>
        <item x="767"/>
        <item x="844"/>
        <item x="211"/>
        <item x="867"/>
        <item x="818"/>
        <item x="529"/>
        <item x="159"/>
        <item x="364"/>
        <item x="463"/>
        <item x="409"/>
        <item x="109"/>
        <item x="510"/>
        <item x="141"/>
        <item x="447"/>
        <item x="103"/>
        <item x="745"/>
        <item x="865"/>
        <item x="542"/>
        <item x="351"/>
        <item x="5"/>
        <item x="43"/>
        <item x="193"/>
        <item x="781"/>
        <item x="562"/>
        <item x="450"/>
        <item x="407"/>
        <item x="203"/>
        <item x="697"/>
        <item x="192"/>
        <item x="205"/>
        <item x="846"/>
        <item x="805"/>
        <item x="98"/>
        <item x="40"/>
        <item x="321"/>
        <item x="502"/>
        <item x="86"/>
        <item x="690"/>
        <item x="273"/>
        <item x="534"/>
        <item x="672"/>
        <item x="838"/>
        <item x="858"/>
        <item x="337"/>
        <item x="406"/>
        <item x="163"/>
        <item x="548"/>
        <item x="700"/>
        <item x="244"/>
        <item x="311"/>
        <item x="154"/>
        <item x="266"/>
        <item x="760"/>
        <item x="276"/>
        <item x="120"/>
        <item x="176"/>
        <item x="356"/>
        <item x="232"/>
        <item x="455"/>
        <item x="204"/>
        <item x="643"/>
        <item x="139"/>
        <item x="324"/>
        <item x="675"/>
        <item x="333"/>
        <item x="751"/>
        <item x="187"/>
        <item x="294"/>
        <item x="670"/>
        <item x="724"/>
        <item x="99"/>
        <item x="60"/>
        <item x="207"/>
        <item x="757"/>
        <item x="56"/>
        <item x="544"/>
        <item x="492"/>
        <item x="283"/>
        <item x="826"/>
        <item x="302"/>
        <item x="74"/>
        <item x="367"/>
        <item x="521"/>
        <item x="775"/>
        <item x="701"/>
        <item x="305"/>
        <item x="168"/>
        <item x="231"/>
        <item x="25"/>
        <item x="405"/>
        <item x="845"/>
        <item x="314"/>
        <item x="382"/>
        <item x="78"/>
        <item x="412"/>
        <item x="267"/>
        <item x="21"/>
        <item x="63"/>
        <item x="390"/>
        <item x="346"/>
        <item x="685"/>
        <item x="138"/>
        <item x="589"/>
        <item x="44"/>
        <item x="856"/>
        <item x="709"/>
        <item x="593"/>
        <item x="190"/>
        <item x="664"/>
        <item x="19"/>
        <item x="647"/>
        <item x="627"/>
        <item x="610"/>
        <item x="776"/>
        <item x="484"/>
        <item x="76"/>
        <item x="728"/>
        <item x="399"/>
        <item x="416"/>
        <item x="234"/>
        <item x="866"/>
        <item x="524"/>
        <item x="739"/>
        <item x="632"/>
        <item x="363"/>
        <item x="744"/>
        <item x="292"/>
        <item x="38"/>
        <item x="473"/>
        <item x="863"/>
        <item x="504"/>
        <item x="227"/>
        <item x="496"/>
        <item x="206"/>
        <item x="111"/>
        <item x="520"/>
        <item x="535"/>
        <item x="601"/>
        <item x="198"/>
        <item x="616"/>
        <item x="318"/>
        <item x="423"/>
        <item x="519"/>
        <item x="762"/>
        <item x="796"/>
        <item x="456"/>
        <item x="326"/>
        <item x="820"/>
        <item x="782"/>
        <item x="288"/>
        <item x="309"/>
        <item x="864"/>
        <item x="113"/>
        <item x="527"/>
        <item x="183"/>
        <item x="733"/>
        <item x="422"/>
        <item x="149"/>
        <item x="14"/>
        <item x="684"/>
        <item x="69"/>
        <item x="6"/>
        <item x="577"/>
        <item x="398"/>
        <item x="680"/>
        <item x="637"/>
        <item x="387"/>
        <item x="636"/>
        <item x="130"/>
        <item x="271"/>
        <item x="349"/>
        <item x="491"/>
        <item x="209"/>
        <item x="789"/>
        <item x="827"/>
        <item x="419"/>
        <item x="441"/>
        <item x="15"/>
        <item x="152"/>
        <item x="839"/>
        <item x="428"/>
        <item x="541"/>
        <item x="3"/>
        <item x="381"/>
        <item x="329"/>
        <item x="121"/>
        <item x="773"/>
        <item x="696"/>
        <item x="650"/>
        <item x="628"/>
        <item x="466"/>
        <item x="815"/>
        <item x="352"/>
        <item x="482"/>
        <item x="813"/>
        <item x="671"/>
        <item x="230"/>
        <item x="714"/>
        <item x="615"/>
        <item x="558"/>
        <item x="831"/>
        <item x="511"/>
        <item x="462"/>
        <item x="586"/>
        <item x="707"/>
        <item x="726"/>
        <item x="474"/>
        <item x="0"/>
        <item x="694"/>
        <item x="857"/>
        <item x="841"/>
        <item x="649"/>
        <item x="93"/>
        <item x="308"/>
        <item x="564"/>
        <item x="692"/>
        <item x="61"/>
        <item x="435"/>
        <item x="817"/>
        <item x="657"/>
        <item x="598"/>
        <item x="606"/>
        <item x="53"/>
        <item x="377"/>
        <item x="530"/>
        <item x="172"/>
        <item x="457"/>
        <item x="573"/>
        <item x="388"/>
        <item x="624"/>
        <item x="674"/>
        <item x="677"/>
        <item x="253"/>
        <item x="439"/>
        <item x="465"/>
        <item x="607"/>
        <item x="312"/>
        <item x="125"/>
        <item x="736"/>
        <item x="174"/>
        <item x="569"/>
        <item x="702"/>
        <item x="806"/>
        <item x="2"/>
        <item x="158"/>
        <item x="362"/>
        <item x="752"/>
        <item x="256"/>
        <item x="341"/>
        <item x="72"/>
        <item x="793"/>
        <item x="783"/>
        <item x="291"/>
        <item x="236"/>
        <item x="197"/>
        <item x="258"/>
        <item x="151"/>
        <item x="277"/>
        <item x="196"/>
        <item x="828"/>
        <item x="165"/>
        <item x="280"/>
        <item x="303"/>
        <item x="170"/>
        <item x="753"/>
        <item x="611"/>
        <item x="788"/>
        <item x="799"/>
        <item x="740"/>
        <item x="137"/>
        <item x="546"/>
        <item x="804"/>
        <item x="663"/>
        <item x="47"/>
        <item x="327"/>
        <item x="393"/>
        <item x="620"/>
        <item x="229"/>
        <item x="533"/>
        <item x="54"/>
        <item x="861"/>
        <item x="639"/>
        <item x="605"/>
        <item x="608"/>
        <item x="588"/>
        <item x="791"/>
        <item x="568"/>
        <item x="790"/>
        <item x="128"/>
        <item x="543"/>
        <item x="741"/>
        <item x="298"/>
        <item x="734"/>
        <item x="238"/>
        <item x="495"/>
        <item x="39"/>
        <item x="833"/>
        <item x="100"/>
        <item x="331"/>
        <item x="199"/>
        <item x="46"/>
        <item x="404"/>
        <item x="545"/>
        <item x="523"/>
        <item x="361"/>
        <item x="431"/>
        <item x="92"/>
        <item x="681"/>
        <item x="614"/>
        <item x="547"/>
        <item x="563"/>
        <item x="727"/>
        <item x="451"/>
        <item x="849"/>
        <item x="847"/>
        <item x="755"/>
        <item x="443"/>
        <item x="487"/>
        <item x="842"/>
        <item x="710"/>
        <item x="147"/>
        <item x="764"/>
        <item x="851"/>
        <item x="290"/>
        <item x="518"/>
        <item x="490"/>
        <item x="124"/>
        <item x="600"/>
        <item x="212"/>
        <item x="153"/>
        <item x="249"/>
        <item x="259"/>
        <item x="485"/>
        <item x="469"/>
        <item x="415"/>
        <item x="489"/>
        <item x="162"/>
        <item x="691"/>
        <item x="105"/>
        <item x="245"/>
        <item x="800"/>
        <item x="572"/>
        <item x="8"/>
        <item x="358"/>
        <item x="235"/>
        <item x="816"/>
        <item x="403"/>
        <item x="296"/>
        <item x="682"/>
        <item x="722"/>
        <item x="768"/>
        <item x="26"/>
        <item x="104"/>
        <item x="695"/>
        <item x="101"/>
        <item x="555"/>
        <item x="832"/>
        <item x="766"/>
        <item x="332"/>
        <item x="763"/>
        <item x="417"/>
        <item x="353"/>
        <item x="268"/>
        <item x="36"/>
        <item x="792"/>
        <item x="146"/>
        <item x="85"/>
        <item x="371"/>
        <item x="481"/>
        <item x="386"/>
        <item x="538"/>
        <item x="761"/>
        <item x="226"/>
        <item x="202"/>
        <item x="580"/>
        <item x="208"/>
        <item x="468"/>
        <item x="17"/>
        <item x="862"/>
        <item x="626"/>
        <item x="186"/>
        <item x="295"/>
        <item x="132"/>
        <item x="749"/>
        <item x="216"/>
        <item x="80"/>
        <item x="52"/>
        <item x="279"/>
        <item x="88"/>
        <item x="738"/>
        <item x="683"/>
        <item x="821"/>
        <item x="71"/>
        <item x="164"/>
        <item x="574"/>
        <item x="567"/>
        <item x="673"/>
        <item x="394"/>
        <item x="638"/>
        <item x="540"/>
        <item x="480"/>
        <item x="169"/>
        <item x="269"/>
        <item x="829"/>
        <item x="448"/>
        <item x="50"/>
        <item x="698"/>
        <item x="646"/>
        <item x="795"/>
        <item x="188"/>
        <item x="222"/>
        <item x="716"/>
        <item x="233"/>
        <item x="689"/>
        <item x="240"/>
        <item x="414"/>
        <item x="754"/>
        <item x="679"/>
        <item x="742"/>
        <item x="470"/>
        <item x="644"/>
        <item x="389"/>
        <item x="155"/>
        <item x="195"/>
        <item x="531"/>
        <item x="217"/>
        <item x="808"/>
        <item x="173"/>
        <item x="771"/>
        <item x="289"/>
        <item x="293"/>
        <item x="96"/>
        <item x="746"/>
        <item x="180"/>
        <item x="452"/>
        <item x="461"/>
        <item x="48"/>
        <item x="467"/>
        <item x="822"/>
        <item x="401"/>
        <item x="725"/>
        <item x="77"/>
        <item x="144"/>
        <item x="116"/>
        <item x="179"/>
        <item x="686"/>
        <item x="565"/>
        <item x="306"/>
        <item x="282"/>
        <item x="374"/>
        <item x="479"/>
        <item x="810"/>
        <item x="339"/>
        <item x="617"/>
        <item x="665"/>
        <item x="460"/>
        <item x="89"/>
        <item x="554"/>
        <item x="429"/>
        <item x="330"/>
        <item x="594"/>
        <item x="317"/>
        <item x="126"/>
        <item x="536"/>
        <item x="526"/>
        <item x="444"/>
        <item x="426"/>
        <item x="706"/>
        <item x="612"/>
        <item x="634"/>
        <item x="859"/>
        <item x="848"/>
        <item x="772"/>
        <item x="581"/>
        <item x="418"/>
        <item x="184"/>
        <item x="708"/>
        <item x="340"/>
        <item x="516"/>
        <item x="370"/>
        <item x="635"/>
        <item x="73"/>
        <item x="575"/>
        <item x="397"/>
        <item x="385"/>
        <item x="354"/>
        <item x="66"/>
        <item x="522"/>
        <item x="261"/>
        <item x="380"/>
        <item x="115"/>
        <item x="794"/>
        <item x="537"/>
        <item x="729"/>
        <item x="224"/>
        <item x="498"/>
        <item x="585"/>
        <item x="748"/>
        <item x="497"/>
        <item x="688"/>
        <item x="421"/>
        <item x="830"/>
        <item x="811"/>
        <item x="90"/>
        <item x="499"/>
        <item x="576"/>
        <item x="335"/>
        <item x="560"/>
        <item x="420"/>
        <item x="765"/>
        <item x="797"/>
        <item x="284"/>
        <item t="default"/>
      </items>
    </pivotField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>
      <items count="13">
        <item x="8"/>
        <item x="10"/>
        <item x="0"/>
        <item x="2"/>
        <item x="11"/>
        <item x="5"/>
        <item x="6"/>
        <item x="9"/>
        <item x="4"/>
        <item x="7"/>
        <item x="3"/>
        <item x="1"/>
        <item t="default"/>
      </items>
    </pivotField>
    <pivotField numFmtId="1" showAll="0">
      <items count="5">
        <item x="1"/>
        <item x="3"/>
        <item x="0"/>
        <item x="2"/>
        <item t="default"/>
      </items>
    </pivotField>
    <pivotField axis="axisRow"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dataField="1" numFmtId="1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de Ingresos totales" fld="10" baseField="0" baseItem="0" numFmtId="1"/>
  </dataFields>
  <chartFormats count="2">
    <chartFormat chart="1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11DB22-49A9-47B8-88DE-311DB6548CB2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C89:D97" firstHeaderRow="1" firstDataRow="1" firstDataCol="1"/>
  <pivotFields count="22"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869">
        <item x="836"/>
        <item x="140"/>
        <item x="373"/>
        <item x="82"/>
        <item x="424"/>
        <item x="67"/>
        <item x="509"/>
        <item x="171"/>
        <item x="365"/>
        <item x="310"/>
        <item x="366"/>
        <item x="299"/>
        <item x="355"/>
        <item x="579"/>
        <item x="396"/>
        <item x="24"/>
        <item x="476"/>
        <item x="785"/>
        <item x="322"/>
        <item x="549"/>
        <item x="350"/>
        <item x="440"/>
        <item x="557"/>
        <item x="49"/>
        <item x="18"/>
        <item x="12"/>
        <item x="625"/>
        <item x="717"/>
        <item x="315"/>
        <item x="413"/>
        <item x="618"/>
        <item x="578"/>
        <item x="705"/>
        <item x="237"/>
        <item x="786"/>
        <item x="488"/>
        <item x="720"/>
        <item x="774"/>
        <item x="835"/>
        <item x="241"/>
        <item x="313"/>
        <item x="583"/>
        <item x="730"/>
        <item x="156"/>
        <item x="658"/>
        <item x="369"/>
        <item x="823"/>
        <item x="223"/>
        <item x="703"/>
        <item x="215"/>
        <item x="769"/>
        <item x="653"/>
        <item x="142"/>
        <item x="582"/>
        <item x="35"/>
        <item x="34"/>
        <item x="852"/>
        <item x="338"/>
        <item x="778"/>
        <item x="252"/>
        <item x="278"/>
        <item x="7"/>
        <item x="750"/>
        <item x="602"/>
        <item x="108"/>
        <item x="850"/>
        <item x="603"/>
        <item x="29"/>
        <item x="70"/>
        <item x="368"/>
        <item x="621"/>
        <item x="30"/>
        <item x="513"/>
        <item x="225"/>
        <item x="304"/>
        <item x="566"/>
        <item x="486"/>
        <item x="803"/>
        <item x="243"/>
        <item x="32"/>
        <item x="395"/>
        <item x="840"/>
        <item x="659"/>
        <item x="550"/>
        <item x="106"/>
        <item x="16"/>
        <item x="449"/>
        <item x="445"/>
        <item x="506"/>
        <item x="747"/>
        <item x="814"/>
        <item x="667"/>
        <item x="161"/>
        <item x="319"/>
        <item x="110"/>
        <item x="432"/>
        <item x="378"/>
        <item x="13"/>
        <item x="9"/>
        <item x="272"/>
        <item x="719"/>
        <item x="133"/>
        <item x="150"/>
        <item x="221"/>
        <item x="507"/>
        <item x="64"/>
        <item x="114"/>
        <item x="645"/>
        <item x="500"/>
        <item x="528"/>
        <item x="218"/>
        <item x="392"/>
        <item x="651"/>
        <item x="345"/>
        <item x="336"/>
        <item x="798"/>
        <item x="676"/>
        <item x="655"/>
        <item x="660"/>
        <item x="758"/>
        <item x="102"/>
        <item x="177"/>
        <item x="250"/>
        <item x="384"/>
        <item x="201"/>
        <item x="347"/>
        <item x="807"/>
        <item x="619"/>
        <item x="185"/>
        <item x="494"/>
        <item x="743"/>
        <item x="247"/>
        <item x="517"/>
        <item x="372"/>
        <item x="559"/>
        <item x="854"/>
        <item x="41"/>
        <item x="446"/>
        <item x="107"/>
        <item x="148"/>
        <item x="65"/>
        <item x="37"/>
        <item x="262"/>
        <item x="411"/>
        <item x="571"/>
        <item x="631"/>
        <item x="595"/>
        <item x="515"/>
        <item x="493"/>
        <item x="160"/>
        <item x="220"/>
        <item x="281"/>
        <item x="175"/>
        <item x="68"/>
        <item x="264"/>
        <item x="824"/>
        <item x="135"/>
        <item x="843"/>
        <item x="334"/>
        <item x="189"/>
        <item x="505"/>
        <item x="376"/>
        <item x="23"/>
        <item x="656"/>
        <item x="825"/>
        <item x="718"/>
        <item x="759"/>
        <item x="802"/>
        <item x="285"/>
        <item x="855"/>
        <item x="731"/>
        <item x="812"/>
        <item x="425"/>
        <item x="42"/>
        <item x="648"/>
        <item x="642"/>
        <item x="408"/>
        <item x="503"/>
        <item x="143"/>
        <item x="654"/>
        <item x="214"/>
        <item x="134"/>
        <item x="297"/>
        <item x="145"/>
        <item x="95"/>
        <item x="239"/>
        <item x="260"/>
        <item x="622"/>
        <item x="270"/>
        <item x="434"/>
        <item x="31"/>
        <item x="723"/>
        <item x="28"/>
        <item x="316"/>
        <item x="251"/>
        <item x="721"/>
        <item x="307"/>
        <item x="779"/>
        <item x="301"/>
        <item x="442"/>
        <item x="359"/>
        <item x="328"/>
        <item x="853"/>
        <item x="590"/>
        <item x="860"/>
        <item x="118"/>
        <item x="325"/>
        <item x="501"/>
        <item x="94"/>
        <item x="112"/>
        <item x="83"/>
        <item x="119"/>
        <item x="343"/>
        <item x="662"/>
        <item x="357"/>
        <item x="787"/>
        <item x="592"/>
        <item x="532"/>
        <item x="652"/>
        <item x="59"/>
        <item x="459"/>
        <item x="379"/>
        <item x="33"/>
        <item x="344"/>
        <item x="402"/>
        <item x="79"/>
        <item x="591"/>
        <item x="837"/>
        <item x="623"/>
        <item x="471"/>
        <item x="437"/>
        <item x="62"/>
        <item x="613"/>
        <item x="514"/>
        <item x="375"/>
        <item x="181"/>
        <item x="678"/>
        <item x="475"/>
        <item x="609"/>
        <item x="320"/>
        <item x="131"/>
        <item x="286"/>
        <item x="263"/>
        <item x="704"/>
        <item x="551"/>
        <item x="157"/>
        <item x="97"/>
        <item x="561"/>
        <item x="400"/>
        <item x="669"/>
        <item x="246"/>
        <item x="661"/>
        <item x="453"/>
        <item x="75"/>
        <item x="599"/>
        <item x="287"/>
        <item x="584"/>
        <item x="687"/>
        <item x="809"/>
        <item x="834"/>
        <item x="478"/>
        <item x="360"/>
        <item x="255"/>
        <item x="756"/>
        <item x="640"/>
        <item x="275"/>
        <item x="348"/>
        <item x="737"/>
        <item x="633"/>
        <item x="84"/>
        <item x="630"/>
        <item x="693"/>
        <item x="553"/>
        <item x="11"/>
        <item x="699"/>
        <item x="274"/>
        <item x="300"/>
        <item x="191"/>
        <item x="784"/>
        <item x="430"/>
        <item x="248"/>
        <item x="427"/>
        <item x="552"/>
        <item x="242"/>
        <item x="219"/>
        <item x="257"/>
        <item x="87"/>
        <item x="182"/>
        <item x="777"/>
        <item x="228"/>
        <item x="483"/>
        <item x="200"/>
        <item x="1"/>
        <item x="629"/>
        <item x="265"/>
        <item x="213"/>
        <item x="45"/>
        <item x="438"/>
        <item x="342"/>
        <item x="770"/>
        <item x="127"/>
        <item x="712"/>
        <item x="391"/>
        <item x="194"/>
        <item x="129"/>
        <item x="508"/>
        <item x="410"/>
        <item x="780"/>
        <item x="178"/>
        <item x="539"/>
        <item x="715"/>
        <item x="55"/>
        <item x="58"/>
        <item x="22"/>
        <item x="641"/>
        <item x="464"/>
        <item x="472"/>
        <item x="604"/>
        <item x="81"/>
        <item x="801"/>
        <item x="27"/>
        <item x="167"/>
        <item x="596"/>
        <item x="711"/>
        <item x="57"/>
        <item x="91"/>
        <item x="123"/>
        <item x="713"/>
        <item x="556"/>
        <item x="819"/>
        <item x="454"/>
        <item x="458"/>
        <item x="117"/>
        <item x="433"/>
        <item x="51"/>
        <item x="254"/>
        <item x="525"/>
        <item x="570"/>
        <item x="666"/>
        <item x="436"/>
        <item x="383"/>
        <item x="4"/>
        <item x="477"/>
        <item x="587"/>
        <item x="210"/>
        <item x="512"/>
        <item x="136"/>
        <item x="20"/>
        <item x="732"/>
        <item x="10"/>
        <item x="122"/>
        <item x="668"/>
        <item x="166"/>
        <item x="323"/>
        <item x="735"/>
        <item x="597"/>
        <item x="767"/>
        <item x="844"/>
        <item x="211"/>
        <item x="867"/>
        <item x="818"/>
        <item x="529"/>
        <item x="159"/>
        <item x="364"/>
        <item x="463"/>
        <item x="409"/>
        <item x="109"/>
        <item x="510"/>
        <item x="141"/>
        <item x="447"/>
        <item x="103"/>
        <item x="745"/>
        <item x="865"/>
        <item x="542"/>
        <item x="351"/>
        <item x="5"/>
        <item x="43"/>
        <item x="193"/>
        <item x="781"/>
        <item x="562"/>
        <item x="450"/>
        <item x="407"/>
        <item x="203"/>
        <item x="697"/>
        <item x="192"/>
        <item x="205"/>
        <item x="846"/>
        <item x="805"/>
        <item x="98"/>
        <item x="40"/>
        <item x="321"/>
        <item x="502"/>
        <item x="86"/>
        <item x="690"/>
        <item x="273"/>
        <item x="534"/>
        <item x="672"/>
        <item x="838"/>
        <item x="858"/>
        <item x="337"/>
        <item x="406"/>
        <item x="163"/>
        <item x="548"/>
        <item x="700"/>
        <item x="244"/>
        <item x="311"/>
        <item x="154"/>
        <item x="266"/>
        <item x="760"/>
        <item x="276"/>
        <item x="120"/>
        <item x="176"/>
        <item x="356"/>
        <item x="232"/>
        <item x="455"/>
        <item x="204"/>
        <item x="643"/>
        <item x="139"/>
        <item x="324"/>
        <item x="675"/>
        <item x="333"/>
        <item x="751"/>
        <item x="187"/>
        <item x="294"/>
        <item x="670"/>
        <item x="724"/>
        <item x="99"/>
        <item x="60"/>
        <item x="207"/>
        <item x="757"/>
        <item x="56"/>
        <item x="544"/>
        <item x="492"/>
        <item x="283"/>
        <item x="826"/>
        <item x="302"/>
        <item x="74"/>
        <item x="367"/>
        <item x="521"/>
        <item x="775"/>
        <item x="701"/>
        <item x="305"/>
        <item x="168"/>
        <item x="231"/>
        <item x="25"/>
        <item x="405"/>
        <item x="845"/>
        <item x="314"/>
        <item x="382"/>
        <item x="78"/>
        <item x="412"/>
        <item x="267"/>
        <item x="21"/>
        <item x="63"/>
        <item x="390"/>
        <item x="346"/>
        <item x="685"/>
        <item x="138"/>
        <item x="589"/>
        <item x="44"/>
        <item x="856"/>
        <item x="709"/>
        <item x="593"/>
        <item x="190"/>
        <item x="664"/>
        <item x="19"/>
        <item x="647"/>
        <item x="627"/>
        <item x="610"/>
        <item x="776"/>
        <item x="484"/>
        <item x="76"/>
        <item x="728"/>
        <item x="399"/>
        <item x="416"/>
        <item x="234"/>
        <item x="866"/>
        <item x="524"/>
        <item x="739"/>
        <item x="632"/>
        <item x="363"/>
        <item x="744"/>
        <item x="292"/>
        <item x="38"/>
        <item x="473"/>
        <item x="863"/>
        <item x="504"/>
        <item x="227"/>
        <item x="496"/>
        <item x="206"/>
        <item x="111"/>
        <item x="520"/>
        <item x="535"/>
        <item x="601"/>
        <item x="198"/>
        <item x="616"/>
        <item x="318"/>
        <item x="423"/>
        <item x="519"/>
        <item x="762"/>
        <item x="796"/>
        <item x="456"/>
        <item x="326"/>
        <item x="820"/>
        <item x="782"/>
        <item x="288"/>
        <item x="309"/>
        <item x="864"/>
        <item x="113"/>
        <item x="527"/>
        <item x="183"/>
        <item x="733"/>
        <item x="422"/>
        <item x="149"/>
        <item x="14"/>
        <item x="684"/>
        <item x="69"/>
        <item x="6"/>
        <item x="577"/>
        <item x="398"/>
        <item x="680"/>
        <item x="637"/>
        <item x="387"/>
        <item x="636"/>
        <item x="130"/>
        <item x="271"/>
        <item x="349"/>
        <item x="491"/>
        <item x="209"/>
        <item x="789"/>
        <item x="827"/>
        <item x="419"/>
        <item x="441"/>
        <item x="15"/>
        <item x="152"/>
        <item x="839"/>
        <item x="428"/>
        <item x="541"/>
        <item x="3"/>
        <item x="381"/>
        <item x="329"/>
        <item x="121"/>
        <item x="773"/>
        <item x="696"/>
        <item x="650"/>
        <item x="628"/>
        <item x="466"/>
        <item x="815"/>
        <item x="352"/>
        <item x="482"/>
        <item x="813"/>
        <item x="671"/>
        <item x="230"/>
        <item x="714"/>
        <item x="615"/>
        <item x="558"/>
        <item x="831"/>
        <item x="511"/>
        <item x="462"/>
        <item x="586"/>
        <item x="707"/>
        <item x="726"/>
        <item x="474"/>
        <item x="0"/>
        <item x="694"/>
        <item x="857"/>
        <item x="841"/>
        <item x="649"/>
        <item x="93"/>
        <item x="308"/>
        <item x="564"/>
        <item x="692"/>
        <item x="61"/>
        <item x="435"/>
        <item x="817"/>
        <item x="657"/>
        <item x="598"/>
        <item x="606"/>
        <item x="53"/>
        <item x="377"/>
        <item x="530"/>
        <item x="172"/>
        <item x="457"/>
        <item x="573"/>
        <item x="388"/>
        <item x="624"/>
        <item x="674"/>
        <item x="677"/>
        <item x="253"/>
        <item x="439"/>
        <item x="465"/>
        <item x="607"/>
        <item x="312"/>
        <item x="125"/>
        <item x="736"/>
        <item x="174"/>
        <item x="569"/>
        <item x="702"/>
        <item x="806"/>
        <item x="2"/>
        <item x="158"/>
        <item x="362"/>
        <item x="752"/>
        <item x="256"/>
        <item x="341"/>
        <item x="72"/>
        <item x="793"/>
        <item x="783"/>
        <item x="291"/>
        <item x="236"/>
        <item x="197"/>
        <item x="258"/>
        <item x="151"/>
        <item x="277"/>
        <item x="196"/>
        <item x="828"/>
        <item x="165"/>
        <item x="280"/>
        <item x="303"/>
        <item x="170"/>
        <item x="753"/>
        <item x="611"/>
        <item x="788"/>
        <item x="799"/>
        <item x="740"/>
        <item x="137"/>
        <item x="546"/>
        <item x="804"/>
        <item x="663"/>
        <item x="47"/>
        <item x="327"/>
        <item x="393"/>
        <item x="620"/>
        <item x="229"/>
        <item x="533"/>
        <item x="54"/>
        <item x="861"/>
        <item x="639"/>
        <item x="605"/>
        <item x="608"/>
        <item x="588"/>
        <item x="791"/>
        <item x="568"/>
        <item x="790"/>
        <item x="128"/>
        <item x="543"/>
        <item x="741"/>
        <item x="298"/>
        <item x="734"/>
        <item x="238"/>
        <item x="495"/>
        <item x="39"/>
        <item x="833"/>
        <item x="100"/>
        <item x="331"/>
        <item x="199"/>
        <item x="46"/>
        <item x="404"/>
        <item x="545"/>
        <item x="523"/>
        <item x="361"/>
        <item x="431"/>
        <item x="92"/>
        <item x="681"/>
        <item x="614"/>
        <item x="547"/>
        <item x="563"/>
        <item x="727"/>
        <item x="451"/>
        <item x="849"/>
        <item x="847"/>
        <item x="755"/>
        <item x="443"/>
        <item x="487"/>
        <item x="842"/>
        <item x="710"/>
        <item x="147"/>
        <item x="764"/>
        <item x="851"/>
        <item x="290"/>
        <item x="518"/>
        <item x="490"/>
        <item x="124"/>
        <item x="600"/>
        <item x="212"/>
        <item x="153"/>
        <item x="249"/>
        <item x="259"/>
        <item x="485"/>
        <item x="469"/>
        <item x="415"/>
        <item x="489"/>
        <item x="162"/>
        <item x="691"/>
        <item x="105"/>
        <item x="245"/>
        <item x="800"/>
        <item x="572"/>
        <item x="8"/>
        <item x="358"/>
        <item x="235"/>
        <item x="816"/>
        <item x="403"/>
        <item x="296"/>
        <item x="682"/>
        <item x="722"/>
        <item x="768"/>
        <item x="26"/>
        <item x="104"/>
        <item x="695"/>
        <item x="101"/>
        <item x="555"/>
        <item x="832"/>
        <item x="766"/>
        <item x="332"/>
        <item x="763"/>
        <item x="417"/>
        <item x="353"/>
        <item x="268"/>
        <item x="36"/>
        <item x="792"/>
        <item x="146"/>
        <item x="85"/>
        <item x="371"/>
        <item x="481"/>
        <item x="386"/>
        <item x="538"/>
        <item x="761"/>
        <item x="226"/>
        <item x="202"/>
        <item x="580"/>
        <item x="208"/>
        <item x="468"/>
        <item x="17"/>
        <item x="862"/>
        <item x="626"/>
        <item x="186"/>
        <item x="295"/>
        <item x="132"/>
        <item x="749"/>
        <item x="216"/>
        <item x="80"/>
        <item x="52"/>
        <item x="279"/>
        <item x="88"/>
        <item x="738"/>
        <item x="683"/>
        <item x="821"/>
        <item x="71"/>
        <item x="164"/>
        <item x="574"/>
        <item x="567"/>
        <item x="673"/>
        <item x="394"/>
        <item x="638"/>
        <item x="540"/>
        <item x="480"/>
        <item x="169"/>
        <item x="269"/>
        <item x="829"/>
        <item x="448"/>
        <item x="50"/>
        <item x="698"/>
        <item x="646"/>
        <item x="795"/>
        <item x="188"/>
        <item x="222"/>
        <item x="716"/>
        <item x="233"/>
        <item x="689"/>
        <item x="240"/>
        <item x="414"/>
        <item x="754"/>
        <item x="679"/>
        <item x="742"/>
        <item x="470"/>
        <item x="644"/>
        <item x="389"/>
        <item x="155"/>
        <item x="195"/>
        <item x="531"/>
        <item x="217"/>
        <item x="808"/>
        <item x="173"/>
        <item x="771"/>
        <item x="289"/>
        <item x="293"/>
        <item x="96"/>
        <item x="746"/>
        <item x="180"/>
        <item x="452"/>
        <item x="461"/>
        <item x="48"/>
        <item x="467"/>
        <item x="822"/>
        <item x="401"/>
        <item x="725"/>
        <item x="77"/>
        <item x="144"/>
        <item x="116"/>
        <item x="179"/>
        <item x="686"/>
        <item x="565"/>
        <item x="306"/>
        <item x="282"/>
        <item x="374"/>
        <item x="479"/>
        <item x="810"/>
        <item x="339"/>
        <item x="617"/>
        <item x="665"/>
        <item x="460"/>
        <item x="89"/>
        <item x="554"/>
        <item x="429"/>
        <item x="330"/>
        <item x="594"/>
        <item x="317"/>
        <item x="126"/>
        <item x="536"/>
        <item x="526"/>
        <item x="444"/>
        <item x="426"/>
        <item x="706"/>
        <item x="612"/>
        <item x="634"/>
        <item x="859"/>
        <item x="848"/>
        <item x="772"/>
        <item x="581"/>
        <item x="418"/>
        <item x="184"/>
        <item x="708"/>
        <item x="340"/>
        <item x="516"/>
        <item x="370"/>
        <item x="635"/>
        <item x="73"/>
        <item x="575"/>
        <item x="397"/>
        <item x="385"/>
        <item x="354"/>
        <item x="66"/>
        <item x="522"/>
        <item x="261"/>
        <item x="380"/>
        <item x="115"/>
        <item x="794"/>
        <item x="537"/>
        <item x="729"/>
        <item x="224"/>
        <item x="498"/>
        <item x="585"/>
        <item x="748"/>
        <item x="497"/>
        <item x="688"/>
        <item x="421"/>
        <item x="830"/>
        <item x="811"/>
        <item x="90"/>
        <item x="499"/>
        <item x="576"/>
        <item x="335"/>
        <item x="560"/>
        <item x="420"/>
        <item x="765"/>
        <item x="797"/>
        <item x="284"/>
        <item t="default"/>
      </items>
    </pivotField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>
      <items count="13">
        <item x="8"/>
        <item x="10"/>
        <item x="0"/>
        <item x="2"/>
        <item x="11"/>
        <item x="5"/>
        <item x="6"/>
        <item x="9"/>
        <item x="4"/>
        <item x="7"/>
        <item x="3"/>
        <item x="1"/>
        <item t="default"/>
      </items>
    </pivotField>
    <pivotField numFmtId="1" showAll="0">
      <items count="5">
        <item x="1"/>
        <item x="3"/>
        <item x="0"/>
        <item x="2"/>
        <item t="default"/>
      </items>
    </pivotField>
    <pivotField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dataField="1" numFmtId="1" showAll="0"/>
    <pivotField axis="axisRow" showAll="0">
      <items count="8">
        <item x="3"/>
        <item x="1"/>
        <item x="4"/>
        <item x="5"/>
        <item x="0"/>
        <item x="6"/>
        <item x="2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de Ingresos totales" fld="10" baseField="0" baseItem="0" numFmtId="1"/>
  </dataFields>
  <chartFormats count="1">
    <chartFormat chart="1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FED1A4-483C-4598-AD3B-6A56DDD24A4A}" name="TablaDinámica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7">
  <location ref="C123:D127" firstHeaderRow="1" firstDataRow="1" firstDataCol="1"/>
  <pivotFields count="22"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869">
        <item x="836"/>
        <item x="140"/>
        <item x="373"/>
        <item x="82"/>
        <item x="424"/>
        <item x="67"/>
        <item x="509"/>
        <item x="171"/>
        <item x="365"/>
        <item x="310"/>
        <item x="366"/>
        <item x="299"/>
        <item x="355"/>
        <item x="579"/>
        <item x="396"/>
        <item x="24"/>
        <item x="476"/>
        <item x="785"/>
        <item x="322"/>
        <item x="549"/>
        <item x="350"/>
        <item x="440"/>
        <item x="557"/>
        <item x="49"/>
        <item x="18"/>
        <item x="12"/>
        <item x="625"/>
        <item x="717"/>
        <item x="315"/>
        <item x="413"/>
        <item x="618"/>
        <item x="578"/>
        <item x="705"/>
        <item x="237"/>
        <item x="786"/>
        <item x="488"/>
        <item x="720"/>
        <item x="774"/>
        <item x="835"/>
        <item x="241"/>
        <item x="313"/>
        <item x="583"/>
        <item x="730"/>
        <item x="156"/>
        <item x="658"/>
        <item x="369"/>
        <item x="823"/>
        <item x="223"/>
        <item x="703"/>
        <item x="215"/>
        <item x="769"/>
        <item x="653"/>
        <item x="142"/>
        <item x="582"/>
        <item x="35"/>
        <item x="34"/>
        <item x="852"/>
        <item x="338"/>
        <item x="778"/>
        <item x="252"/>
        <item x="278"/>
        <item x="7"/>
        <item x="750"/>
        <item x="602"/>
        <item x="108"/>
        <item x="850"/>
        <item x="603"/>
        <item x="29"/>
        <item x="70"/>
        <item x="368"/>
        <item x="621"/>
        <item x="30"/>
        <item x="513"/>
        <item x="225"/>
        <item x="304"/>
        <item x="566"/>
        <item x="486"/>
        <item x="803"/>
        <item x="243"/>
        <item x="32"/>
        <item x="395"/>
        <item x="840"/>
        <item x="659"/>
        <item x="550"/>
        <item x="106"/>
        <item x="16"/>
        <item x="449"/>
        <item x="445"/>
        <item x="506"/>
        <item x="747"/>
        <item x="814"/>
        <item x="667"/>
        <item x="161"/>
        <item x="319"/>
        <item x="110"/>
        <item x="432"/>
        <item x="378"/>
        <item x="13"/>
        <item x="9"/>
        <item x="272"/>
        <item x="719"/>
        <item x="133"/>
        <item x="150"/>
        <item x="221"/>
        <item x="507"/>
        <item x="64"/>
        <item x="114"/>
        <item x="645"/>
        <item x="500"/>
        <item x="528"/>
        <item x="218"/>
        <item x="392"/>
        <item x="651"/>
        <item x="345"/>
        <item x="336"/>
        <item x="798"/>
        <item x="676"/>
        <item x="655"/>
        <item x="660"/>
        <item x="758"/>
        <item x="102"/>
        <item x="177"/>
        <item x="250"/>
        <item x="384"/>
        <item x="201"/>
        <item x="347"/>
        <item x="807"/>
        <item x="619"/>
        <item x="185"/>
        <item x="494"/>
        <item x="743"/>
        <item x="247"/>
        <item x="517"/>
        <item x="372"/>
        <item x="559"/>
        <item x="854"/>
        <item x="41"/>
        <item x="446"/>
        <item x="107"/>
        <item x="148"/>
        <item x="65"/>
        <item x="37"/>
        <item x="262"/>
        <item x="411"/>
        <item x="571"/>
        <item x="631"/>
        <item x="595"/>
        <item x="515"/>
        <item x="493"/>
        <item x="160"/>
        <item x="220"/>
        <item x="281"/>
        <item x="175"/>
        <item x="68"/>
        <item x="264"/>
        <item x="824"/>
        <item x="135"/>
        <item x="843"/>
        <item x="334"/>
        <item x="189"/>
        <item x="505"/>
        <item x="376"/>
        <item x="23"/>
        <item x="656"/>
        <item x="825"/>
        <item x="718"/>
        <item x="759"/>
        <item x="802"/>
        <item x="285"/>
        <item x="855"/>
        <item x="731"/>
        <item x="812"/>
        <item x="425"/>
        <item x="42"/>
        <item x="648"/>
        <item x="642"/>
        <item x="408"/>
        <item x="503"/>
        <item x="143"/>
        <item x="654"/>
        <item x="214"/>
        <item x="134"/>
        <item x="297"/>
        <item x="145"/>
        <item x="95"/>
        <item x="239"/>
        <item x="260"/>
        <item x="622"/>
        <item x="270"/>
        <item x="434"/>
        <item x="31"/>
        <item x="723"/>
        <item x="28"/>
        <item x="316"/>
        <item x="251"/>
        <item x="721"/>
        <item x="307"/>
        <item x="779"/>
        <item x="301"/>
        <item x="442"/>
        <item x="359"/>
        <item x="328"/>
        <item x="853"/>
        <item x="590"/>
        <item x="860"/>
        <item x="118"/>
        <item x="325"/>
        <item x="501"/>
        <item x="94"/>
        <item x="112"/>
        <item x="83"/>
        <item x="119"/>
        <item x="343"/>
        <item x="662"/>
        <item x="357"/>
        <item x="787"/>
        <item x="592"/>
        <item x="532"/>
        <item x="652"/>
        <item x="59"/>
        <item x="459"/>
        <item x="379"/>
        <item x="33"/>
        <item x="344"/>
        <item x="402"/>
        <item x="79"/>
        <item x="591"/>
        <item x="837"/>
        <item x="623"/>
        <item x="471"/>
        <item x="437"/>
        <item x="62"/>
        <item x="613"/>
        <item x="514"/>
        <item x="375"/>
        <item x="181"/>
        <item x="678"/>
        <item x="475"/>
        <item x="609"/>
        <item x="320"/>
        <item x="131"/>
        <item x="286"/>
        <item x="263"/>
        <item x="704"/>
        <item x="551"/>
        <item x="157"/>
        <item x="97"/>
        <item x="561"/>
        <item x="400"/>
        <item x="669"/>
        <item x="246"/>
        <item x="661"/>
        <item x="453"/>
        <item x="75"/>
        <item x="599"/>
        <item x="287"/>
        <item x="584"/>
        <item x="687"/>
        <item x="809"/>
        <item x="834"/>
        <item x="478"/>
        <item x="360"/>
        <item x="255"/>
        <item x="756"/>
        <item x="640"/>
        <item x="275"/>
        <item x="348"/>
        <item x="737"/>
        <item x="633"/>
        <item x="84"/>
        <item x="630"/>
        <item x="693"/>
        <item x="553"/>
        <item x="11"/>
        <item x="699"/>
        <item x="274"/>
        <item x="300"/>
        <item x="191"/>
        <item x="784"/>
        <item x="430"/>
        <item x="248"/>
        <item x="427"/>
        <item x="552"/>
        <item x="242"/>
        <item x="219"/>
        <item x="257"/>
        <item x="87"/>
        <item x="182"/>
        <item x="777"/>
        <item x="228"/>
        <item x="483"/>
        <item x="200"/>
        <item x="1"/>
        <item x="629"/>
        <item x="265"/>
        <item x="213"/>
        <item x="45"/>
        <item x="438"/>
        <item x="342"/>
        <item x="770"/>
        <item x="127"/>
        <item x="712"/>
        <item x="391"/>
        <item x="194"/>
        <item x="129"/>
        <item x="508"/>
        <item x="410"/>
        <item x="780"/>
        <item x="178"/>
        <item x="539"/>
        <item x="715"/>
        <item x="55"/>
        <item x="58"/>
        <item x="22"/>
        <item x="641"/>
        <item x="464"/>
        <item x="472"/>
        <item x="604"/>
        <item x="81"/>
        <item x="801"/>
        <item x="27"/>
        <item x="167"/>
        <item x="596"/>
        <item x="711"/>
        <item x="57"/>
        <item x="91"/>
        <item x="123"/>
        <item x="713"/>
        <item x="556"/>
        <item x="819"/>
        <item x="454"/>
        <item x="458"/>
        <item x="117"/>
        <item x="433"/>
        <item x="51"/>
        <item x="254"/>
        <item x="525"/>
        <item x="570"/>
        <item x="666"/>
        <item x="436"/>
        <item x="383"/>
        <item x="4"/>
        <item x="477"/>
        <item x="587"/>
        <item x="210"/>
        <item x="512"/>
        <item x="136"/>
        <item x="20"/>
        <item x="732"/>
        <item x="10"/>
        <item x="122"/>
        <item x="668"/>
        <item x="166"/>
        <item x="323"/>
        <item x="735"/>
        <item x="597"/>
        <item x="767"/>
        <item x="844"/>
        <item x="211"/>
        <item x="867"/>
        <item x="818"/>
        <item x="529"/>
        <item x="159"/>
        <item x="364"/>
        <item x="463"/>
        <item x="409"/>
        <item x="109"/>
        <item x="510"/>
        <item x="141"/>
        <item x="447"/>
        <item x="103"/>
        <item x="745"/>
        <item x="865"/>
        <item x="542"/>
        <item x="351"/>
        <item x="5"/>
        <item x="43"/>
        <item x="193"/>
        <item x="781"/>
        <item x="562"/>
        <item x="450"/>
        <item x="407"/>
        <item x="203"/>
        <item x="697"/>
        <item x="192"/>
        <item x="205"/>
        <item x="846"/>
        <item x="805"/>
        <item x="98"/>
        <item x="40"/>
        <item x="321"/>
        <item x="502"/>
        <item x="86"/>
        <item x="690"/>
        <item x="273"/>
        <item x="534"/>
        <item x="672"/>
        <item x="838"/>
        <item x="858"/>
        <item x="337"/>
        <item x="406"/>
        <item x="163"/>
        <item x="548"/>
        <item x="700"/>
        <item x="244"/>
        <item x="311"/>
        <item x="154"/>
        <item x="266"/>
        <item x="760"/>
        <item x="276"/>
        <item x="120"/>
        <item x="176"/>
        <item x="356"/>
        <item x="232"/>
        <item x="455"/>
        <item x="204"/>
        <item x="643"/>
        <item x="139"/>
        <item x="324"/>
        <item x="675"/>
        <item x="333"/>
        <item x="751"/>
        <item x="187"/>
        <item x="294"/>
        <item x="670"/>
        <item x="724"/>
        <item x="99"/>
        <item x="60"/>
        <item x="207"/>
        <item x="757"/>
        <item x="56"/>
        <item x="544"/>
        <item x="492"/>
        <item x="283"/>
        <item x="826"/>
        <item x="302"/>
        <item x="74"/>
        <item x="367"/>
        <item x="521"/>
        <item x="775"/>
        <item x="701"/>
        <item x="305"/>
        <item x="168"/>
        <item x="231"/>
        <item x="25"/>
        <item x="405"/>
        <item x="845"/>
        <item x="314"/>
        <item x="382"/>
        <item x="78"/>
        <item x="412"/>
        <item x="267"/>
        <item x="21"/>
        <item x="63"/>
        <item x="390"/>
        <item x="346"/>
        <item x="685"/>
        <item x="138"/>
        <item x="589"/>
        <item x="44"/>
        <item x="856"/>
        <item x="709"/>
        <item x="593"/>
        <item x="190"/>
        <item x="664"/>
        <item x="19"/>
        <item x="647"/>
        <item x="627"/>
        <item x="610"/>
        <item x="776"/>
        <item x="484"/>
        <item x="76"/>
        <item x="728"/>
        <item x="399"/>
        <item x="416"/>
        <item x="234"/>
        <item x="866"/>
        <item x="524"/>
        <item x="739"/>
        <item x="632"/>
        <item x="363"/>
        <item x="744"/>
        <item x="292"/>
        <item x="38"/>
        <item x="473"/>
        <item x="863"/>
        <item x="504"/>
        <item x="227"/>
        <item x="496"/>
        <item x="206"/>
        <item x="111"/>
        <item x="520"/>
        <item x="535"/>
        <item x="601"/>
        <item x="198"/>
        <item x="616"/>
        <item x="318"/>
        <item x="423"/>
        <item x="519"/>
        <item x="762"/>
        <item x="796"/>
        <item x="456"/>
        <item x="326"/>
        <item x="820"/>
        <item x="782"/>
        <item x="288"/>
        <item x="309"/>
        <item x="864"/>
        <item x="113"/>
        <item x="527"/>
        <item x="183"/>
        <item x="733"/>
        <item x="422"/>
        <item x="149"/>
        <item x="14"/>
        <item x="684"/>
        <item x="69"/>
        <item x="6"/>
        <item x="577"/>
        <item x="398"/>
        <item x="680"/>
        <item x="637"/>
        <item x="387"/>
        <item x="636"/>
        <item x="130"/>
        <item x="271"/>
        <item x="349"/>
        <item x="491"/>
        <item x="209"/>
        <item x="789"/>
        <item x="827"/>
        <item x="419"/>
        <item x="441"/>
        <item x="15"/>
        <item x="152"/>
        <item x="839"/>
        <item x="428"/>
        <item x="541"/>
        <item x="3"/>
        <item x="381"/>
        <item x="329"/>
        <item x="121"/>
        <item x="773"/>
        <item x="696"/>
        <item x="650"/>
        <item x="628"/>
        <item x="466"/>
        <item x="815"/>
        <item x="352"/>
        <item x="482"/>
        <item x="813"/>
        <item x="671"/>
        <item x="230"/>
        <item x="714"/>
        <item x="615"/>
        <item x="558"/>
        <item x="831"/>
        <item x="511"/>
        <item x="462"/>
        <item x="586"/>
        <item x="707"/>
        <item x="726"/>
        <item x="474"/>
        <item x="0"/>
        <item x="694"/>
        <item x="857"/>
        <item x="841"/>
        <item x="649"/>
        <item x="93"/>
        <item x="308"/>
        <item x="564"/>
        <item x="692"/>
        <item x="61"/>
        <item x="435"/>
        <item x="817"/>
        <item x="657"/>
        <item x="598"/>
        <item x="606"/>
        <item x="53"/>
        <item x="377"/>
        <item x="530"/>
        <item x="172"/>
        <item x="457"/>
        <item x="573"/>
        <item x="388"/>
        <item x="624"/>
        <item x="674"/>
        <item x="677"/>
        <item x="253"/>
        <item x="439"/>
        <item x="465"/>
        <item x="607"/>
        <item x="312"/>
        <item x="125"/>
        <item x="736"/>
        <item x="174"/>
        <item x="569"/>
        <item x="702"/>
        <item x="806"/>
        <item x="2"/>
        <item x="158"/>
        <item x="362"/>
        <item x="752"/>
        <item x="256"/>
        <item x="341"/>
        <item x="72"/>
        <item x="793"/>
        <item x="783"/>
        <item x="291"/>
        <item x="236"/>
        <item x="197"/>
        <item x="258"/>
        <item x="151"/>
        <item x="277"/>
        <item x="196"/>
        <item x="828"/>
        <item x="165"/>
        <item x="280"/>
        <item x="303"/>
        <item x="170"/>
        <item x="753"/>
        <item x="611"/>
        <item x="788"/>
        <item x="799"/>
        <item x="740"/>
        <item x="137"/>
        <item x="546"/>
        <item x="804"/>
        <item x="663"/>
        <item x="47"/>
        <item x="327"/>
        <item x="393"/>
        <item x="620"/>
        <item x="229"/>
        <item x="533"/>
        <item x="54"/>
        <item x="861"/>
        <item x="639"/>
        <item x="605"/>
        <item x="608"/>
        <item x="588"/>
        <item x="791"/>
        <item x="568"/>
        <item x="790"/>
        <item x="128"/>
        <item x="543"/>
        <item x="741"/>
        <item x="298"/>
        <item x="734"/>
        <item x="238"/>
        <item x="495"/>
        <item x="39"/>
        <item x="833"/>
        <item x="100"/>
        <item x="331"/>
        <item x="199"/>
        <item x="46"/>
        <item x="404"/>
        <item x="545"/>
        <item x="523"/>
        <item x="361"/>
        <item x="431"/>
        <item x="92"/>
        <item x="681"/>
        <item x="614"/>
        <item x="547"/>
        <item x="563"/>
        <item x="727"/>
        <item x="451"/>
        <item x="849"/>
        <item x="847"/>
        <item x="755"/>
        <item x="443"/>
        <item x="487"/>
        <item x="842"/>
        <item x="710"/>
        <item x="147"/>
        <item x="764"/>
        <item x="851"/>
        <item x="290"/>
        <item x="518"/>
        <item x="490"/>
        <item x="124"/>
        <item x="600"/>
        <item x="212"/>
        <item x="153"/>
        <item x="249"/>
        <item x="259"/>
        <item x="485"/>
        <item x="469"/>
        <item x="415"/>
        <item x="489"/>
        <item x="162"/>
        <item x="691"/>
        <item x="105"/>
        <item x="245"/>
        <item x="800"/>
        <item x="572"/>
        <item x="8"/>
        <item x="358"/>
        <item x="235"/>
        <item x="816"/>
        <item x="403"/>
        <item x="296"/>
        <item x="682"/>
        <item x="722"/>
        <item x="768"/>
        <item x="26"/>
        <item x="104"/>
        <item x="695"/>
        <item x="101"/>
        <item x="555"/>
        <item x="832"/>
        <item x="766"/>
        <item x="332"/>
        <item x="763"/>
        <item x="417"/>
        <item x="353"/>
        <item x="268"/>
        <item x="36"/>
        <item x="792"/>
        <item x="146"/>
        <item x="85"/>
        <item x="371"/>
        <item x="481"/>
        <item x="386"/>
        <item x="538"/>
        <item x="761"/>
        <item x="226"/>
        <item x="202"/>
        <item x="580"/>
        <item x="208"/>
        <item x="468"/>
        <item x="17"/>
        <item x="862"/>
        <item x="626"/>
        <item x="186"/>
        <item x="295"/>
        <item x="132"/>
        <item x="749"/>
        <item x="216"/>
        <item x="80"/>
        <item x="52"/>
        <item x="279"/>
        <item x="88"/>
        <item x="738"/>
        <item x="683"/>
        <item x="821"/>
        <item x="71"/>
        <item x="164"/>
        <item x="574"/>
        <item x="567"/>
        <item x="673"/>
        <item x="394"/>
        <item x="638"/>
        <item x="540"/>
        <item x="480"/>
        <item x="169"/>
        <item x="269"/>
        <item x="829"/>
        <item x="448"/>
        <item x="50"/>
        <item x="698"/>
        <item x="646"/>
        <item x="795"/>
        <item x="188"/>
        <item x="222"/>
        <item x="716"/>
        <item x="233"/>
        <item x="689"/>
        <item x="240"/>
        <item x="414"/>
        <item x="754"/>
        <item x="679"/>
        <item x="742"/>
        <item x="470"/>
        <item x="644"/>
        <item x="389"/>
        <item x="155"/>
        <item x="195"/>
        <item x="531"/>
        <item x="217"/>
        <item x="808"/>
        <item x="173"/>
        <item x="771"/>
        <item x="289"/>
        <item x="293"/>
        <item x="96"/>
        <item x="746"/>
        <item x="180"/>
        <item x="452"/>
        <item x="461"/>
        <item x="48"/>
        <item x="467"/>
        <item x="822"/>
        <item x="401"/>
        <item x="725"/>
        <item x="77"/>
        <item x="144"/>
        <item x="116"/>
        <item x="179"/>
        <item x="686"/>
        <item x="565"/>
        <item x="306"/>
        <item x="282"/>
        <item x="374"/>
        <item x="479"/>
        <item x="810"/>
        <item x="339"/>
        <item x="617"/>
        <item x="665"/>
        <item x="460"/>
        <item x="89"/>
        <item x="554"/>
        <item x="429"/>
        <item x="330"/>
        <item x="594"/>
        <item x="317"/>
        <item x="126"/>
        <item x="536"/>
        <item x="526"/>
        <item x="444"/>
        <item x="426"/>
        <item x="706"/>
        <item x="612"/>
        <item x="634"/>
        <item x="859"/>
        <item x="848"/>
        <item x="772"/>
        <item x="581"/>
        <item x="418"/>
        <item x="184"/>
        <item x="708"/>
        <item x="340"/>
        <item x="516"/>
        <item x="370"/>
        <item x="635"/>
        <item x="73"/>
        <item x="575"/>
        <item x="397"/>
        <item x="385"/>
        <item x="354"/>
        <item x="66"/>
        <item x="522"/>
        <item x="261"/>
        <item x="380"/>
        <item x="115"/>
        <item x="794"/>
        <item x="537"/>
        <item x="729"/>
        <item x="224"/>
        <item x="498"/>
        <item x="585"/>
        <item x="748"/>
        <item x="497"/>
        <item x="688"/>
        <item x="421"/>
        <item x="830"/>
        <item x="811"/>
        <item x="90"/>
        <item x="499"/>
        <item x="576"/>
        <item x="335"/>
        <item x="560"/>
        <item x="420"/>
        <item x="765"/>
        <item x="797"/>
        <item x="284"/>
        <item t="default"/>
      </items>
    </pivotField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>
      <items count="13">
        <item x="8"/>
        <item x="10"/>
        <item x="0"/>
        <item x="2"/>
        <item x="11"/>
        <item x="5"/>
        <item x="6"/>
        <item x="9"/>
        <item x="4"/>
        <item x="7"/>
        <item x="3"/>
        <item x="1"/>
        <item t="default"/>
      </items>
    </pivotField>
    <pivotField numFmtId="1" showAll="0">
      <items count="5">
        <item x="1"/>
        <item x="3"/>
        <item x="0"/>
        <item x="2"/>
        <item t="default"/>
      </items>
    </pivotField>
    <pivotField showAll="0">
      <items count="8">
        <item x="3"/>
        <item x="0"/>
        <item x="5"/>
        <item x="2"/>
        <item x="1"/>
        <item x="4"/>
        <item x="6"/>
        <item t="default"/>
      </items>
    </pivotField>
    <pivotField numFmtId="14" showAll="0"/>
    <pivotField numFmtId="1" showAll="0"/>
    <pivotField dataField="1" numFmtId="1" showAll="0"/>
    <pivotField showAll="0">
      <items count="8">
        <item x="3"/>
        <item x="1"/>
        <item x="4"/>
        <item x="5"/>
        <item x="0"/>
        <item x="6"/>
        <item x="2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Ingresos totales" fld="10" baseField="0" baseItem="0" numFmtId="1"/>
  </dataFields>
  <chartFormats count="2">
    <chartFormat chart="16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771E5-F7D7-403D-BA8A-8F225868A125}" name="KPIs_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5:D6" firstHeaderRow="0" firstDataRow="1" firstDataCol="0"/>
  <pivotFields count="22">
    <pivotField dataField="1" showAll="0"/>
    <pivotField showAll="0"/>
    <pivotField showAll="0">
      <items count="4">
        <item x="0"/>
        <item x="2"/>
        <item x="1"/>
        <item t="default"/>
      </items>
    </pivotField>
    <pivotField showAll="0">
      <items count="869">
        <item x="836"/>
        <item x="140"/>
        <item x="373"/>
        <item x="82"/>
        <item x="424"/>
        <item x="67"/>
        <item x="509"/>
        <item x="171"/>
        <item x="365"/>
        <item x="310"/>
        <item x="366"/>
        <item x="299"/>
        <item x="355"/>
        <item x="579"/>
        <item x="396"/>
        <item x="24"/>
        <item x="476"/>
        <item x="785"/>
        <item x="322"/>
        <item x="549"/>
        <item x="350"/>
        <item x="440"/>
        <item x="557"/>
        <item x="49"/>
        <item x="18"/>
        <item x="12"/>
        <item x="625"/>
        <item x="717"/>
        <item x="315"/>
        <item x="413"/>
        <item x="618"/>
        <item x="578"/>
        <item x="705"/>
        <item x="237"/>
        <item x="786"/>
        <item x="488"/>
        <item x="720"/>
        <item x="774"/>
        <item x="835"/>
        <item x="241"/>
        <item x="313"/>
        <item x="583"/>
        <item x="730"/>
        <item x="156"/>
        <item x="658"/>
        <item x="369"/>
        <item x="823"/>
        <item x="223"/>
        <item x="703"/>
        <item x="215"/>
        <item x="769"/>
        <item x="653"/>
        <item x="142"/>
        <item x="582"/>
        <item x="35"/>
        <item x="34"/>
        <item x="852"/>
        <item x="338"/>
        <item x="778"/>
        <item x="252"/>
        <item x="278"/>
        <item x="7"/>
        <item x="750"/>
        <item x="602"/>
        <item x="108"/>
        <item x="850"/>
        <item x="603"/>
        <item x="29"/>
        <item x="70"/>
        <item x="368"/>
        <item x="621"/>
        <item x="30"/>
        <item x="513"/>
        <item x="225"/>
        <item x="304"/>
        <item x="566"/>
        <item x="486"/>
        <item x="803"/>
        <item x="243"/>
        <item x="32"/>
        <item x="395"/>
        <item x="840"/>
        <item x="659"/>
        <item x="550"/>
        <item x="106"/>
        <item x="16"/>
        <item x="449"/>
        <item x="445"/>
        <item x="506"/>
        <item x="747"/>
        <item x="814"/>
        <item x="667"/>
        <item x="161"/>
        <item x="319"/>
        <item x="110"/>
        <item x="432"/>
        <item x="378"/>
        <item x="13"/>
        <item x="9"/>
        <item x="272"/>
        <item x="719"/>
        <item x="133"/>
        <item x="150"/>
        <item x="221"/>
        <item x="507"/>
        <item x="64"/>
        <item x="114"/>
        <item x="645"/>
        <item x="500"/>
        <item x="528"/>
        <item x="218"/>
        <item x="392"/>
        <item x="651"/>
        <item x="345"/>
        <item x="336"/>
        <item x="798"/>
        <item x="676"/>
        <item x="655"/>
        <item x="660"/>
        <item x="758"/>
        <item x="102"/>
        <item x="177"/>
        <item x="250"/>
        <item x="384"/>
        <item x="201"/>
        <item x="347"/>
        <item x="807"/>
        <item x="619"/>
        <item x="185"/>
        <item x="494"/>
        <item x="743"/>
        <item x="247"/>
        <item x="517"/>
        <item x="372"/>
        <item x="559"/>
        <item x="854"/>
        <item x="41"/>
        <item x="446"/>
        <item x="107"/>
        <item x="148"/>
        <item x="65"/>
        <item x="37"/>
        <item x="262"/>
        <item x="411"/>
        <item x="571"/>
        <item x="631"/>
        <item x="595"/>
        <item x="515"/>
        <item x="493"/>
        <item x="160"/>
        <item x="220"/>
        <item x="281"/>
        <item x="175"/>
        <item x="68"/>
        <item x="264"/>
        <item x="824"/>
        <item x="135"/>
        <item x="843"/>
        <item x="334"/>
        <item x="189"/>
        <item x="505"/>
        <item x="376"/>
        <item x="23"/>
        <item x="656"/>
        <item x="825"/>
        <item x="718"/>
        <item x="759"/>
        <item x="802"/>
        <item x="285"/>
        <item x="855"/>
        <item x="731"/>
        <item x="812"/>
        <item x="425"/>
        <item x="42"/>
        <item x="648"/>
        <item x="642"/>
        <item x="408"/>
        <item x="503"/>
        <item x="143"/>
        <item x="654"/>
        <item x="214"/>
        <item x="134"/>
        <item x="297"/>
        <item x="145"/>
        <item x="95"/>
        <item x="239"/>
        <item x="260"/>
        <item x="622"/>
        <item x="270"/>
        <item x="434"/>
        <item x="31"/>
        <item x="723"/>
        <item x="28"/>
        <item x="316"/>
        <item x="251"/>
        <item x="721"/>
        <item x="307"/>
        <item x="779"/>
        <item x="301"/>
        <item x="442"/>
        <item x="359"/>
        <item x="328"/>
        <item x="853"/>
        <item x="590"/>
        <item x="860"/>
        <item x="118"/>
        <item x="325"/>
        <item x="501"/>
        <item x="94"/>
        <item x="112"/>
        <item x="83"/>
        <item x="119"/>
        <item x="343"/>
        <item x="662"/>
        <item x="357"/>
        <item x="787"/>
        <item x="592"/>
        <item x="532"/>
        <item x="652"/>
        <item x="59"/>
        <item x="459"/>
        <item x="379"/>
        <item x="33"/>
        <item x="344"/>
        <item x="402"/>
        <item x="79"/>
        <item x="591"/>
        <item x="837"/>
        <item x="623"/>
        <item x="471"/>
        <item x="437"/>
        <item x="62"/>
        <item x="613"/>
        <item x="514"/>
        <item x="375"/>
        <item x="181"/>
        <item x="678"/>
        <item x="475"/>
        <item x="609"/>
        <item x="320"/>
        <item x="131"/>
        <item x="286"/>
        <item x="263"/>
        <item x="704"/>
        <item x="551"/>
        <item x="157"/>
        <item x="97"/>
        <item x="561"/>
        <item x="400"/>
        <item x="669"/>
        <item x="246"/>
        <item x="661"/>
        <item x="453"/>
        <item x="75"/>
        <item x="599"/>
        <item x="287"/>
        <item x="584"/>
        <item x="687"/>
        <item x="809"/>
        <item x="834"/>
        <item x="478"/>
        <item x="360"/>
        <item x="255"/>
        <item x="756"/>
        <item x="640"/>
        <item x="275"/>
        <item x="348"/>
        <item x="737"/>
        <item x="633"/>
        <item x="84"/>
        <item x="630"/>
        <item x="693"/>
        <item x="553"/>
        <item x="11"/>
        <item x="699"/>
        <item x="274"/>
        <item x="300"/>
        <item x="191"/>
        <item x="784"/>
        <item x="430"/>
        <item x="248"/>
        <item x="427"/>
        <item x="552"/>
        <item x="242"/>
        <item x="219"/>
        <item x="257"/>
        <item x="87"/>
        <item x="182"/>
        <item x="777"/>
        <item x="228"/>
        <item x="483"/>
        <item x="200"/>
        <item x="1"/>
        <item x="629"/>
        <item x="265"/>
        <item x="213"/>
        <item x="45"/>
        <item x="438"/>
        <item x="342"/>
        <item x="770"/>
        <item x="127"/>
        <item x="712"/>
        <item x="391"/>
        <item x="194"/>
        <item x="129"/>
        <item x="508"/>
        <item x="410"/>
        <item x="780"/>
        <item x="178"/>
        <item x="539"/>
        <item x="715"/>
        <item x="55"/>
        <item x="58"/>
        <item x="22"/>
        <item x="641"/>
        <item x="464"/>
        <item x="472"/>
        <item x="604"/>
        <item x="81"/>
        <item x="801"/>
        <item x="27"/>
        <item x="167"/>
        <item x="596"/>
        <item x="711"/>
        <item x="57"/>
        <item x="91"/>
        <item x="123"/>
        <item x="713"/>
        <item x="556"/>
        <item x="819"/>
        <item x="454"/>
        <item x="458"/>
        <item x="117"/>
        <item x="433"/>
        <item x="51"/>
        <item x="254"/>
        <item x="525"/>
        <item x="570"/>
        <item x="666"/>
        <item x="436"/>
        <item x="383"/>
        <item x="4"/>
        <item x="477"/>
        <item x="587"/>
        <item x="210"/>
        <item x="512"/>
        <item x="136"/>
        <item x="20"/>
        <item x="732"/>
        <item x="10"/>
        <item x="122"/>
        <item x="668"/>
        <item x="166"/>
        <item x="323"/>
        <item x="735"/>
        <item x="597"/>
        <item x="767"/>
        <item x="844"/>
        <item x="211"/>
        <item x="867"/>
        <item x="818"/>
        <item x="529"/>
        <item x="159"/>
        <item x="364"/>
        <item x="463"/>
        <item x="409"/>
        <item x="109"/>
        <item x="510"/>
        <item x="141"/>
        <item x="447"/>
        <item x="103"/>
        <item x="745"/>
        <item x="865"/>
        <item x="542"/>
        <item x="351"/>
        <item x="5"/>
        <item x="43"/>
        <item x="193"/>
        <item x="781"/>
        <item x="562"/>
        <item x="450"/>
        <item x="407"/>
        <item x="203"/>
        <item x="697"/>
        <item x="192"/>
        <item x="205"/>
        <item x="846"/>
        <item x="805"/>
        <item x="98"/>
        <item x="40"/>
        <item x="321"/>
        <item x="502"/>
        <item x="86"/>
        <item x="690"/>
        <item x="273"/>
        <item x="534"/>
        <item x="672"/>
        <item x="838"/>
        <item x="858"/>
        <item x="337"/>
        <item x="406"/>
        <item x="163"/>
        <item x="548"/>
        <item x="700"/>
        <item x="244"/>
        <item x="311"/>
        <item x="154"/>
        <item x="266"/>
        <item x="760"/>
        <item x="276"/>
        <item x="120"/>
        <item x="176"/>
        <item x="356"/>
        <item x="232"/>
        <item x="455"/>
        <item x="204"/>
        <item x="643"/>
        <item x="139"/>
        <item x="324"/>
        <item x="675"/>
        <item x="333"/>
        <item x="751"/>
        <item x="187"/>
        <item x="294"/>
        <item x="670"/>
        <item x="724"/>
        <item x="99"/>
        <item x="60"/>
        <item x="207"/>
        <item x="757"/>
        <item x="56"/>
        <item x="544"/>
        <item x="492"/>
        <item x="283"/>
        <item x="826"/>
        <item x="302"/>
        <item x="74"/>
        <item x="367"/>
        <item x="521"/>
        <item x="775"/>
        <item x="701"/>
        <item x="305"/>
        <item x="168"/>
        <item x="231"/>
        <item x="25"/>
        <item x="405"/>
        <item x="845"/>
        <item x="314"/>
        <item x="382"/>
        <item x="78"/>
        <item x="412"/>
        <item x="267"/>
        <item x="21"/>
        <item x="63"/>
        <item x="390"/>
        <item x="346"/>
        <item x="685"/>
        <item x="138"/>
        <item x="589"/>
        <item x="44"/>
        <item x="856"/>
        <item x="709"/>
        <item x="593"/>
        <item x="190"/>
        <item x="664"/>
        <item x="19"/>
        <item x="647"/>
        <item x="627"/>
        <item x="610"/>
        <item x="776"/>
        <item x="484"/>
        <item x="76"/>
        <item x="728"/>
        <item x="399"/>
        <item x="416"/>
        <item x="234"/>
        <item x="866"/>
        <item x="524"/>
        <item x="739"/>
        <item x="632"/>
        <item x="363"/>
        <item x="744"/>
        <item x="292"/>
        <item x="38"/>
        <item x="473"/>
        <item x="863"/>
        <item x="504"/>
        <item x="227"/>
        <item x="496"/>
        <item x="206"/>
        <item x="111"/>
        <item x="520"/>
        <item x="535"/>
        <item x="601"/>
        <item x="198"/>
        <item x="616"/>
        <item x="318"/>
        <item x="423"/>
        <item x="519"/>
        <item x="762"/>
        <item x="796"/>
        <item x="456"/>
        <item x="326"/>
        <item x="820"/>
        <item x="782"/>
        <item x="288"/>
        <item x="309"/>
        <item x="864"/>
        <item x="113"/>
        <item x="527"/>
        <item x="183"/>
        <item x="733"/>
        <item x="422"/>
        <item x="149"/>
        <item x="14"/>
        <item x="684"/>
        <item x="69"/>
        <item x="6"/>
        <item x="577"/>
        <item x="398"/>
        <item x="680"/>
        <item x="637"/>
        <item x="387"/>
        <item x="636"/>
        <item x="130"/>
        <item x="271"/>
        <item x="349"/>
        <item x="491"/>
        <item x="209"/>
        <item x="789"/>
        <item x="827"/>
        <item x="419"/>
        <item x="441"/>
        <item x="15"/>
        <item x="152"/>
        <item x="839"/>
        <item x="428"/>
        <item x="541"/>
        <item x="3"/>
        <item x="381"/>
        <item x="329"/>
        <item x="121"/>
        <item x="773"/>
        <item x="696"/>
        <item x="650"/>
        <item x="628"/>
        <item x="466"/>
        <item x="815"/>
        <item x="352"/>
        <item x="482"/>
        <item x="813"/>
        <item x="671"/>
        <item x="230"/>
        <item x="714"/>
        <item x="615"/>
        <item x="558"/>
        <item x="831"/>
        <item x="511"/>
        <item x="462"/>
        <item x="586"/>
        <item x="707"/>
        <item x="726"/>
        <item x="474"/>
        <item x="0"/>
        <item x="694"/>
        <item x="857"/>
        <item x="841"/>
        <item x="649"/>
        <item x="93"/>
        <item x="308"/>
        <item x="564"/>
        <item x="692"/>
        <item x="61"/>
        <item x="435"/>
        <item x="817"/>
        <item x="657"/>
        <item x="598"/>
        <item x="606"/>
        <item x="53"/>
        <item x="377"/>
        <item x="530"/>
        <item x="172"/>
        <item x="457"/>
        <item x="573"/>
        <item x="388"/>
        <item x="624"/>
        <item x="674"/>
        <item x="677"/>
        <item x="253"/>
        <item x="439"/>
        <item x="465"/>
        <item x="607"/>
        <item x="312"/>
        <item x="125"/>
        <item x="736"/>
        <item x="174"/>
        <item x="569"/>
        <item x="702"/>
        <item x="806"/>
        <item x="2"/>
        <item x="158"/>
        <item x="362"/>
        <item x="752"/>
        <item x="256"/>
        <item x="341"/>
        <item x="72"/>
        <item x="793"/>
        <item x="783"/>
        <item x="291"/>
        <item x="236"/>
        <item x="197"/>
        <item x="258"/>
        <item x="151"/>
        <item x="277"/>
        <item x="196"/>
        <item x="828"/>
        <item x="165"/>
        <item x="280"/>
        <item x="303"/>
        <item x="170"/>
        <item x="753"/>
        <item x="611"/>
        <item x="788"/>
        <item x="799"/>
        <item x="740"/>
        <item x="137"/>
        <item x="546"/>
        <item x="804"/>
        <item x="663"/>
        <item x="47"/>
        <item x="327"/>
        <item x="393"/>
        <item x="620"/>
        <item x="229"/>
        <item x="533"/>
        <item x="54"/>
        <item x="861"/>
        <item x="639"/>
        <item x="605"/>
        <item x="608"/>
        <item x="588"/>
        <item x="791"/>
        <item x="568"/>
        <item x="790"/>
        <item x="128"/>
        <item x="543"/>
        <item x="741"/>
        <item x="298"/>
        <item x="734"/>
        <item x="238"/>
        <item x="495"/>
        <item x="39"/>
        <item x="833"/>
        <item x="100"/>
        <item x="331"/>
        <item x="199"/>
        <item x="46"/>
        <item x="404"/>
        <item x="545"/>
        <item x="523"/>
        <item x="361"/>
        <item x="431"/>
        <item x="92"/>
        <item x="681"/>
        <item x="614"/>
        <item x="547"/>
        <item x="563"/>
        <item x="727"/>
        <item x="451"/>
        <item x="849"/>
        <item x="847"/>
        <item x="755"/>
        <item x="443"/>
        <item x="487"/>
        <item x="842"/>
        <item x="710"/>
        <item x="147"/>
        <item x="764"/>
        <item x="851"/>
        <item x="290"/>
        <item x="518"/>
        <item x="490"/>
        <item x="124"/>
        <item x="600"/>
        <item x="212"/>
        <item x="153"/>
        <item x="249"/>
        <item x="259"/>
        <item x="485"/>
        <item x="469"/>
        <item x="415"/>
        <item x="489"/>
        <item x="162"/>
        <item x="691"/>
        <item x="105"/>
        <item x="245"/>
        <item x="800"/>
        <item x="572"/>
        <item x="8"/>
        <item x="358"/>
        <item x="235"/>
        <item x="816"/>
        <item x="403"/>
        <item x="296"/>
        <item x="682"/>
        <item x="722"/>
        <item x="768"/>
        <item x="26"/>
        <item x="104"/>
        <item x="695"/>
        <item x="101"/>
        <item x="555"/>
        <item x="832"/>
        <item x="766"/>
        <item x="332"/>
        <item x="763"/>
        <item x="417"/>
        <item x="353"/>
        <item x="268"/>
        <item x="36"/>
        <item x="792"/>
        <item x="146"/>
        <item x="85"/>
        <item x="371"/>
        <item x="481"/>
        <item x="386"/>
        <item x="538"/>
        <item x="761"/>
        <item x="226"/>
        <item x="202"/>
        <item x="580"/>
        <item x="208"/>
        <item x="468"/>
        <item x="17"/>
        <item x="862"/>
        <item x="626"/>
        <item x="186"/>
        <item x="295"/>
        <item x="132"/>
        <item x="749"/>
        <item x="216"/>
        <item x="80"/>
        <item x="52"/>
        <item x="279"/>
        <item x="88"/>
        <item x="738"/>
        <item x="683"/>
        <item x="821"/>
        <item x="71"/>
        <item x="164"/>
        <item x="574"/>
        <item x="567"/>
        <item x="673"/>
        <item x="394"/>
        <item x="638"/>
        <item x="540"/>
        <item x="480"/>
        <item x="169"/>
        <item x="269"/>
        <item x="829"/>
        <item x="448"/>
        <item x="50"/>
        <item x="698"/>
        <item x="646"/>
        <item x="795"/>
        <item x="188"/>
        <item x="222"/>
        <item x="716"/>
        <item x="233"/>
        <item x="689"/>
        <item x="240"/>
        <item x="414"/>
        <item x="754"/>
        <item x="679"/>
        <item x="742"/>
        <item x="470"/>
        <item x="644"/>
        <item x="389"/>
        <item x="155"/>
        <item x="195"/>
        <item x="531"/>
        <item x="217"/>
        <item x="808"/>
        <item x="173"/>
        <item x="771"/>
        <item x="289"/>
        <item x="293"/>
        <item x="96"/>
        <item x="746"/>
        <item x="180"/>
        <item x="452"/>
        <item x="461"/>
        <item x="48"/>
        <item x="467"/>
        <item x="822"/>
        <item x="401"/>
        <item x="725"/>
        <item x="77"/>
        <item x="144"/>
        <item x="116"/>
        <item x="179"/>
        <item x="686"/>
        <item x="565"/>
        <item x="306"/>
        <item x="282"/>
        <item x="374"/>
        <item x="479"/>
        <item x="810"/>
        <item x="339"/>
        <item x="617"/>
        <item x="665"/>
        <item x="460"/>
        <item x="89"/>
        <item x="554"/>
        <item x="429"/>
        <item x="330"/>
        <item x="594"/>
        <item x="317"/>
        <item x="126"/>
        <item x="536"/>
        <item x="526"/>
        <item x="444"/>
        <item x="426"/>
        <item x="706"/>
        <item x="612"/>
        <item x="634"/>
        <item x="859"/>
        <item x="848"/>
        <item x="772"/>
        <item x="581"/>
        <item x="418"/>
        <item x="184"/>
        <item x="708"/>
        <item x="340"/>
        <item x="516"/>
        <item x="370"/>
        <item x="635"/>
        <item x="73"/>
        <item x="575"/>
        <item x="397"/>
        <item x="385"/>
        <item x="354"/>
        <item x="66"/>
        <item x="522"/>
        <item x="261"/>
        <item x="380"/>
        <item x="115"/>
        <item x="794"/>
        <item x="537"/>
        <item x="729"/>
        <item x="224"/>
        <item x="498"/>
        <item x="585"/>
        <item x="748"/>
        <item x="497"/>
        <item x="688"/>
        <item x="421"/>
        <item x="830"/>
        <item x="811"/>
        <item x="90"/>
        <item x="499"/>
        <item x="576"/>
        <item x="335"/>
        <item x="560"/>
        <item x="420"/>
        <item x="765"/>
        <item x="797"/>
        <item x="284"/>
        <item t="default"/>
      </items>
    </pivotField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>
      <items count="13">
        <item x="8"/>
        <item x="10"/>
        <item x="0"/>
        <item x="2"/>
        <item x="11"/>
        <item x="5"/>
        <item x="6"/>
        <item x="9"/>
        <item x="4"/>
        <item x="7"/>
        <item x="3"/>
        <item x="1"/>
        <item t="default"/>
      </items>
    </pivotField>
    <pivotField numFmtId="1" showAll="0">
      <items count="5">
        <item x="1"/>
        <item x="3"/>
        <item x="0"/>
        <item x="2"/>
        <item t="default"/>
      </items>
    </pivotField>
    <pivotField showAll="0"/>
    <pivotField numFmtId="14" showAll="0"/>
    <pivotField numFmtId="1" showAll="0"/>
    <pivotField dataField="1" numFmtId="1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Ventas" fld="0" subtotal="count" baseField="0" baseItem="0" numFmtId="3"/>
    <dataField name="Beneficios" fld="10" baseField="0" baseItem="1" numFmtId="44"/>
  </dataFields>
  <formats count="2"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0D73F1-BB45-4C44-83B0-3168895708B1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C25:D67" firstHeaderRow="1" firstDataRow="1" firstDataCol="1"/>
  <pivotFields count="22"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869">
        <item x="836"/>
        <item x="140"/>
        <item x="373"/>
        <item x="82"/>
        <item x="424"/>
        <item x="67"/>
        <item x="509"/>
        <item x="171"/>
        <item x="365"/>
        <item x="310"/>
        <item x="366"/>
        <item x="299"/>
        <item x="355"/>
        <item x="579"/>
        <item x="396"/>
        <item x="24"/>
        <item x="476"/>
        <item x="785"/>
        <item x="322"/>
        <item x="549"/>
        <item x="350"/>
        <item x="440"/>
        <item x="557"/>
        <item x="49"/>
        <item x="18"/>
        <item x="12"/>
        <item x="625"/>
        <item x="717"/>
        <item x="315"/>
        <item x="413"/>
        <item x="618"/>
        <item x="578"/>
        <item x="705"/>
        <item x="237"/>
        <item x="786"/>
        <item x="488"/>
        <item x="720"/>
        <item x="774"/>
        <item x="835"/>
        <item x="241"/>
        <item x="313"/>
        <item x="583"/>
        <item x="730"/>
        <item x="156"/>
        <item x="658"/>
        <item x="369"/>
        <item x="823"/>
        <item x="223"/>
        <item x="703"/>
        <item x="215"/>
        <item x="769"/>
        <item x="653"/>
        <item x="142"/>
        <item x="582"/>
        <item x="35"/>
        <item x="34"/>
        <item x="852"/>
        <item x="338"/>
        <item x="778"/>
        <item x="252"/>
        <item x="278"/>
        <item x="7"/>
        <item x="750"/>
        <item x="602"/>
        <item x="108"/>
        <item x="850"/>
        <item x="603"/>
        <item x="29"/>
        <item x="70"/>
        <item x="368"/>
        <item x="621"/>
        <item x="30"/>
        <item x="513"/>
        <item x="225"/>
        <item x="304"/>
        <item x="566"/>
        <item x="486"/>
        <item x="803"/>
        <item x="243"/>
        <item x="32"/>
        <item x="395"/>
        <item x="840"/>
        <item x="659"/>
        <item x="550"/>
        <item x="106"/>
        <item x="16"/>
        <item x="449"/>
        <item x="445"/>
        <item x="506"/>
        <item x="747"/>
        <item x="814"/>
        <item x="667"/>
        <item x="161"/>
        <item x="319"/>
        <item x="110"/>
        <item x="432"/>
        <item x="378"/>
        <item x="13"/>
        <item x="9"/>
        <item x="272"/>
        <item x="719"/>
        <item x="133"/>
        <item x="150"/>
        <item x="221"/>
        <item x="507"/>
        <item x="64"/>
        <item x="114"/>
        <item x="645"/>
        <item x="500"/>
        <item x="528"/>
        <item x="218"/>
        <item x="392"/>
        <item x="651"/>
        <item x="345"/>
        <item x="336"/>
        <item x="798"/>
        <item x="676"/>
        <item x="655"/>
        <item x="660"/>
        <item x="758"/>
        <item x="102"/>
        <item x="177"/>
        <item x="250"/>
        <item x="384"/>
        <item x="201"/>
        <item x="347"/>
        <item x="807"/>
        <item x="619"/>
        <item x="185"/>
        <item x="494"/>
        <item x="743"/>
        <item x="247"/>
        <item x="517"/>
        <item x="372"/>
        <item x="559"/>
        <item x="854"/>
        <item x="41"/>
        <item x="446"/>
        <item x="107"/>
        <item x="148"/>
        <item x="65"/>
        <item x="37"/>
        <item x="262"/>
        <item x="411"/>
        <item x="571"/>
        <item x="631"/>
        <item x="595"/>
        <item x="515"/>
        <item x="493"/>
        <item x="160"/>
        <item x="220"/>
        <item x="281"/>
        <item x="175"/>
        <item x="68"/>
        <item x="264"/>
        <item x="824"/>
        <item x="135"/>
        <item x="843"/>
        <item x="334"/>
        <item x="189"/>
        <item x="505"/>
        <item x="376"/>
        <item x="23"/>
        <item x="656"/>
        <item x="825"/>
        <item x="718"/>
        <item x="759"/>
        <item x="802"/>
        <item x="285"/>
        <item x="855"/>
        <item x="731"/>
        <item x="812"/>
        <item x="425"/>
        <item x="42"/>
        <item x="648"/>
        <item x="642"/>
        <item x="408"/>
        <item x="503"/>
        <item x="143"/>
        <item x="654"/>
        <item x="214"/>
        <item x="134"/>
        <item x="297"/>
        <item x="145"/>
        <item x="95"/>
        <item x="239"/>
        <item x="260"/>
        <item x="622"/>
        <item x="270"/>
        <item x="434"/>
        <item x="31"/>
        <item x="723"/>
        <item x="28"/>
        <item x="316"/>
        <item x="251"/>
        <item x="721"/>
        <item x="307"/>
        <item x="779"/>
        <item x="301"/>
        <item x="442"/>
        <item x="359"/>
        <item x="328"/>
        <item x="853"/>
        <item x="590"/>
        <item x="860"/>
        <item x="118"/>
        <item x="325"/>
        <item x="501"/>
        <item x="94"/>
        <item x="112"/>
        <item x="83"/>
        <item x="119"/>
        <item x="343"/>
        <item x="662"/>
        <item x="357"/>
        <item x="787"/>
        <item x="592"/>
        <item x="532"/>
        <item x="652"/>
        <item x="59"/>
        <item x="459"/>
        <item x="379"/>
        <item x="33"/>
        <item x="344"/>
        <item x="402"/>
        <item x="79"/>
        <item x="591"/>
        <item x="837"/>
        <item x="623"/>
        <item x="471"/>
        <item x="437"/>
        <item x="62"/>
        <item x="613"/>
        <item x="514"/>
        <item x="375"/>
        <item x="181"/>
        <item x="678"/>
        <item x="475"/>
        <item x="609"/>
        <item x="320"/>
        <item x="131"/>
        <item x="286"/>
        <item x="263"/>
        <item x="704"/>
        <item x="551"/>
        <item x="157"/>
        <item x="97"/>
        <item x="561"/>
        <item x="400"/>
        <item x="669"/>
        <item x="246"/>
        <item x="661"/>
        <item x="453"/>
        <item x="75"/>
        <item x="599"/>
        <item x="287"/>
        <item x="584"/>
        <item x="687"/>
        <item x="809"/>
        <item x="834"/>
        <item x="478"/>
        <item x="360"/>
        <item x="255"/>
        <item x="756"/>
        <item x="640"/>
        <item x="275"/>
        <item x="348"/>
        <item x="737"/>
        <item x="633"/>
        <item x="84"/>
        <item x="630"/>
        <item x="693"/>
        <item x="553"/>
        <item x="11"/>
        <item x="699"/>
        <item x="274"/>
        <item x="300"/>
        <item x="191"/>
        <item x="784"/>
        <item x="430"/>
        <item x="248"/>
        <item x="427"/>
        <item x="552"/>
        <item x="242"/>
        <item x="219"/>
        <item x="257"/>
        <item x="87"/>
        <item x="182"/>
        <item x="777"/>
        <item x="228"/>
        <item x="483"/>
        <item x="200"/>
        <item x="1"/>
        <item x="629"/>
        <item x="265"/>
        <item x="213"/>
        <item x="45"/>
        <item x="438"/>
        <item x="342"/>
        <item x="770"/>
        <item x="127"/>
        <item x="712"/>
        <item x="391"/>
        <item x="194"/>
        <item x="129"/>
        <item x="508"/>
        <item x="410"/>
        <item x="780"/>
        <item x="178"/>
        <item x="539"/>
        <item x="715"/>
        <item x="55"/>
        <item x="58"/>
        <item x="22"/>
        <item x="641"/>
        <item x="464"/>
        <item x="472"/>
        <item x="604"/>
        <item x="81"/>
        <item x="801"/>
        <item x="27"/>
        <item x="167"/>
        <item x="596"/>
        <item x="711"/>
        <item x="57"/>
        <item x="91"/>
        <item x="123"/>
        <item x="713"/>
        <item x="556"/>
        <item x="819"/>
        <item x="454"/>
        <item x="458"/>
        <item x="117"/>
        <item x="433"/>
        <item x="51"/>
        <item x="254"/>
        <item x="525"/>
        <item x="570"/>
        <item x="666"/>
        <item x="436"/>
        <item x="383"/>
        <item x="4"/>
        <item x="477"/>
        <item x="587"/>
        <item x="210"/>
        <item x="512"/>
        <item x="136"/>
        <item x="20"/>
        <item x="732"/>
        <item x="10"/>
        <item x="122"/>
        <item x="668"/>
        <item x="166"/>
        <item x="323"/>
        <item x="735"/>
        <item x="597"/>
        <item x="767"/>
        <item x="844"/>
        <item x="211"/>
        <item x="867"/>
        <item x="818"/>
        <item x="529"/>
        <item x="159"/>
        <item x="364"/>
        <item x="463"/>
        <item x="409"/>
        <item x="109"/>
        <item x="510"/>
        <item x="141"/>
        <item x="447"/>
        <item x="103"/>
        <item x="745"/>
        <item x="865"/>
        <item x="542"/>
        <item x="351"/>
        <item x="5"/>
        <item x="43"/>
        <item x="193"/>
        <item x="781"/>
        <item x="562"/>
        <item x="450"/>
        <item x="407"/>
        <item x="203"/>
        <item x="697"/>
        <item x="192"/>
        <item x="205"/>
        <item x="846"/>
        <item x="805"/>
        <item x="98"/>
        <item x="40"/>
        <item x="321"/>
        <item x="502"/>
        <item x="86"/>
        <item x="690"/>
        <item x="273"/>
        <item x="534"/>
        <item x="672"/>
        <item x="838"/>
        <item x="858"/>
        <item x="337"/>
        <item x="406"/>
        <item x="163"/>
        <item x="548"/>
        <item x="700"/>
        <item x="244"/>
        <item x="311"/>
        <item x="154"/>
        <item x="266"/>
        <item x="760"/>
        <item x="276"/>
        <item x="120"/>
        <item x="176"/>
        <item x="356"/>
        <item x="232"/>
        <item x="455"/>
        <item x="204"/>
        <item x="643"/>
        <item x="139"/>
        <item x="324"/>
        <item x="675"/>
        <item x="333"/>
        <item x="751"/>
        <item x="187"/>
        <item x="294"/>
        <item x="670"/>
        <item x="724"/>
        <item x="99"/>
        <item x="60"/>
        <item x="207"/>
        <item x="757"/>
        <item x="56"/>
        <item x="544"/>
        <item x="492"/>
        <item x="283"/>
        <item x="826"/>
        <item x="302"/>
        <item x="74"/>
        <item x="367"/>
        <item x="521"/>
        <item x="775"/>
        <item x="701"/>
        <item x="305"/>
        <item x="168"/>
        <item x="231"/>
        <item x="25"/>
        <item x="405"/>
        <item x="845"/>
        <item x="314"/>
        <item x="382"/>
        <item x="78"/>
        <item x="412"/>
        <item x="267"/>
        <item x="21"/>
        <item x="63"/>
        <item x="390"/>
        <item x="346"/>
        <item x="685"/>
        <item x="138"/>
        <item x="589"/>
        <item x="44"/>
        <item x="856"/>
        <item x="709"/>
        <item x="593"/>
        <item x="190"/>
        <item x="664"/>
        <item x="19"/>
        <item x="647"/>
        <item x="627"/>
        <item x="610"/>
        <item x="776"/>
        <item x="484"/>
        <item x="76"/>
        <item x="728"/>
        <item x="399"/>
        <item x="416"/>
        <item x="234"/>
        <item x="866"/>
        <item x="524"/>
        <item x="739"/>
        <item x="632"/>
        <item x="363"/>
        <item x="744"/>
        <item x="292"/>
        <item x="38"/>
        <item x="473"/>
        <item x="863"/>
        <item x="504"/>
        <item x="227"/>
        <item x="496"/>
        <item x="206"/>
        <item x="111"/>
        <item x="520"/>
        <item x="535"/>
        <item x="601"/>
        <item x="198"/>
        <item x="616"/>
        <item x="318"/>
        <item x="423"/>
        <item x="519"/>
        <item x="762"/>
        <item x="796"/>
        <item x="456"/>
        <item x="326"/>
        <item x="820"/>
        <item x="782"/>
        <item x="288"/>
        <item x="309"/>
        <item x="864"/>
        <item x="113"/>
        <item x="527"/>
        <item x="183"/>
        <item x="733"/>
        <item x="422"/>
        <item x="149"/>
        <item x="14"/>
        <item x="684"/>
        <item x="69"/>
        <item x="6"/>
        <item x="577"/>
        <item x="398"/>
        <item x="680"/>
        <item x="637"/>
        <item x="387"/>
        <item x="636"/>
        <item x="130"/>
        <item x="271"/>
        <item x="349"/>
        <item x="491"/>
        <item x="209"/>
        <item x="789"/>
        <item x="827"/>
        <item x="419"/>
        <item x="441"/>
        <item x="15"/>
        <item x="152"/>
        <item x="839"/>
        <item x="428"/>
        <item x="541"/>
        <item x="3"/>
        <item x="381"/>
        <item x="329"/>
        <item x="121"/>
        <item x="773"/>
        <item x="696"/>
        <item x="650"/>
        <item x="628"/>
        <item x="466"/>
        <item x="815"/>
        <item x="352"/>
        <item x="482"/>
        <item x="813"/>
        <item x="671"/>
        <item x="230"/>
        <item x="714"/>
        <item x="615"/>
        <item x="558"/>
        <item x="831"/>
        <item x="511"/>
        <item x="462"/>
        <item x="586"/>
        <item x="707"/>
        <item x="726"/>
        <item x="474"/>
        <item x="0"/>
        <item x="694"/>
        <item x="857"/>
        <item x="841"/>
        <item x="649"/>
        <item x="93"/>
        <item x="308"/>
        <item x="564"/>
        <item x="692"/>
        <item x="61"/>
        <item x="435"/>
        <item x="817"/>
        <item x="657"/>
        <item x="598"/>
        <item x="606"/>
        <item x="53"/>
        <item x="377"/>
        <item x="530"/>
        <item x="172"/>
        <item x="457"/>
        <item x="573"/>
        <item x="388"/>
        <item x="624"/>
        <item x="674"/>
        <item x="677"/>
        <item x="253"/>
        <item x="439"/>
        <item x="465"/>
        <item x="607"/>
        <item x="312"/>
        <item x="125"/>
        <item x="736"/>
        <item x="174"/>
        <item x="569"/>
        <item x="702"/>
        <item x="806"/>
        <item x="2"/>
        <item x="158"/>
        <item x="362"/>
        <item x="752"/>
        <item x="256"/>
        <item x="341"/>
        <item x="72"/>
        <item x="793"/>
        <item x="783"/>
        <item x="291"/>
        <item x="236"/>
        <item x="197"/>
        <item x="258"/>
        <item x="151"/>
        <item x="277"/>
        <item x="196"/>
        <item x="828"/>
        <item x="165"/>
        <item x="280"/>
        <item x="303"/>
        <item x="170"/>
        <item x="753"/>
        <item x="611"/>
        <item x="788"/>
        <item x="799"/>
        <item x="740"/>
        <item x="137"/>
        <item x="546"/>
        <item x="804"/>
        <item x="663"/>
        <item x="47"/>
        <item x="327"/>
        <item x="393"/>
        <item x="620"/>
        <item x="229"/>
        <item x="533"/>
        <item x="54"/>
        <item x="861"/>
        <item x="639"/>
        <item x="605"/>
        <item x="608"/>
        <item x="588"/>
        <item x="791"/>
        <item x="568"/>
        <item x="790"/>
        <item x="128"/>
        <item x="543"/>
        <item x="741"/>
        <item x="298"/>
        <item x="734"/>
        <item x="238"/>
        <item x="495"/>
        <item x="39"/>
        <item x="833"/>
        <item x="100"/>
        <item x="331"/>
        <item x="199"/>
        <item x="46"/>
        <item x="404"/>
        <item x="545"/>
        <item x="523"/>
        <item x="361"/>
        <item x="431"/>
        <item x="92"/>
        <item x="681"/>
        <item x="614"/>
        <item x="547"/>
        <item x="563"/>
        <item x="727"/>
        <item x="451"/>
        <item x="849"/>
        <item x="847"/>
        <item x="755"/>
        <item x="443"/>
        <item x="487"/>
        <item x="842"/>
        <item x="710"/>
        <item x="147"/>
        <item x="764"/>
        <item x="851"/>
        <item x="290"/>
        <item x="518"/>
        <item x="490"/>
        <item x="124"/>
        <item x="600"/>
        <item x="212"/>
        <item x="153"/>
        <item x="249"/>
        <item x="259"/>
        <item x="485"/>
        <item x="469"/>
        <item x="415"/>
        <item x="489"/>
        <item x="162"/>
        <item x="691"/>
        <item x="105"/>
        <item x="245"/>
        <item x="800"/>
        <item x="572"/>
        <item x="8"/>
        <item x="358"/>
        <item x="235"/>
        <item x="816"/>
        <item x="403"/>
        <item x="296"/>
        <item x="682"/>
        <item x="722"/>
        <item x="768"/>
        <item x="26"/>
        <item x="104"/>
        <item x="695"/>
        <item x="101"/>
        <item x="555"/>
        <item x="832"/>
        <item x="766"/>
        <item x="332"/>
        <item x="763"/>
        <item x="417"/>
        <item x="353"/>
        <item x="268"/>
        <item x="36"/>
        <item x="792"/>
        <item x="146"/>
        <item x="85"/>
        <item x="371"/>
        <item x="481"/>
        <item x="386"/>
        <item x="538"/>
        <item x="761"/>
        <item x="226"/>
        <item x="202"/>
        <item x="580"/>
        <item x="208"/>
        <item x="468"/>
        <item x="17"/>
        <item x="862"/>
        <item x="626"/>
        <item x="186"/>
        <item x="295"/>
        <item x="132"/>
        <item x="749"/>
        <item x="216"/>
        <item x="80"/>
        <item x="52"/>
        <item x="279"/>
        <item x="88"/>
        <item x="738"/>
        <item x="683"/>
        <item x="821"/>
        <item x="71"/>
        <item x="164"/>
        <item x="574"/>
        <item x="567"/>
        <item x="673"/>
        <item x="394"/>
        <item x="638"/>
        <item x="540"/>
        <item x="480"/>
        <item x="169"/>
        <item x="269"/>
        <item x="829"/>
        <item x="448"/>
        <item x="50"/>
        <item x="698"/>
        <item x="646"/>
        <item x="795"/>
        <item x="188"/>
        <item x="222"/>
        <item x="716"/>
        <item x="233"/>
        <item x="689"/>
        <item x="240"/>
        <item x="414"/>
        <item x="754"/>
        <item x="679"/>
        <item x="742"/>
        <item x="470"/>
        <item x="644"/>
        <item x="389"/>
        <item x="155"/>
        <item x="195"/>
        <item x="531"/>
        <item x="217"/>
        <item x="808"/>
        <item x="173"/>
        <item x="771"/>
        <item x="289"/>
        <item x="293"/>
        <item x="96"/>
        <item x="746"/>
        <item x="180"/>
        <item x="452"/>
        <item x="461"/>
        <item x="48"/>
        <item x="467"/>
        <item x="822"/>
        <item x="401"/>
        <item x="725"/>
        <item x="77"/>
        <item x="144"/>
        <item x="116"/>
        <item x="179"/>
        <item x="686"/>
        <item x="565"/>
        <item x="306"/>
        <item x="282"/>
        <item x="374"/>
        <item x="479"/>
        <item x="810"/>
        <item x="339"/>
        <item x="617"/>
        <item x="665"/>
        <item x="460"/>
        <item x="89"/>
        <item x="554"/>
        <item x="429"/>
        <item x="330"/>
        <item x="594"/>
        <item x="317"/>
        <item x="126"/>
        <item x="536"/>
        <item x="526"/>
        <item x="444"/>
        <item x="426"/>
        <item x="706"/>
        <item x="612"/>
        <item x="634"/>
        <item x="859"/>
        <item x="848"/>
        <item x="772"/>
        <item x="581"/>
        <item x="418"/>
        <item x="184"/>
        <item x="708"/>
        <item x="340"/>
        <item x="516"/>
        <item x="370"/>
        <item x="635"/>
        <item x="73"/>
        <item x="575"/>
        <item x="397"/>
        <item x="385"/>
        <item x="354"/>
        <item x="66"/>
        <item x="522"/>
        <item x="261"/>
        <item x="380"/>
        <item x="115"/>
        <item x="794"/>
        <item x="537"/>
        <item x="729"/>
        <item x="224"/>
        <item x="498"/>
        <item x="585"/>
        <item x="748"/>
        <item x="497"/>
        <item x="688"/>
        <item x="421"/>
        <item x="830"/>
        <item x="811"/>
        <item x="90"/>
        <item x="499"/>
        <item x="576"/>
        <item x="335"/>
        <item x="560"/>
        <item x="420"/>
        <item x="765"/>
        <item x="797"/>
        <item x="284"/>
        <item t="default"/>
      </items>
    </pivotField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>
      <items count="13">
        <item x="8"/>
        <item x="10"/>
        <item x="0"/>
        <item x="2"/>
        <item x="11"/>
        <item x="5"/>
        <item x="6"/>
        <item x="9"/>
        <item x="4"/>
        <item x="7"/>
        <item x="3"/>
        <item x="1"/>
        <item t="default"/>
      </items>
    </pivotField>
    <pivotField numFmtId="1" showAll="0">
      <items count="5">
        <item x="1"/>
        <item x="3"/>
        <item x="0"/>
        <item x="2"/>
        <item t="default"/>
      </items>
    </pivotField>
    <pivotField showAll="0"/>
    <pivotField numFmtId="14" showAll="0"/>
    <pivotField numFmtId="1" showAll="0"/>
    <pivotField dataField="1" numFmtId="1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x="2"/>
        <item x="3"/>
        <item x="4"/>
        <item sd="0" x="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21"/>
    <field x="19"/>
  </rowFields>
  <rowItems count="42">
    <i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a de Ingresos totales" fld="10" baseField="0" baseItem="0" numFmtId="1"/>
  </dataFields>
  <chartFormats count="2">
    <chartFormat chart="7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035420-3FDD-4340-B05B-1C6761132496}" name="Tipo_Sub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9">
  <location ref="C13:D17" firstHeaderRow="1" firstDataRow="1" firstDataCol="1"/>
  <pivotFields count="22"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>
      <items count="869">
        <item x="836"/>
        <item x="140"/>
        <item x="373"/>
        <item x="82"/>
        <item x="424"/>
        <item x="67"/>
        <item x="509"/>
        <item x="171"/>
        <item x="365"/>
        <item x="310"/>
        <item x="366"/>
        <item x="299"/>
        <item x="355"/>
        <item x="579"/>
        <item x="396"/>
        <item x="24"/>
        <item x="476"/>
        <item x="785"/>
        <item x="322"/>
        <item x="549"/>
        <item x="350"/>
        <item x="440"/>
        <item x="557"/>
        <item x="49"/>
        <item x="18"/>
        <item x="12"/>
        <item x="625"/>
        <item x="717"/>
        <item x="315"/>
        <item x="413"/>
        <item x="618"/>
        <item x="578"/>
        <item x="705"/>
        <item x="237"/>
        <item x="786"/>
        <item x="488"/>
        <item x="720"/>
        <item x="774"/>
        <item x="835"/>
        <item x="241"/>
        <item x="313"/>
        <item x="583"/>
        <item x="730"/>
        <item x="156"/>
        <item x="658"/>
        <item x="369"/>
        <item x="823"/>
        <item x="223"/>
        <item x="703"/>
        <item x="215"/>
        <item x="769"/>
        <item x="653"/>
        <item x="142"/>
        <item x="582"/>
        <item x="35"/>
        <item x="34"/>
        <item x="852"/>
        <item x="338"/>
        <item x="778"/>
        <item x="252"/>
        <item x="278"/>
        <item x="7"/>
        <item x="750"/>
        <item x="602"/>
        <item x="108"/>
        <item x="850"/>
        <item x="603"/>
        <item x="29"/>
        <item x="70"/>
        <item x="368"/>
        <item x="621"/>
        <item x="30"/>
        <item x="513"/>
        <item x="225"/>
        <item x="304"/>
        <item x="566"/>
        <item x="486"/>
        <item x="803"/>
        <item x="243"/>
        <item x="32"/>
        <item x="395"/>
        <item x="840"/>
        <item x="659"/>
        <item x="550"/>
        <item x="106"/>
        <item x="16"/>
        <item x="449"/>
        <item x="445"/>
        <item x="506"/>
        <item x="747"/>
        <item x="814"/>
        <item x="667"/>
        <item x="161"/>
        <item x="319"/>
        <item x="110"/>
        <item x="432"/>
        <item x="378"/>
        <item x="13"/>
        <item x="9"/>
        <item x="272"/>
        <item x="719"/>
        <item x="133"/>
        <item x="150"/>
        <item x="221"/>
        <item x="507"/>
        <item x="64"/>
        <item x="114"/>
        <item x="645"/>
        <item x="500"/>
        <item x="528"/>
        <item x="218"/>
        <item x="392"/>
        <item x="651"/>
        <item x="345"/>
        <item x="336"/>
        <item x="798"/>
        <item x="676"/>
        <item x="655"/>
        <item x="660"/>
        <item x="758"/>
        <item x="102"/>
        <item x="177"/>
        <item x="250"/>
        <item x="384"/>
        <item x="201"/>
        <item x="347"/>
        <item x="807"/>
        <item x="619"/>
        <item x="185"/>
        <item x="494"/>
        <item x="743"/>
        <item x="247"/>
        <item x="517"/>
        <item x="372"/>
        <item x="559"/>
        <item x="854"/>
        <item x="41"/>
        <item x="446"/>
        <item x="107"/>
        <item x="148"/>
        <item x="65"/>
        <item x="37"/>
        <item x="262"/>
        <item x="411"/>
        <item x="571"/>
        <item x="631"/>
        <item x="595"/>
        <item x="515"/>
        <item x="493"/>
        <item x="160"/>
        <item x="220"/>
        <item x="281"/>
        <item x="175"/>
        <item x="68"/>
        <item x="264"/>
        <item x="824"/>
        <item x="135"/>
        <item x="843"/>
        <item x="334"/>
        <item x="189"/>
        <item x="505"/>
        <item x="376"/>
        <item x="23"/>
        <item x="656"/>
        <item x="825"/>
        <item x="718"/>
        <item x="759"/>
        <item x="802"/>
        <item x="285"/>
        <item x="855"/>
        <item x="731"/>
        <item x="812"/>
        <item x="425"/>
        <item x="42"/>
        <item x="648"/>
        <item x="642"/>
        <item x="408"/>
        <item x="503"/>
        <item x="143"/>
        <item x="654"/>
        <item x="214"/>
        <item x="134"/>
        <item x="297"/>
        <item x="145"/>
        <item x="95"/>
        <item x="239"/>
        <item x="260"/>
        <item x="622"/>
        <item x="270"/>
        <item x="434"/>
        <item x="31"/>
        <item x="723"/>
        <item x="28"/>
        <item x="316"/>
        <item x="251"/>
        <item x="721"/>
        <item x="307"/>
        <item x="779"/>
        <item x="301"/>
        <item x="442"/>
        <item x="359"/>
        <item x="328"/>
        <item x="853"/>
        <item x="590"/>
        <item x="860"/>
        <item x="118"/>
        <item x="325"/>
        <item x="501"/>
        <item x="94"/>
        <item x="112"/>
        <item x="83"/>
        <item x="119"/>
        <item x="343"/>
        <item x="662"/>
        <item x="357"/>
        <item x="787"/>
        <item x="592"/>
        <item x="532"/>
        <item x="652"/>
        <item x="59"/>
        <item x="459"/>
        <item x="379"/>
        <item x="33"/>
        <item x="344"/>
        <item x="402"/>
        <item x="79"/>
        <item x="591"/>
        <item x="837"/>
        <item x="623"/>
        <item x="471"/>
        <item x="437"/>
        <item x="62"/>
        <item x="613"/>
        <item x="514"/>
        <item x="375"/>
        <item x="181"/>
        <item x="678"/>
        <item x="475"/>
        <item x="609"/>
        <item x="320"/>
        <item x="131"/>
        <item x="286"/>
        <item x="263"/>
        <item x="704"/>
        <item x="551"/>
        <item x="157"/>
        <item x="97"/>
        <item x="561"/>
        <item x="400"/>
        <item x="669"/>
        <item x="246"/>
        <item x="661"/>
        <item x="453"/>
        <item x="75"/>
        <item x="599"/>
        <item x="287"/>
        <item x="584"/>
        <item x="687"/>
        <item x="809"/>
        <item x="834"/>
        <item x="478"/>
        <item x="360"/>
        <item x="255"/>
        <item x="756"/>
        <item x="640"/>
        <item x="275"/>
        <item x="348"/>
        <item x="737"/>
        <item x="633"/>
        <item x="84"/>
        <item x="630"/>
        <item x="693"/>
        <item x="553"/>
        <item x="11"/>
        <item x="699"/>
        <item x="274"/>
        <item x="300"/>
        <item x="191"/>
        <item x="784"/>
        <item x="430"/>
        <item x="248"/>
        <item x="427"/>
        <item x="552"/>
        <item x="242"/>
        <item x="219"/>
        <item x="257"/>
        <item x="87"/>
        <item x="182"/>
        <item x="777"/>
        <item x="228"/>
        <item x="483"/>
        <item x="200"/>
        <item x="1"/>
        <item x="629"/>
        <item x="265"/>
        <item x="213"/>
        <item x="45"/>
        <item x="438"/>
        <item x="342"/>
        <item x="770"/>
        <item x="127"/>
        <item x="712"/>
        <item x="391"/>
        <item x="194"/>
        <item x="129"/>
        <item x="508"/>
        <item x="410"/>
        <item x="780"/>
        <item x="178"/>
        <item x="539"/>
        <item x="715"/>
        <item x="55"/>
        <item x="58"/>
        <item x="22"/>
        <item x="641"/>
        <item x="464"/>
        <item x="472"/>
        <item x="604"/>
        <item x="81"/>
        <item x="801"/>
        <item x="27"/>
        <item x="167"/>
        <item x="596"/>
        <item x="711"/>
        <item x="57"/>
        <item x="91"/>
        <item x="123"/>
        <item x="713"/>
        <item x="556"/>
        <item x="819"/>
        <item x="454"/>
        <item x="458"/>
        <item x="117"/>
        <item x="433"/>
        <item x="51"/>
        <item x="254"/>
        <item x="525"/>
        <item x="570"/>
        <item x="666"/>
        <item x="436"/>
        <item x="383"/>
        <item x="4"/>
        <item x="477"/>
        <item x="587"/>
        <item x="210"/>
        <item x="512"/>
        <item x="136"/>
        <item x="20"/>
        <item x="732"/>
        <item x="10"/>
        <item x="122"/>
        <item x="668"/>
        <item x="166"/>
        <item x="323"/>
        <item x="735"/>
        <item x="597"/>
        <item x="767"/>
        <item x="844"/>
        <item x="211"/>
        <item x="867"/>
        <item x="818"/>
        <item x="529"/>
        <item x="159"/>
        <item x="364"/>
        <item x="463"/>
        <item x="409"/>
        <item x="109"/>
        <item x="510"/>
        <item x="141"/>
        <item x="447"/>
        <item x="103"/>
        <item x="745"/>
        <item x="865"/>
        <item x="542"/>
        <item x="351"/>
        <item x="5"/>
        <item x="43"/>
        <item x="193"/>
        <item x="781"/>
        <item x="562"/>
        <item x="450"/>
        <item x="407"/>
        <item x="203"/>
        <item x="697"/>
        <item x="192"/>
        <item x="205"/>
        <item x="846"/>
        <item x="805"/>
        <item x="98"/>
        <item x="40"/>
        <item x="321"/>
        <item x="502"/>
        <item x="86"/>
        <item x="690"/>
        <item x="273"/>
        <item x="534"/>
        <item x="672"/>
        <item x="838"/>
        <item x="858"/>
        <item x="337"/>
        <item x="406"/>
        <item x="163"/>
        <item x="548"/>
        <item x="700"/>
        <item x="244"/>
        <item x="311"/>
        <item x="154"/>
        <item x="266"/>
        <item x="760"/>
        <item x="276"/>
        <item x="120"/>
        <item x="176"/>
        <item x="356"/>
        <item x="232"/>
        <item x="455"/>
        <item x="204"/>
        <item x="643"/>
        <item x="139"/>
        <item x="324"/>
        <item x="675"/>
        <item x="333"/>
        <item x="751"/>
        <item x="187"/>
        <item x="294"/>
        <item x="670"/>
        <item x="724"/>
        <item x="99"/>
        <item x="60"/>
        <item x="207"/>
        <item x="757"/>
        <item x="56"/>
        <item x="544"/>
        <item x="492"/>
        <item x="283"/>
        <item x="826"/>
        <item x="302"/>
        <item x="74"/>
        <item x="367"/>
        <item x="521"/>
        <item x="775"/>
        <item x="701"/>
        <item x="305"/>
        <item x="168"/>
        <item x="231"/>
        <item x="25"/>
        <item x="405"/>
        <item x="845"/>
        <item x="314"/>
        <item x="382"/>
        <item x="78"/>
        <item x="412"/>
        <item x="267"/>
        <item x="21"/>
        <item x="63"/>
        <item x="390"/>
        <item x="346"/>
        <item x="685"/>
        <item x="138"/>
        <item x="589"/>
        <item x="44"/>
        <item x="856"/>
        <item x="709"/>
        <item x="593"/>
        <item x="190"/>
        <item x="664"/>
        <item x="19"/>
        <item x="647"/>
        <item x="627"/>
        <item x="610"/>
        <item x="776"/>
        <item x="484"/>
        <item x="76"/>
        <item x="728"/>
        <item x="399"/>
        <item x="416"/>
        <item x="234"/>
        <item x="866"/>
        <item x="524"/>
        <item x="739"/>
        <item x="632"/>
        <item x="363"/>
        <item x="744"/>
        <item x="292"/>
        <item x="38"/>
        <item x="473"/>
        <item x="863"/>
        <item x="504"/>
        <item x="227"/>
        <item x="496"/>
        <item x="206"/>
        <item x="111"/>
        <item x="520"/>
        <item x="535"/>
        <item x="601"/>
        <item x="198"/>
        <item x="616"/>
        <item x="318"/>
        <item x="423"/>
        <item x="519"/>
        <item x="762"/>
        <item x="796"/>
        <item x="456"/>
        <item x="326"/>
        <item x="820"/>
        <item x="782"/>
        <item x="288"/>
        <item x="309"/>
        <item x="864"/>
        <item x="113"/>
        <item x="527"/>
        <item x="183"/>
        <item x="733"/>
        <item x="422"/>
        <item x="149"/>
        <item x="14"/>
        <item x="684"/>
        <item x="69"/>
        <item x="6"/>
        <item x="577"/>
        <item x="398"/>
        <item x="680"/>
        <item x="637"/>
        <item x="387"/>
        <item x="636"/>
        <item x="130"/>
        <item x="271"/>
        <item x="349"/>
        <item x="491"/>
        <item x="209"/>
        <item x="789"/>
        <item x="827"/>
        <item x="419"/>
        <item x="441"/>
        <item x="15"/>
        <item x="152"/>
        <item x="839"/>
        <item x="428"/>
        <item x="541"/>
        <item x="3"/>
        <item x="381"/>
        <item x="329"/>
        <item x="121"/>
        <item x="773"/>
        <item x="696"/>
        <item x="650"/>
        <item x="628"/>
        <item x="466"/>
        <item x="815"/>
        <item x="352"/>
        <item x="482"/>
        <item x="813"/>
        <item x="671"/>
        <item x="230"/>
        <item x="714"/>
        <item x="615"/>
        <item x="558"/>
        <item x="831"/>
        <item x="511"/>
        <item x="462"/>
        <item x="586"/>
        <item x="707"/>
        <item x="726"/>
        <item x="474"/>
        <item x="0"/>
        <item x="694"/>
        <item x="857"/>
        <item x="841"/>
        <item x="649"/>
        <item x="93"/>
        <item x="308"/>
        <item x="564"/>
        <item x="692"/>
        <item x="61"/>
        <item x="435"/>
        <item x="817"/>
        <item x="657"/>
        <item x="598"/>
        <item x="606"/>
        <item x="53"/>
        <item x="377"/>
        <item x="530"/>
        <item x="172"/>
        <item x="457"/>
        <item x="573"/>
        <item x="388"/>
        <item x="624"/>
        <item x="674"/>
        <item x="677"/>
        <item x="253"/>
        <item x="439"/>
        <item x="465"/>
        <item x="607"/>
        <item x="312"/>
        <item x="125"/>
        <item x="736"/>
        <item x="174"/>
        <item x="569"/>
        <item x="702"/>
        <item x="806"/>
        <item x="2"/>
        <item x="158"/>
        <item x="362"/>
        <item x="752"/>
        <item x="256"/>
        <item x="341"/>
        <item x="72"/>
        <item x="793"/>
        <item x="783"/>
        <item x="291"/>
        <item x="236"/>
        <item x="197"/>
        <item x="258"/>
        <item x="151"/>
        <item x="277"/>
        <item x="196"/>
        <item x="828"/>
        <item x="165"/>
        <item x="280"/>
        <item x="303"/>
        <item x="170"/>
        <item x="753"/>
        <item x="611"/>
        <item x="788"/>
        <item x="799"/>
        <item x="740"/>
        <item x="137"/>
        <item x="546"/>
        <item x="804"/>
        <item x="663"/>
        <item x="47"/>
        <item x="327"/>
        <item x="393"/>
        <item x="620"/>
        <item x="229"/>
        <item x="533"/>
        <item x="54"/>
        <item x="861"/>
        <item x="639"/>
        <item x="605"/>
        <item x="608"/>
        <item x="588"/>
        <item x="791"/>
        <item x="568"/>
        <item x="790"/>
        <item x="128"/>
        <item x="543"/>
        <item x="741"/>
        <item x="298"/>
        <item x="734"/>
        <item x="238"/>
        <item x="495"/>
        <item x="39"/>
        <item x="833"/>
        <item x="100"/>
        <item x="331"/>
        <item x="199"/>
        <item x="46"/>
        <item x="404"/>
        <item x="545"/>
        <item x="523"/>
        <item x="361"/>
        <item x="431"/>
        <item x="92"/>
        <item x="681"/>
        <item x="614"/>
        <item x="547"/>
        <item x="563"/>
        <item x="727"/>
        <item x="451"/>
        <item x="849"/>
        <item x="847"/>
        <item x="755"/>
        <item x="443"/>
        <item x="487"/>
        <item x="842"/>
        <item x="710"/>
        <item x="147"/>
        <item x="764"/>
        <item x="851"/>
        <item x="290"/>
        <item x="518"/>
        <item x="490"/>
        <item x="124"/>
        <item x="600"/>
        <item x="212"/>
        <item x="153"/>
        <item x="249"/>
        <item x="259"/>
        <item x="485"/>
        <item x="469"/>
        <item x="415"/>
        <item x="489"/>
        <item x="162"/>
        <item x="691"/>
        <item x="105"/>
        <item x="245"/>
        <item x="800"/>
        <item x="572"/>
        <item x="8"/>
        <item x="358"/>
        <item x="235"/>
        <item x="816"/>
        <item x="403"/>
        <item x="296"/>
        <item x="682"/>
        <item x="722"/>
        <item x="768"/>
        <item x="26"/>
        <item x="104"/>
        <item x="695"/>
        <item x="101"/>
        <item x="555"/>
        <item x="832"/>
        <item x="766"/>
        <item x="332"/>
        <item x="763"/>
        <item x="417"/>
        <item x="353"/>
        <item x="268"/>
        <item x="36"/>
        <item x="792"/>
        <item x="146"/>
        <item x="85"/>
        <item x="371"/>
        <item x="481"/>
        <item x="386"/>
        <item x="538"/>
        <item x="761"/>
        <item x="226"/>
        <item x="202"/>
        <item x="580"/>
        <item x="208"/>
        <item x="468"/>
        <item x="17"/>
        <item x="862"/>
        <item x="626"/>
        <item x="186"/>
        <item x="295"/>
        <item x="132"/>
        <item x="749"/>
        <item x="216"/>
        <item x="80"/>
        <item x="52"/>
        <item x="279"/>
        <item x="88"/>
        <item x="738"/>
        <item x="683"/>
        <item x="821"/>
        <item x="71"/>
        <item x="164"/>
        <item x="574"/>
        <item x="567"/>
        <item x="673"/>
        <item x="394"/>
        <item x="638"/>
        <item x="540"/>
        <item x="480"/>
        <item x="169"/>
        <item x="269"/>
        <item x="829"/>
        <item x="448"/>
        <item x="50"/>
        <item x="698"/>
        <item x="646"/>
        <item x="795"/>
        <item x="188"/>
        <item x="222"/>
        <item x="716"/>
        <item x="233"/>
        <item x="689"/>
        <item x="240"/>
        <item x="414"/>
        <item x="754"/>
        <item x="679"/>
        <item x="742"/>
        <item x="470"/>
        <item x="644"/>
        <item x="389"/>
        <item x="155"/>
        <item x="195"/>
        <item x="531"/>
        <item x="217"/>
        <item x="808"/>
        <item x="173"/>
        <item x="771"/>
        <item x="289"/>
        <item x="293"/>
        <item x="96"/>
        <item x="746"/>
        <item x="180"/>
        <item x="452"/>
        <item x="461"/>
        <item x="48"/>
        <item x="467"/>
        <item x="822"/>
        <item x="401"/>
        <item x="725"/>
        <item x="77"/>
        <item x="144"/>
        <item x="116"/>
        <item x="179"/>
        <item x="686"/>
        <item x="565"/>
        <item x="306"/>
        <item x="282"/>
        <item x="374"/>
        <item x="479"/>
        <item x="810"/>
        <item x="339"/>
        <item x="617"/>
        <item x="665"/>
        <item x="460"/>
        <item x="89"/>
        <item x="554"/>
        <item x="429"/>
        <item x="330"/>
        <item x="594"/>
        <item x="317"/>
        <item x="126"/>
        <item x="536"/>
        <item x="526"/>
        <item x="444"/>
        <item x="426"/>
        <item x="706"/>
        <item x="612"/>
        <item x="634"/>
        <item x="859"/>
        <item x="848"/>
        <item x="772"/>
        <item x="581"/>
        <item x="418"/>
        <item x="184"/>
        <item x="708"/>
        <item x="340"/>
        <item x="516"/>
        <item x="370"/>
        <item x="635"/>
        <item x="73"/>
        <item x="575"/>
        <item x="397"/>
        <item x="385"/>
        <item x="354"/>
        <item x="66"/>
        <item x="522"/>
        <item x="261"/>
        <item x="380"/>
        <item x="115"/>
        <item x="794"/>
        <item x="537"/>
        <item x="729"/>
        <item x="224"/>
        <item x="498"/>
        <item x="585"/>
        <item x="748"/>
        <item x="497"/>
        <item x="688"/>
        <item x="421"/>
        <item x="830"/>
        <item x="811"/>
        <item x="90"/>
        <item x="499"/>
        <item x="576"/>
        <item x="335"/>
        <item x="560"/>
        <item x="420"/>
        <item x="765"/>
        <item x="797"/>
        <item x="284"/>
        <item t="default"/>
      </items>
    </pivotField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>
      <items count="13">
        <item x="8"/>
        <item x="10"/>
        <item x="0"/>
        <item x="2"/>
        <item x="11"/>
        <item x="5"/>
        <item x="6"/>
        <item x="9"/>
        <item x="4"/>
        <item x="7"/>
        <item x="3"/>
        <item x="1"/>
        <item t="default"/>
      </items>
    </pivotField>
    <pivotField numFmtId="1" showAll="0">
      <items count="5">
        <item x="1"/>
        <item x="3"/>
        <item x="0"/>
        <item x="2"/>
        <item t="default"/>
      </items>
    </pivotField>
    <pivotField showAll="0"/>
    <pivotField numFmtId="14" showAll="0"/>
    <pivotField numFmtId="1" showAll="0"/>
    <pivotField dataField="1" numFmtId="1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Ingresos totales" fld="10" baseField="0" baseItem="0" numFmtId="1"/>
  </dataFields>
  <chartFormats count="1">
    <chartFormat chart="15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7A487-7897-4ADA-BCA5-1DD26495FF79}" name="TablaDinámica15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3:D8" firstHeaderRow="1" firstDataRow="1" firstDataCol="1"/>
  <pivotFields count="22">
    <pivotField showAll="0"/>
    <pivotField showAll="0"/>
    <pivotField showAll="0"/>
    <pivotField showAll="0"/>
    <pivotField numFmtId="14" showAll="0">
      <items count="619">
        <item x="366"/>
        <item x="336"/>
        <item x="134"/>
        <item x="62"/>
        <item x="241"/>
        <item x="467"/>
        <item x="529"/>
        <item x="280"/>
        <item x="103"/>
        <item x="210"/>
        <item x="151"/>
        <item x="542"/>
        <item x="305"/>
        <item x="244"/>
        <item x="118"/>
        <item x="137"/>
        <item x="362"/>
        <item x="547"/>
        <item x="291"/>
        <item x="496"/>
        <item x="8"/>
        <item x="602"/>
        <item x="315"/>
        <item x="152"/>
        <item x="80"/>
        <item x="549"/>
        <item x="157"/>
        <item x="475"/>
        <item x="268"/>
        <item x="308"/>
        <item x="572"/>
        <item x="26"/>
        <item x="450"/>
        <item x="354"/>
        <item x="564"/>
        <item x="222"/>
        <item x="477"/>
        <item x="247"/>
        <item x="198"/>
        <item x="256"/>
        <item x="47"/>
        <item x="201"/>
        <item x="543"/>
        <item x="214"/>
        <item x="449"/>
        <item x="31"/>
        <item x="5"/>
        <item x="320"/>
        <item x="261"/>
        <item x="277"/>
        <item x="573"/>
        <item x="340"/>
        <item x="249"/>
        <item x="124"/>
        <item x="28"/>
        <item x="50"/>
        <item x="581"/>
        <item x="232"/>
        <item x="464"/>
        <item x="344"/>
        <item x="522"/>
        <item x="577"/>
        <item x="126"/>
        <item x="378"/>
        <item x="264"/>
        <item x="68"/>
        <item x="17"/>
        <item x="49"/>
        <item x="143"/>
        <item x="10"/>
        <item x="61"/>
        <item x="409"/>
        <item x="393"/>
        <item x="481"/>
        <item x="460"/>
        <item x="592"/>
        <item x="44"/>
        <item x="30"/>
        <item x="221"/>
        <item x="594"/>
        <item x="519"/>
        <item x="75"/>
        <item x="406"/>
        <item x="471"/>
        <item x="179"/>
        <item x="171"/>
        <item x="231"/>
        <item x="578"/>
        <item x="125"/>
        <item x="442"/>
        <item x="494"/>
        <item x="269"/>
        <item x="20"/>
        <item x="262"/>
        <item x="307"/>
        <item x="545"/>
        <item x="213"/>
        <item x="353"/>
        <item x="16"/>
        <item x="523"/>
        <item x="132"/>
        <item x="388"/>
        <item x="359"/>
        <item x="438"/>
        <item x="459"/>
        <item x="169"/>
        <item x="607"/>
        <item x="576"/>
        <item x="1"/>
        <item x="310"/>
        <item x="217"/>
        <item x="52"/>
        <item x="553"/>
        <item x="115"/>
        <item x="517"/>
        <item x="511"/>
        <item x="297"/>
        <item x="558"/>
        <item x="563"/>
        <item x="470"/>
        <item x="218"/>
        <item x="106"/>
        <item x="160"/>
        <item x="158"/>
        <item x="489"/>
        <item x="536"/>
        <item x="23"/>
        <item x="27"/>
        <item x="111"/>
        <item x="73"/>
        <item x="326"/>
        <item x="13"/>
        <item x="29"/>
        <item x="370"/>
        <item x="540"/>
        <item x="34"/>
        <item x="402"/>
        <item x="443"/>
        <item x="421"/>
        <item x="37"/>
        <item x="546"/>
        <item x="89"/>
        <item x="197"/>
        <item x="416"/>
        <item x="172"/>
        <item x="516"/>
        <item x="303"/>
        <item x="579"/>
        <item x="512"/>
        <item x="420"/>
        <item x="429"/>
        <item x="135"/>
        <item x="121"/>
        <item x="535"/>
        <item x="488"/>
        <item x="521"/>
        <item x="506"/>
        <item x="487"/>
        <item x="43"/>
        <item x="166"/>
        <item x="565"/>
        <item x="33"/>
        <item x="587"/>
        <item x="500"/>
        <item x="493"/>
        <item x="19"/>
        <item x="452"/>
        <item x="396"/>
        <item x="113"/>
        <item x="259"/>
        <item x="138"/>
        <item x="534"/>
        <item x="287"/>
        <item x="314"/>
        <item x="615"/>
        <item x="360"/>
        <item x="190"/>
        <item x="70"/>
        <item x="188"/>
        <item x="430"/>
        <item x="392"/>
        <item x="551"/>
        <item x="289"/>
        <item x="76"/>
        <item x="174"/>
        <item x="408"/>
        <item x="209"/>
        <item x="515"/>
        <item x="95"/>
        <item x="144"/>
        <item x="469"/>
        <item x="283"/>
        <item x="258"/>
        <item x="526"/>
        <item x="383"/>
        <item x="153"/>
        <item x="616"/>
        <item x="109"/>
        <item x="318"/>
        <item x="405"/>
        <item x="97"/>
        <item x="167"/>
        <item x="270"/>
        <item x="252"/>
        <item x="375"/>
        <item x="412"/>
        <item x="180"/>
        <item x="302"/>
        <item x="514"/>
        <item x="379"/>
        <item x="67"/>
        <item x="229"/>
        <item x="398"/>
        <item x="242"/>
        <item x="165"/>
        <item x="101"/>
        <item x="85"/>
        <item x="88"/>
        <item x="6"/>
        <item x="150"/>
        <item x="14"/>
        <item x="290"/>
        <item x="466"/>
        <item x="254"/>
        <item x="498"/>
        <item x="329"/>
        <item x="533"/>
        <item x="298"/>
        <item x="185"/>
        <item x="596"/>
        <item x="202"/>
        <item x="265"/>
        <item x="431"/>
        <item x="331"/>
        <item x="332"/>
        <item x="195"/>
        <item x="123"/>
        <item x="373"/>
        <item x="606"/>
        <item x="192"/>
        <item x="610"/>
        <item x="479"/>
        <item x="133"/>
        <item x="580"/>
        <item x="574"/>
        <item x="497"/>
        <item x="215"/>
        <item x="444"/>
        <item x="294"/>
        <item x="104"/>
        <item x="568"/>
        <item x="25"/>
        <item x="508"/>
        <item x="145"/>
        <item x="263"/>
        <item x="588"/>
        <item x="410"/>
        <item x="593"/>
        <item x="21"/>
        <item x="599"/>
        <item x="41"/>
        <item x="313"/>
        <item x="46"/>
        <item x="571"/>
        <item x="341"/>
        <item x="532"/>
        <item x="286"/>
        <item x="184"/>
        <item x="205"/>
        <item x="39"/>
        <item x="100"/>
        <item x="142"/>
        <item x="441"/>
        <item x="181"/>
        <item x="374"/>
        <item x="260"/>
        <item x="230"/>
        <item x="93"/>
        <item x="238"/>
        <item x="351"/>
        <item x="147"/>
        <item x="81"/>
        <item x="296"/>
        <item x="348"/>
        <item x="182"/>
        <item x="419"/>
        <item x="513"/>
        <item x="608"/>
        <item x="48"/>
        <item x="358"/>
        <item x="161"/>
        <item x="253"/>
        <item x="293"/>
        <item x="155"/>
        <item x="321"/>
        <item x="561"/>
        <item x="212"/>
        <item x="585"/>
        <item x="478"/>
        <item x="325"/>
        <item x="427"/>
        <item x="32"/>
        <item x="4"/>
        <item x="220"/>
        <item x="356"/>
        <item x="183"/>
        <item x="426"/>
        <item x="226"/>
        <item x="131"/>
        <item x="211"/>
        <item x="248"/>
        <item x="614"/>
        <item x="3"/>
        <item x="586"/>
        <item x="428"/>
        <item x="350"/>
        <item x="309"/>
        <item x="455"/>
        <item x="401"/>
        <item x="617"/>
        <item x="387"/>
        <item x="501"/>
        <item x="415"/>
        <item x="372"/>
        <item x="414"/>
        <item x="77"/>
        <item x="108"/>
        <item x="407"/>
        <item x="22"/>
        <item x="518"/>
        <item x="274"/>
        <item x="99"/>
        <item x="447"/>
        <item x="389"/>
        <item x="228"/>
        <item x="583"/>
        <item x="380"/>
        <item x="604"/>
        <item x="24"/>
        <item x="567"/>
        <item x="399"/>
        <item x="207"/>
        <item x="589"/>
        <item x="65"/>
        <item x="87"/>
        <item x="105"/>
        <item x="141"/>
        <item x="397"/>
        <item x="36"/>
        <item x="114"/>
        <item x="557"/>
        <item x="377"/>
        <item x="525"/>
        <item x="342"/>
        <item x="187"/>
        <item x="129"/>
        <item x="92"/>
        <item x="403"/>
        <item x="122"/>
        <item x="276"/>
        <item x="601"/>
        <item x="504"/>
        <item x="598"/>
        <item x="74"/>
        <item x="0"/>
        <item x="560"/>
        <item x="163"/>
        <item x="503"/>
        <item x="60"/>
        <item x="482"/>
        <item x="96"/>
        <item x="35"/>
        <item x="94"/>
        <item x="233"/>
        <item x="11"/>
        <item x="327"/>
        <item x="7"/>
        <item x="333"/>
        <item x="600"/>
        <item x="609"/>
        <item x="382"/>
        <item x="499"/>
        <item x="548"/>
        <item x="128"/>
        <item x="102"/>
        <item x="110"/>
        <item x="292"/>
        <item x="395"/>
        <item x="56"/>
        <item x="411"/>
        <item x="485"/>
        <item x="78"/>
        <item x="436"/>
        <item x="502"/>
        <item x="422"/>
        <item x="555"/>
        <item x="42"/>
        <item x="120"/>
        <item x="538"/>
        <item x="338"/>
        <item x="299"/>
        <item x="385"/>
        <item x="271"/>
        <item x="136"/>
        <item x="439"/>
        <item x="458"/>
        <item x="162"/>
        <item x="84"/>
        <item x="45"/>
        <item x="328"/>
        <item x="208"/>
        <item x="364"/>
        <item x="196"/>
        <item x="90"/>
        <item x="491"/>
        <item x="510"/>
        <item x="520"/>
        <item x="107"/>
        <item x="235"/>
        <item x="433"/>
        <item x="541"/>
        <item x="391"/>
        <item x="368"/>
        <item x="127"/>
        <item x="55"/>
        <item x="86"/>
        <item x="82"/>
        <item x="381"/>
        <item x="603"/>
        <item x="369"/>
        <item x="343"/>
        <item x="544"/>
        <item x="319"/>
        <item x="193"/>
        <item x="311"/>
        <item x="216"/>
        <item x="98"/>
        <item x="236"/>
        <item x="234"/>
        <item x="611"/>
        <item x="301"/>
        <item x="480"/>
        <item x="457"/>
        <item x="434"/>
        <item x="38"/>
        <item x="40"/>
        <item x="451"/>
        <item x="324"/>
        <item x="528"/>
        <item x="357"/>
        <item x="335"/>
        <item x="91"/>
        <item x="527"/>
        <item x="463"/>
        <item x="312"/>
        <item x="58"/>
        <item x="266"/>
        <item x="552"/>
        <item x="346"/>
        <item x="12"/>
        <item x="490"/>
        <item x="486"/>
        <item x="225"/>
        <item x="173"/>
        <item x="575"/>
        <item x="591"/>
        <item x="224"/>
        <item x="484"/>
        <item x="365"/>
        <item x="474"/>
        <item x="413"/>
        <item x="288"/>
        <item x="206"/>
        <item x="562"/>
        <item x="51"/>
        <item x="339"/>
        <item x="337"/>
        <item x="317"/>
        <item x="285"/>
        <item x="186"/>
        <item x="363"/>
        <item x="384"/>
        <item x="191"/>
        <item x="281"/>
        <item x="227"/>
        <item x="15"/>
        <item x="79"/>
        <item x="112"/>
        <item x="255"/>
        <item x="219"/>
        <item x="267"/>
        <item x="117"/>
        <item x="278"/>
        <item x="275"/>
        <item x="306"/>
        <item x="239"/>
        <item x="139"/>
        <item x="453"/>
        <item x="440"/>
        <item x="569"/>
        <item x="437"/>
        <item x="530"/>
        <item x="257"/>
        <item x="445"/>
        <item x="156"/>
        <item x="273"/>
        <item x="423"/>
        <item x="473"/>
        <item x="295"/>
        <item x="404"/>
        <item x="524"/>
        <item x="71"/>
        <item x="454"/>
        <item x="570"/>
        <item x="282"/>
        <item x="582"/>
        <item x="605"/>
        <item x="462"/>
        <item x="250"/>
        <item x="178"/>
        <item x="376"/>
        <item x="539"/>
        <item x="367"/>
        <item x="361"/>
        <item x="465"/>
        <item x="18"/>
        <item x="424"/>
        <item x="175"/>
        <item x="550"/>
        <item x="495"/>
        <item x="168"/>
        <item x="347"/>
        <item x="53"/>
        <item x="352"/>
        <item x="54"/>
        <item x="72"/>
        <item x="316"/>
        <item x="476"/>
        <item x="355"/>
        <item x="154"/>
        <item x="509"/>
        <item x="223"/>
        <item x="240"/>
        <item x="456"/>
        <item x="590"/>
        <item x="304"/>
        <item x="595"/>
        <item x="119"/>
        <item x="66"/>
        <item x="446"/>
        <item x="334"/>
        <item x="371"/>
        <item x="507"/>
        <item x="200"/>
        <item x="584"/>
        <item x="390"/>
        <item x="284"/>
        <item x="9"/>
        <item x="556"/>
        <item x="345"/>
        <item x="566"/>
        <item x="468"/>
        <item x="116"/>
        <item x="177"/>
        <item x="554"/>
        <item x="386"/>
        <item x="272"/>
        <item x="204"/>
        <item x="349"/>
        <item x="64"/>
        <item x="243"/>
        <item x="149"/>
        <item x="237"/>
        <item x="176"/>
        <item x="159"/>
        <item x="2"/>
        <item x="164"/>
        <item x="59"/>
        <item x="448"/>
        <item x="251"/>
        <item x="130"/>
        <item x="435"/>
        <item x="597"/>
        <item x="418"/>
        <item x="194"/>
        <item x="531"/>
        <item x="203"/>
        <item x="170"/>
        <item x="83"/>
        <item x="537"/>
        <item x="57"/>
        <item x="472"/>
        <item x="559"/>
        <item x="246"/>
        <item x="146"/>
        <item x="417"/>
        <item x="63"/>
        <item x="612"/>
        <item x="492"/>
        <item x="432"/>
        <item x="140"/>
        <item x="425"/>
        <item x="394"/>
        <item x="199"/>
        <item x="189"/>
        <item x="483"/>
        <item x="461"/>
        <item x="279"/>
        <item x="322"/>
        <item x="300"/>
        <item x="245"/>
        <item x="505"/>
        <item x="148"/>
        <item x="69"/>
        <item x="400"/>
        <item x="330"/>
        <item x="613"/>
        <item x="323"/>
        <item t="default"/>
      </items>
    </pivotField>
    <pivotField showAll="0"/>
    <pivotField numFmtId="1" showAll="0"/>
    <pivotField showAll="0"/>
    <pivotField numFmtId="14" showAll="0"/>
    <pivotField numFmtId="1" showAll="0"/>
    <pivotField numFmtI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dataFields count="5">
    <dataField name="Promedio de Edad" fld="12" subtotal="average" baseField="0" baseItem="0"/>
    <dataField name="Mín. de Edad" fld="12" subtotal="min" baseField="0" baseItem="1"/>
    <dataField name="Máx. de Edad" fld="12" subtotal="max" baseField="0" baseItem="1"/>
    <dataField name="Desvest de Edad" fld="12" subtotal="stdDev" baseField="0" baseItem="1"/>
    <dataField name="Var de Edad" fld="12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F2F3942-3224-4903-B9DE-19DA3ED702B4}" autoFormatId="16" applyNumberFormats="0" applyBorderFormats="0" applyFontFormats="0" applyPatternFormats="0" applyAlignmentFormats="0" applyWidthHeightFormats="0">
  <queryTableRefresh nextId="20" unboundColumnsRight="3">
    <queryTableFields count="19">
      <queryTableField id="1" name="ID usuario" tableColumnId="1"/>
      <queryTableField id="2" name="Número de serie" tableColumnId="2"/>
      <queryTableField id="3" name="Tipo de suscripción" tableColumnId="3"/>
      <queryTableField id="4" name="Ingresos mensuales" tableColumnId="4"/>
      <queryTableField id="5" name="Fecha ingreso" tableColumnId="5"/>
      <queryTableField id="19" dataBound="0" tableColumnId="19"/>
      <queryTableField id="18" dataBound="0" tableColumnId="13"/>
      <queryTableField id="17" dataBound="0" tableColumnId="12"/>
      <queryTableField id="6" name="Fecha último pago" tableColumnId="6"/>
      <queryTableField id="15" dataBound="0" tableColumnId="17"/>
      <queryTableField id="16" dataBound="0" tableColumnId="18"/>
      <queryTableField id="7" name="País" tableColumnId="7"/>
      <queryTableField id="8" name="Edad" tableColumnId="8"/>
      <queryTableField id="9" name="Género" tableColumnId="9"/>
      <queryTableField id="10" name="Dispositivo" tableColumnId="10"/>
      <queryTableField id="11" name="Duración del plan" tableColumnId="11"/>
      <queryTableField id="13" dataBound="0" tableColumnId="15"/>
      <queryTableField id="14" dataBound="0" tableColumnId="16"/>
      <queryTableField id="12" dataBound="0" tableColumnId="14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de_suscripción" xr10:uid="{DC3CF0DF-8AC6-4CCF-8CD9-9F2C9C71C106}" sourceName="Tipo de suscripción">
  <pivotTables>
    <pivotTable tabId="6" name="Tipo_Sub"/>
    <pivotTable tabId="6" name="KPIs_1"/>
    <pivotTable tabId="6" name="KPIs_2"/>
    <pivotTable tabId="6" name="KPIs_3"/>
    <pivotTable tabId="6" name="TablaDinámica1"/>
    <pivotTable tabId="6" name="TablaDinámica11"/>
    <pivotTable tabId="6" name="TablaDinámica13"/>
    <pivotTable tabId="6" name="TablaDinámica3"/>
    <pivotTable tabId="6" name="TablaDinámica5"/>
    <pivotTable tabId="6" name="TablaDinámica7"/>
    <pivotTable tabId="6" name="TablaDinámica9"/>
  </pivotTables>
  <data>
    <tabular pivotCacheId="296073706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_suscripción" xr10:uid="{FBC690FE-3B9A-423D-A28E-77B7C19DE96B}" sourceName="Mes suscripción">
  <pivotTables>
    <pivotTable tabId="6" name="Tipo_Sub"/>
    <pivotTable tabId="6" name="KPIs_1"/>
    <pivotTable tabId="6" name="KPIs_2"/>
    <pivotTable tabId="6" name="KPIs_3"/>
    <pivotTable tabId="6" name="TablaDinámica1"/>
    <pivotTable tabId="6" name="TablaDinámica11"/>
    <pivotTable tabId="6" name="TablaDinámica13"/>
    <pivotTable tabId="6" name="TablaDinámica3"/>
    <pivotTable tabId="6" name="TablaDinámica5"/>
    <pivotTable tabId="6" name="TablaDinámica7"/>
    <pivotTable tabId="6" name="TablaDinámica9"/>
  </pivotTables>
  <data>
    <tabular pivotCacheId="296073706">
      <items count="12">
        <i x="8" s="1"/>
        <i x="10" s="1"/>
        <i x="0" s="1"/>
        <i x="2" s="1"/>
        <i x="11" s="1"/>
        <i x="5" s="1"/>
        <i x="6" s="1"/>
        <i x="9" s="1"/>
        <i x="4" s="1"/>
        <i x="7" s="1"/>
        <i x="3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_suscripción" xr10:uid="{D47F59D1-2864-4296-B575-A677561BBA8B}" sourceName="Año suscripción">
  <pivotTables>
    <pivotTable tabId="6" name="Tipo_Sub"/>
    <pivotTable tabId="6" name="KPIs_1"/>
    <pivotTable tabId="6" name="KPIs_2"/>
    <pivotTable tabId="6" name="KPIs_3"/>
    <pivotTable tabId="6" name="TablaDinámica1"/>
    <pivotTable tabId="6" name="TablaDinámica11"/>
    <pivotTable tabId="6" name="TablaDinámica13"/>
    <pivotTable tabId="6" name="TablaDinámica3"/>
    <pivotTable tabId="6" name="TablaDinámica5"/>
    <pivotTable tabId="6" name="TablaDinámica7"/>
    <pivotTable tabId="6" name="TablaDinámica9"/>
  </pivotTables>
  <data>
    <tabular pivotCacheId="296073706">
      <items count="4">
        <i x="1" s="1"/>
        <i x="3" s="1"/>
        <i x="0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dad" xr10:uid="{806839B3-7F39-4846-BFF1-7487AC93CEBD}" sourceName="Edad">
  <pivotTables>
    <pivotTable tabId="6" name="Tipo_Sub"/>
    <pivotTable tabId="6" name="KPIs_1"/>
    <pivotTable tabId="6" name="KPIs_2"/>
    <pivotTable tabId="6" name="KPIs_3"/>
    <pivotTable tabId="6" name="TablaDinámica1"/>
    <pivotTable tabId="6" name="TablaDinámica11"/>
    <pivotTable tabId="6" name="TablaDinámica13"/>
    <pivotTable tabId="6" name="TablaDinámica3"/>
    <pivotTable tabId="6" name="TablaDinámica5"/>
    <pivotTable tabId="6" name="TablaDinámica7"/>
    <pivotTable tabId="6" name="TablaDinámica9"/>
  </pivotTables>
  <data>
    <tabular pivotCacheId="296073706">
      <items count="8">
        <i x="1" s="1"/>
        <i x="2" s="1"/>
        <i x="3" s="1"/>
        <i x="4" s="1"/>
        <i x="5" s="1"/>
        <i x="6" s="1"/>
        <i x="0" s="1" nd="1"/>
        <i x="7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Género" xr10:uid="{3AB24A3C-E21E-4EFF-906F-AD8DA979C2A5}" sourceName="Género">
  <pivotTables>
    <pivotTable tabId="6" name="Tipo_Sub"/>
    <pivotTable tabId="6" name="KPIs_1"/>
    <pivotTable tabId="6" name="KPIs_2"/>
    <pivotTable tabId="6" name="KPIs_3"/>
    <pivotTable tabId="6" name="TablaDinámica1"/>
    <pivotTable tabId="6" name="TablaDinámica11"/>
    <pivotTable tabId="6" name="TablaDinámica13"/>
    <pivotTable tabId="6" name="TablaDinámica3"/>
    <pivotTable tabId="6" name="TablaDinámica5"/>
    <pivotTable tabId="6" name="TablaDinámica7"/>
    <pivotTable tabId="6" name="TablaDinámica9"/>
  </pivotTables>
  <data>
    <tabular pivotCacheId="296073706">
      <items count="3">
        <i x="2" s="1"/>
        <i x="0" s="1"/>
        <i x="1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positivo" xr10:uid="{5A57DAF4-B5B0-4B67-82B6-206BB94E86CC}" sourceName="Dispositivo">
  <pivotTables>
    <pivotTable tabId="6" name="Tipo_Sub"/>
    <pivotTable tabId="6" name="KPIs_1"/>
    <pivotTable tabId="6" name="KPIs_2"/>
    <pivotTable tabId="6" name="KPIs_3"/>
    <pivotTable tabId="6" name="TablaDinámica1"/>
    <pivotTable tabId="6" name="TablaDinámica11"/>
    <pivotTable tabId="6" name="TablaDinámica13"/>
    <pivotTable tabId="6" name="TablaDinámica3"/>
    <pivotTable tabId="6" name="TablaDinámica5"/>
    <pivotTable tabId="6" name="TablaDinámica7"/>
    <pivotTable tabId="6" name="TablaDinámica9"/>
  </pivotTables>
  <data>
    <tabular pivotCacheId="296073706">
      <items count="3"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de suscripción" xr10:uid="{8D64F7BE-8EA8-4FFA-97B8-1800287381E9}" cache="SegmentaciónDeDatos_Tipo_de_suscripción" caption="Tipo de suscripción" style="SlicerStyleLight4" rowHeight="241300"/>
  <slicer name="Mes suscripción" xr10:uid="{A3878E8C-A96A-463A-9B1A-EA3D33A3D7FE}" cache="SegmentaciónDeDatos_Mes_suscripción" caption="Mes suscripción" columnCount="2" style="SlicerStyleLight4" rowHeight="241300"/>
  <slicer name="Año suscripción" xr10:uid="{2204A811-1301-4AAF-B9F2-32676E2F66D4}" cache="SegmentaciónDeDatos_Año_suscripción" caption="Año suscripción" style="SlicerStyleLight4" rowHeight="241300"/>
  <slicer name="Edad" xr10:uid="{4C885825-3408-4E07-9D41-4F8AABCC8809}" cache="SegmentaciónDeDatos_Edad" caption="Edad" columnCount="2" style="SlicerStyleLight4" rowHeight="241300"/>
  <slicer name="Género" xr10:uid="{6737FEFE-3DD1-4B21-9558-D765DAF43247}" cache="SegmentaciónDeDatos_Género" caption="Género" style="SlicerStyleLight4" rowHeight="241300"/>
  <slicer name="Dispositivo" xr10:uid="{E2258F7C-CAC8-4100-AF40-A94BA26D7E98}" cache="SegmentaciónDeDatos_Dispositivo" caption="Dispositivo" style="SlicerStyleLight4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de suscripción 1" xr10:uid="{5E4342DF-13E7-4F11-AA43-F777620CC038}" cache="SegmentaciónDeDatos_Tipo_de_suscripción" caption="Tipo de suscripción" style="SlicerStyleLight4" rowHeight="241300"/>
  <slicer name="Mes suscripción 1" xr10:uid="{D1F1BBA5-F3E1-41C1-94C5-CF9F8CA3518C}" cache="SegmentaciónDeDatos_Mes_suscripción" caption="Mes suscripción" columnCount="2" style="SlicerStyleLight4" rowHeight="241300"/>
  <slicer name="Año suscripción 1" xr10:uid="{6477B259-1572-4E39-96A2-8856B5D97FF0}" cache="SegmentaciónDeDatos_Año_suscripción" caption="Año suscripción" style="SlicerStyleLight4" rowHeight="241300"/>
  <slicer name="Edad 1" xr10:uid="{95EC9104-FEC3-4667-A6BF-39E2FE232033}" cache="SegmentaciónDeDatos_Edad" caption="Edad" columnCount="2" style="SlicerStyleLight4" rowHeight="241300"/>
  <slicer name="Género 1" xr10:uid="{12E60DB5-043E-41E5-B41F-7D24C13FD1FE}" cache="SegmentaciónDeDatos_Género" caption="Género" style="SlicerStyleLight4" rowHeight="241300"/>
  <slicer name="Dispositivo 1" xr10:uid="{538DA81F-BD81-417F-ABD5-875D8870E4D7}" cache="SegmentaciónDeDatos_Dispositivo" caption="Dispositivo" style="SlicerStyleLight4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90B76-EE38-41D5-9F94-431C8677958D}" name="Sheet1" displayName="Sheet1" ref="A1:S906" tableType="queryTable" totalsRowShown="0">
  <autoFilter ref="A1:S906" xr:uid="{77790B76-EE38-41D5-9F94-431C8677958D}"/>
  <tableColumns count="19">
    <tableColumn id="1" xr3:uid="{6C336AC5-2DEA-4092-8F91-7887554E0D6D}" uniqueName="1" name="ID usuario" queryTableFieldId="1" dataDxfId="21"/>
    <tableColumn id="2" xr3:uid="{8DEA9283-EB70-48EE-8EB0-B464EA5EF288}" uniqueName="2" name="Número de serie" queryTableFieldId="2" dataDxfId="20"/>
    <tableColumn id="3" xr3:uid="{1DD31317-BEC5-4F0C-9381-3154AD1C17F3}" uniqueName="3" name="Tipo de suscripción" queryTableFieldId="3" dataDxfId="19"/>
    <tableColumn id="4" xr3:uid="{3ECE882D-E65A-4FCA-BBCE-716405D18768}" uniqueName="4" name="Ingresos mensuales" queryTableFieldId="4"/>
    <tableColumn id="5" xr3:uid="{7625FC88-A995-45E2-97B6-9BED5EC66A3F}" uniqueName="5" name="Fecha ingreso" queryTableFieldId="5" dataDxfId="18"/>
    <tableColumn id="19" xr3:uid="{9E430C7E-B717-4DA4-B0B3-767446D308F6}" uniqueName="19" name="Mes suscripción" queryTableFieldId="19" dataDxfId="17">
      <calculatedColumnFormula>TEXT(Sheet1[[#This Row],[Fecha ingreso]],"mmmm")</calculatedColumnFormula>
    </tableColumn>
    <tableColumn id="13" xr3:uid="{1DE28580-1619-4C74-8D75-8C7C48917F23}" uniqueName="13" name="Año suscripción" queryTableFieldId="18" dataDxfId="16">
      <calculatedColumnFormula>YEAR(Sheet1[[#This Row],[Fecha ingreso]])</calculatedColumnFormula>
    </tableColumn>
    <tableColumn id="12" xr3:uid="{61403D2A-37F6-44EE-9537-BFC5F413EE87}" uniqueName="12" name="Semana ingreso" queryTableFieldId="17" dataDxfId="15">
      <calculatedColumnFormula>TEXT(Sheet1[[#This Row],[Fecha ingreso]],"dddd")</calculatedColumnFormula>
    </tableColumn>
    <tableColumn id="6" xr3:uid="{B96EE180-2407-4B0C-B111-36693A772D01}" uniqueName="6" name="Fecha último pago" queryTableFieldId="6" dataDxfId="14"/>
    <tableColumn id="17" xr3:uid="{1764B836-5121-4C48-9522-8346AF9BB75D}" uniqueName="17" name="Meses contratados" queryTableFieldId="15" dataDxfId="13">
      <calculatedColumnFormula>DATEDIF(Sheet1[[#This Row],[Fecha ingreso]],Sheet1[[#This Row],[Fecha último pago]],"M")+1</calculatedColumnFormula>
    </tableColumn>
    <tableColumn id="18" xr3:uid="{5757A6E7-82B3-4321-A41C-4345F184C1BF}" uniqueName="18" name="Ingresos totales" queryTableFieldId="16" dataDxfId="12">
      <calculatedColumnFormula>Sheet1[[#This Row],[Ingresos mensuales]]*Sheet1[[#This Row],[Meses contratados]]</calculatedColumnFormula>
    </tableColumn>
    <tableColumn id="7" xr3:uid="{C5811399-EE62-4810-BE50-4708B5A80650}" uniqueName="7" name="País" queryTableFieldId="7" dataDxfId="11"/>
    <tableColumn id="8" xr3:uid="{43D7FBED-F215-4807-827F-6ACE8285D904}" uniqueName="8" name="Edad" queryTableFieldId="8"/>
    <tableColumn id="9" xr3:uid="{CE8900B2-D298-4B97-976E-8A9340E06DB9}" uniqueName="9" name="Género" queryTableFieldId="9" dataDxfId="10"/>
    <tableColumn id="10" xr3:uid="{A75B3985-3D17-4FD6-9980-8FA0EA3708F0}" uniqueName="10" name="Dispositivo" queryTableFieldId="10" dataDxfId="9"/>
    <tableColumn id="11" xr3:uid="{98EDB6E4-AD7D-4FEF-BC4C-E6C936ED1DF4}" uniqueName="11" name="Duración del plan" queryTableFieldId="11" dataDxfId="8"/>
    <tableColumn id="15" xr3:uid="{702ADBF9-FE43-4A35-ABD6-05D1495B87AA}" uniqueName="15" name="Duración del plan (Mes)" queryTableFieldId="13" dataDxfId="7">
      <calculatedColumnFormula array="1">_xlfn.IFS(P2="2 Years", 24,P2="1 Year",12, P2="6 Months",6, P2="1 Month",1)</calculatedColumnFormula>
    </tableColumn>
    <tableColumn id="16" xr3:uid="{AFE29C69-A659-4DE6-AF95-2293050E2E58}" uniqueName="16" name="Plan duración" queryTableFieldId="14" dataDxfId="6">
      <calculatedColumnFormula array="1">_xlfn.IFS(Q2=1,"Mensual",Q2=6,"Semestral",Q2=12,"Anual",Q2=24,"Bienal")</calculatedColumnFormula>
    </tableColumn>
    <tableColumn id="14" xr3:uid="{16076FCF-559C-47F5-9E23-D2287E180385}" uniqueName="14" name="Duplicados" queryTableFieldId="12" dataDxfId="5">
      <calculatedColumnFormula>IFERROR(VLOOKUP(Sheet1[[#This Row],[ID usuario]],A3:$A$907,1,FALSE),0)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7.xml"/><Relationship Id="rId13" Type="http://schemas.microsoft.com/office/2007/relationships/slicer" Target="../slicers/slicer1.xml"/><Relationship Id="rId3" Type="http://schemas.openxmlformats.org/officeDocument/2006/relationships/pivotTable" Target="../pivotTables/pivotTable22.xml"/><Relationship Id="rId7" Type="http://schemas.openxmlformats.org/officeDocument/2006/relationships/pivotTable" Target="../pivotTables/pivotTable26.xml"/><Relationship Id="rId12" Type="http://schemas.openxmlformats.org/officeDocument/2006/relationships/drawing" Target="../drawings/drawing2.xml"/><Relationship Id="rId2" Type="http://schemas.openxmlformats.org/officeDocument/2006/relationships/pivotTable" Target="../pivotTables/pivotTable21.xml"/><Relationship Id="rId1" Type="http://schemas.openxmlformats.org/officeDocument/2006/relationships/pivotTable" Target="../pivotTables/pivotTable20.xml"/><Relationship Id="rId6" Type="http://schemas.openxmlformats.org/officeDocument/2006/relationships/pivotTable" Target="../pivotTables/pivotTable25.xml"/><Relationship Id="rId11" Type="http://schemas.openxmlformats.org/officeDocument/2006/relationships/pivotTable" Target="../pivotTables/pivotTable30.xml"/><Relationship Id="rId5" Type="http://schemas.openxmlformats.org/officeDocument/2006/relationships/pivotTable" Target="../pivotTables/pivotTable24.xml"/><Relationship Id="rId10" Type="http://schemas.openxmlformats.org/officeDocument/2006/relationships/pivotTable" Target="../pivotTables/pivotTable29.xml"/><Relationship Id="rId4" Type="http://schemas.openxmlformats.org/officeDocument/2006/relationships/pivotTable" Target="../pivotTables/pivotTable23.xml"/><Relationship Id="rId9" Type="http://schemas.openxmlformats.org/officeDocument/2006/relationships/pivotTable" Target="../pivotTables/pivotTable2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5" Type="http://schemas.microsoft.com/office/2007/relationships/slicer" Target="../slicers/slicer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4FC1-72AE-40D5-8046-8C7FA4ECE6F2}">
  <sheetPr codeName="Hoja1"/>
  <dimension ref="A1:S906"/>
  <sheetViews>
    <sheetView workbookViewId="0">
      <selection activeCell="U7" sqref="U7"/>
    </sheetView>
  </sheetViews>
  <sheetFormatPr baseColWidth="10" defaultRowHeight="15" x14ac:dyDescent="0.25"/>
  <cols>
    <col min="1" max="1" width="38" bestFit="1" customWidth="1"/>
    <col min="2" max="2" width="38.42578125" bestFit="1" customWidth="1"/>
    <col min="3" max="3" width="20.28515625" bestFit="1" customWidth="1"/>
    <col min="4" max="4" width="20.85546875" bestFit="1" customWidth="1"/>
    <col min="5" max="5" width="15.42578125" style="1" customWidth="1"/>
    <col min="6" max="6" width="18.42578125" style="1" hidden="1" customWidth="1"/>
    <col min="7" max="7" width="9" style="2" hidden="1" customWidth="1"/>
    <col min="8" max="8" width="17.42578125" customWidth="1"/>
    <col min="9" max="9" width="20" customWidth="1"/>
    <col min="10" max="10" width="13.140625" bestFit="1" customWidth="1"/>
    <col min="11" max="11" width="18.85546875" hidden="1" customWidth="1"/>
    <col min="12" max="12" width="24.7109375" hidden="1" customWidth="1"/>
    <col min="13" max="13" width="10.28515625" customWidth="1"/>
    <col min="14" max="14" width="11" customWidth="1"/>
    <col min="15" max="15" width="13.42578125" customWidth="1"/>
    <col min="16" max="16" width="3.140625" hidden="1" customWidth="1"/>
    <col min="17" max="17" width="10.85546875" hidden="1" customWidth="1"/>
    <col min="19" max="19" width="0" hidden="1" customWidth="1"/>
  </cols>
  <sheetData>
    <row r="1" spans="1:19" x14ac:dyDescent="0.25">
      <c r="A1" t="s">
        <v>1834</v>
      </c>
      <c r="B1" t="s">
        <v>1830</v>
      </c>
      <c r="C1" t="s">
        <v>1831</v>
      </c>
      <c r="D1" t="s">
        <v>1840</v>
      </c>
      <c r="E1" t="s">
        <v>1832</v>
      </c>
      <c r="F1" t="s">
        <v>1852</v>
      </c>
      <c r="G1" s="2" t="s">
        <v>1853</v>
      </c>
      <c r="H1" s="1" t="s">
        <v>1847</v>
      </c>
      <c r="I1" t="s">
        <v>1833</v>
      </c>
      <c r="J1" s="2" t="s">
        <v>1845</v>
      </c>
      <c r="K1" s="2" t="s">
        <v>1846</v>
      </c>
      <c r="L1" t="s">
        <v>1835</v>
      </c>
      <c r="M1" t="s">
        <v>1836</v>
      </c>
      <c r="N1" t="s">
        <v>1837</v>
      </c>
      <c r="O1" t="s">
        <v>1838</v>
      </c>
      <c r="P1" t="s">
        <v>1839</v>
      </c>
      <c r="Q1" t="s">
        <v>1843</v>
      </c>
      <c r="R1" t="s">
        <v>1844</v>
      </c>
      <c r="S1" t="s">
        <v>1842</v>
      </c>
    </row>
    <row r="2" spans="1:19" x14ac:dyDescent="0.25">
      <c r="A2" t="s">
        <v>0</v>
      </c>
      <c r="B2" t="s">
        <v>905</v>
      </c>
      <c r="C2" t="s">
        <v>1810</v>
      </c>
      <c r="D2">
        <v>68.78</v>
      </c>
      <c r="E2" s="1">
        <v>44999</v>
      </c>
      <c r="F2" s="1" t="str">
        <f>TEXT(Sheet1[[#This Row],[Fecha ingreso]],"mmmm")</f>
        <v>marzo</v>
      </c>
      <c r="G2" s="2">
        <f>YEAR(Sheet1[[#This Row],[Fecha ingreso]])</f>
        <v>2023</v>
      </c>
      <c r="H2" s="1" t="str">
        <f>TEXT(Sheet1[[#This Row],[Fecha ingreso]],"dddd")</f>
        <v>martes</v>
      </c>
      <c r="I2" s="1">
        <v>45359</v>
      </c>
      <c r="J2" s="2">
        <f>DATEDIF(Sheet1[[#This Row],[Fecha ingreso]],Sheet1[[#This Row],[Fecha último pago]],"M")+1</f>
        <v>12</v>
      </c>
      <c r="K2" s="2">
        <f>Sheet1[[#This Row],[Ingresos mensuales]]*Sheet1[[#This Row],[Meses contratados]]</f>
        <v>825.36</v>
      </c>
      <c r="L2" t="s">
        <v>1813</v>
      </c>
      <c r="M2">
        <v>22</v>
      </c>
      <c r="N2" t="s">
        <v>1820</v>
      </c>
      <c r="O2" t="s">
        <v>1823</v>
      </c>
      <c r="P2" t="s">
        <v>1826</v>
      </c>
      <c r="Q2" cm="1">
        <f t="array" ref="Q2">_xlfn.IFS(P2="2 Years", 24,P2="1 Year",12, P2="6 Months",6, P2="1 Month",1)</f>
        <v>24</v>
      </c>
      <c r="R2" t="str" cm="1">
        <f t="array" ref="R2">_xlfn.IFS(Q2=1,"Mensual",Q2=6,"Semestral",Q2=12,"Anual",Q2=24,"Bienal")</f>
        <v>Bienal</v>
      </c>
      <c r="S2">
        <f>IFERROR(VLOOKUP(Sheet1[[#This Row],[ID usuario]],A3:$A$907,1,FALSE),0)</f>
        <v>0</v>
      </c>
    </row>
    <row r="3" spans="1:19" x14ac:dyDescent="0.25">
      <c r="A3" t="s">
        <v>1</v>
      </c>
      <c r="B3" t="s">
        <v>906</v>
      </c>
      <c r="C3" t="s">
        <v>1811</v>
      </c>
      <c r="D3">
        <v>37.75</v>
      </c>
      <c r="E3" s="1">
        <v>44547</v>
      </c>
      <c r="F3" s="1" t="str">
        <f>TEXT(Sheet1[[#This Row],[Fecha ingreso]],"mmmm")</f>
        <v>diciembre</v>
      </c>
      <c r="G3" s="2">
        <f>YEAR(Sheet1[[#This Row],[Fecha ingreso]])</f>
        <v>2021</v>
      </c>
      <c r="H3" s="1" t="str">
        <f>TEXT(Sheet1[[#This Row],[Fecha ingreso]],"dddd")</f>
        <v>viernes</v>
      </c>
      <c r="I3" s="1">
        <v>44944</v>
      </c>
      <c r="J3" s="2">
        <f>DATEDIF(Sheet1[[#This Row],[Fecha ingreso]],Sheet1[[#This Row],[Fecha último pago]],"M")+1</f>
        <v>14</v>
      </c>
      <c r="K3" s="2">
        <f>Sheet1[[#This Row],[Ingresos mensuales]]*Sheet1[[#This Row],[Meses contratados]]</f>
        <v>528.5</v>
      </c>
      <c r="L3" t="s">
        <v>1814</v>
      </c>
      <c r="M3">
        <v>25</v>
      </c>
      <c r="N3" t="s">
        <v>1821</v>
      </c>
      <c r="O3" t="s">
        <v>1824</v>
      </c>
      <c r="P3" t="s">
        <v>1827</v>
      </c>
      <c r="Q3" cm="1">
        <f t="array" ref="Q3">_xlfn.IFS(P3="2 Years", 24,P3="1 Year",12, P3="6 Months",6, P3="1 Month",1)</f>
        <v>12</v>
      </c>
      <c r="R3" t="str" cm="1">
        <f t="array" ref="R3">_xlfn.IFS(Q3=1,"Mensual",Q3=6,"Semestral",Q3=12,"Anual",Q3=24,"Bienal")</f>
        <v>Anual</v>
      </c>
      <c r="S3">
        <f>IFERROR(VLOOKUP(Sheet1[[#This Row],[ID usuario]],A4:$A$907,1,FALSE),0)</f>
        <v>0</v>
      </c>
    </row>
    <row r="4" spans="1:19" x14ac:dyDescent="0.25">
      <c r="A4" t="s">
        <v>2</v>
      </c>
      <c r="B4" t="s">
        <v>907</v>
      </c>
      <c r="C4" t="s">
        <v>1810</v>
      </c>
      <c r="D4">
        <v>72.81</v>
      </c>
      <c r="E4" s="1">
        <v>45386</v>
      </c>
      <c r="F4" s="1" t="str">
        <f>TEXT(Sheet1[[#This Row],[Fecha ingreso]],"mmmm")</f>
        <v>abril</v>
      </c>
      <c r="G4" s="2">
        <f>YEAR(Sheet1[[#This Row],[Fecha ingreso]])</f>
        <v>2024</v>
      </c>
      <c r="H4" s="1" t="str">
        <f>TEXT(Sheet1[[#This Row],[Fecha ingreso]],"dddd")</f>
        <v>jueves</v>
      </c>
      <c r="I4" s="1">
        <v>45440</v>
      </c>
      <c r="J4" s="2">
        <f>DATEDIF(Sheet1[[#This Row],[Fecha ingreso]],Sheet1[[#This Row],[Fecha último pago]],"M")+1</f>
        <v>2</v>
      </c>
      <c r="K4" s="2">
        <f>Sheet1[[#This Row],[Ingresos mensuales]]*Sheet1[[#This Row],[Meses contratados]]</f>
        <v>145.62</v>
      </c>
      <c r="L4" t="s">
        <v>1815</v>
      </c>
      <c r="M4">
        <v>60</v>
      </c>
      <c r="N4" t="s">
        <v>1821</v>
      </c>
      <c r="O4" t="s">
        <v>1825</v>
      </c>
      <c r="P4" t="s">
        <v>1828</v>
      </c>
      <c r="Q4" cm="1">
        <f t="array" ref="Q4">_xlfn.IFS(P4="2 Years", 24,P4="1 Year",12, P4="6 Months",6, P4="1 Month",1)</f>
        <v>6</v>
      </c>
      <c r="R4" t="str" cm="1">
        <f t="array" ref="R4">_xlfn.IFS(Q4=1,"Mensual",Q4=6,"Semestral",Q4=12,"Anual",Q4=24,"Bienal")</f>
        <v>Semestral</v>
      </c>
      <c r="S4">
        <f>IFERROR(VLOOKUP(Sheet1[[#This Row],[ID usuario]],A5:$A$907,1,FALSE),0)</f>
        <v>0</v>
      </c>
    </row>
    <row r="5" spans="1:19" x14ac:dyDescent="0.25">
      <c r="A5" t="s">
        <v>3</v>
      </c>
      <c r="B5" t="s">
        <v>908</v>
      </c>
      <c r="C5" t="s">
        <v>1811</v>
      </c>
      <c r="D5">
        <v>65.72</v>
      </c>
      <c r="E5" s="1">
        <v>44900</v>
      </c>
      <c r="F5" s="1" t="str">
        <f>TEXT(Sheet1[[#This Row],[Fecha ingreso]],"mmmm")</f>
        <v>diciembre</v>
      </c>
      <c r="G5" s="2">
        <f>YEAR(Sheet1[[#This Row],[Fecha ingreso]])</f>
        <v>2022</v>
      </c>
      <c r="H5" s="1" t="str">
        <f>TEXT(Sheet1[[#This Row],[Fecha ingreso]],"dddd")</f>
        <v>lunes</v>
      </c>
      <c r="I5" s="1">
        <v>45236</v>
      </c>
      <c r="J5" s="2">
        <f>DATEDIF(Sheet1[[#This Row],[Fecha ingreso]],Sheet1[[#This Row],[Fecha último pago]],"M")+1</f>
        <v>12</v>
      </c>
      <c r="K5" s="2">
        <f>Sheet1[[#This Row],[Ingresos mensuales]]*Sheet1[[#This Row],[Meses contratados]]</f>
        <v>788.64</v>
      </c>
      <c r="L5" t="s">
        <v>1815</v>
      </c>
      <c r="M5">
        <v>47</v>
      </c>
      <c r="N5" t="s">
        <v>1822</v>
      </c>
      <c r="O5" t="s">
        <v>1824</v>
      </c>
      <c r="P5" t="s">
        <v>1828</v>
      </c>
      <c r="Q5" cm="1">
        <f t="array" ref="Q5">_xlfn.IFS(P5="2 Years", 24,P5="1 Year",12, P5="6 Months",6, P5="1 Month",1)</f>
        <v>6</v>
      </c>
      <c r="R5" t="str" cm="1">
        <f t="array" ref="R5">_xlfn.IFS(Q5=1,"Mensual",Q5=6,"Semestral",Q5=12,"Anual",Q5=24,"Bienal")</f>
        <v>Semestral</v>
      </c>
      <c r="S5">
        <f>IFERROR(VLOOKUP(Sheet1[[#This Row],[ID usuario]],A6:$A$907,1,FALSE),0)</f>
        <v>0</v>
      </c>
    </row>
    <row r="6" spans="1:19" x14ac:dyDescent="0.25">
      <c r="A6" t="s">
        <v>4</v>
      </c>
      <c r="B6" t="s">
        <v>909</v>
      </c>
      <c r="C6" t="s">
        <v>1811</v>
      </c>
      <c r="D6">
        <v>42.92</v>
      </c>
      <c r="E6" s="1">
        <v>44889</v>
      </c>
      <c r="F6" s="1" t="str">
        <f>TEXT(Sheet1[[#This Row],[Fecha ingreso]],"mmmm")</f>
        <v>noviembre</v>
      </c>
      <c r="G6" s="2">
        <f>YEAR(Sheet1[[#This Row],[Fecha ingreso]])</f>
        <v>2022</v>
      </c>
      <c r="H6" s="1" t="str">
        <f>TEXT(Sheet1[[#This Row],[Fecha ingreso]],"dddd")</f>
        <v>jueves</v>
      </c>
      <c r="I6" s="1">
        <v>45186</v>
      </c>
      <c r="J6" s="2">
        <f>DATEDIF(Sheet1[[#This Row],[Fecha ingreso]],Sheet1[[#This Row],[Fecha último pago]],"M")+1</f>
        <v>10</v>
      </c>
      <c r="K6" s="2">
        <f>Sheet1[[#This Row],[Ingresos mensuales]]*Sheet1[[#This Row],[Meses contratados]]</f>
        <v>429.20000000000005</v>
      </c>
      <c r="L6" t="s">
        <v>1814</v>
      </c>
      <c r="M6">
        <v>53</v>
      </c>
      <c r="N6" t="s">
        <v>1822</v>
      </c>
      <c r="O6" t="s">
        <v>1824</v>
      </c>
      <c r="P6" t="s">
        <v>1826</v>
      </c>
      <c r="Q6" cm="1">
        <f t="array" ref="Q6">_xlfn.IFS(P6="2 Years", 24,P6="1 Year",12, P6="6 Months",6, P6="1 Month",1)</f>
        <v>24</v>
      </c>
      <c r="R6" t="str" cm="1">
        <f t="array" ref="R6">_xlfn.IFS(Q6=1,"Mensual",Q6=6,"Semestral",Q6=12,"Anual",Q6=24,"Bienal")</f>
        <v>Bienal</v>
      </c>
      <c r="S6">
        <f>IFERROR(VLOOKUP(Sheet1[[#This Row],[ID usuario]],A7:$A$907,1,FALSE),0)</f>
        <v>0</v>
      </c>
    </row>
    <row r="7" spans="1:19" x14ac:dyDescent="0.25">
      <c r="A7" t="s">
        <v>5</v>
      </c>
      <c r="B7" t="s">
        <v>910</v>
      </c>
      <c r="C7" t="s">
        <v>1812</v>
      </c>
      <c r="D7">
        <v>46.02</v>
      </c>
      <c r="E7" s="1">
        <v>44443</v>
      </c>
      <c r="F7" s="1" t="str">
        <f>TEXT(Sheet1[[#This Row],[Fecha ingreso]],"mmmm")</f>
        <v>septiembre</v>
      </c>
      <c r="G7" s="2">
        <f>YEAR(Sheet1[[#This Row],[Fecha ingreso]])</f>
        <v>2021</v>
      </c>
      <c r="H7" s="1" t="str">
        <f>TEXT(Sheet1[[#This Row],[Fecha ingreso]],"dddd")</f>
        <v>sábado</v>
      </c>
      <c r="I7" s="1">
        <v>44971</v>
      </c>
      <c r="J7" s="2">
        <f>DATEDIF(Sheet1[[#This Row],[Fecha ingreso]],Sheet1[[#This Row],[Fecha último pago]],"M")+1</f>
        <v>18</v>
      </c>
      <c r="K7" s="2">
        <f>Sheet1[[#This Row],[Ingresos mensuales]]*Sheet1[[#This Row],[Meses contratados]]</f>
        <v>828.36</v>
      </c>
      <c r="L7" t="s">
        <v>1816</v>
      </c>
      <c r="M7">
        <v>33</v>
      </c>
      <c r="N7" t="s">
        <v>1822</v>
      </c>
      <c r="O7" t="s">
        <v>1824</v>
      </c>
      <c r="P7" t="s">
        <v>1829</v>
      </c>
      <c r="Q7" cm="1">
        <f t="array" ref="Q7">_xlfn.IFS(P7="2 Years", 24,P7="1 Year",12, P7="6 Months",6, P7="1 Month",1)</f>
        <v>1</v>
      </c>
      <c r="R7" t="str" cm="1">
        <f t="array" ref="R7">_xlfn.IFS(Q7=1,"Mensual",Q7=6,"Semestral",Q7=12,"Anual",Q7=24,"Bienal")</f>
        <v>Mensual</v>
      </c>
      <c r="S7">
        <f>IFERROR(VLOOKUP(Sheet1[[#This Row],[ID usuario]],A8:$A$907,1,FALSE),0)</f>
        <v>0</v>
      </c>
    </row>
    <row r="8" spans="1:19" x14ac:dyDescent="0.25">
      <c r="A8" t="s">
        <v>6</v>
      </c>
      <c r="B8" t="s">
        <v>911</v>
      </c>
      <c r="C8" t="s">
        <v>1810</v>
      </c>
      <c r="D8">
        <v>63.38</v>
      </c>
      <c r="E8" s="1">
        <v>44735</v>
      </c>
      <c r="F8" s="1" t="str">
        <f>TEXT(Sheet1[[#This Row],[Fecha ingreso]],"mmmm")</f>
        <v>junio</v>
      </c>
      <c r="G8" s="2">
        <f>YEAR(Sheet1[[#This Row],[Fecha ingreso]])</f>
        <v>2022</v>
      </c>
      <c r="H8" s="1" t="str">
        <f>TEXT(Sheet1[[#This Row],[Fecha ingreso]],"dddd")</f>
        <v>jueves</v>
      </c>
      <c r="I8" s="1">
        <v>44959</v>
      </c>
      <c r="J8" s="2">
        <f>DATEDIF(Sheet1[[#This Row],[Fecha ingreso]],Sheet1[[#This Row],[Fecha último pago]],"M")+1</f>
        <v>8</v>
      </c>
      <c r="K8" s="2">
        <f>Sheet1[[#This Row],[Ingresos mensuales]]*Sheet1[[#This Row],[Meses contratados]]</f>
        <v>507.04</v>
      </c>
      <c r="L8" t="s">
        <v>1814</v>
      </c>
      <c r="M8">
        <v>64</v>
      </c>
      <c r="N8" t="s">
        <v>1820</v>
      </c>
      <c r="O8" t="s">
        <v>1824</v>
      </c>
      <c r="P8" t="s">
        <v>1827</v>
      </c>
      <c r="Q8" cm="1">
        <f t="array" ref="Q8">_xlfn.IFS(P8="2 Years", 24,P8="1 Year",12, P8="6 Months",6, P8="1 Month",1)</f>
        <v>12</v>
      </c>
      <c r="R8" t="str" cm="1">
        <f t="array" ref="R8">_xlfn.IFS(Q8=1,"Mensual",Q8=6,"Semestral",Q8=12,"Anual",Q8=24,"Bienal")</f>
        <v>Anual</v>
      </c>
      <c r="S8">
        <f>IFERROR(VLOOKUP(Sheet1[[#This Row],[ID usuario]],A9:$A$907,1,FALSE),0)</f>
        <v>0</v>
      </c>
    </row>
    <row r="9" spans="1:19" x14ac:dyDescent="0.25">
      <c r="A9" t="s">
        <v>7</v>
      </c>
      <c r="B9" t="s">
        <v>912</v>
      </c>
      <c r="C9" t="s">
        <v>1812</v>
      </c>
      <c r="D9">
        <v>11.65</v>
      </c>
      <c r="E9" s="1">
        <v>45023</v>
      </c>
      <c r="F9" s="1" t="str">
        <f>TEXT(Sheet1[[#This Row],[Fecha ingreso]],"mmmm")</f>
        <v>abril</v>
      </c>
      <c r="G9" s="2">
        <f>YEAR(Sheet1[[#This Row],[Fecha ingreso]])</f>
        <v>2023</v>
      </c>
      <c r="H9" s="1" t="str">
        <f>TEXT(Sheet1[[#This Row],[Fecha ingreso]],"dddd")</f>
        <v>viernes</v>
      </c>
      <c r="I9" s="1">
        <v>45127</v>
      </c>
      <c r="J9" s="2">
        <f>DATEDIF(Sheet1[[#This Row],[Fecha ingreso]],Sheet1[[#This Row],[Fecha último pago]],"M")+1</f>
        <v>4</v>
      </c>
      <c r="K9" s="2">
        <f>Sheet1[[#This Row],[Ingresos mensuales]]*Sheet1[[#This Row],[Meses contratados]]</f>
        <v>46.6</v>
      </c>
      <c r="L9" t="s">
        <v>1813</v>
      </c>
      <c r="M9">
        <v>63</v>
      </c>
      <c r="N9" t="s">
        <v>1821</v>
      </c>
      <c r="O9" t="s">
        <v>1825</v>
      </c>
      <c r="P9" t="s">
        <v>1829</v>
      </c>
      <c r="Q9" cm="1">
        <f t="array" ref="Q9">_xlfn.IFS(P9="2 Years", 24,P9="1 Year",12, P9="6 Months",6, P9="1 Month",1)</f>
        <v>1</v>
      </c>
      <c r="R9" t="str" cm="1">
        <f t="array" ref="R9">_xlfn.IFS(Q9=1,"Mensual",Q9=6,"Semestral",Q9=12,"Anual",Q9=24,"Bienal")</f>
        <v>Mensual</v>
      </c>
      <c r="S9">
        <f>IFERROR(VLOOKUP(Sheet1[[#This Row],[ID usuario]],A10:$A$907,1,FALSE),0)</f>
        <v>0</v>
      </c>
    </row>
    <row r="10" spans="1:19" x14ac:dyDescent="0.25">
      <c r="A10" t="s">
        <v>8</v>
      </c>
      <c r="B10" t="s">
        <v>913</v>
      </c>
      <c r="C10" t="s">
        <v>1810</v>
      </c>
      <c r="D10">
        <v>83.13</v>
      </c>
      <c r="E10" s="1">
        <v>44405</v>
      </c>
      <c r="F10" s="1" t="str">
        <f>TEXT(Sheet1[[#This Row],[Fecha ingreso]],"mmmm")</f>
        <v>julio</v>
      </c>
      <c r="G10" s="2">
        <f>YEAR(Sheet1[[#This Row],[Fecha ingreso]])</f>
        <v>2021</v>
      </c>
      <c r="H10" s="1" t="str">
        <f>TEXT(Sheet1[[#This Row],[Fecha ingreso]],"dddd")</f>
        <v>miércoles</v>
      </c>
      <c r="I10" s="1">
        <v>45283</v>
      </c>
      <c r="J10" s="2">
        <f>DATEDIF(Sheet1[[#This Row],[Fecha ingreso]],Sheet1[[#This Row],[Fecha último pago]],"M")+1</f>
        <v>29</v>
      </c>
      <c r="K10" s="2">
        <f>Sheet1[[#This Row],[Ingresos mensuales]]*Sheet1[[#This Row],[Meses contratados]]</f>
        <v>2410.77</v>
      </c>
      <c r="L10" t="s">
        <v>1814</v>
      </c>
      <c r="M10">
        <v>21</v>
      </c>
      <c r="N10" t="s">
        <v>1822</v>
      </c>
      <c r="O10" t="s">
        <v>1823</v>
      </c>
      <c r="P10" t="s">
        <v>1826</v>
      </c>
      <c r="Q10" cm="1">
        <f t="array" ref="Q10">_xlfn.IFS(P10="2 Years", 24,P10="1 Year",12, P10="6 Months",6, P10="1 Month",1)</f>
        <v>24</v>
      </c>
      <c r="R10" t="str" cm="1">
        <f t="array" ref="R10">_xlfn.IFS(Q10=1,"Mensual",Q10=6,"Semestral",Q10=12,"Anual",Q10=24,"Bienal")</f>
        <v>Bienal</v>
      </c>
      <c r="S10">
        <f>IFERROR(VLOOKUP(Sheet1[[#This Row],[ID usuario]],A11:$A$907,1,FALSE),0)</f>
        <v>0</v>
      </c>
    </row>
    <row r="11" spans="1:19" x14ac:dyDescent="0.25">
      <c r="A11" t="s">
        <v>9</v>
      </c>
      <c r="B11" t="s">
        <v>914</v>
      </c>
      <c r="C11" t="s">
        <v>1811</v>
      </c>
      <c r="D11">
        <v>15.5</v>
      </c>
      <c r="E11" s="1">
        <v>45355</v>
      </c>
      <c r="F11" s="1" t="str">
        <f>TEXT(Sheet1[[#This Row],[Fecha ingreso]],"mmmm")</f>
        <v>marzo</v>
      </c>
      <c r="G11" s="2">
        <f>YEAR(Sheet1[[#This Row],[Fecha ingreso]])</f>
        <v>2024</v>
      </c>
      <c r="H11" s="1" t="str">
        <f>TEXT(Sheet1[[#This Row],[Fecha ingreso]],"dddd")</f>
        <v>lunes</v>
      </c>
      <c r="I11" s="1">
        <v>45452</v>
      </c>
      <c r="J11" s="2">
        <f>DATEDIF(Sheet1[[#This Row],[Fecha ingreso]],Sheet1[[#This Row],[Fecha último pago]],"M")+1</f>
        <v>4</v>
      </c>
      <c r="K11" s="2">
        <f>Sheet1[[#This Row],[Ingresos mensuales]]*Sheet1[[#This Row],[Meses contratados]]</f>
        <v>62</v>
      </c>
      <c r="L11" t="s">
        <v>1813</v>
      </c>
      <c r="M11">
        <v>55</v>
      </c>
      <c r="N11" t="s">
        <v>1822</v>
      </c>
      <c r="O11" t="s">
        <v>1823</v>
      </c>
      <c r="P11" t="s">
        <v>1828</v>
      </c>
      <c r="Q11" cm="1">
        <f t="array" ref="Q11">_xlfn.IFS(P11="2 Years", 24,P11="1 Year",12, P11="6 Months",6, P11="1 Month",1)</f>
        <v>6</v>
      </c>
      <c r="R11" t="str" cm="1">
        <f t="array" ref="R11">_xlfn.IFS(Q11=1,"Mensual",Q11=6,"Semestral",Q11=12,"Anual",Q11=24,"Bienal")</f>
        <v>Semestral</v>
      </c>
      <c r="S11">
        <f>IFERROR(VLOOKUP(Sheet1[[#This Row],[ID usuario]],A12:$A$907,1,FALSE),0)</f>
        <v>0</v>
      </c>
    </row>
    <row r="12" spans="1:19" x14ac:dyDescent="0.25">
      <c r="A12" t="s">
        <v>10</v>
      </c>
      <c r="B12" t="s">
        <v>915</v>
      </c>
      <c r="C12" t="s">
        <v>1812</v>
      </c>
      <c r="D12">
        <v>43.51</v>
      </c>
      <c r="E12" s="1">
        <v>44481</v>
      </c>
      <c r="F12" s="1" t="str">
        <f>TEXT(Sheet1[[#This Row],[Fecha ingreso]],"mmmm")</f>
        <v>octubre</v>
      </c>
      <c r="G12" s="2">
        <f>YEAR(Sheet1[[#This Row],[Fecha ingreso]])</f>
        <v>2021</v>
      </c>
      <c r="H12" s="1" t="str">
        <f>TEXT(Sheet1[[#This Row],[Fecha ingreso]],"dddd")</f>
        <v>martes</v>
      </c>
      <c r="I12" s="1">
        <v>44976</v>
      </c>
      <c r="J12" s="2">
        <f>DATEDIF(Sheet1[[#This Row],[Fecha ingreso]],Sheet1[[#This Row],[Fecha último pago]],"M")+1</f>
        <v>17</v>
      </c>
      <c r="K12" s="2">
        <f>Sheet1[[#This Row],[Ingresos mensuales]]*Sheet1[[#This Row],[Meses contratados]]</f>
        <v>739.67</v>
      </c>
      <c r="L12" t="s">
        <v>1815</v>
      </c>
      <c r="M12">
        <v>53</v>
      </c>
      <c r="N12" t="s">
        <v>1820</v>
      </c>
      <c r="O12" t="s">
        <v>1823</v>
      </c>
      <c r="P12" t="s">
        <v>1828</v>
      </c>
      <c r="Q12" cm="1">
        <f t="array" ref="Q12">_xlfn.IFS(P12="2 Years", 24,P12="1 Year",12, P12="6 Months",6, P12="1 Month",1)</f>
        <v>6</v>
      </c>
      <c r="R12" t="str" cm="1">
        <f t="array" ref="R12">_xlfn.IFS(Q12=1,"Mensual",Q12=6,"Semestral",Q12=12,"Anual",Q12=24,"Bienal")</f>
        <v>Semestral</v>
      </c>
      <c r="S12">
        <f>IFERROR(VLOOKUP(Sheet1[[#This Row],[ID usuario]],A13:$A$907,1,FALSE),0)</f>
        <v>0</v>
      </c>
    </row>
    <row r="13" spans="1:19" x14ac:dyDescent="0.25">
      <c r="A13" t="s">
        <v>11</v>
      </c>
      <c r="B13" t="s">
        <v>916</v>
      </c>
      <c r="C13" t="s">
        <v>1810</v>
      </c>
      <c r="D13">
        <v>35.5</v>
      </c>
      <c r="E13" s="1">
        <v>45019</v>
      </c>
      <c r="F13" s="1" t="str">
        <f>TEXT(Sheet1[[#This Row],[Fecha ingreso]],"mmmm")</f>
        <v>abril</v>
      </c>
      <c r="G13" s="2">
        <f>YEAR(Sheet1[[#This Row],[Fecha ingreso]])</f>
        <v>2023</v>
      </c>
      <c r="H13" s="1" t="str">
        <f>TEXT(Sheet1[[#This Row],[Fecha ingreso]],"dddd")</f>
        <v>lunes</v>
      </c>
      <c r="I13" s="1">
        <v>45174</v>
      </c>
      <c r="J13" s="2">
        <f>DATEDIF(Sheet1[[#This Row],[Fecha ingreso]],Sheet1[[#This Row],[Fecha último pago]],"M")+1</f>
        <v>6</v>
      </c>
      <c r="K13" s="2">
        <f>Sheet1[[#This Row],[Ingresos mensuales]]*Sheet1[[#This Row],[Meses contratados]]</f>
        <v>213</v>
      </c>
      <c r="L13" t="s">
        <v>1813</v>
      </c>
      <c r="M13">
        <v>21</v>
      </c>
      <c r="N13" t="s">
        <v>1820</v>
      </c>
      <c r="O13" t="s">
        <v>1825</v>
      </c>
      <c r="P13" t="s">
        <v>1826</v>
      </c>
      <c r="Q13" cm="1">
        <f t="array" ref="Q13">_xlfn.IFS(P13="2 Years", 24,P13="1 Year",12, P13="6 Months",6, P13="1 Month",1)</f>
        <v>24</v>
      </c>
      <c r="R13" t="str" cm="1">
        <f t="array" ref="R13">_xlfn.IFS(Q13=1,"Mensual",Q13=6,"Semestral",Q13=12,"Anual",Q13=24,"Bienal")</f>
        <v>Bienal</v>
      </c>
      <c r="S13">
        <f>IFERROR(VLOOKUP(Sheet1[[#This Row],[ID usuario]],A14:$A$907,1,FALSE),0)</f>
        <v>0</v>
      </c>
    </row>
    <row r="14" spans="1:19" x14ac:dyDescent="0.25">
      <c r="A14" t="s">
        <v>12</v>
      </c>
      <c r="B14" t="s">
        <v>917</v>
      </c>
      <c r="C14" t="s">
        <v>1811</v>
      </c>
      <c r="D14">
        <v>7.85</v>
      </c>
      <c r="E14" s="1">
        <v>45173</v>
      </c>
      <c r="F14" s="1" t="str">
        <f>TEXT(Sheet1[[#This Row],[Fecha ingreso]],"mmmm")</f>
        <v>septiembre</v>
      </c>
      <c r="G14" s="2">
        <f>YEAR(Sheet1[[#This Row],[Fecha ingreso]])</f>
        <v>2023</v>
      </c>
      <c r="H14" s="1" t="str">
        <f>TEXT(Sheet1[[#This Row],[Fecha ingreso]],"dddd")</f>
        <v>lunes</v>
      </c>
      <c r="I14" s="1">
        <v>45298</v>
      </c>
      <c r="J14" s="2">
        <f>DATEDIF(Sheet1[[#This Row],[Fecha ingreso]],Sheet1[[#This Row],[Fecha último pago]],"M")+1</f>
        <v>5</v>
      </c>
      <c r="K14" s="2">
        <f>Sheet1[[#This Row],[Ingresos mensuales]]*Sheet1[[#This Row],[Meses contratados]]</f>
        <v>39.25</v>
      </c>
      <c r="L14" t="s">
        <v>1813</v>
      </c>
      <c r="M14">
        <v>25</v>
      </c>
      <c r="N14" t="s">
        <v>1820</v>
      </c>
      <c r="O14" t="s">
        <v>1824</v>
      </c>
      <c r="P14" t="s">
        <v>1828</v>
      </c>
      <c r="Q14" cm="1">
        <f t="array" ref="Q14">_xlfn.IFS(P14="2 Years", 24,P14="1 Year",12, P14="6 Months",6, P14="1 Month",1)</f>
        <v>6</v>
      </c>
      <c r="R14" t="str" cm="1">
        <f t="array" ref="R14">_xlfn.IFS(Q14=1,"Mensual",Q14=6,"Semestral",Q14=12,"Anual",Q14=24,"Bienal")</f>
        <v>Semestral</v>
      </c>
      <c r="S14">
        <f>IFERROR(VLOOKUP(Sheet1[[#This Row],[ID usuario]],A15:$A$907,1,FALSE),0)</f>
        <v>0</v>
      </c>
    </row>
    <row r="15" spans="1:19" x14ac:dyDescent="0.25">
      <c r="A15" t="s">
        <v>13</v>
      </c>
      <c r="B15" t="s">
        <v>918</v>
      </c>
      <c r="C15" t="s">
        <v>1811</v>
      </c>
      <c r="D15">
        <v>15.43</v>
      </c>
      <c r="E15" s="1">
        <v>44582</v>
      </c>
      <c r="F15" s="1" t="str">
        <f>TEXT(Sheet1[[#This Row],[Fecha ingreso]],"mmmm")</f>
        <v>enero</v>
      </c>
      <c r="G15" s="2">
        <f>YEAR(Sheet1[[#This Row],[Fecha ingreso]])</f>
        <v>2022</v>
      </c>
      <c r="H15" s="1" t="str">
        <f>TEXT(Sheet1[[#This Row],[Fecha ingreso]],"dddd")</f>
        <v>viernes</v>
      </c>
      <c r="I15" s="1">
        <v>45299</v>
      </c>
      <c r="J15" s="2">
        <f>DATEDIF(Sheet1[[#This Row],[Fecha ingreso]],Sheet1[[#This Row],[Fecha último pago]],"M")+1</f>
        <v>24</v>
      </c>
      <c r="K15" s="2">
        <f>Sheet1[[#This Row],[Ingresos mensuales]]*Sheet1[[#This Row],[Meses contratados]]</f>
        <v>370.32</v>
      </c>
      <c r="L15" t="s">
        <v>1816</v>
      </c>
      <c r="M15">
        <v>68</v>
      </c>
      <c r="N15" t="s">
        <v>1822</v>
      </c>
      <c r="O15" t="s">
        <v>1823</v>
      </c>
      <c r="P15" t="s">
        <v>1829</v>
      </c>
      <c r="Q15" cm="1">
        <f t="array" ref="Q15">_xlfn.IFS(P15="2 Years", 24,P15="1 Year",12, P15="6 Months",6, P15="1 Month",1)</f>
        <v>1</v>
      </c>
      <c r="R15" t="str" cm="1">
        <f t="array" ref="R15">_xlfn.IFS(Q15=1,"Mensual",Q15=6,"Semestral",Q15=12,"Anual",Q15=24,"Bienal")</f>
        <v>Mensual</v>
      </c>
      <c r="S15">
        <f>IFERROR(VLOOKUP(Sheet1[[#This Row],[ID usuario]],A16:$A$907,1,FALSE),0)</f>
        <v>0</v>
      </c>
    </row>
    <row r="16" spans="1:19" x14ac:dyDescent="0.25">
      <c r="A16" t="s">
        <v>14</v>
      </c>
      <c r="B16" t="s">
        <v>919</v>
      </c>
      <c r="C16" t="s">
        <v>1811</v>
      </c>
      <c r="D16">
        <v>62.6</v>
      </c>
      <c r="E16" s="1">
        <v>44739</v>
      </c>
      <c r="F16" s="1" t="str">
        <f>TEXT(Sheet1[[#This Row],[Fecha ingreso]],"mmmm")</f>
        <v>junio</v>
      </c>
      <c r="G16" s="2">
        <f>YEAR(Sheet1[[#This Row],[Fecha ingreso]])</f>
        <v>2022</v>
      </c>
      <c r="H16" s="1" t="str">
        <f>TEXT(Sheet1[[#This Row],[Fecha ingreso]],"dddd")</f>
        <v>lunes</v>
      </c>
      <c r="I16" s="1">
        <v>45104</v>
      </c>
      <c r="J16" s="2">
        <f>DATEDIF(Sheet1[[#This Row],[Fecha ingreso]],Sheet1[[#This Row],[Fecha último pago]],"M")+1</f>
        <v>13</v>
      </c>
      <c r="K16" s="2">
        <f>Sheet1[[#This Row],[Ingresos mensuales]]*Sheet1[[#This Row],[Meses contratados]]</f>
        <v>813.80000000000007</v>
      </c>
      <c r="L16" t="s">
        <v>1817</v>
      </c>
      <c r="M16">
        <v>20</v>
      </c>
      <c r="N16" t="s">
        <v>1821</v>
      </c>
      <c r="O16" t="s">
        <v>1823</v>
      </c>
      <c r="P16" t="s">
        <v>1829</v>
      </c>
      <c r="Q16" cm="1">
        <f t="array" ref="Q16">_xlfn.IFS(P16="2 Years", 24,P16="1 Year",12, P16="6 Months",6, P16="1 Month",1)</f>
        <v>1</v>
      </c>
      <c r="R16" t="str" cm="1">
        <f t="array" ref="R16">_xlfn.IFS(Q16=1,"Mensual",Q16=6,"Semestral",Q16=12,"Anual",Q16=24,"Bienal")</f>
        <v>Mensual</v>
      </c>
      <c r="S16">
        <f>IFERROR(VLOOKUP(Sheet1[[#This Row],[ID usuario]],A17:$A$907,1,FALSE),0)</f>
        <v>0</v>
      </c>
    </row>
    <row r="17" spans="1:19" x14ac:dyDescent="0.25">
      <c r="A17" t="s">
        <v>15</v>
      </c>
      <c r="B17" t="s">
        <v>920</v>
      </c>
      <c r="C17" t="s">
        <v>1811</v>
      </c>
      <c r="D17">
        <v>65.3</v>
      </c>
      <c r="E17" s="1">
        <v>45227</v>
      </c>
      <c r="F17" s="1" t="str">
        <f>TEXT(Sheet1[[#This Row],[Fecha ingreso]],"mmmm")</f>
        <v>octubre</v>
      </c>
      <c r="G17" s="2">
        <f>YEAR(Sheet1[[#This Row],[Fecha ingreso]])</f>
        <v>2023</v>
      </c>
      <c r="H17" s="1" t="str">
        <f>TEXT(Sheet1[[#This Row],[Fecha ingreso]],"dddd")</f>
        <v>sábado</v>
      </c>
      <c r="I17" s="1">
        <v>45276</v>
      </c>
      <c r="J17" s="2">
        <f>DATEDIF(Sheet1[[#This Row],[Fecha ingreso]],Sheet1[[#This Row],[Fecha último pago]],"M")+1</f>
        <v>2</v>
      </c>
      <c r="K17" s="2">
        <f>Sheet1[[#This Row],[Ingresos mensuales]]*Sheet1[[#This Row],[Meses contratados]]</f>
        <v>130.6</v>
      </c>
      <c r="L17" t="s">
        <v>1816</v>
      </c>
      <c r="M17">
        <v>25</v>
      </c>
      <c r="N17" t="s">
        <v>1820</v>
      </c>
      <c r="O17" t="s">
        <v>1824</v>
      </c>
      <c r="P17" t="s">
        <v>1827</v>
      </c>
      <c r="Q17" cm="1">
        <f t="array" ref="Q17">_xlfn.IFS(P17="2 Years", 24,P17="1 Year",12, P17="6 Months",6, P17="1 Month",1)</f>
        <v>12</v>
      </c>
      <c r="R17" t="str" cm="1">
        <f t="array" ref="R17">_xlfn.IFS(Q17=1,"Mensual",Q17=6,"Semestral",Q17=12,"Anual",Q17=24,"Bienal")</f>
        <v>Anual</v>
      </c>
      <c r="S17">
        <f>IFERROR(VLOOKUP(Sheet1[[#This Row],[ID usuario]],A18:$A$907,1,FALSE),0)</f>
        <v>0</v>
      </c>
    </row>
    <row r="18" spans="1:19" x14ac:dyDescent="0.25">
      <c r="A18" t="s">
        <v>16</v>
      </c>
      <c r="B18" t="s">
        <v>921</v>
      </c>
      <c r="C18" t="s">
        <v>1810</v>
      </c>
      <c r="D18">
        <v>14.81</v>
      </c>
      <c r="E18" s="1">
        <v>44534</v>
      </c>
      <c r="F18" s="1" t="str">
        <f>TEXT(Sheet1[[#This Row],[Fecha ingreso]],"mmmm")</f>
        <v>diciembre</v>
      </c>
      <c r="G18" s="2">
        <f>YEAR(Sheet1[[#This Row],[Fecha ingreso]])</f>
        <v>2021</v>
      </c>
      <c r="H18" s="1" t="str">
        <f>TEXT(Sheet1[[#This Row],[Fecha ingreso]],"dddd")</f>
        <v>sábado</v>
      </c>
      <c r="I18" s="1">
        <v>44670</v>
      </c>
      <c r="J18" s="2">
        <f>DATEDIF(Sheet1[[#This Row],[Fecha ingreso]],Sheet1[[#This Row],[Fecha último pago]],"M")+1</f>
        <v>5</v>
      </c>
      <c r="K18" s="2">
        <f>Sheet1[[#This Row],[Ingresos mensuales]]*Sheet1[[#This Row],[Meses contratados]]</f>
        <v>74.05</v>
      </c>
      <c r="L18" t="s">
        <v>1816</v>
      </c>
      <c r="M18">
        <v>63</v>
      </c>
      <c r="N18" t="s">
        <v>1822</v>
      </c>
      <c r="O18" t="s">
        <v>1825</v>
      </c>
      <c r="P18" t="s">
        <v>1827</v>
      </c>
      <c r="Q18" cm="1">
        <f t="array" ref="Q18">_xlfn.IFS(P18="2 Years", 24,P18="1 Year",12, P18="6 Months",6, P18="1 Month",1)</f>
        <v>12</v>
      </c>
      <c r="R18" t="str" cm="1">
        <f t="array" ref="R18">_xlfn.IFS(Q18=1,"Mensual",Q18=6,"Semestral",Q18=12,"Anual",Q18=24,"Bienal")</f>
        <v>Anual</v>
      </c>
      <c r="S18">
        <f>IFERROR(VLOOKUP(Sheet1[[#This Row],[ID usuario]],A19:$A$907,1,FALSE),0)</f>
        <v>0</v>
      </c>
    </row>
    <row r="19" spans="1:19" x14ac:dyDescent="0.25">
      <c r="A19" t="s">
        <v>17</v>
      </c>
      <c r="B19" t="s">
        <v>922</v>
      </c>
      <c r="C19" t="s">
        <v>1811</v>
      </c>
      <c r="D19">
        <v>87.38</v>
      </c>
      <c r="E19" s="1">
        <v>44476</v>
      </c>
      <c r="F19" s="1" t="str">
        <f>TEXT(Sheet1[[#This Row],[Fecha ingreso]],"mmmm")</f>
        <v>octubre</v>
      </c>
      <c r="G19" s="2">
        <f>YEAR(Sheet1[[#This Row],[Fecha ingreso]])</f>
        <v>2021</v>
      </c>
      <c r="H19" s="1" t="str">
        <f>TEXT(Sheet1[[#This Row],[Fecha ingreso]],"dddd")</f>
        <v>jueves</v>
      </c>
      <c r="I19" s="1">
        <v>44793</v>
      </c>
      <c r="J19" s="2">
        <f>DATEDIF(Sheet1[[#This Row],[Fecha ingreso]],Sheet1[[#This Row],[Fecha último pago]],"M")+1</f>
        <v>11</v>
      </c>
      <c r="K19" s="2">
        <f>Sheet1[[#This Row],[Ingresos mensuales]]*Sheet1[[#This Row],[Meses contratados]]</f>
        <v>961.18</v>
      </c>
      <c r="L19" t="s">
        <v>1817</v>
      </c>
      <c r="M19">
        <v>66</v>
      </c>
      <c r="N19" t="s">
        <v>1822</v>
      </c>
      <c r="O19" t="s">
        <v>1823</v>
      </c>
      <c r="P19" t="s">
        <v>1829</v>
      </c>
      <c r="Q19" cm="1">
        <f t="array" ref="Q19">_xlfn.IFS(P19="2 Years", 24,P19="1 Year",12, P19="6 Months",6, P19="1 Month",1)</f>
        <v>1</v>
      </c>
      <c r="R19" t="str" cm="1">
        <f t="array" ref="R19">_xlfn.IFS(Q19=1,"Mensual",Q19=6,"Semestral",Q19=12,"Anual",Q19=24,"Bienal")</f>
        <v>Mensual</v>
      </c>
      <c r="S19">
        <f>IFERROR(VLOOKUP(Sheet1[[#This Row],[ID usuario]],A20:$A$907,1,FALSE),0)</f>
        <v>0</v>
      </c>
    </row>
    <row r="20" spans="1:19" x14ac:dyDescent="0.25">
      <c r="A20" t="s">
        <v>18</v>
      </c>
      <c r="B20" t="s">
        <v>923</v>
      </c>
      <c r="C20" t="s">
        <v>1812</v>
      </c>
      <c r="D20">
        <v>7.77</v>
      </c>
      <c r="E20" s="1">
        <v>45291</v>
      </c>
      <c r="F20" s="1" t="str">
        <f>TEXT(Sheet1[[#This Row],[Fecha ingreso]],"mmmm")</f>
        <v>diciembre</v>
      </c>
      <c r="G20" s="2">
        <f>YEAR(Sheet1[[#This Row],[Fecha ingreso]])</f>
        <v>2023</v>
      </c>
      <c r="H20" s="1" t="str">
        <f>TEXT(Sheet1[[#This Row],[Fecha ingreso]],"dddd")</f>
        <v>domingo</v>
      </c>
      <c r="I20" s="1">
        <v>45363</v>
      </c>
      <c r="J20" s="2">
        <f>DATEDIF(Sheet1[[#This Row],[Fecha ingreso]],Sheet1[[#This Row],[Fecha último pago]],"M")+1</f>
        <v>3</v>
      </c>
      <c r="K20" s="2">
        <f>Sheet1[[#This Row],[Ingresos mensuales]]*Sheet1[[#This Row],[Meses contratados]]</f>
        <v>23.31</v>
      </c>
      <c r="L20" t="s">
        <v>1815</v>
      </c>
      <c r="M20">
        <v>23</v>
      </c>
      <c r="N20" t="s">
        <v>1822</v>
      </c>
      <c r="O20" t="s">
        <v>1823</v>
      </c>
      <c r="P20" t="s">
        <v>1826</v>
      </c>
      <c r="Q20" cm="1">
        <f t="array" ref="Q20">_xlfn.IFS(P20="2 Years", 24,P20="1 Year",12, P20="6 Months",6, P20="1 Month",1)</f>
        <v>24</v>
      </c>
      <c r="R20" t="str" cm="1">
        <f t="array" ref="R20">_xlfn.IFS(Q20=1,"Mensual",Q20=6,"Semestral",Q20=12,"Anual",Q20=24,"Bienal")</f>
        <v>Bienal</v>
      </c>
      <c r="S20">
        <f>IFERROR(VLOOKUP(Sheet1[[#This Row],[ID usuario]],A21:$A$907,1,FALSE),0)</f>
        <v>0</v>
      </c>
    </row>
    <row r="21" spans="1:19" x14ac:dyDescent="0.25">
      <c r="A21" t="s">
        <v>19</v>
      </c>
      <c r="B21" t="s">
        <v>924</v>
      </c>
      <c r="C21" t="s">
        <v>1810</v>
      </c>
      <c r="D21">
        <v>55.82</v>
      </c>
      <c r="E21" s="1">
        <v>44645</v>
      </c>
      <c r="F21" s="1" t="str">
        <f>TEXT(Sheet1[[#This Row],[Fecha ingreso]],"mmmm")</f>
        <v>marzo</v>
      </c>
      <c r="G21" s="2">
        <f>YEAR(Sheet1[[#This Row],[Fecha ingreso]])</f>
        <v>2022</v>
      </c>
      <c r="H21" s="1" t="str">
        <f>TEXT(Sheet1[[#This Row],[Fecha ingreso]],"dddd")</f>
        <v>viernes</v>
      </c>
      <c r="I21" s="1">
        <v>45099</v>
      </c>
      <c r="J21" s="2">
        <f>DATEDIF(Sheet1[[#This Row],[Fecha ingreso]],Sheet1[[#This Row],[Fecha último pago]],"M")+1</f>
        <v>15</v>
      </c>
      <c r="K21" s="2">
        <f>Sheet1[[#This Row],[Ingresos mensuales]]*Sheet1[[#This Row],[Meses contratados]]</f>
        <v>837.3</v>
      </c>
      <c r="L21" t="s">
        <v>1816</v>
      </c>
      <c r="M21">
        <v>58</v>
      </c>
      <c r="N21" t="s">
        <v>1820</v>
      </c>
      <c r="O21" t="s">
        <v>1823</v>
      </c>
      <c r="P21" t="s">
        <v>1826</v>
      </c>
      <c r="Q21" cm="1">
        <f t="array" ref="Q21">_xlfn.IFS(P21="2 Years", 24,P21="1 Year",12, P21="6 Months",6, P21="1 Month",1)</f>
        <v>24</v>
      </c>
      <c r="R21" t="str" cm="1">
        <f t="array" ref="R21">_xlfn.IFS(Q21=1,"Mensual",Q21=6,"Semestral",Q21=12,"Anual",Q21=24,"Bienal")</f>
        <v>Bienal</v>
      </c>
      <c r="S21">
        <f>IFERROR(VLOOKUP(Sheet1[[#This Row],[ID usuario]],A22:$A$907,1,FALSE),0)</f>
        <v>0</v>
      </c>
    </row>
    <row r="22" spans="1:19" x14ac:dyDescent="0.25">
      <c r="A22" t="s">
        <v>20</v>
      </c>
      <c r="B22" t="s">
        <v>925</v>
      </c>
      <c r="C22" t="s">
        <v>1812</v>
      </c>
      <c r="D22">
        <v>43.4</v>
      </c>
      <c r="E22" s="1">
        <v>44519</v>
      </c>
      <c r="F22" s="1" t="str">
        <f>TEXT(Sheet1[[#This Row],[Fecha ingreso]],"mmmm")</f>
        <v>noviembre</v>
      </c>
      <c r="G22" s="2">
        <f>YEAR(Sheet1[[#This Row],[Fecha ingreso]])</f>
        <v>2021</v>
      </c>
      <c r="H22" s="1" t="str">
        <f>TEXT(Sheet1[[#This Row],[Fecha ingreso]],"dddd")</f>
        <v>viernes</v>
      </c>
      <c r="I22" s="1">
        <v>45175</v>
      </c>
      <c r="J22" s="2">
        <f>DATEDIF(Sheet1[[#This Row],[Fecha ingreso]],Sheet1[[#This Row],[Fecha último pago]],"M")+1</f>
        <v>22</v>
      </c>
      <c r="K22" s="2">
        <f>Sheet1[[#This Row],[Ingresos mensuales]]*Sheet1[[#This Row],[Meses contratados]]</f>
        <v>954.8</v>
      </c>
      <c r="L22" t="s">
        <v>1818</v>
      </c>
      <c r="M22">
        <v>40</v>
      </c>
      <c r="N22" t="s">
        <v>1822</v>
      </c>
      <c r="O22" t="s">
        <v>1825</v>
      </c>
      <c r="P22" t="s">
        <v>1826</v>
      </c>
      <c r="Q22" cm="1">
        <f t="array" ref="Q22">_xlfn.IFS(P22="2 Years", 24,P22="1 Year",12, P22="6 Months",6, P22="1 Month",1)</f>
        <v>24</v>
      </c>
      <c r="R22" t="str" cm="1">
        <f t="array" ref="R22">_xlfn.IFS(Q22=1,"Mensual",Q22=6,"Semestral",Q22=12,"Anual",Q22=24,"Bienal")</f>
        <v>Bienal</v>
      </c>
      <c r="S22">
        <f>IFERROR(VLOOKUP(Sheet1[[#This Row],[ID usuario]],A23:$A$907,1,FALSE),0)</f>
        <v>0</v>
      </c>
    </row>
    <row r="23" spans="1:19" x14ac:dyDescent="0.25">
      <c r="A23" t="s">
        <v>21</v>
      </c>
      <c r="B23" t="s">
        <v>926</v>
      </c>
      <c r="C23" t="s">
        <v>1810</v>
      </c>
      <c r="D23">
        <v>54.8</v>
      </c>
      <c r="E23" s="1">
        <v>44809</v>
      </c>
      <c r="F23" s="1" t="str">
        <f>TEXT(Sheet1[[#This Row],[Fecha ingreso]],"mmmm")</f>
        <v>septiembre</v>
      </c>
      <c r="G23" s="2">
        <f>YEAR(Sheet1[[#This Row],[Fecha ingreso]])</f>
        <v>2022</v>
      </c>
      <c r="H23" s="1" t="str">
        <f>TEXT(Sheet1[[#This Row],[Fecha ingreso]],"dddd")</f>
        <v>lunes</v>
      </c>
      <c r="I23" s="1">
        <v>44834</v>
      </c>
      <c r="J23" s="2">
        <f>DATEDIF(Sheet1[[#This Row],[Fecha ingreso]],Sheet1[[#This Row],[Fecha último pago]],"M")+1</f>
        <v>1</v>
      </c>
      <c r="K23" s="2">
        <f>Sheet1[[#This Row],[Ingresos mensuales]]*Sheet1[[#This Row],[Meses contratados]]</f>
        <v>54.8</v>
      </c>
      <c r="L23" t="s">
        <v>1818</v>
      </c>
      <c r="M23">
        <v>61</v>
      </c>
      <c r="N23" t="s">
        <v>1822</v>
      </c>
      <c r="O23" t="s">
        <v>1824</v>
      </c>
      <c r="P23" t="s">
        <v>1826</v>
      </c>
      <c r="Q23" cm="1">
        <f t="array" ref="Q23">_xlfn.IFS(P23="2 Years", 24,P23="1 Year",12, P23="6 Months",6, P23="1 Month",1)</f>
        <v>24</v>
      </c>
      <c r="R23" t="str" cm="1">
        <f t="array" ref="R23">_xlfn.IFS(Q23=1,"Mensual",Q23=6,"Semestral",Q23=12,"Anual",Q23=24,"Bienal")</f>
        <v>Bienal</v>
      </c>
      <c r="S23">
        <f>IFERROR(VLOOKUP(Sheet1[[#This Row],[ID usuario]],A24:$A$907,1,FALSE),0)</f>
        <v>0</v>
      </c>
    </row>
    <row r="24" spans="1:19" x14ac:dyDescent="0.25">
      <c r="A24" t="s">
        <v>22</v>
      </c>
      <c r="B24" t="s">
        <v>927</v>
      </c>
      <c r="C24" t="s">
        <v>1811</v>
      </c>
      <c r="D24">
        <v>39.68</v>
      </c>
      <c r="E24" s="1">
        <v>44926</v>
      </c>
      <c r="F24" s="1" t="str">
        <f>TEXT(Sheet1[[#This Row],[Fecha ingreso]],"mmmm")</f>
        <v>diciembre</v>
      </c>
      <c r="G24" s="2">
        <f>YEAR(Sheet1[[#This Row],[Fecha ingreso]])</f>
        <v>2022</v>
      </c>
      <c r="H24" s="1" t="str">
        <f>TEXT(Sheet1[[#This Row],[Fecha ingreso]],"dddd")</f>
        <v>sábado</v>
      </c>
      <c r="I24" s="1">
        <v>45184</v>
      </c>
      <c r="J24" s="2">
        <f>DATEDIF(Sheet1[[#This Row],[Fecha ingreso]],Sheet1[[#This Row],[Fecha último pago]],"M")+1</f>
        <v>9</v>
      </c>
      <c r="K24" s="2">
        <f>Sheet1[[#This Row],[Ingresos mensuales]]*Sheet1[[#This Row],[Meses contratados]]</f>
        <v>357.12</v>
      </c>
      <c r="L24" t="s">
        <v>1818</v>
      </c>
      <c r="M24">
        <v>19</v>
      </c>
      <c r="N24" t="s">
        <v>1820</v>
      </c>
      <c r="O24" t="s">
        <v>1823</v>
      </c>
      <c r="P24" t="s">
        <v>1828</v>
      </c>
      <c r="Q24" cm="1">
        <f t="array" ref="Q24">_xlfn.IFS(P24="2 Years", 24,P24="1 Year",12, P24="6 Months",6, P24="1 Month",1)</f>
        <v>6</v>
      </c>
      <c r="R24" t="str" cm="1">
        <f t="array" ref="R24">_xlfn.IFS(Q24=1,"Mensual",Q24=6,"Semestral",Q24=12,"Anual",Q24=24,"Bienal")</f>
        <v>Semestral</v>
      </c>
      <c r="S24">
        <f>IFERROR(VLOOKUP(Sheet1[[#This Row],[ID usuario]],A25:$A$907,1,FALSE),0)</f>
        <v>0</v>
      </c>
    </row>
    <row r="25" spans="1:19" x14ac:dyDescent="0.25">
      <c r="A25" t="s">
        <v>23</v>
      </c>
      <c r="B25" t="s">
        <v>928</v>
      </c>
      <c r="C25" t="s">
        <v>1811</v>
      </c>
      <c r="D25">
        <v>23.1</v>
      </c>
      <c r="E25" s="1">
        <v>44574</v>
      </c>
      <c r="F25" s="1" t="str">
        <f>TEXT(Sheet1[[#This Row],[Fecha ingreso]],"mmmm")</f>
        <v>enero</v>
      </c>
      <c r="G25" s="2">
        <f>YEAR(Sheet1[[#This Row],[Fecha ingreso]])</f>
        <v>2022</v>
      </c>
      <c r="H25" s="1" t="str">
        <f>TEXT(Sheet1[[#This Row],[Fecha ingreso]],"dddd")</f>
        <v>jueves</v>
      </c>
      <c r="I25" s="1">
        <v>45299</v>
      </c>
      <c r="J25" s="2">
        <f>DATEDIF(Sheet1[[#This Row],[Fecha ingreso]],Sheet1[[#This Row],[Fecha último pago]],"M")+1</f>
        <v>24</v>
      </c>
      <c r="K25" s="2">
        <f>Sheet1[[#This Row],[Ingresos mensuales]]*Sheet1[[#This Row],[Meses contratados]]</f>
        <v>554.40000000000009</v>
      </c>
      <c r="L25" t="s">
        <v>1814</v>
      </c>
      <c r="M25">
        <v>24</v>
      </c>
      <c r="N25" t="s">
        <v>1820</v>
      </c>
      <c r="O25" t="s">
        <v>1824</v>
      </c>
      <c r="P25" t="s">
        <v>1828</v>
      </c>
      <c r="Q25" cm="1">
        <f t="array" ref="Q25">_xlfn.IFS(P25="2 Years", 24,P25="1 Year",12, P25="6 Months",6, P25="1 Month",1)</f>
        <v>6</v>
      </c>
      <c r="R25" t="str" cm="1">
        <f t="array" ref="R25">_xlfn.IFS(Q25=1,"Mensual",Q25=6,"Semestral",Q25=12,"Anual",Q25=24,"Bienal")</f>
        <v>Semestral</v>
      </c>
      <c r="S25">
        <f>IFERROR(VLOOKUP(Sheet1[[#This Row],[ID usuario]],A26:$A$907,1,FALSE),0)</f>
        <v>0</v>
      </c>
    </row>
    <row r="26" spans="1:19" x14ac:dyDescent="0.25">
      <c r="A26" t="s">
        <v>24</v>
      </c>
      <c r="B26" t="s">
        <v>929</v>
      </c>
      <c r="C26" t="s">
        <v>1812</v>
      </c>
      <c r="D26">
        <v>6.82</v>
      </c>
      <c r="E26" s="1">
        <v>44953</v>
      </c>
      <c r="F26" s="1" t="str">
        <f>TEXT(Sheet1[[#This Row],[Fecha ingreso]],"mmmm")</f>
        <v>enero</v>
      </c>
      <c r="G26" s="2">
        <f>YEAR(Sheet1[[#This Row],[Fecha ingreso]])</f>
        <v>2023</v>
      </c>
      <c r="H26" s="1" t="str">
        <f>TEXT(Sheet1[[#This Row],[Fecha ingreso]],"dddd")</f>
        <v>viernes</v>
      </c>
      <c r="I26" s="1">
        <v>45072</v>
      </c>
      <c r="J26" s="2">
        <f>DATEDIF(Sheet1[[#This Row],[Fecha ingreso]],Sheet1[[#This Row],[Fecha último pago]],"M")+1</f>
        <v>4</v>
      </c>
      <c r="K26" s="2">
        <f>Sheet1[[#This Row],[Ingresos mensuales]]*Sheet1[[#This Row],[Meses contratados]]</f>
        <v>27.28</v>
      </c>
      <c r="L26" t="s">
        <v>1814</v>
      </c>
      <c r="M26">
        <v>46</v>
      </c>
      <c r="N26" t="s">
        <v>1821</v>
      </c>
      <c r="O26" t="s">
        <v>1823</v>
      </c>
      <c r="P26" t="s">
        <v>1826</v>
      </c>
      <c r="Q26" cm="1">
        <f t="array" ref="Q26">_xlfn.IFS(P26="2 Years", 24,P26="1 Year",12, P26="6 Months",6, P26="1 Month",1)</f>
        <v>24</v>
      </c>
      <c r="R26" t="str" cm="1">
        <f t="array" ref="R26">_xlfn.IFS(Q26=1,"Mensual",Q26=6,"Semestral",Q26=12,"Anual",Q26=24,"Bienal")</f>
        <v>Bienal</v>
      </c>
      <c r="S26">
        <f>IFERROR(VLOOKUP(Sheet1[[#This Row],[ID usuario]],A27:$A$907,1,FALSE),0)</f>
        <v>0</v>
      </c>
    </row>
    <row r="27" spans="1:19" x14ac:dyDescent="0.25">
      <c r="A27" t="s">
        <v>25</v>
      </c>
      <c r="B27" t="s">
        <v>930</v>
      </c>
      <c r="C27" t="s">
        <v>1810</v>
      </c>
      <c r="D27">
        <v>54.22</v>
      </c>
      <c r="E27" s="1">
        <v>44800</v>
      </c>
      <c r="F27" s="1" t="str">
        <f>TEXT(Sheet1[[#This Row],[Fecha ingreso]],"mmmm")</f>
        <v>agosto</v>
      </c>
      <c r="G27" s="2">
        <f>YEAR(Sheet1[[#This Row],[Fecha ingreso]])</f>
        <v>2022</v>
      </c>
      <c r="H27" s="1" t="str">
        <f>TEXT(Sheet1[[#This Row],[Fecha ingreso]],"dddd")</f>
        <v>sábado</v>
      </c>
      <c r="I27" s="1">
        <v>45266</v>
      </c>
      <c r="J27" s="2">
        <f>DATEDIF(Sheet1[[#This Row],[Fecha ingreso]],Sheet1[[#This Row],[Fecha último pago]],"M")+1</f>
        <v>16</v>
      </c>
      <c r="K27" s="2">
        <f>Sheet1[[#This Row],[Ingresos mensuales]]*Sheet1[[#This Row],[Meses contratados]]</f>
        <v>867.52</v>
      </c>
      <c r="L27" t="s">
        <v>1816</v>
      </c>
      <c r="M27">
        <v>23</v>
      </c>
      <c r="N27" t="s">
        <v>1820</v>
      </c>
      <c r="O27" t="s">
        <v>1824</v>
      </c>
      <c r="P27" t="s">
        <v>1828</v>
      </c>
      <c r="Q27" cm="1">
        <f t="array" ref="Q27">_xlfn.IFS(P27="2 Years", 24,P27="1 Year",12, P27="6 Months",6, P27="1 Month",1)</f>
        <v>6</v>
      </c>
      <c r="R27" t="str" cm="1">
        <f t="array" ref="R27">_xlfn.IFS(Q27=1,"Mensual",Q27=6,"Semestral",Q27=12,"Anual",Q27=24,"Bienal")</f>
        <v>Semestral</v>
      </c>
      <c r="S27">
        <f>IFERROR(VLOOKUP(Sheet1[[#This Row],[ID usuario]],A28:$A$907,1,FALSE),0)</f>
        <v>0</v>
      </c>
    </row>
    <row r="28" spans="1:19" x14ac:dyDescent="0.25">
      <c r="A28" t="s">
        <v>26</v>
      </c>
      <c r="B28" t="s">
        <v>931</v>
      </c>
      <c r="C28" t="s">
        <v>1811</v>
      </c>
      <c r="D28">
        <v>85.06</v>
      </c>
      <c r="E28" s="1">
        <v>44422</v>
      </c>
      <c r="F28" s="1" t="str">
        <f>TEXT(Sheet1[[#This Row],[Fecha ingreso]],"mmmm")</f>
        <v>agosto</v>
      </c>
      <c r="G28" s="2">
        <f>YEAR(Sheet1[[#This Row],[Fecha ingreso]])</f>
        <v>2021</v>
      </c>
      <c r="H28" s="1" t="str">
        <f>TEXT(Sheet1[[#This Row],[Fecha ingreso]],"dddd")</f>
        <v>sábado</v>
      </c>
      <c r="I28" s="1">
        <v>44522</v>
      </c>
      <c r="J28" s="2">
        <f>DATEDIF(Sheet1[[#This Row],[Fecha ingreso]],Sheet1[[#This Row],[Fecha último pago]],"M")+1</f>
        <v>4</v>
      </c>
      <c r="K28" s="2">
        <f>Sheet1[[#This Row],[Ingresos mensuales]]*Sheet1[[#This Row],[Meses contratados]]</f>
        <v>340.24</v>
      </c>
      <c r="L28" t="s">
        <v>1818</v>
      </c>
      <c r="M28">
        <v>58</v>
      </c>
      <c r="N28" t="s">
        <v>1821</v>
      </c>
      <c r="O28" t="s">
        <v>1825</v>
      </c>
      <c r="P28" t="s">
        <v>1829</v>
      </c>
      <c r="Q28" cm="1">
        <f t="array" ref="Q28">_xlfn.IFS(P28="2 Years", 24,P28="1 Year",12, P28="6 Months",6, P28="1 Month",1)</f>
        <v>1</v>
      </c>
      <c r="R28" t="str" cm="1">
        <f t="array" ref="R28">_xlfn.IFS(Q28=1,"Mensual",Q28=6,"Semestral",Q28=12,"Anual",Q28=24,"Bienal")</f>
        <v>Mensual</v>
      </c>
      <c r="S28">
        <f>IFERROR(VLOOKUP(Sheet1[[#This Row],[ID usuario]],A29:$A$907,1,FALSE),0)</f>
        <v>0</v>
      </c>
    </row>
    <row r="29" spans="1:19" x14ac:dyDescent="0.25">
      <c r="A29" t="s">
        <v>27</v>
      </c>
      <c r="B29" t="s">
        <v>932</v>
      </c>
      <c r="C29" t="s">
        <v>1811</v>
      </c>
      <c r="D29">
        <v>40.46</v>
      </c>
      <c r="E29" s="1">
        <v>44576</v>
      </c>
      <c r="F29" s="1" t="str">
        <f>TEXT(Sheet1[[#This Row],[Fecha ingreso]],"mmmm")</f>
        <v>enero</v>
      </c>
      <c r="G29" s="2">
        <f>YEAR(Sheet1[[#This Row],[Fecha ingreso]])</f>
        <v>2022</v>
      </c>
      <c r="H29" s="1" t="str">
        <f>TEXT(Sheet1[[#This Row],[Fecha ingreso]],"dddd")</f>
        <v>sábado</v>
      </c>
      <c r="I29" s="1">
        <v>44945</v>
      </c>
      <c r="J29" s="2">
        <f>DATEDIF(Sheet1[[#This Row],[Fecha ingreso]],Sheet1[[#This Row],[Fecha último pago]],"M")+1</f>
        <v>13</v>
      </c>
      <c r="K29" s="2">
        <f>Sheet1[[#This Row],[Ingresos mensuales]]*Sheet1[[#This Row],[Meses contratados]]</f>
        <v>525.98</v>
      </c>
      <c r="L29" t="s">
        <v>1815</v>
      </c>
      <c r="M29">
        <v>28</v>
      </c>
      <c r="N29" t="s">
        <v>1820</v>
      </c>
      <c r="O29" t="s">
        <v>1823</v>
      </c>
      <c r="P29" t="s">
        <v>1827</v>
      </c>
      <c r="Q29" cm="1">
        <f t="array" ref="Q29">_xlfn.IFS(P29="2 Years", 24,P29="1 Year",12, P29="6 Months",6, P29="1 Month",1)</f>
        <v>12</v>
      </c>
      <c r="R29" t="str" cm="1">
        <f t="array" ref="R29">_xlfn.IFS(Q29=1,"Mensual",Q29=6,"Semestral",Q29=12,"Anual",Q29=24,"Bienal")</f>
        <v>Anual</v>
      </c>
      <c r="S29">
        <f>IFERROR(VLOOKUP(Sheet1[[#This Row],[ID usuario]],A30:$A$907,1,FALSE),0)</f>
        <v>0</v>
      </c>
    </row>
    <row r="30" spans="1:19" x14ac:dyDescent="0.25">
      <c r="A30" t="s">
        <v>28</v>
      </c>
      <c r="B30" t="s">
        <v>933</v>
      </c>
      <c r="C30" t="s">
        <v>1811</v>
      </c>
      <c r="D30">
        <v>26.17</v>
      </c>
      <c r="E30" s="1">
        <v>45023</v>
      </c>
      <c r="F30" s="1" t="str">
        <f>TEXT(Sheet1[[#This Row],[Fecha ingreso]],"mmmm")</f>
        <v>abril</v>
      </c>
      <c r="G30" s="2">
        <f>YEAR(Sheet1[[#This Row],[Fecha ingreso]])</f>
        <v>2023</v>
      </c>
      <c r="H30" s="1" t="str">
        <f>TEXT(Sheet1[[#This Row],[Fecha ingreso]],"dddd")</f>
        <v>viernes</v>
      </c>
      <c r="I30" s="1">
        <v>45303</v>
      </c>
      <c r="J30" s="2">
        <f>DATEDIF(Sheet1[[#This Row],[Fecha ingreso]],Sheet1[[#This Row],[Fecha último pago]],"M")+1</f>
        <v>10</v>
      </c>
      <c r="K30" s="2">
        <f>Sheet1[[#This Row],[Ingresos mensuales]]*Sheet1[[#This Row],[Meses contratados]]</f>
        <v>261.70000000000005</v>
      </c>
      <c r="L30" t="s">
        <v>1815</v>
      </c>
      <c r="M30">
        <v>25</v>
      </c>
      <c r="N30" t="s">
        <v>1820</v>
      </c>
      <c r="O30" t="s">
        <v>1823</v>
      </c>
      <c r="P30" t="s">
        <v>1828</v>
      </c>
      <c r="Q30" cm="1">
        <f t="array" ref="Q30">_xlfn.IFS(P30="2 Years", 24,P30="1 Year",12, P30="6 Months",6, P30="1 Month",1)</f>
        <v>6</v>
      </c>
      <c r="R30" t="str" cm="1">
        <f t="array" ref="R30">_xlfn.IFS(Q30=1,"Mensual",Q30=6,"Semestral",Q30=12,"Anual",Q30=24,"Bienal")</f>
        <v>Semestral</v>
      </c>
      <c r="S30">
        <f>IFERROR(VLOOKUP(Sheet1[[#This Row],[ID usuario]],A31:$A$907,1,FALSE),0)</f>
        <v>0</v>
      </c>
    </row>
    <row r="31" spans="1:19" x14ac:dyDescent="0.25">
      <c r="A31" t="s">
        <v>29</v>
      </c>
      <c r="B31" t="s">
        <v>934</v>
      </c>
      <c r="C31" t="s">
        <v>1810</v>
      </c>
      <c r="D31">
        <v>12.65</v>
      </c>
      <c r="E31" s="1">
        <v>44456</v>
      </c>
      <c r="F31" s="1" t="str">
        <f>TEXT(Sheet1[[#This Row],[Fecha ingreso]],"mmmm")</f>
        <v>septiembre</v>
      </c>
      <c r="G31" s="2">
        <f>YEAR(Sheet1[[#This Row],[Fecha ingreso]])</f>
        <v>2021</v>
      </c>
      <c r="H31" s="1" t="str">
        <f>TEXT(Sheet1[[#This Row],[Fecha ingreso]],"dddd")</f>
        <v>viernes</v>
      </c>
      <c r="I31" s="1">
        <v>44524</v>
      </c>
      <c r="J31" s="2">
        <f>DATEDIF(Sheet1[[#This Row],[Fecha ingreso]],Sheet1[[#This Row],[Fecha último pago]],"M")+1</f>
        <v>3</v>
      </c>
      <c r="K31" s="2">
        <f>Sheet1[[#This Row],[Ingresos mensuales]]*Sheet1[[#This Row],[Meses contratados]]</f>
        <v>37.950000000000003</v>
      </c>
      <c r="L31" t="s">
        <v>1813</v>
      </c>
      <c r="M31">
        <v>47</v>
      </c>
      <c r="N31" t="s">
        <v>1822</v>
      </c>
      <c r="O31" t="s">
        <v>1824</v>
      </c>
      <c r="P31" t="s">
        <v>1828</v>
      </c>
      <c r="Q31" cm="1">
        <f t="array" ref="Q31">_xlfn.IFS(P31="2 Years", 24,P31="1 Year",12, P31="6 Months",6, P31="1 Month",1)</f>
        <v>6</v>
      </c>
      <c r="R31" t="str" cm="1">
        <f t="array" ref="R31">_xlfn.IFS(Q31=1,"Mensual",Q31=6,"Semestral",Q31=12,"Anual",Q31=24,"Bienal")</f>
        <v>Semestral</v>
      </c>
      <c r="S31">
        <f>IFERROR(VLOOKUP(Sheet1[[#This Row],[ID usuario]],A32:$A$907,1,FALSE),0)</f>
        <v>0</v>
      </c>
    </row>
    <row r="32" spans="1:19" x14ac:dyDescent="0.25">
      <c r="A32" t="s">
        <v>30</v>
      </c>
      <c r="B32" t="s">
        <v>935</v>
      </c>
      <c r="C32" t="s">
        <v>1812</v>
      </c>
      <c r="D32">
        <v>13.1</v>
      </c>
      <c r="E32" s="1">
        <v>44583</v>
      </c>
      <c r="F32" s="1" t="str">
        <f>TEXT(Sheet1[[#This Row],[Fecha ingreso]],"mmmm")</f>
        <v>enero</v>
      </c>
      <c r="G32" s="2">
        <f>YEAR(Sheet1[[#This Row],[Fecha ingreso]])</f>
        <v>2022</v>
      </c>
      <c r="H32" s="1" t="str">
        <f>TEXT(Sheet1[[#This Row],[Fecha ingreso]],"dddd")</f>
        <v>sábado</v>
      </c>
      <c r="I32" s="1">
        <v>45139</v>
      </c>
      <c r="J32" s="2">
        <f>DATEDIF(Sheet1[[#This Row],[Fecha ingreso]],Sheet1[[#This Row],[Fecha último pago]],"M")+1</f>
        <v>19</v>
      </c>
      <c r="K32" s="2">
        <f>Sheet1[[#This Row],[Ingresos mensuales]]*Sheet1[[#This Row],[Meses contratados]]</f>
        <v>248.9</v>
      </c>
      <c r="L32" t="s">
        <v>1815</v>
      </c>
      <c r="M32">
        <v>54</v>
      </c>
      <c r="N32" t="s">
        <v>1822</v>
      </c>
      <c r="O32" t="s">
        <v>1823</v>
      </c>
      <c r="P32" t="s">
        <v>1827</v>
      </c>
      <c r="Q32" cm="1">
        <f t="array" ref="Q32">_xlfn.IFS(P32="2 Years", 24,P32="1 Year",12, P32="6 Months",6, P32="1 Month",1)</f>
        <v>12</v>
      </c>
      <c r="R32" t="str" cm="1">
        <f t="array" ref="R32">_xlfn.IFS(Q32=1,"Mensual",Q32=6,"Semestral",Q32=12,"Anual",Q32=24,"Bienal")</f>
        <v>Anual</v>
      </c>
      <c r="S32">
        <f>IFERROR(VLOOKUP(Sheet1[[#This Row],[ID usuario]],A33:$A$907,1,FALSE),0)</f>
        <v>0</v>
      </c>
    </row>
    <row r="33" spans="1:19" x14ac:dyDescent="0.25">
      <c r="A33" t="s">
        <v>31</v>
      </c>
      <c r="B33" t="s">
        <v>936</v>
      </c>
      <c r="C33" t="s">
        <v>1810</v>
      </c>
      <c r="D33">
        <v>26.03</v>
      </c>
      <c r="E33" s="1">
        <v>44492</v>
      </c>
      <c r="F33" s="1" t="str">
        <f>TEXT(Sheet1[[#This Row],[Fecha ingreso]],"mmmm")</f>
        <v>octubre</v>
      </c>
      <c r="G33" s="2">
        <f>YEAR(Sheet1[[#This Row],[Fecha ingreso]])</f>
        <v>2021</v>
      </c>
      <c r="H33" s="1" t="str">
        <f>TEXT(Sheet1[[#This Row],[Fecha ingreso]],"dddd")</f>
        <v>sábado</v>
      </c>
      <c r="I33" s="1">
        <v>44976</v>
      </c>
      <c r="J33" s="2">
        <f>DATEDIF(Sheet1[[#This Row],[Fecha ingreso]],Sheet1[[#This Row],[Fecha último pago]],"M")+1</f>
        <v>16</v>
      </c>
      <c r="K33" s="2">
        <f>Sheet1[[#This Row],[Ingresos mensuales]]*Sheet1[[#This Row],[Meses contratados]]</f>
        <v>416.48</v>
      </c>
      <c r="L33" t="s">
        <v>1816</v>
      </c>
      <c r="M33">
        <v>36</v>
      </c>
      <c r="N33" t="s">
        <v>1820</v>
      </c>
      <c r="O33" t="s">
        <v>1825</v>
      </c>
      <c r="P33" t="s">
        <v>1827</v>
      </c>
      <c r="Q33" cm="1">
        <f t="array" ref="Q33">_xlfn.IFS(P33="2 Years", 24,P33="1 Year",12, P33="6 Months",6, P33="1 Month",1)</f>
        <v>12</v>
      </c>
      <c r="R33" t="str" cm="1">
        <f t="array" ref="R33">_xlfn.IFS(Q33=1,"Mensual",Q33=6,"Semestral",Q33=12,"Anual",Q33=24,"Bienal")</f>
        <v>Anual</v>
      </c>
      <c r="S33">
        <f>IFERROR(VLOOKUP(Sheet1[[#This Row],[ID usuario]],A34:$A$907,1,FALSE),0)</f>
        <v>0</v>
      </c>
    </row>
    <row r="34" spans="1:19" x14ac:dyDescent="0.25">
      <c r="A34" t="s">
        <v>32</v>
      </c>
      <c r="B34" t="s">
        <v>937</v>
      </c>
      <c r="C34" t="s">
        <v>1812</v>
      </c>
      <c r="D34">
        <v>14.5</v>
      </c>
      <c r="E34" s="1">
        <v>44441</v>
      </c>
      <c r="F34" s="1" t="str">
        <f>TEXT(Sheet1[[#This Row],[Fecha ingreso]],"mmmm")</f>
        <v>septiembre</v>
      </c>
      <c r="G34" s="2">
        <f>YEAR(Sheet1[[#This Row],[Fecha ingreso]])</f>
        <v>2021</v>
      </c>
      <c r="H34" s="1" t="str">
        <f>TEXT(Sheet1[[#This Row],[Fecha ingreso]],"dddd")</f>
        <v>jueves</v>
      </c>
      <c r="I34" s="1">
        <v>45282</v>
      </c>
      <c r="J34" s="2">
        <f>DATEDIF(Sheet1[[#This Row],[Fecha ingreso]],Sheet1[[#This Row],[Fecha último pago]],"M")+1</f>
        <v>28</v>
      </c>
      <c r="K34" s="2">
        <f>Sheet1[[#This Row],[Ingresos mensuales]]*Sheet1[[#This Row],[Meses contratados]]</f>
        <v>406</v>
      </c>
      <c r="L34" t="s">
        <v>1815</v>
      </c>
      <c r="M34">
        <v>65</v>
      </c>
      <c r="N34" t="s">
        <v>1822</v>
      </c>
      <c r="O34" t="s">
        <v>1824</v>
      </c>
      <c r="P34" t="s">
        <v>1826</v>
      </c>
      <c r="Q34" cm="1">
        <f t="array" ref="Q34">_xlfn.IFS(P34="2 Years", 24,P34="1 Year",12, P34="6 Months",6, P34="1 Month",1)</f>
        <v>24</v>
      </c>
      <c r="R34" t="str" cm="1">
        <f t="array" ref="R34">_xlfn.IFS(Q34=1,"Mensual",Q34=6,"Semestral",Q34=12,"Anual",Q34=24,"Bienal")</f>
        <v>Bienal</v>
      </c>
      <c r="S34">
        <f>IFERROR(VLOOKUP(Sheet1[[#This Row],[ID usuario]],A35:$A$907,1,FALSE),0)</f>
        <v>0</v>
      </c>
    </row>
    <row r="35" spans="1:19" x14ac:dyDescent="0.25">
      <c r="A35" t="s">
        <v>33</v>
      </c>
      <c r="B35" t="s">
        <v>938</v>
      </c>
      <c r="C35" t="s">
        <v>1812</v>
      </c>
      <c r="D35">
        <v>30.18</v>
      </c>
      <c r="E35" s="1">
        <v>44888</v>
      </c>
      <c r="F35" s="1" t="str">
        <f>TEXT(Sheet1[[#This Row],[Fecha ingreso]],"mmmm")</f>
        <v>noviembre</v>
      </c>
      <c r="G35" s="2">
        <f>YEAR(Sheet1[[#This Row],[Fecha ingreso]])</f>
        <v>2022</v>
      </c>
      <c r="H35" s="1" t="str">
        <f>TEXT(Sheet1[[#This Row],[Fecha ingreso]],"dddd")</f>
        <v>miércoles</v>
      </c>
      <c r="I35" s="1">
        <v>44904</v>
      </c>
      <c r="J35" s="2">
        <f>DATEDIF(Sheet1[[#This Row],[Fecha ingreso]],Sheet1[[#This Row],[Fecha último pago]],"M")+1</f>
        <v>1</v>
      </c>
      <c r="K35" s="2">
        <f>Sheet1[[#This Row],[Ingresos mensuales]]*Sheet1[[#This Row],[Meses contratados]]</f>
        <v>30.18</v>
      </c>
      <c r="L35" t="s">
        <v>1814</v>
      </c>
      <c r="M35">
        <v>20</v>
      </c>
      <c r="N35" t="s">
        <v>1821</v>
      </c>
      <c r="O35" t="s">
        <v>1823</v>
      </c>
      <c r="P35" t="s">
        <v>1827</v>
      </c>
      <c r="Q35" cm="1">
        <f t="array" ref="Q35">_xlfn.IFS(P35="2 Years", 24,P35="1 Year",12, P35="6 Months",6, P35="1 Month",1)</f>
        <v>12</v>
      </c>
      <c r="R35" t="str" cm="1">
        <f t="array" ref="R35">_xlfn.IFS(Q35=1,"Mensual",Q35=6,"Semestral",Q35=12,"Anual",Q35=24,"Bienal")</f>
        <v>Anual</v>
      </c>
      <c r="S35">
        <f>IFERROR(VLOOKUP(Sheet1[[#This Row],[ID usuario]],A36:$A$907,1,FALSE),0)</f>
        <v>0</v>
      </c>
    </row>
    <row r="36" spans="1:19" x14ac:dyDescent="0.25">
      <c r="A36" t="s">
        <v>34</v>
      </c>
      <c r="B36" t="s">
        <v>939</v>
      </c>
      <c r="C36" t="s">
        <v>1810</v>
      </c>
      <c r="D36">
        <v>11.28</v>
      </c>
      <c r="E36" s="1">
        <v>44638</v>
      </c>
      <c r="F36" s="1" t="str">
        <f>TEXT(Sheet1[[#This Row],[Fecha ingreso]],"mmmm")</f>
        <v>marzo</v>
      </c>
      <c r="G36" s="2">
        <f>YEAR(Sheet1[[#This Row],[Fecha ingreso]])</f>
        <v>2022</v>
      </c>
      <c r="H36" s="1" t="str">
        <f>TEXT(Sheet1[[#This Row],[Fecha ingreso]],"dddd")</f>
        <v>viernes</v>
      </c>
      <c r="I36" s="1">
        <v>44981</v>
      </c>
      <c r="J36" s="2">
        <f>DATEDIF(Sheet1[[#This Row],[Fecha ingreso]],Sheet1[[#This Row],[Fecha último pago]],"M")+1</f>
        <v>12</v>
      </c>
      <c r="K36" s="2">
        <f>Sheet1[[#This Row],[Ingresos mensuales]]*Sheet1[[#This Row],[Meses contratados]]</f>
        <v>135.35999999999999</v>
      </c>
      <c r="L36" t="s">
        <v>1815</v>
      </c>
      <c r="M36">
        <v>59</v>
      </c>
      <c r="N36" t="s">
        <v>1820</v>
      </c>
      <c r="O36" t="s">
        <v>1824</v>
      </c>
      <c r="P36" t="s">
        <v>1828</v>
      </c>
      <c r="Q36" cm="1">
        <f t="array" ref="Q36">_xlfn.IFS(P36="2 Years", 24,P36="1 Year",12, P36="6 Months",6, P36="1 Month",1)</f>
        <v>6</v>
      </c>
      <c r="R36" t="str" cm="1">
        <f t="array" ref="R36">_xlfn.IFS(Q36=1,"Mensual",Q36=6,"Semestral",Q36=12,"Anual",Q36=24,"Bienal")</f>
        <v>Semestral</v>
      </c>
      <c r="S36">
        <f>IFERROR(VLOOKUP(Sheet1[[#This Row],[ID usuario]],A37:$A$907,1,FALSE),0)</f>
        <v>0</v>
      </c>
    </row>
    <row r="37" spans="1:19" x14ac:dyDescent="0.25">
      <c r="A37" t="s">
        <v>35</v>
      </c>
      <c r="B37" t="s">
        <v>940</v>
      </c>
      <c r="C37" t="s">
        <v>1812</v>
      </c>
      <c r="D37">
        <v>11.23</v>
      </c>
      <c r="E37" s="1">
        <v>44589</v>
      </c>
      <c r="F37" s="1" t="str">
        <f>TEXT(Sheet1[[#This Row],[Fecha ingreso]],"mmmm")</f>
        <v>enero</v>
      </c>
      <c r="G37" s="2">
        <f>YEAR(Sheet1[[#This Row],[Fecha ingreso]])</f>
        <v>2022</v>
      </c>
      <c r="H37" s="1" t="str">
        <f>TEXT(Sheet1[[#This Row],[Fecha ingreso]],"dddd")</f>
        <v>viernes</v>
      </c>
      <c r="I37" s="1">
        <v>45378</v>
      </c>
      <c r="J37" s="2">
        <f>DATEDIF(Sheet1[[#This Row],[Fecha ingreso]],Sheet1[[#This Row],[Fecha último pago]],"M")+1</f>
        <v>26</v>
      </c>
      <c r="K37" s="2">
        <f>Sheet1[[#This Row],[Ingresos mensuales]]*Sheet1[[#This Row],[Meses contratados]]</f>
        <v>291.98</v>
      </c>
      <c r="L37" t="s">
        <v>1815</v>
      </c>
      <c r="M37">
        <v>47</v>
      </c>
      <c r="N37" t="s">
        <v>1821</v>
      </c>
      <c r="O37" t="s">
        <v>1824</v>
      </c>
      <c r="P37" t="s">
        <v>1828</v>
      </c>
      <c r="Q37" cm="1">
        <f t="array" ref="Q37">_xlfn.IFS(P37="2 Years", 24,P37="1 Year",12, P37="6 Months",6, P37="1 Month",1)</f>
        <v>6</v>
      </c>
      <c r="R37" t="str" cm="1">
        <f t="array" ref="R37">_xlfn.IFS(Q37=1,"Mensual",Q37=6,"Semestral",Q37=12,"Anual",Q37=24,"Bienal")</f>
        <v>Semestral</v>
      </c>
      <c r="S37">
        <f>IFERROR(VLOOKUP(Sheet1[[#This Row],[ID usuario]],A38:$A$907,1,FALSE),0)</f>
        <v>0</v>
      </c>
    </row>
    <row r="38" spans="1:19" x14ac:dyDescent="0.25">
      <c r="A38" t="s">
        <v>36</v>
      </c>
      <c r="B38" t="s">
        <v>941</v>
      </c>
      <c r="C38" t="s">
        <v>1810</v>
      </c>
      <c r="D38">
        <v>86.35</v>
      </c>
      <c r="E38" s="1">
        <v>45015</v>
      </c>
      <c r="F38" s="1" t="str">
        <f>TEXT(Sheet1[[#This Row],[Fecha ingreso]],"mmmm")</f>
        <v>marzo</v>
      </c>
      <c r="G38" s="2">
        <f>YEAR(Sheet1[[#This Row],[Fecha ingreso]])</f>
        <v>2023</v>
      </c>
      <c r="H38" s="1" t="str">
        <f>TEXT(Sheet1[[#This Row],[Fecha ingreso]],"dddd")</f>
        <v>jueves</v>
      </c>
      <c r="I38" s="1">
        <v>45108</v>
      </c>
      <c r="J38" s="2">
        <f>DATEDIF(Sheet1[[#This Row],[Fecha ingreso]],Sheet1[[#This Row],[Fecha último pago]],"M")+1</f>
        <v>4</v>
      </c>
      <c r="K38" s="2">
        <f>Sheet1[[#This Row],[Ingresos mensuales]]*Sheet1[[#This Row],[Meses contratados]]</f>
        <v>345.4</v>
      </c>
      <c r="L38" t="s">
        <v>1818</v>
      </c>
      <c r="M38">
        <v>50</v>
      </c>
      <c r="N38" t="s">
        <v>1820</v>
      </c>
      <c r="O38" t="s">
        <v>1823</v>
      </c>
      <c r="P38" t="s">
        <v>1826</v>
      </c>
      <c r="Q38" cm="1">
        <f t="array" ref="Q38">_xlfn.IFS(P38="2 Years", 24,P38="1 Year",12, P38="6 Months",6, P38="1 Month",1)</f>
        <v>24</v>
      </c>
      <c r="R38" t="str" cm="1">
        <f t="array" ref="R38">_xlfn.IFS(Q38=1,"Mensual",Q38=6,"Semestral",Q38=12,"Anual",Q38=24,"Bienal")</f>
        <v>Bienal</v>
      </c>
      <c r="S38">
        <f>IFERROR(VLOOKUP(Sheet1[[#This Row],[ID usuario]],A39:$A$907,1,FALSE),0)</f>
        <v>0</v>
      </c>
    </row>
    <row r="39" spans="1:19" x14ac:dyDescent="0.25">
      <c r="A39" t="s">
        <v>37</v>
      </c>
      <c r="B39" t="s">
        <v>942</v>
      </c>
      <c r="C39" t="s">
        <v>1810</v>
      </c>
      <c r="D39">
        <v>20.399999999999999</v>
      </c>
      <c r="E39" s="1">
        <v>44970</v>
      </c>
      <c r="F39" s="1" t="str">
        <f>TEXT(Sheet1[[#This Row],[Fecha ingreso]],"mmmm")</f>
        <v>febrero</v>
      </c>
      <c r="G39" s="2">
        <f>YEAR(Sheet1[[#This Row],[Fecha ingreso]])</f>
        <v>2023</v>
      </c>
      <c r="H39" s="1" t="str">
        <f>TEXT(Sheet1[[#This Row],[Fecha ingreso]],"dddd")</f>
        <v>lunes</v>
      </c>
      <c r="I39" s="1">
        <v>45005</v>
      </c>
      <c r="J39" s="2">
        <f>DATEDIF(Sheet1[[#This Row],[Fecha ingreso]],Sheet1[[#This Row],[Fecha último pago]],"M")+1</f>
        <v>2</v>
      </c>
      <c r="K39" s="2">
        <f>Sheet1[[#This Row],[Ingresos mensuales]]*Sheet1[[#This Row],[Meses contratados]]</f>
        <v>40.799999999999997</v>
      </c>
      <c r="L39" t="s">
        <v>1816</v>
      </c>
      <c r="M39">
        <v>67</v>
      </c>
      <c r="N39" t="s">
        <v>1820</v>
      </c>
      <c r="O39" t="s">
        <v>1824</v>
      </c>
      <c r="P39" t="s">
        <v>1828</v>
      </c>
      <c r="Q39" cm="1">
        <f t="array" ref="Q39">_xlfn.IFS(P39="2 Years", 24,P39="1 Year",12, P39="6 Months",6, P39="1 Month",1)</f>
        <v>6</v>
      </c>
      <c r="R39" t="str" cm="1">
        <f t="array" ref="R39">_xlfn.IFS(Q39=1,"Mensual",Q39=6,"Semestral",Q39=12,"Anual",Q39=24,"Bienal")</f>
        <v>Semestral</v>
      </c>
      <c r="S39">
        <f>IFERROR(VLOOKUP(Sheet1[[#This Row],[ID usuario]],A40:$A$907,1,FALSE),0)</f>
        <v>0</v>
      </c>
    </row>
    <row r="40" spans="1:19" x14ac:dyDescent="0.25">
      <c r="A40" t="s">
        <v>38</v>
      </c>
      <c r="B40" t="s">
        <v>943</v>
      </c>
      <c r="C40" t="s">
        <v>1810</v>
      </c>
      <c r="D40">
        <v>58.17</v>
      </c>
      <c r="E40" s="1">
        <v>44593</v>
      </c>
      <c r="F40" s="1" t="str">
        <f>TEXT(Sheet1[[#This Row],[Fecha ingreso]],"mmmm")</f>
        <v>febrero</v>
      </c>
      <c r="G40" s="2">
        <f>YEAR(Sheet1[[#This Row],[Fecha ingreso]])</f>
        <v>2022</v>
      </c>
      <c r="H40" s="1" t="str">
        <f>TEXT(Sheet1[[#This Row],[Fecha ingreso]],"dddd")</f>
        <v>martes</v>
      </c>
      <c r="I40" s="1">
        <v>44994</v>
      </c>
      <c r="J40" s="2">
        <f>DATEDIF(Sheet1[[#This Row],[Fecha ingreso]],Sheet1[[#This Row],[Fecha último pago]],"M")+1</f>
        <v>14</v>
      </c>
      <c r="K40" s="2">
        <f>Sheet1[[#This Row],[Ingresos mensuales]]*Sheet1[[#This Row],[Meses contratados]]</f>
        <v>814.38</v>
      </c>
      <c r="L40" t="s">
        <v>1816</v>
      </c>
      <c r="M40">
        <v>43</v>
      </c>
      <c r="N40" t="s">
        <v>1820</v>
      </c>
      <c r="O40" t="s">
        <v>1824</v>
      </c>
      <c r="P40" t="s">
        <v>1827</v>
      </c>
      <c r="Q40" cm="1">
        <f t="array" ref="Q40">_xlfn.IFS(P40="2 Years", 24,P40="1 Year",12, P40="6 Months",6, P40="1 Month",1)</f>
        <v>12</v>
      </c>
      <c r="R40" t="str" cm="1">
        <f t="array" ref="R40">_xlfn.IFS(Q40=1,"Mensual",Q40=6,"Semestral",Q40=12,"Anual",Q40=24,"Bienal")</f>
        <v>Anual</v>
      </c>
      <c r="S40">
        <f>IFERROR(VLOOKUP(Sheet1[[#This Row],[ID usuario]],A41:$A$907,1,FALSE),0)</f>
        <v>0</v>
      </c>
    </row>
    <row r="41" spans="1:19" x14ac:dyDescent="0.25">
      <c r="A41" t="s">
        <v>39</v>
      </c>
      <c r="B41" t="s">
        <v>944</v>
      </c>
      <c r="C41" t="s">
        <v>1811</v>
      </c>
      <c r="D41">
        <v>78.48</v>
      </c>
      <c r="E41" s="1">
        <v>45153</v>
      </c>
      <c r="F41" s="1" t="str">
        <f>TEXT(Sheet1[[#This Row],[Fecha ingreso]],"mmmm")</f>
        <v>agosto</v>
      </c>
      <c r="G41" s="2">
        <f>YEAR(Sheet1[[#This Row],[Fecha ingreso]])</f>
        <v>2023</v>
      </c>
      <c r="H41" s="1" t="str">
        <f>TEXT(Sheet1[[#This Row],[Fecha ingreso]],"dddd")</f>
        <v>martes</v>
      </c>
      <c r="I41" s="1">
        <v>45240</v>
      </c>
      <c r="J41" s="2">
        <f>DATEDIF(Sheet1[[#This Row],[Fecha ingreso]],Sheet1[[#This Row],[Fecha último pago]],"M")+1</f>
        <v>3</v>
      </c>
      <c r="K41" s="2">
        <f>Sheet1[[#This Row],[Ingresos mensuales]]*Sheet1[[#This Row],[Meses contratados]]</f>
        <v>235.44</v>
      </c>
      <c r="L41" t="s">
        <v>1815</v>
      </c>
      <c r="M41">
        <v>54</v>
      </c>
      <c r="N41" t="s">
        <v>1820</v>
      </c>
      <c r="O41" t="s">
        <v>1824</v>
      </c>
      <c r="P41" t="s">
        <v>1828</v>
      </c>
      <c r="Q41" cm="1">
        <f t="array" ref="Q41">_xlfn.IFS(P41="2 Years", 24,P41="1 Year",12, P41="6 Months",6, P41="1 Month",1)</f>
        <v>6</v>
      </c>
      <c r="R41" t="str" cm="1">
        <f t="array" ref="R41">_xlfn.IFS(Q41=1,"Mensual",Q41=6,"Semestral",Q41=12,"Anual",Q41=24,"Bienal")</f>
        <v>Semestral</v>
      </c>
      <c r="S41">
        <f>IFERROR(VLOOKUP(Sheet1[[#This Row],[ID usuario]],A42:$A$907,1,FALSE),0)</f>
        <v>0</v>
      </c>
    </row>
    <row r="42" spans="1:19" x14ac:dyDescent="0.25">
      <c r="A42" t="s">
        <v>40</v>
      </c>
      <c r="B42" t="s">
        <v>945</v>
      </c>
      <c r="C42" t="s">
        <v>1811</v>
      </c>
      <c r="D42">
        <v>48.36</v>
      </c>
      <c r="E42" s="1">
        <v>44826</v>
      </c>
      <c r="F42" s="1" t="str">
        <f>TEXT(Sheet1[[#This Row],[Fecha ingreso]],"mmmm")</f>
        <v>septiembre</v>
      </c>
      <c r="G42" s="2">
        <f>YEAR(Sheet1[[#This Row],[Fecha ingreso]])</f>
        <v>2022</v>
      </c>
      <c r="H42" s="1" t="str">
        <f>TEXT(Sheet1[[#This Row],[Fecha ingreso]],"dddd")</f>
        <v>jueves</v>
      </c>
      <c r="I42" s="1">
        <v>45315</v>
      </c>
      <c r="J42" s="2">
        <f>DATEDIF(Sheet1[[#This Row],[Fecha ingreso]],Sheet1[[#This Row],[Fecha último pago]],"M")+1</f>
        <v>17</v>
      </c>
      <c r="K42" s="2">
        <f>Sheet1[[#This Row],[Ingresos mensuales]]*Sheet1[[#This Row],[Meses contratados]]</f>
        <v>822.12</v>
      </c>
      <c r="L42" t="s">
        <v>1814</v>
      </c>
      <c r="M42">
        <v>37</v>
      </c>
      <c r="N42" t="s">
        <v>1820</v>
      </c>
      <c r="O42" t="s">
        <v>1825</v>
      </c>
      <c r="P42" t="s">
        <v>1826</v>
      </c>
      <c r="Q42" cm="1">
        <f t="array" ref="Q42">_xlfn.IFS(P42="2 Years", 24,P42="1 Year",12, P42="6 Months",6, P42="1 Month",1)</f>
        <v>24</v>
      </c>
      <c r="R42" t="str" cm="1">
        <f t="array" ref="R42">_xlfn.IFS(Q42=1,"Mensual",Q42=6,"Semestral",Q42=12,"Anual",Q42=24,"Bienal")</f>
        <v>Bienal</v>
      </c>
      <c r="S42">
        <f>IFERROR(VLOOKUP(Sheet1[[#This Row],[ID usuario]],A43:$A$907,1,FALSE),0)</f>
        <v>0</v>
      </c>
    </row>
    <row r="43" spans="1:19" x14ac:dyDescent="0.25">
      <c r="A43" t="s">
        <v>41</v>
      </c>
      <c r="B43" t="s">
        <v>946</v>
      </c>
      <c r="C43" t="s">
        <v>1812</v>
      </c>
      <c r="D43">
        <v>19.57</v>
      </c>
      <c r="E43" s="1">
        <v>45155</v>
      </c>
      <c r="F43" s="1" t="str">
        <f>TEXT(Sheet1[[#This Row],[Fecha ingreso]],"mmmm")</f>
        <v>agosto</v>
      </c>
      <c r="G43" s="2">
        <f>YEAR(Sheet1[[#This Row],[Fecha ingreso]])</f>
        <v>2023</v>
      </c>
      <c r="H43" s="1" t="str">
        <f>TEXT(Sheet1[[#This Row],[Fecha ingreso]],"dddd")</f>
        <v>jueves</v>
      </c>
      <c r="I43" s="1">
        <v>45444</v>
      </c>
      <c r="J43" s="2">
        <f>DATEDIF(Sheet1[[#This Row],[Fecha ingreso]],Sheet1[[#This Row],[Fecha último pago]],"M")+1</f>
        <v>10</v>
      </c>
      <c r="K43" s="2">
        <f>Sheet1[[#This Row],[Ingresos mensuales]]*Sheet1[[#This Row],[Meses contratados]]</f>
        <v>195.7</v>
      </c>
      <c r="L43" t="s">
        <v>1813</v>
      </c>
      <c r="M43">
        <v>50</v>
      </c>
      <c r="N43" t="s">
        <v>1822</v>
      </c>
      <c r="O43" t="s">
        <v>1825</v>
      </c>
      <c r="P43" t="s">
        <v>1829</v>
      </c>
      <c r="Q43" cm="1">
        <f t="array" ref="Q43">_xlfn.IFS(P43="2 Years", 24,P43="1 Year",12, P43="6 Months",6, P43="1 Month",1)</f>
        <v>1</v>
      </c>
      <c r="R43" t="str" cm="1">
        <f t="array" ref="R43">_xlfn.IFS(Q43=1,"Mensual",Q43=6,"Semestral",Q43=12,"Anual",Q43=24,"Bienal")</f>
        <v>Mensual</v>
      </c>
      <c r="S43">
        <f>IFERROR(VLOOKUP(Sheet1[[#This Row],[ID usuario]],A44:$A$907,1,FALSE),0)</f>
        <v>0</v>
      </c>
    </row>
    <row r="44" spans="1:19" x14ac:dyDescent="0.25">
      <c r="A44" t="s">
        <v>42</v>
      </c>
      <c r="B44" t="s">
        <v>947</v>
      </c>
      <c r="C44" t="s">
        <v>1810</v>
      </c>
      <c r="D44">
        <v>23.96</v>
      </c>
      <c r="E44" s="1">
        <v>44815</v>
      </c>
      <c r="F44" s="1" t="str">
        <f>TEXT(Sheet1[[#This Row],[Fecha ingreso]],"mmmm")</f>
        <v>septiembre</v>
      </c>
      <c r="G44" s="2">
        <f>YEAR(Sheet1[[#This Row],[Fecha ingreso]])</f>
        <v>2022</v>
      </c>
      <c r="H44" s="1" t="str">
        <f>TEXT(Sheet1[[#This Row],[Fecha ingreso]],"dddd")</f>
        <v>domingo</v>
      </c>
      <c r="I44" s="1">
        <v>45261</v>
      </c>
      <c r="J44" s="2">
        <f>DATEDIF(Sheet1[[#This Row],[Fecha ingreso]],Sheet1[[#This Row],[Fecha último pago]],"M")+1</f>
        <v>15</v>
      </c>
      <c r="K44" s="2">
        <f>Sheet1[[#This Row],[Ingresos mensuales]]*Sheet1[[#This Row],[Meses contratados]]</f>
        <v>359.40000000000003</v>
      </c>
      <c r="L44" t="s">
        <v>1818</v>
      </c>
      <c r="M44">
        <v>45</v>
      </c>
      <c r="N44" t="s">
        <v>1821</v>
      </c>
      <c r="O44" t="s">
        <v>1825</v>
      </c>
      <c r="P44" t="s">
        <v>1828</v>
      </c>
      <c r="Q44" cm="1">
        <f t="array" ref="Q44">_xlfn.IFS(P44="2 Years", 24,P44="1 Year",12, P44="6 Months",6, P44="1 Month",1)</f>
        <v>6</v>
      </c>
      <c r="R44" t="str" cm="1">
        <f t="array" ref="R44">_xlfn.IFS(Q44=1,"Mensual",Q44=6,"Semestral",Q44=12,"Anual",Q44=24,"Bienal")</f>
        <v>Semestral</v>
      </c>
      <c r="S44">
        <f>IFERROR(VLOOKUP(Sheet1[[#This Row],[ID usuario]],A45:$A$907,1,FALSE),0)</f>
        <v>0</v>
      </c>
    </row>
    <row r="45" spans="1:19" x14ac:dyDescent="0.25">
      <c r="A45" t="s">
        <v>43</v>
      </c>
      <c r="B45" t="s">
        <v>948</v>
      </c>
      <c r="C45" t="s">
        <v>1810</v>
      </c>
      <c r="D45">
        <v>46.13</v>
      </c>
      <c r="E45" s="1">
        <v>45050</v>
      </c>
      <c r="F45" s="1" t="str">
        <f>TEXT(Sheet1[[#This Row],[Fecha ingreso]],"mmmm")</f>
        <v>mayo</v>
      </c>
      <c r="G45" s="2">
        <f>YEAR(Sheet1[[#This Row],[Fecha ingreso]])</f>
        <v>2023</v>
      </c>
      <c r="H45" s="1" t="str">
        <f>TEXT(Sheet1[[#This Row],[Fecha ingreso]],"dddd")</f>
        <v>jueves</v>
      </c>
      <c r="I45" s="1">
        <v>45286</v>
      </c>
      <c r="J45" s="2">
        <f>DATEDIF(Sheet1[[#This Row],[Fecha ingreso]],Sheet1[[#This Row],[Fecha último pago]],"M")+1</f>
        <v>8</v>
      </c>
      <c r="K45" s="2">
        <f>Sheet1[[#This Row],[Ingresos mensuales]]*Sheet1[[#This Row],[Meses contratados]]</f>
        <v>369.04</v>
      </c>
      <c r="L45" t="s">
        <v>1814</v>
      </c>
      <c r="M45">
        <v>44</v>
      </c>
      <c r="N45" t="s">
        <v>1820</v>
      </c>
      <c r="O45" t="s">
        <v>1823</v>
      </c>
      <c r="P45" t="s">
        <v>1827</v>
      </c>
      <c r="Q45" cm="1">
        <f t="array" ref="Q45">_xlfn.IFS(P45="2 Years", 24,P45="1 Year",12, P45="6 Months",6, P45="1 Month",1)</f>
        <v>12</v>
      </c>
      <c r="R45" t="str" cm="1">
        <f t="array" ref="R45">_xlfn.IFS(Q45=1,"Mensual",Q45=6,"Semestral",Q45=12,"Anual",Q45=24,"Bienal")</f>
        <v>Anual</v>
      </c>
      <c r="S45">
        <f>IFERROR(VLOOKUP(Sheet1[[#This Row],[ID usuario]],A46:$A$907,1,FALSE),0)</f>
        <v>0</v>
      </c>
    </row>
    <row r="46" spans="1:19" x14ac:dyDescent="0.25">
      <c r="A46" t="s">
        <v>44</v>
      </c>
      <c r="B46" t="s">
        <v>949</v>
      </c>
      <c r="C46" t="s">
        <v>1811</v>
      </c>
      <c r="D46">
        <v>55.18</v>
      </c>
      <c r="E46" s="1">
        <v>44635</v>
      </c>
      <c r="F46" s="1" t="str">
        <f>TEXT(Sheet1[[#This Row],[Fecha ingreso]],"mmmm")</f>
        <v>marzo</v>
      </c>
      <c r="G46" s="2">
        <f>YEAR(Sheet1[[#This Row],[Fecha ingreso]])</f>
        <v>2022</v>
      </c>
      <c r="H46" s="1" t="str">
        <f>TEXT(Sheet1[[#This Row],[Fecha ingreso]],"dddd")</f>
        <v>martes</v>
      </c>
      <c r="I46" s="1">
        <v>45434</v>
      </c>
      <c r="J46" s="2">
        <f>DATEDIF(Sheet1[[#This Row],[Fecha ingreso]],Sheet1[[#This Row],[Fecha último pago]],"M")+1</f>
        <v>27</v>
      </c>
      <c r="K46" s="2">
        <f>Sheet1[[#This Row],[Ingresos mensuales]]*Sheet1[[#This Row],[Meses contratados]]</f>
        <v>1489.86</v>
      </c>
      <c r="L46" t="s">
        <v>1813</v>
      </c>
      <c r="M46">
        <v>46</v>
      </c>
      <c r="N46" t="s">
        <v>1822</v>
      </c>
      <c r="O46" t="s">
        <v>1824</v>
      </c>
      <c r="P46" t="s">
        <v>1826</v>
      </c>
      <c r="Q46" cm="1">
        <f t="array" ref="Q46">_xlfn.IFS(P46="2 Years", 24,P46="1 Year",12, P46="6 Months",6, P46="1 Month",1)</f>
        <v>24</v>
      </c>
      <c r="R46" t="str" cm="1">
        <f t="array" ref="R46">_xlfn.IFS(Q46=1,"Mensual",Q46=6,"Semestral",Q46=12,"Anual",Q46=24,"Bienal")</f>
        <v>Bienal</v>
      </c>
      <c r="S46">
        <f>IFERROR(VLOOKUP(Sheet1[[#This Row],[ID usuario]],A47:$A$907,1,FALSE),0)</f>
        <v>0</v>
      </c>
    </row>
    <row r="47" spans="1:19" x14ac:dyDescent="0.25">
      <c r="A47" t="s">
        <v>45</v>
      </c>
      <c r="B47" t="s">
        <v>950</v>
      </c>
      <c r="C47" t="s">
        <v>1810</v>
      </c>
      <c r="D47">
        <v>38.200000000000003</v>
      </c>
      <c r="E47" s="1">
        <v>44490</v>
      </c>
      <c r="F47" s="1" t="str">
        <f>TEXT(Sheet1[[#This Row],[Fecha ingreso]],"mmmm")</f>
        <v>octubre</v>
      </c>
      <c r="G47" s="2">
        <f>YEAR(Sheet1[[#This Row],[Fecha ingreso]])</f>
        <v>2021</v>
      </c>
      <c r="H47" s="1" t="str">
        <f>TEXT(Sheet1[[#This Row],[Fecha ingreso]],"dddd")</f>
        <v>jueves</v>
      </c>
      <c r="I47" s="1">
        <v>45300</v>
      </c>
      <c r="J47" s="2">
        <f>DATEDIF(Sheet1[[#This Row],[Fecha ingreso]],Sheet1[[#This Row],[Fecha último pago]],"M")+1</f>
        <v>27</v>
      </c>
      <c r="K47" s="2">
        <f>Sheet1[[#This Row],[Ingresos mensuales]]*Sheet1[[#This Row],[Meses contratados]]</f>
        <v>1031.4000000000001</v>
      </c>
      <c r="L47" t="s">
        <v>1818</v>
      </c>
      <c r="M47">
        <v>63</v>
      </c>
      <c r="N47" t="s">
        <v>1820</v>
      </c>
      <c r="O47" t="s">
        <v>1823</v>
      </c>
      <c r="P47" t="s">
        <v>1826</v>
      </c>
      <c r="Q47" cm="1">
        <f t="array" ref="Q47">_xlfn.IFS(P47="2 Years", 24,P47="1 Year",12, P47="6 Months",6, P47="1 Month",1)</f>
        <v>24</v>
      </c>
      <c r="R47" t="str" cm="1">
        <f t="array" ref="R47">_xlfn.IFS(Q47=1,"Mensual",Q47=6,"Semestral",Q47=12,"Anual",Q47=24,"Bienal")</f>
        <v>Bienal</v>
      </c>
      <c r="S47">
        <f>IFERROR(VLOOKUP(Sheet1[[#This Row],[ID usuario]],A48:$A$907,1,FALSE),0)</f>
        <v>0</v>
      </c>
    </row>
    <row r="48" spans="1:19" x14ac:dyDescent="0.25">
      <c r="A48" t="s">
        <v>46</v>
      </c>
      <c r="B48" t="s">
        <v>951</v>
      </c>
      <c r="C48" t="s">
        <v>1811</v>
      </c>
      <c r="D48">
        <v>79.239999999999995</v>
      </c>
      <c r="E48" s="1">
        <v>45076</v>
      </c>
      <c r="F48" s="1" t="str">
        <f>TEXT(Sheet1[[#This Row],[Fecha ingreso]],"mmmm")</f>
        <v>mayo</v>
      </c>
      <c r="G48" s="2">
        <f>YEAR(Sheet1[[#This Row],[Fecha ingreso]])</f>
        <v>2023</v>
      </c>
      <c r="H48" s="1" t="str">
        <f>TEXT(Sheet1[[#This Row],[Fecha ingreso]],"dddd")</f>
        <v>martes</v>
      </c>
      <c r="I48" s="1">
        <v>45439</v>
      </c>
      <c r="J48" s="2">
        <f>DATEDIF(Sheet1[[#This Row],[Fecha ingreso]],Sheet1[[#This Row],[Fecha último pago]],"M")+1</f>
        <v>12</v>
      </c>
      <c r="K48" s="2">
        <f>Sheet1[[#This Row],[Ingresos mensuales]]*Sheet1[[#This Row],[Meses contratados]]</f>
        <v>950.87999999999988</v>
      </c>
      <c r="L48" t="s">
        <v>1816</v>
      </c>
      <c r="M48">
        <v>41</v>
      </c>
      <c r="N48" t="s">
        <v>1820</v>
      </c>
      <c r="O48" t="s">
        <v>1823</v>
      </c>
      <c r="P48" t="s">
        <v>1829</v>
      </c>
      <c r="Q48" cm="1">
        <f t="array" ref="Q48">_xlfn.IFS(P48="2 Years", 24,P48="1 Year",12, P48="6 Months",6, P48="1 Month",1)</f>
        <v>1</v>
      </c>
      <c r="R48" t="str" cm="1">
        <f t="array" ref="R48">_xlfn.IFS(Q48=1,"Mensual",Q48=6,"Semestral",Q48=12,"Anual",Q48=24,"Bienal")</f>
        <v>Mensual</v>
      </c>
      <c r="S48">
        <f>IFERROR(VLOOKUP(Sheet1[[#This Row],[ID usuario]],A49:$A$907,1,FALSE),0)</f>
        <v>0</v>
      </c>
    </row>
    <row r="49" spans="1:19" x14ac:dyDescent="0.25">
      <c r="A49" t="s">
        <v>47</v>
      </c>
      <c r="B49" t="s">
        <v>952</v>
      </c>
      <c r="C49" t="s">
        <v>1812</v>
      </c>
      <c r="D49">
        <v>76.349999999999994</v>
      </c>
      <c r="E49" s="1">
        <v>44817</v>
      </c>
      <c r="F49" s="1" t="str">
        <f>TEXT(Sheet1[[#This Row],[Fecha ingreso]],"mmmm")</f>
        <v>septiembre</v>
      </c>
      <c r="G49" s="2">
        <f>YEAR(Sheet1[[#This Row],[Fecha ingreso]])</f>
        <v>2022</v>
      </c>
      <c r="H49" s="1" t="str">
        <f>TEXT(Sheet1[[#This Row],[Fecha ingreso]],"dddd")</f>
        <v>martes</v>
      </c>
      <c r="I49" s="1">
        <v>44899</v>
      </c>
      <c r="J49" s="2">
        <f>DATEDIF(Sheet1[[#This Row],[Fecha ingreso]],Sheet1[[#This Row],[Fecha último pago]],"M")+1</f>
        <v>3</v>
      </c>
      <c r="K49" s="2">
        <f>Sheet1[[#This Row],[Ingresos mensuales]]*Sheet1[[#This Row],[Meses contratados]]</f>
        <v>229.04999999999998</v>
      </c>
      <c r="L49" t="s">
        <v>1817</v>
      </c>
      <c r="M49">
        <v>36</v>
      </c>
      <c r="N49" t="s">
        <v>1821</v>
      </c>
      <c r="O49" t="s">
        <v>1825</v>
      </c>
      <c r="P49" t="s">
        <v>1827</v>
      </c>
      <c r="Q49" cm="1">
        <f t="array" ref="Q49">_xlfn.IFS(P49="2 Years", 24,P49="1 Year",12, P49="6 Months",6, P49="1 Month",1)</f>
        <v>12</v>
      </c>
      <c r="R49" t="str" cm="1">
        <f t="array" ref="R49">_xlfn.IFS(Q49=1,"Mensual",Q49=6,"Semestral",Q49=12,"Anual",Q49=24,"Bienal")</f>
        <v>Anual</v>
      </c>
      <c r="S49">
        <f>IFERROR(VLOOKUP(Sheet1[[#This Row],[ID usuario]],A50:$A$907,1,FALSE),0)</f>
        <v>0</v>
      </c>
    </row>
    <row r="50" spans="1:19" x14ac:dyDescent="0.25">
      <c r="A50" t="s">
        <v>48</v>
      </c>
      <c r="B50" t="s">
        <v>953</v>
      </c>
      <c r="C50" t="s">
        <v>1812</v>
      </c>
      <c r="D50">
        <v>93.09</v>
      </c>
      <c r="E50" s="1">
        <v>44431</v>
      </c>
      <c r="F50" s="1" t="str">
        <f>TEXT(Sheet1[[#This Row],[Fecha ingreso]],"mmmm")</f>
        <v>agosto</v>
      </c>
      <c r="G50" s="2">
        <f>YEAR(Sheet1[[#This Row],[Fecha ingreso]])</f>
        <v>2021</v>
      </c>
      <c r="H50" s="1" t="str">
        <f>TEXT(Sheet1[[#This Row],[Fecha ingreso]],"dddd")</f>
        <v>lunes</v>
      </c>
      <c r="I50" s="1">
        <v>45120</v>
      </c>
      <c r="J50" s="2">
        <f>DATEDIF(Sheet1[[#This Row],[Fecha ingreso]],Sheet1[[#This Row],[Fecha último pago]],"M")+1</f>
        <v>23</v>
      </c>
      <c r="K50" s="2">
        <f>Sheet1[[#This Row],[Ingresos mensuales]]*Sheet1[[#This Row],[Meses contratados]]</f>
        <v>2141.0700000000002</v>
      </c>
      <c r="L50" t="s">
        <v>1814</v>
      </c>
      <c r="M50">
        <v>23</v>
      </c>
      <c r="N50" t="s">
        <v>1820</v>
      </c>
      <c r="O50" t="s">
        <v>1825</v>
      </c>
      <c r="P50" t="s">
        <v>1828</v>
      </c>
      <c r="Q50" cm="1">
        <f t="array" ref="Q50">_xlfn.IFS(P50="2 Years", 24,P50="1 Year",12, P50="6 Months",6, P50="1 Month",1)</f>
        <v>6</v>
      </c>
      <c r="R50" t="str" cm="1">
        <f t="array" ref="R50">_xlfn.IFS(Q50=1,"Mensual",Q50=6,"Semestral",Q50=12,"Anual",Q50=24,"Bienal")</f>
        <v>Semestral</v>
      </c>
      <c r="S50">
        <f>IFERROR(VLOOKUP(Sheet1[[#This Row],[ID usuario]],A51:$A$907,1,FALSE),0)</f>
        <v>0</v>
      </c>
    </row>
    <row r="51" spans="1:19" x14ac:dyDescent="0.25">
      <c r="A51" t="s">
        <v>49</v>
      </c>
      <c r="B51" t="s">
        <v>954</v>
      </c>
      <c r="C51" t="s">
        <v>1810</v>
      </c>
      <c r="D51">
        <v>7.75</v>
      </c>
      <c r="E51" s="1">
        <v>44859</v>
      </c>
      <c r="F51" s="1" t="str">
        <f>TEXT(Sheet1[[#This Row],[Fecha ingreso]],"mmmm")</f>
        <v>octubre</v>
      </c>
      <c r="G51" s="2">
        <f>YEAR(Sheet1[[#This Row],[Fecha ingreso]])</f>
        <v>2022</v>
      </c>
      <c r="H51" s="1" t="str">
        <f>TEXT(Sheet1[[#This Row],[Fecha ingreso]],"dddd")</f>
        <v>martes</v>
      </c>
      <c r="I51" s="1">
        <v>44994</v>
      </c>
      <c r="J51" s="2">
        <f>DATEDIF(Sheet1[[#This Row],[Fecha ingreso]],Sheet1[[#This Row],[Fecha último pago]],"M")+1</f>
        <v>5</v>
      </c>
      <c r="K51" s="2">
        <f>Sheet1[[#This Row],[Ingresos mensuales]]*Sheet1[[#This Row],[Meses contratados]]</f>
        <v>38.75</v>
      </c>
      <c r="L51" t="s">
        <v>1818</v>
      </c>
      <c r="M51">
        <v>19</v>
      </c>
      <c r="N51" t="s">
        <v>1821</v>
      </c>
      <c r="O51" t="s">
        <v>1824</v>
      </c>
      <c r="P51" t="s">
        <v>1829</v>
      </c>
      <c r="Q51" cm="1">
        <f t="array" ref="Q51">_xlfn.IFS(P51="2 Years", 24,P51="1 Year",12, P51="6 Months",6, P51="1 Month",1)</f>
        <v>1</v>
      </c>
      <c r="R51" t="str" cm="1">
        <f t="array" ref="R51">_xlfn.IFS(Q51=1,"Mensual",Q51=6,"Semestral",Q51=12,"Anual",Q51=24,"Bienal")</f>
        <v>Mensual</v>
      </c>
      <c r="S51">
        <f>IFERROR(VLOOKUP(Sheet1[[#This Row],[ID usuario]],A52:$A$907,1,FALSE),0)</f>
        <v>0</v>
      </c>
    </row>
    <row r="52" spans="1:19" x14ac:dyDescent="0.25">
      <c r="A52" t="s">
        <v>50</v>
      </c>
      <c r="B52" t="s">
        <v>955</v>
      </c>
      <c r="C52" t="s">
        <v>1811</v>
      </c>
      <c r="D52">
        <v>90.09</v>
      </c>
      <c r="E52" s="1">
        <v>44478</v>
      </c>
      <c r="F52" s="1" t="str">
        <f>TEXT(Sheet1[[#This Row],[Fecha ingreso]],"mmmm")</f>
        <v>octubre</v>
      </c>
      <c r="G52" s="2">
        <f>YEAR(Sheet1[[#This Row],[Fecha ingreso]])</f>
        <v>2021</v>
      </c>
      <c r="H52" s="1" t="str">
        <f>TEXT(Sheet1[[#This Row],[Fecha ingreso]],"dddd")</f>
        <v>sábado</v>
      </c>
      <c r="I52" s="1">
        <v>45210</v>
      </c>
      <c r="J52" s="2">
        <f>DATEDIF(Sheet1[[#This Row],[Fecha ingreso]],Sheet1[[#This Row],[Fecha último pago]],"M")+1</f>
        <v>25</v>
      </c>
      <c r="K52" s="2">
        <f>Sheet1[[#This Row],[Ingresos mensuales]]*Sheet1[[#This Row],[Meses contratados]]</f>
        <v>2252.25</v>
      </c>
      <c r="L52" t="s">
        <v>1815</v>
      </c>
      <c r="M52">
        <v>39</v>
      </c>
      <c r="N52" t="s">
        <v>1820</v>
      </c>
      <c r="O52" t="s">
        <v>1823</v>
      </c>
      <c r="P52" t="s">
        <v>1828</v>
      </c>
      <c r="Q52" cm="1">
        <f t="array" ref="Q52">_xlfn.IFS(P52="2 Years", 24,P52="1 Year",12, P52="6 Months",6, P52="1 Month",1)</f>
        <v>6</v>
      </c>
      <c r="R52" t="str" cm="1">
        <f t="array" ref="R52">_xlfn.IFS(Q52=1,"Mensual",Q52=6,"Semestral",Q52=12,"Anual",Q52=24,"Bienal")</f>
        <v>Semestral</v>
      </c>
      <c r="S52">
        <f>IFERROR(VLOOKUP(Sheet1[[#This Row],[ID usuario]],A53:$A$907,1,FALSE),0)</f>
        <v>0</v>
      </c>
    </row>
    <row r="53" spans="1:19" x14ac:dyDescent="0.25">
      <c r="A53" t="s">
        <v>51</v>
      </c>
      <c r="B53" t="s">
        <v>956</v>
      </c>
      <c r="C53" t="s">
        <v>1811</v>
      </c>
      <c r="D53">
        <v>42.29</v>
      </c>
      <c r="E53" s="1">
        <v>44457</v>
      </c>
      <c r="F53" s="1" t="str">
        <f>TEXT(Sheet1[[#This Row],[Fecha ingreso]],"mmmm")</f>
        <v>septiembre</v>
      </c>
      <c r="G53" s="2">
        <f>YEAR(Sheet1[[#This Row],[Fecha ingreso]])</f>
        <v>2021</v>
      </c>
      <c r="H53" s="1" t="str">
        <f>TEXT(Sheet1[[#This Row],[Fecha ingreso]],"dddd")</f>
        <v>sábado</v>
      </c>
      <c r="I53" s="1">
        <v>44692</v>
      </c>
      <c r="J53" s="2">
        <f>DATEDIF(Sheet1[[#This Row],[Fecha ingreso]],Sheet1[[#This Row],[Fecha último pago]],"M")+1</f>
        <v>8</v>
      </c>
      <c r="K53" s="2">
        <f>Sheet1[[#This Row],[Ingresos mensuales]]*Sheet1[[#This Row],[Meses contratados]]</f>
        <v>338.32</v>
      </c>
      <c r="L53" t="s">
        <v>1814</v>
      </c>
      <c r="M53">
        <v>52</v>
      </c>
      <c r="N53" t="s">
        <v>1822</v>
      </c>
      <c r="O53" t="s">
        <v>1823</v>
      </c>
      <c r="P53" t="s">
        <v>1827</v>
      </c>
      <c r="Q53" cm="1">
        <f t="array" ref="Q53">_xlfn.IFS(P53="2 Years", 24,P53="1 Year",12, P53="6 Months",6, P53="1 Month",1)</f>
        <v>12</v>
      </c>
      <c r="R53" t="str" cm="1">
        <f t="array" ref="R53">_xlfn.IFS(Q53=1,"Mensual",Q53=6,"Semestral",Q53=12,"Anual",Q53=24,"Bienal")</f>
        <v>Anual</v>
      </c>
      <c r="S53">
        <f>IFERROR(VLOOKUP(Sheet1[[#This Row],[ID usuario]],A54:$A$907,1,FALSE),0)</f>
        <v>0</v>
      </c>
    </row>
    <row r="54" spans="1:19" x14ac:dyDescent="0.25">
      <c r="A54" t="s">
        <v>52</v>
      </c>
      <c r="B54" t="s">
        <v>957</v>
      </c>
      <c r="C54" t="s">
        <v>1811</v>
      </c>
      <c r="D54">
        <v>88.45</v>
      </c>
      <c r="E54" s="1">
        <v>45205</v>
      </c>
      <c r="F54" s="1" t="str">
        <f>TEXT(Sheet1[[#This Row],[Fecha ingreso]],"mmmm")</f>
        <v>octubre</v>
      </c>
      <c r="G54" s="2">
        <f>YEAR(Sheet1[[#This Row],[Fecha ingreso]])</f>
        <v>2023</v>
      </c>
      <c r="H54" s="1" t="str">
        <f>TEXT(Sheet1[[#This Row],[Fecha ingreso]],"dddd")</f>
        <v>viernes</v>
      </c>
      <c r="I54" s="1">
        <v>45280</v>
      </c>
      <c r="J54" s="2">
        <f>DATEDIF(Sheet1[[#This Row],[Fecha ingreso]],Sheet1[[#This Row],[Fecha último pago]],"M")+1</f>
        <v>3</v>
      </c>
      <c r="K54" s="2">
        <f>Sheet1[[#This Row],[Ingresos mensuales]]*Sheet1[[#This Row],[Meses contratados]]</f>
        <v>265.35000000000002</v>
      </c>
      <c r="L54" t="s">
        <v>1814</v>
      </c>
      <c r="M54">
        <v>19</v>
      </c>
      <c r="N54" t="s">
        <v>1820</v>
      </c>
      <c r="O54" t="s">
        <v>1824</v>
      </c>
      <c r="P54" t="s">
        <v>1828</v>
      </c>
      <c r="Q54" cm="1">
        <f t="array" ref="Q54">_xlfn.IFS(P54="2 Years", 24,P54="1 Year",12, P54="6 Months",6, P54="1 Month",1)</f>
        <v>6</v>
      </c>
      <c r="R54" t="str" cm="1">
        <f t="array" ref="R54">_xlfn.IFS(Q54=1,"Mensual",Q54=6,"Semestral",Q54=12,"Anual",Q54=24,"Bienal")</f>
        <v>Semestral</v>
      </c>
      <c r="S54">
        <f>IFERROR(VLOOKUP(Sheet1[[#This Row],[ID usuario]],A55:$A$907,1,FALSE),0)</f>
        <v>0</v>
      </c>
    </row>
    <row r="55" spans="1:19" x14ac:dyDescent="0.25">
      <c r="A55" t="s">
        <v>53</v>
      </c>
      <c r="B55" t="s">
        <v>958</v>
      </c>
      <c r="C55" t="s">
        <v>1811</v>
      </c>
      <c r="D55">
        <v>70.62</v>
      </c>
      <c r="E55" s="1">
        <v>44551</v>
      </c>
      <c r="F55" s="1" t="str">
        <f>TEXT(Sheet1[[#This Row],[Fecha ingreso]],"mmmm")</f>
        <v>diciembre</v>
      </c>
      <c r="G55" s="2">
        <f>YEAR(Sheet1[[#This Row],[Fecha ingreso]])</f>
        <v>2021</v>
      </c>
      <c r="H55" s="1" t="str">
        <f>TEXT(Sheet1[[#This Row],[Fecha ingreso]],"dddd")</f>
        <v>martes</v>
      </c>
      <c r="I55" s="1">
        <v>44845</v>
      </c>
      <c r="J55" s="2">
        <f>DATEDIF(Sheet1[[#This Row],[Fecha ingreso]],Sheet1[[#This Row],[Fecha último pago]],"M")+1</f>
        <v>10</v>
      </c>
      <c r="K55" s="2">
        <f>Sheet1[[#This Row],[Ingresos mensuales]]*Sheet1[[#This Row],[Meses contratados]]</f>
        <v>706.2</v>
      </c>
      <c r="L55" t="s">
        <v>1815</v>
      </c>
      <c r="M55">
        <v>47</v>
      </c>
      <c r="N55" t="s">
        <v>1822</v>
      </c>
      <c r="O55" t="s">
        <v>1825</v>
      </c>
      <c r="P55" t="s">
        <v>1828</v>
      </c>
      <c r="Q55" cm="1">
        <f t="array" ref="Q55">_xlfn.IFS(P55="2 Years", 24,P55="1 Year",12, P55="6 Months",6, P55="1 Month",1)</f>
        <v>6</v>
      </c>
      <c r="R55" t="str" cm="1">
        <f t="array" ref="R55">_xlfn.IFS(Q55=1,"Mensual",Q55=6,"Semestral",Q55=12,"Anual",Q55=24,"Bienal")</f>
        <v>Semestral</v>
      </c>
      <c r="S55">
        <f>IFERROR(VLOOKUP(Sheet1[[#This Row],[ID usuario]],A56:$A$907,1,FALSE),0)</f>
        <v>0</v>
      </c>
    </row>
    <row r="56" spans="1:19" x14ac:dyDescent="0.25">
      <c r="A56" t="s">
        <v>54</v>
      </c>
      <c r="B56" t="s">
        <v>959</v>
      </c>
      <c r="C56" t="s">
        <v>1812</v>
      </c>
      <c r="D56">
        <v>77.13</v>
      </c>
      <c r="E56" s="1">
        <v>45304</v>
      </c>
      <c r="F56" s="1" t="str">
        <f>TEXT(Sheet1[[#This Row],[Fecha ingreso]],"mmmm")</f>
        <v>enero</v>
      </c>
      <c r="G56" s="2">
        <f>YEAR(Sheet1[[#This Row],[Fecha ingreso]])</f>
        <v>2024</v>
      </c>
      <c r="H56" s="1" t="str">
        <f>TEXT(Sheet1[[#This Row],[Fecha ingreso]],"dddd")</f>
        <v>sábado</v>
      </c>
      <c r="I56" s="1">
        <v>45385</v>
      </c>
      <c r="J56" s="2">
        <f>DATEDIF(Sheet1[[#This Row],[Fecha ingreso]],Sheet1[[#This Row],[Fecha último pago]],"M")+1</f>
        <v>3</v>
      </c>
      <c r="K56" s="2">
        <f>Sheet1[[#This Row],[Ingresos mensuales]]*Sheet1[[#This Row],[Meses contratados]]</f>
        <v>231.39</v>
      </c>
      <c r="L56" t="s">
        <v>1817</v>
      </c>
      <c r="M56">
        <v>52</v>
      </c>
      <c r="N56" t="s">
        <v>1822</v>
      </c>
      <c r="O56" t="s">
        <v>1825</v>
      </c>
      <c r="P56" t="s">
        <v>1827</v>
      </c>
      <c r="Q56" cm="1">
        <f t="array" ref="Q56">_xlfn.IFS(P56="2 Years", 24,P56="1 Year",12, P56="6 Months",6, P56="1 Month",1)</f>
        <v>12</v>
      </c>
      <c r="R56" t="str" cm="1">
        <f t="array" ref="R56">_xlfn.IFS(Q56=1,"Mensual",Q56=6,"Semestral",Q56=12,"Anual",Q56=24,"Bienal")</f>
        <v>Anual</v>
      </c>
      <c r="S56">
        <f>IFERROR(VLOOKUP(Sheet1[[#This Row],[ID usuario]],A57:$A$907,1,FALSE),0)</f>
        <v>0</v>
      </c>
    </row>
    <row r="57" spans="1:19" x14ac:dyDescent="0.25">
      <c r="A57" t="s">
        <v>55</v>
      </c>
      <c r="B57" t="s">
        <v>960</v>
      </c>
      <c r="C57" t="s">
        <v>1812</v>
      </c>
      <c r="D57">
        <v>39.630000000000003</v>
      </c>
      <c r="E57" s="1">
        <v>45307</v>
      </c>
      <c r="F57" s="1" t="str">
        <f>TEXT(Sheet1[[#This Row],[Fecha ingreso]],"mmmm")</f>
        <v>enero</v>
      </c>
      <c r="G57" s="2">
        <f>YEAR(Sheet1[[#This Row],[Fecha ingreso]])</f>
        <v>2024</v>
      </c>
      <c r="H57" s="1" t="str">
        <f>TEXT(Sheet1[[#This Row],[Fecha ingreso]],"dddd")</f>
        <v>martes</v>
      </c>
      <c r="I57" s="1">
        <v>45455</v>
      </c>
      <c r="J57" s="2">
        <f>DATEDIF(Sheet1[[#This Row],[Fecha ingreso]],Sheet1[[#This Row],[Fecha último pago]],"M")+1</f>
        <v>5</v>
      </c>
      <c r="K57" s="2">
        <f>Sheet1[[#This Row],[Ingresos mensuales]]*Sheet1[[#This Row],[Meses contratados]]</f>
        <v>198.15</v>
      </c>
      <c r="L57" t="s">
        <v>1813</v>
      </c>
      <c r="M57">
        <v>32</v>
      </c>
      <c r="N57" t="s">
        <v>1822</v>
      </c>
      <c r="O57" t="s">
        <v>1825</v>
      </c>
      <c r="P57" t="s">
        <v>1827</v>
      </c>
      <c r="Q57" cm="1">
        <f t="array" ref="Q57">_xlfn.IFS(P57="2 Years", 24,P57="1 Year",12, P57="6 Months",6, P57="1 Month",1)</f>
        <v>12</v>
      </c>
      <c r="R57" t="str" cm="1">
        <f t="array" ref="R57">_xlfn.IFS(Q57=1,"Mensual",Q57=6,"Semestral",Q57=12,"Anual",Q57=24,"Bienal")</f>
        <v>Anual</v>
      </c>
      <c r="S57">
        <f>IFERROR(VLOOKUP(Sheet1[[#This Row],[ID usuario]],A58:$A$907,1,FALSE),0)</f>
        <v>0</v>
      </c>
    </row>
    <row r="58" spans="1:19" x14ac:dyDescent="0.25">
      <c r="A58" t="s">
        <v>56</v>
      </c>
      <c r="B58" t="s">
        <v>961</v>
      </c>
      <c r="C58" t="s">
        <v>1810</v>
      </c>
      <c r="D58">
        <v>52.6</v>
      </c>
      <c r="E58" s="1">
        <v>45103</v>
      </c>
      <c r="F58" s="1" t="str">
        <f>TEXT(Sheet1[[#This Row],[Fecha ingreso]],"mmmm")</f>
        <v>junio</v>
      </c>
      <c r="G58" s="2">
        <f>YEAR(Sheet1[[#This Row],[Fecha ingreso]])</f>
        <v>2023</v>
      </c>
      <c r="H58" s="1" t="str">
        <f>TEXT(Sheet1[[#This Row],[Fecha ingreso]],"dddd")</f>
        <v>lunes</v>
      </c>
      <c r="I58" s="1">
        <v>45212</v>
      </c>
      <c r="J58" s="2">
        <f>DATEDIF(Sheet1[[#This Row],[Fecha ingreso]],Sheet1[[#This Row],[Fecha último pago]],"M")+1</f>
        <v>4</v>
      </c>
      <c r="K58" s="2">
        <f>Sheet1[[#This Row],[Ingresos mensuales]]*Sheet1[[#This Row],[Meses contratados]]</f>
        <v>210.4</v>
      </c>
      <c r="L58" t="s">
        <v>1816</v>
      </c>
      <c r="M58">
        <v>60</v>
      </c>
      <c r="N58" t="s">
        <v>1820</v>
      </c>
      <c r="O58" t="s">
        <v>1824</v>
      </c>
      <c r="P58" t="s">
        <v>1826</v>
      </c>
      <c r="Q58" cm="1">
        <f t="array" ref="Q58">_xlfn.IFS(P58="2 Years", 24,P58="1 Year",12, P58="6 Months",6, P58="1 Month",1)</f>
        <v>24</v>
      </c>
      <c r="R58" t="str" cm="1">
        <f t="array" ref="R58">_xlfn.IFS(Q58=1,"Mensual",Q58=6,"Semestral",Q58=12,"Anual",Q58=24,"Bienal")</f>
        <v>Bienal</v>
      </c>
      <c r="S58">
        <f>IFERROR(VLOOKUP(Sheet1[[#This Row],[ID usuario]],A59:$A$907,1,FALSE),0)</f>
        <v>0</v>
      </c>
    </row>
    <row r="59" spans="1:19" x14ac:dyDescent="0.25">
      <c r="A59" t="s">
        <v>57</v>
      </c>
      <c r="B59" t="s">
        <v>962</v>
      </c>
      <c r="C59" t="s">
        <v>1812</v>
      </c>
      <c r="D59">
        <v>40.76</v>
      </c>
      <c r="E59" s="1">
        <v>45039</v>
      </c>
      <c r="F59" s="1" t="str">
        <f>TEXT(Sheet1[[#This Row],[Fecha ingreso]],"mmmm")</f>
        <v>abril</v>
      </c>
      <c r="G59" s="2">
        <f>YEAR(Sheet1[[#This Row],[Fecha ingreso]])</f>
        <v>2023</v>
      </c>
      <c r="H59" s="1" t="str">
        <f>TEXT(Sheet1[[#This Row],[Fecha ingreso]],"dddd")</f>
        <v>domingo</v>
      </c>
      <c r="I59" s="1">
        <v>45103</v>
      </c>
      <c r="J59" s="2">
        <f>DATEDIF(Sheet1[[#This Row],[Fecha ingreso]],Sheet1[[#This Row],[Fecha último pago]],"M")+1</f>
        <v>3</v>
      </c>
      <c r="K59" s="2">
        <f>Sheet1[[#This Row],[Ingresos mensuales]]*Sheet1[[#This Row],[Meses contratados]]</f>
        <v>122.28</v>
      </c>
      <c r="L59" t="s">
        <v>1815</v>
      </c>
      <c r="M59">
        <v>48</v>
      </c>
      <c r="N59" t="s">
        <v>1820</v>
      </c>
      <c r="O59" t="s">
        <v>1824</v>
      </c>
      <c r="P59" t="s">
        <v>1828</v>
      </c>
      <c r="Q59" cm="1">
        <f t="array" ref="Q59">_xlfn.IFS(P59="2 Years", 24,P59="1 Year",12, P59="6 Months",6, P59="1 Month",1)</f>
        <v>6</v>
      </c>
      <c r="R59" t="str" cm="1">
        <f t="array" ref="R59">_xlfn.IFS(Q59=1,"Mensual",Q59=6,"Semestral",Q59=12,"Anual",Q59=24,"Bienal")</f>
        <v>Semestral</v>
      </c>
      <c r="S59">
        <f>IFERROR(VLOOKUP(Sheet1[[#This Row],[ID usuario]],A60:$A$907,1,FALSE),0)</f>
        <v>0</v>
      </c>
    </row>
    <row r="60" spans="1:19" x14ac:dyDescent="0.25">
      <c r="A60" t="s">
        <v>58</v>
      </c>
      <c r="B60" t="s">
        <v>963</v>
      </c>
      <c r="C60" t="s">
        <v>1811</v>
      </c>
      <c r="D60">
        <v>39.67</v>
      </c>
      <c r="E60" s="1">
        <v>45411</v>
      </c>
      <c r="F60" s="1" t="str">
        <f>TEXT(Sheet1[[#This Row],[Fecha ingreso]],"mmmm")</f>
        <v>abril</v>
      </c>
      <c r="G60" s="2">
        <f>YEAR(Sheet1[[#This Row],[Fecha ingreso]])</f>
        <v>2024</v>
      </c>
      <c r="H60" s="1" t="str">
        <f>TEXT(Sheet1[[#This Row],[Fecha ingreso]],"dddd")</f>
        <v>lunes</v>
      </c>
      <c r="I60" s="1">
        <v>45434</v>
      </c>
      <c r="J60" s="2">
        <f>DATEDIF(Sheet1[[#This Row],[Fecha ingreso]],Sheet1[[#This Row],[Fecha último pago]],"M")+1</f>
        <v>1</v>
      </c>
      <c r="K60" s="2">
        <f>Sheet1[[#This Row],[Ingresos mensuales]]*Sheet1[[#This Row],[Meses contratados]]</f>
        <v>39.67</v>
      </c>
      <c r="L60" t="s">
        <v>1818</v>
      </c>
      <c r="M60">
        <v>27</v>
      </c>
      <c r="N60" t="s">
        <v>1822</v>
      </c>
      <c r="O60" t="s">
        <v>1824</v>
      </c>
      <c r="P60" t="s">
        <v>1826</v>
      </c>
      <c r="Q60" cm="1">
        <f t="array" ref="Q60">_xlfn.IFS(P60="2 Years", 24,P60="1 Year",12, P60="6 Months",6, P60="1 Month",1)</f>
        <v>24</v>
      </c>
      <c r="R60" t="str" cm="1">
        <f t="array" ref="R60">_xlfn.IFS(Q60=1,"Mensual",Q60=6,"Semestral",Q60=12,"Anual",Q60=24,"Bienal")</f>
        <v>Bienal</v>
      </c>
      <c r="S60">
        <f>IFERROR(VLOOKUP(Sheet1[[#This Row],[ID usuario]],A61:$A$907,1,FALSE),0)</f>
        <v>0</v>
      </c>
    </row>
    <row r="61" spans="1:19" x14ac:dyDescent="0.25">
      <c r="A61" t="s">
        <v>59</v>
      </c>
      <c r="B61" t="s">
        <v>964</v>
      </c>
      <c r="C61" t="s">
        <v>1810</v>
      </c>
      <c r="D61">
        <v>29.79</v>
      </c>
      <c r="E61" s="1">
        <v>45169</v>
      </c>
      <c r="F61" s="1" t="str">
        <f>TEXT(Sheet1[[#This Row],[Fecha ingreso]],"mmmm")</f>
        <v>agosto</v>
      </c>
      <c r="G61" s="2">
        <f>YEAR(Sheet1[[#This Row],[Fecha ingreso]])</f>
        <v>2023</v>
      </c>
      <c r="H61" s="1" t="str">
        <f>TEXT(Sheet1[[#This Row],[Fecha ingreso]],"dddd")</f>
        <v>jueves</v>
      </c>
      <c r="I61" s="1">
        <v>45282</v>
      </c>
      <c r="J61" s="2">
        <f>DATEDIF(Sheet1[[#This Row],[Fecha ingreso]],Sheet1[[#This Row],[Fecha último pago]],"M")+1</f>
        <v>4</v>
      </c>
      <c r="K61" s="2">
        <f>Sheet1[[#This Row],[Ingresos mensuales]]*Sheet1[[#This Row],[Meses contratados]]</f>
        <v>119.16</v>
      </c>
      <c r="L61" t="s">
        <v>1818</v>
      </c>
      <c r="M61">
        <v>45</v>
      </c>
      <c r="N61" t="s">
        <v>1822</v>
      </c>
      <c r="O61" t="s">
        <v>1824</v>
      </c>
      <c r="P61" t="s">
        <v>1826</v>
      </c>
      <c r="Q61" cm="1">
        <f t="array" ref="Q61">_xlfn.IFS(P61="2 Years", 24,P61="1 Year",12, P61="6 Months",6, P61="1 Month",1)</f>
        <v>24</v>
      </c>
      <c r="R61" t="str" cm="1">
        <f t="array" ref="R61">_xlfn.IFS(Q61=1,"Mensual",Q61=6,"Semestral",Q61=12,"Anual",Q61=24,"Bienal")</f>
        <v>Bienal</v>
      </c>
      <c r="S61">
        <f>IFERROR(VLOOKUP(Sheet1[[#This Row],[ID usuario]],A62:$A$907,1,FALSE),0)</f>
        <v>0</v>
      </c>
    </row>
    <row r="62" spans="1:19" x14ac:dyDescent="0.25">
      <c r="A62" t="s">
        <v>60</v>
      </c>
      <c r="B62" t="s">
        <v>965</v>
      </c>
      <c r="C62" t="s">
        <v>1811</v>
      </c>
      <c r="D62">
        <v>52.12</v>
      </c>
      <c r="E62" s="1">
        <v>45391</v>
      </c>
      <c r="F62" s="1" t="str">
        <f>TEXT(Sheet1[[#This Row],[Fecha ingreso]],"mmmm")</f>
        <v>abril</v>
      </c>
      <c r="G62" s="2">
        <f>YEAR(Sheet1[[#This Row],[Fecha ingreso]])</f>
        <v>2024</v>
      </c>
      <c r="H62" s="1" t="str">
        <f>TEXT(Sheet1[[#This Row],[Fecha ingreso]],"dddd")</f>
        <v>martes</v>
      </c>
      <c r="I62" s="1">
        <v>45408</v>
      </c>
      <c r="J62" s="2">
        <f>DATEDIF(Sheet1[[#This Row],[Fecha ingreso]],Sheet1[[#This Row],[Fecha último pago]],"M")+1</f>
        <v>1</v>
      </c>
      <c r="K62" s="2">
        <f>Sheet1[[#This Row],[Ingresos mensuales]]*Sheet1[[#This Row],[Meses contratados]]</f>
        <v>52.12</v>
      </c>
      <c r="L62" t="s">
        <v>1817</v>
      </c>
      <c r="M62">
        <v>25</v>
      </c>
      <c r="N62" t="s">
        <v>1821</v>
      </c>
      <c r="O62" t="s">
        <v>1824</v>
      </c>
      <c r="P62" t="s">
        <v>1827</v>
      </c>
      <c r="Q62" cm="1">
        <f t="array" ref="Q62">_xlfn.IFS(P62="2 Years", 24,P62="1 Year",12, P62="6 Months",6, P62="1 Month",1)</f>
        <v>12</v>
      </c>
      <c r="R62" t="str" cm="1">
        <f t="array" ref="R62">_xlfn.IFS(Q62=1,"Mensual",Q62=6,"Semestral",Q62=12,"Anual",Q62=24,"Bienal")</f>
        <v>Anual</v>
      </c>
      <c r="S62">
        <f>IFERROR(VLOOKUP(Sheet1[[#This Row],[ID usuario]],A63:$A$907,1,FALSE),0)</f>
        <v>0</v>
      </c>
    </row>
    <row r="63" spans="1:19" x14ac:dyDescent="0.25">
      <c r="A63" t="s">
        <v>61</v>
      </c>
      <c r="B63" t="s">
        <v>966</v>
      </c>
      <c r="C63" t="s">
        <v>1812</v>
      </c>
      <c r="D63">
        <v>69.77</v>
      </c>
      <c r="E63" s="1">
        <v>45008</v>
      </c>
      <c r="F63" s="1" t="str">
        <f>TEXT(Sheet1[[#This Row],[Fecha ingreso]],"mmmm")</f>
        <v>marzo</v>
      </c>
      <c r="G63" s="2">
        <f>YEAR(Sheet1[[#This Row],[Fecha ingreso]])</f>
        <v>2023</v>
      </c>
      <c r="H63" s="1" t="str">
        <f>TEXT(Sheet1[[#This Row],[Fecha ingreso]],"dddd")</f>
        <v>jueves</v>
      </c>
      <c r="I63" s="1">
        <v>45379</v>
      </c>
      <c r="J63" s="2">
        <f>DATEDIF(Sheet1[[#This Row],[Fecha ingreso]],Sheet1[[#This Row],[Fecha último pago]],"M")+1</f>
        <v>13</v>
      </c>
      <c r="K63" s="2">
        <f>Sheet1[[#This Row],[Ingresos mensuales]]*Sheet1[[#This Row],[Meses contratados]]</f>
        <v>907.01</v>
      </c>
      <c r="L63" t="s">
        <v>1813</v>
      </c>
      <c r="M63">
        <v>30</v>
      </c>
      <c r="N63" t="s">
        <v>1820</v>
      </c>
      <c r="O63" t="s">
        <v>1825</v>
      </c>
      <c r="P63" t="s">
        <v>1826</v>
      </c>
      <c r="Q63" cm="1">
        <f t="array" ref="Q63">_xlfn.IFS(P63="2 Years", 24,P63="1 Year",12, P63="6 Months",6, P63="1 Month",1)</f>
        <v>24</v>
      </c>
      <c r="R63" t="str" cm="1">
        <f t="array" ref="R63">_xlfn.IFS(Q63=1,"Mensual",Q63=6,"Semestral",Q63=12,"Anual",Q63=24,"Bienal")</f>
        <v>Bienal</v>
      </c>
      <c r="S63">
        <f>IFERROR(VLOOKUP(Sheet1[[#This Row],[ID usuario]],A64:$A$907,1,FALSE),0)</f>
        <v>0</v>
      </c>
    </row>
    <row r="64" spans="1:19" x14ac:dyDescent="0.25">
      <c r="A64" t="s">
        <v>62</v>
      </c>
      <c r="B64" t="s">
        <v>967</v>
      </c>
      <c r="C64" t="s">
        <v>1810</v>
      </c>
      <c r="D64">
        <v>31.35</v>
      </c>
      <c r="E64" s="1">
        <v>44482</v>
      </c>
      <c r="F64" s="1" t="str">
        <f>TEXT(Sheet1[[#This Row],[Fecha ingreso]],"mmmm")</f>
        <v>octubre</v>
      </c>
      <c r="G64" s="2">
        <f>YEAR(Sheet1[[#This Row],[Fecha ingreso]])</f>
        <v>2021</v>
      </c>
      <c r="H64" s="1" t="str">
        <f>TEXT(Sheet1[[#This Row],[Fecha ingreso]],"dddd")</f>
        <v>miércoles</v>
      </c>
      <c r="I64" s="1">
        <v>44763</v>
      </c>
      <c r="J64" s="2">
        <f>DATEDIF(Sheet1[[#This Row],[Fecha ingreso]],Sheet1[[#This Row],[Fecha último pago]],"M")+1</f>
        <v>10</v>
      </c>
      <c r="K64" s="2">
        <f>Sheet1[[#This Row],[Ingresos mensuales]]*Sheet1[[#This Row],[Meses contratados]]</f>
        <v>313.5</v>
      </c>
      <c r="L64" t="s">
        <v>1815</v>
      </c>
      <c r="M64">
        <v>47</v>
      </c>
      <c r="N64" t="s">
        <v>1821</v>
      </c>
      <c r="O64" t="s">
        <v>1825</v>
      </c>
      <c r="P64" t="s">
        <v>1826</v>
      </c>
      <c r="Q64" cm="1">
        <f t="array" ref="Q64">_xlfn.IFS(P64="2 Years", 24,P64="1 Year",12, P64="6 Months",6, P64="1 Month",1)</f>
        <v>24</v>
      </c>
      <c r="R64" t="str" cm="1">
        <f t="array" ref="R64">_xlfn.IFS(Q64=1,"Mensual",Q64=6,"Semestral",Q64=12,"Anual",Q64=24,"Bienal")</f>
        <v>Bienal</v>
      </c>
      <c r="S64">
        <f>IFERROR(VLOOKUP(Sheet1[[#This Row],[ID usuario]],A65:$A$907,1,FALSE),0)</f>
        <v>0</v>
      </c>
    </row>
    <row r="65" spans="1:19" x14ac:dyDescent="0.25">
      <c r="A65" t="s">
        <v>63</v>
      </c>
      <c r="B65" t="s">
        <v>968</v>
      </c>
      <c r="C65" t="s">
        <v>1810</v>
      </c>
      <c r="D65">
        <v>54.82</v>
      </c>
      <c r="E65" s="1">
        <v>44373</v>
      </c>
      <c r="F65" s="1" t="str">
        <f>TEXT(Sheet1[[#This Row],[Fecha ingreso]],"mmmm")</f>
        <v>junio</v>
      </c>
      <c r="G65" s="2">
        <f>YEAR(Sheet1[[#This Row],[Fecha ingreso]])</f>
        <v>2021</v>
      </c>
      <c r="H65" s="1" t="str">
        <f>TEXT(Sheet1[[#This Row],[Fecha ingreso]],"dddd")</f>
        <v>sábado</v>
      </c>
      <c r="I65" s="1">
        <v>45191</v>
      </c>
      <c r="J65" s="2">
        <f>DATEDIF(Sheet1[[#This Row],[Fecha ingreso]],Sheet1[[#This Row],[Fecha último pago]],"M")+1</f>
        <v>27</v>
      </c>
      <c r="K65" s="2">
        <f>Sheet1[[#This Row],[Ingresos mensuales]]*Sheet1[[#This Row],[Meses contratados]]</f>
        <v>1480.14</v>
      </c>
      <c r="L65" t="s">
        <v>1813</v>
      </c>
      <c r="M65">
        <v>54</v>
      </c>
      <c r="N65" t="s">
        <v>1822</v>
      </c>
      <c r="O65" t="s">
        <v>1823</v>
      </c>
      <c r="P65" t="s">
        <v>1828</v>
      </c>
      <c r="Q65" cm="1">
        <f t="array" ref="Q65">_xlfn.IFS(P65="2 Years", 24,P65="1 Year",12, P65="6 Months",6, P65="1 Month",1)</f>
        <v>6</v>
      </c>
      <c r="R65" t="str" cm="1">
        <f t="array" ref="R65">_xlfn.IFS(Q65=1,"Mensual",Q65=6,"Semestral",Q65=12,"Anual",Q65=24,"Bienal")</f>
        <v>Semestral</v>
      </c>
      <c r="S65">
        <f>IFERROR(VLOOKUP(Sheet1[[#This Row],[ID usuario]],A66:$A$907,1,FALSE),0)</f>
        <v>0</v>
      </c>
    </row>
    <row r="66" spans="1:19" x14ac:dyDescent="0.25">
      <c r="A66" t="s">
        <v>64</v>
      </c>
      <c r="B66" t="s">
        <v>969</v>
      </c>
      <c r="C66" t="s">
        <v>1812</v>
      </c>
      <c r="D66">
        <v>16.149999999999999</v>
      </c>
      <c r="E66" s="1">
        <v>45423</v>
      </c>
      <c r="F66" s="1" t="str">
        <f>TEXT(Sheet1[[#This Row],[Fecha ingreso]],"mmmm")</f>
        <v>mayo</v>
      </c>
      <c r="G66" s="2">
        <f>YEAR(Sheet1[[#This Row],[Fecha ingreso]])</f>
        <v>2024</v>
      </c>
      <c r="H66" s="1" t="str">
        <f>TEXT(Sheet1[[#This Row],[Fecha ingreso]],"dddd")</f>
        <v>sábado</v>
      </c>
      <c r="I66" s="1">
        <v>45435</v>
      </c>
      <c r="J66" s="2">
        <f>DATEDIF(Sheet1[[#This Row],[Fecha ingreso]],Sheet1[[#This Row],[Fecha último pago]],"M")+1</f>
        <v>1</v>
      </c>
      <c r="K66" s="2">
        <f>Sheet1[[#This Row],[Ingresos mensuales]]*Sheet1[[#This Row],[Meses contratados]]</f>
        <v>16.149999999999999</v>
      </c>
      <c r="L66" t="s">
        <v>1815</v>
      </c>
      <c r="M66">
        <v>56</v>
      </c>
      <c r="N66" t="s">
        <v>1821</v>
      </c>
      <c r="O66" t="s">
        <v>1825</v>
      </c>
      <c r="P66" t="s">
        <v>1828</v>
      </c>
      <c r="Q66" cm="1">
        <f t="array" ref="Q66">_xlfn.IFS(P66="2 Years", 24,P66="1 Year",12, P66="6 Months",6, P66="1 Month",1)</f>
        <v>6</v>
      </c>
      <c r="R66" t="str" cm="1">
        <f t="array" ref="R66">_xlfn.IFS(Q66=1,"Mensual",Q66=6,"Semestral",Q66=12,"Anual",Q66=24,"Bienal")</f>
        <v>Semestral</v>
      </c>
      <c r="S66">
        <f>IFERROR(VLOOKUP(Sheet1[[#This Row],[ID usuario]],A67:$A$907,1,FALSE),0)</f>
        <v>0</v>
      </c>
    </row>
    <row r="67" spans="1:19" x14ac:dyDescent="0.25">
      <c r="A67" t="s">
        <v>65</v>
      </c>
      <c r="B67" t="s">
        <v>970</v>
      </c>
      <c r="C67" t="s">
        <v>1810</v>
      </c>
      <c r="D67">
        <v>20.190000000000001</v>
      </c>
      <c r="E67" s="1">
        <v>45376</v>
      </c>
      <c r="F67" s="1" t="str">
        <f>TEXT(Sheet1[[#This Row],[Fecha ingreso]],"mmmm")</f>
        <v>marzo</v>
      </c>
      <c r="G67" s="2">
        <f>YEAR(Sheet1[[#This Row],[Fecha ingreso]])</f>
        <v>2024</v>
      </c>
      <c r="H67" s="1" t="str">
        <f>TEXT(Sheet1[[#This Row],[Fecha ingreso]],"dddd")</f>
        <v>lunes</v>
      </c>
      <c r="I67" s="1">
        <v>45437</v>
      </c>
      <c r="J67" s="2">
        <f>DATEDIF(Sheet1[[#This Row],[Fecha ingreso]],Sheet1[[#This Row],[Fecha último pago]],"M")+1</f>
        <v>3</v>
      </c>
      <c r="K67" s="2">
        <f>Sheet1[[#This Row],[Ingresos mensuales]]*Sheet1[[#This Row],[Meses contratados]]</f>
        <v>60.570000000000007</v>
      </c>
      <c r="L67" t="s">
        <v>1816</v>
      </c>
      <c r="M67">
        <v>46</v>
      </c>
      <c r="N67" t="s">
        <v>1821</v>
      </c>
      <c r="O67" t="s">
        <v>1823</v>
      </c>
      <c r="P67" t="s">
        <v>1829</v>
      </c>
      <c r="Q67" cm="1">
        <f t="array" ref="Q67">_xlfn.IFS(P67="2 Years", 24,P67="1 Year",12, P67="6 Months",6, P67="1 Month",1)</f>
        <v>1</v>
      </c>
      <c r="R67" t="str" cm="1">
        <f t="array" ref="R67">_xlfn.IFS(Q67=1,"Mensual",Q67=6,"Semestral",Q67=12,"Anual",Q67=24,"Bienal")</f>
        <v>Mensual</v>
      </c>
      <c r="S67">
        <f>IFERROR(VLOOKUP(Sheet1[[#This Row],[ID usuario]],A68:$A$907,1,FALSE),0)</f>
        <v>0</v>
      </c>
    </row>
    <row r="68" spans="1:19" x14ac:dyDescent="0.25">
      <c r="A68" t="s">
        <v>66</v>
      </c>
      <c r="B68" t="s">
        <v>971</v>
      </c>
      <c r="C68" t="s">
        <v>1810</v>
      </c>
      <c r="D68">
        <v>97.22</v>
      </c>
      <c r="E68" s="1">
        <v>44960</v>
      </c>
      <c r="F68" s="1" t="str">
        <f>TEXT(Sheet1[[#This Row],[Fecha ingreso]],"mmmm")</f>
        <v>febrero</v>
      </c>
      <c r="G68" s="2">
        <f>YEAR(Sheet1[[#This Row],[Fecha ingreso]])</f>
        <v>2023</v>
      </c>
      <c r="H68" s="1" t="str">
        <f>TEXT(Sheet1[[#This Row],[Fecha ingreso]],"dddd")</f>
        <v>viernes</v>
      </c>
      <c r="I68" s="1">
        <v>45382</v>
      </c>
      <c r="J68" s="2">
        <f>DATEDIF(Sheet1[[#This Row],[Fecha ingreso]],Sheet1[[#This Row],[Fecha último pago]],"M")+1</f>
        <v>14</v>
      </c>
      <c r="K68" s="2">
        <f>Sheet1[[#This Row],[Ingresos mensuales]]*Sheet1[[#This Row],[Meses contratados]]</f>
        <v>1361.08</v>
      </c>
      <c r="L68" t="s">
        <v>1819</v>
      </c>
      <c r="M68">
        <v>39</v>
      </c>
      <c r="N68" t="s">
        <v>1821</v>
      </c>
      <c r="O68" t="s">
        <v>1825</v>
      </c>
      <c r="P68" t="s">
        <v>1826</v>
      </c>
      <c r="Q68" cm="1">
        <f t="array" ref="Q68">_xlfn.IFS(P68="2 Years", 24,P68="1 Year",12, P68="6 Months",6, P68="1 Month",1)</f>
        <v>24</v>
      </c>
      <c r="R68" t="str" cm="1">
        <f t="array" ref="R68">_xlfn.IFS(Q68=1,"Mensual",Q68=6,"Semestral",Q68=12,"Anual",Q68=24,"Bienal")</f>
        <v>Bienal</v>
      </c>
      <c r="S68">
        <f>IFERROR(VLOOKUP(Sheet1[[#This Row],[ID usuario]],A69:$A$907,1,FALSE),0)</f>
        <v>0</v>
      </c>
    </row>
    <row r="69" spans="1:19" x14ac:dyDescent="0.25">
      <c r="A69" t="s">
        <v>67</v>
      </c>
      <c r="B69" t="s">
        <v>972</v>
      </c>
      <c r="C69" t="s">
        <v>1810</v>
      </c>
      <c r="D69">
        <v>5.37</v>
      </c>
      <c r="E69" s="1">
        <v>45333</v>
      </c>
      <c r="F69" s="1" t="str">
        <f>TEXT(Sheet1[[#This Row],[Fecha ingreso]],"mmmm")</f>
        <v>febrero</v>
      </c>
      <c r="G69" s="2">
        <f>YEAR(Sheet1[[#This Row],[Fecha ingreso]])</f>
        <v>2024</v>
      </c>
      <c r="H69" s="1" t="str">
        <f>TEXT(Sheet1[[#This Row],[Fecha ingreso]],"dddd")</f>
        <v>domingo</v>
      </c>
      <c r="I69" s="1">
        <v>45447</v>
      </c>
      <c r="J69" s="2">
        <f>DATEDIF(Sheet1[[#This Row],[Fecha ingreso]],Sheet1[[#This Row],[Fecha último pago]],"M")+1</f>
        <v>4</v>
      </c>
      <c r="K69" s="2">
        <f>Sheet1[[#This Row],[Ingresos mensuales]]*Sheet1[[#This Row],[Meses contratados]]</f>
        <v>21.48</v>
      </c>
      <c r="L69" t="s">
        <v>1816</v>
      </c>
      <c r="M69">
        <v>41</v>
      </c>
      <c r="N69" t="s">
        <v>1821</v>
      </c>
      <c r="O69" t="s">
        <v>1824</v>
      </c>
      <c r="P69" t="s">
        <v>1826</v>
      </c>
      <c r="Q69" cm="1">
        <f t="array" ref="Q69">_xlfn.IFS(P69="2 Years", 24,P69="1 Year",12, P69="6 Months",6, P69="1 Month",1)</f>
        <v>24</v>
      </c>
      <c r="R69" t="str" cm="1">
        <f t="array" ref="R69">_xlfn.IFS(Q69=1,"Mensual",Q69=6,"Semestral",Q69=12,"Anual",Q69=24,"Bienal")</f>
        <v>Bienal</v>
      </c>
      <c r="S69">
        <f>IFERROR(VLOOKUP(Sheet1[[#This Row],[ID usuario]],A70:$A$907,1,FALSE),0)</f>
        <v>0</v>
      </c>
    </row>
    <row r="70" spans="1:19" x14ac:dyDescent="0.25">
      <c r="A70" t="s">
        <v>68</v>
      </c>
      <c r="B70" t="s">
        <v>973</v>
      </c>
      <c r="C70" t="s">
        <v>1810</v>
      </c>
      <c r="D70">
        <v>21.97</v>
      </c>
      <c r="E70" s="1">
        <v>44721</v>
      </c>
      <c r="F70" s="1" t="str">
        <f>TEXT(Sheet1[[#This Row],[Fecha ingreso]],"mmmm")</f>
        <v>junio</v>
      </c>
      <c r="G70" s="2">
        <f>YEAR(Sheet1[[#This Row],[Fecha ingreso]])</f>
        <v>2022</v>
      </c>
      <c r="H70" s="1" t="str">
        <f>TEXT(Sheet1[[#This Row],[Fecha ingreso]],"dddd")</f>
        <v>jueves</v>
      </c>
      <c r="I70" s="1">
        <v>45039</v>
      </c>
      <c r="J70" s="2">
        <f>DATEDIF(Sheet1[[#This Row],[Fecha ingreso]],Sheet1[[#This Row],[Fecha último pago]],"M")+1</f>
        <v>11</v>
      </c>
      <c r="K70" s="2">
        <f>Sheet1[[#This Row],[Ingresos mensuales]]*Sheet1[[#This Row],[Meses contratados]]</f>
        <v>241.67</v>
      </c>
      <c r="L70" t="s">
        <v>1817</v>
      </c>
      <c r="M70">
        <v>55</v>
      </c>
      <c r="N70" t="s">
        <v>1820</v>
      </c>
      <c r="O70" t="s">
        <v>1825</v>
      </c>
      <c r="P70" t="s">
        <v>1828</v>
      </c>
      <c r="Q70" cm="1">
        <f t="array" ref="Q70">_xlfn.IFS(P70="2 Years", 24,P70="1 Year",12, P70="6 Months",6, P70="1 Month",1)</f>
        <v>6</v>
      </c>
      <c r="R70" t="str" cm="1">
        <f t="array" ref="R70">_xlfn.IFS(Q70=1,"Mensual",Q70=6,"Semestral",Q70=12,"Anual",Q70=24,"Bienal")</f>
        <v>Semestral</v>
      </c>
      <c r="S70">
        <f>IFERROR(VLOOKUP(Sheet1[[#This Row],[ID usuario]],A71:$A$907,1,FALSE),0)</f>
        <v>0</v>
      </c>
    </row>
    <row r="71" spans="1:19" x14ac:dyDescent="0.25">
      <c r="A71" t="s">
        <v>69</v>
      </c>
      <c r="B71" t="s">
        <v>974</v>
      </c>
      <c r="C71" t="s">
        <v>1810</v>
      </c>
      <c r="D71">
        <v>63.22</v>
      </c>
      <c r="E71" s="1">
        <v>44472</v>
      </c>
      <c r="F71" s="1" t="str">
        <f>TEXT(Sheet1[[#This Row],[Fecha ingreso]],"mmmm")</f>
        <v>octubre</v>
      </c>
      <c r="G71" s="2">
        <f>YEAR(Sheet1[[#This Row],[Fecha ingreso]])</f>
        <v>2021</v>
      </c>
      <c r="H71" s="1" t="str">
        <f>TEXT(Sheet1[[#This Row],[Fecha ingreso]],"dddd")</f>
        <v>domingo</v>
      </c>
      <c r="I71" s="1">
        <v>44643</v>
      </c>
      <c r="J71" s="2">
        <f>DATEDIF(Sheet1[[#This Row],[Fecha ingreso]],Sheet1[[#This Row],[Fecha último pago]],"M")+1</f>
        <v>6</v>
      </c>
      <c r="K71" s="2">
        <f>Sheet1[[#This Row],[Ingresos mensuales]]*Sheet1[[#This Row],[Meses contratados]]</f>
        <v>379.32</v>
      </c>
      <c r="L71" t="s">
        <v>1817</v>
      </c>
      <c r="M71">
        <v>38</v>
      </c>
      <c r="N71" t="s">
        <v>1822</v>
      </c>
      <c r="O71" t="s">
        <v>1823</v>
      </c>
      <c r="P71" t="s">
        <v>1826</v>
      </c>
      <c r="Q71" cm="1">
        <f t="array" ref="Q71">_xlfn.IFS(P71="2 Years", 24,P71="1 Year",12, P71="6 Months",6, P71="1 Month",1)</f>
        <v>24</v>
      </c>
      <c r="R71" t="str" cm="1">
        <f t="array" ref="R71">_xlfn.IFS(Q71=1,"Mensual",Q71=6,"Semestral",Q71=12,"Anual",Q71=24,"Bienal")</f>
        <v>Bienal</v>
      </c>
      <c r="S71">
        <f>IFERROR(VLOOKUP(Sheet1[[#This Row],[ID usuario]],A72:$A$907,1,FALSE),0)</f>
        <v>0</v>
      </c>
    </row>
    <row r="72" spans="1:19" x14ac:dyDescent="0.25">
      <c r="A72" t="s">
        <v>70</v>
      </c>
      <c r="B72" t="s">
        <v>975</v>
      </c>
      <c r="C72" t="s">
        <v>1812</v>
      </c>
      <c r="D72">
        <v>12.73</v>
      </c>
      <c r="E72" s="1">
        <v>45455</v>
      </c>
      <c r="F72" s="1" t="str">
        <f>TEXT(Sheet1[[#This Row],[Fecha ingreso]],"mmmm")</f>
        <v>junio</v>
      </c>
      <c r="G72" s="2">
        <f>YEAR(Sheet1[[#This Row],[Fecha ingreso]])</f>
        <v>2024</v>
      </c>
      <c r="H72" s="1" t="str">
        <f>TEXT(Sheet1[[#This Row],[Fecha ingreso]],"dddd")</f>
        <v>miércoles</v>
      </c>
      <c r="I72" s="1">
        <v>45460</v>
      </c>
      <c r="J72" s="2">
        <f>DATEDIF(Sheet1[[#This Row],[Fecha ingreso]],Sheet1[[#This Row],[Fecha último pago]],"M")+1</f>
        <v>1</v>
      </c>
      <c r="K72" s="2">
        <f>Sheet1[[#This Row],[Ingresos mensuales]]*Sheet1[[#This Row],[Meses contratados]]</f>
        <v>12.73</v>
      </c>
      <c r="L72" t="s">
        <v>1813</v>
      </c>
      <c r="M72">
        <v>31</v>
      </c>
      <c r="N72" t="s">
        <v>1820</v>
      </c>
      <c r="O72" t="s">
        <v>1824</v>
      </c>
      <c r="P72" t="s">
        <v>1828</v>
      </c>
      <c r="Q72" cm="1">
        <f t="array" ref="Q72">_xlfn.IFS(P72="2 Years", 24,P72="1 Year",12, P72="6 Months",6, P72="1 Month",1)</f>
        <v>6</v>
      </c>
      <c r="R72" t="str" cm="1">
        <f t="array" ref="R72">_xlfn.IFS(Q72=1,"Mensual",Q72=6,"Semestral",Q72=12,"Anual",Q72=24,"Bienal")</f>
        <v>Semestral</v>
      </c>
      <c r="S72">
        <f>IFERROR(VLOOKUP(Sheet1[[#This Row],[ID usuario]],A73:$A$907,1,FALSE),0)</f>
        <v>0</v>
      </c>
    </row>
    <row r="73" spans="1:19" x14ac:dyDescent="0.25">
      <c r="A73" t="s">
        <v>71</v>
      </c>
      <c r="B73" t="s">
        <v>976</v>
      </c>
      <c r="C73" t="s">
        <v>1810</v>
      </c>
      <c r="D73">
        <v>88.78</v>
      </c>
      <c r="E73" s="1">
        <v>44668</v>
      </c>
      <c r="F73" s="1" t="str">
        <f>TEXT(Sheet1[[#This Row],[Fecha ingreso]],"mmmm")</f>
        <v>abril</v>
      </c>
      <c r="G73" s="2">
        <f>YEAR(Sheet1[[#This Row],[Fecha ingreso]])</f>
        <v>2022</v>
      </c>
      <c r="H73" s="1" t="str">
        <f>TEXT(Sheet1[[#This Row],[Fecha ingreso]],"dddd")</f>
        <v>domingo</v>
      </c>
      <c r="I73" s="1">
        <v>45165</v>
      </c>
      <c r="J73" s="2">
        <f>DATEDIF(Sheet1[[#This Row],[Fecha ingreso]],Sheet1[[#This Row],[Fecha último pago]],"M")+1</f>
        <v>17</v>
      </c>
      <c r="K73" s="2">
        <f>Sheet1[[#This Row],[Ingresos mensuales]]*Sheet1[[#This Row],[Meses contratados]]</f>
        <v>1509.26</v>
      </c>
      <c r="L73" t="s">
        <v>1817</v>
      </c>
      <c r="M73">
        <v>63</v>
      </c>
      <c r="N73" t="s">
        <v>1820</v>
      </c>
      <c r="O73" t="s">
        <v>1824</v>
      </c>
      <c r="P73" t="s">
        <v>1827</v>
      </c>
      <c r="Q73" cm="1">
        <f t="array" ref="Q73">_xlfn.IFS(P73="2 Years", 24,P73="1 Year",12, P73="6 Months",6, P73="1 Month",1)</f>
        <v>12</v>
      </c>
      <c r="R73" t="str" cm="1">
        <f t="array" ref="R73">_xlfn.IFS(Q73=1,"Mensual",Q73=6,"Semestral",Q73=12,"Anual",Q73=24,"Bienal")</f>
        <v>Anual</v>
      </c>
      <c r="S73">
        <f>IFERROR(VLOOKUP(Sheet1[[#This Row],[ID usuario]],A74:$A$907,1,FALSE),0)</f>
        <v>0</v>
      </c>
    </row>
    <row r="74" spans="1:19" x14ac:dyDescent="0.25">
      <c r="A74" t="s">
        <v>72</v>
      </c>
      <c r="B74" t="s">
        <v>977</v>
      </c>
      <c r="C74" t="s">
        <v>1812</v>
      </c>
      <c r="D74">
        <v>73.36</v>
      </c>
      <c r="E74" s="1">
        <v>45266</v>
      </c>
      <c r="F74" s="1" t="str">
        <f>TEXT(Sheet1[[#This Row],[Fecha ingreso]],"mmmm")</f>
        <v>diciembre</v>
      </c>
      <c r="G74" s="2">
        <f>YEAR(Sheet1[[#This Row],[Fecha ingreso]])</f>
        <v>2023</v>
      </c>
      <c r="H74" s="1" t="str">
        <f>TEXT(Sheet1[[#This Row],[Fecha ingreso]],"dddd")</f>
        <v>miércoles</v>
      </c>
      <c r="I74" s="1">
        <v>45302</v>
      </c>
      <c r="J74" s="2">
        <f>DATEDIF(Sheet1[[#This Row],[Fecha ingreso]],Sheet1[[#This Row],[Fecha último pago]],"M")+1</f>
        <v>2</v>
      </c>
      <c r="K74" s="2">
        <f>Sheet1[[#This Row],[Ingresos mensuales]]*Sheet1[[#This Row],[Meses contratados]]</f>
        <v>146.72</v>
      </c>
      <c r="L74" t="s">
        <v>1816</v>
      </c>
      <c r="M74">
        <v>58</v>
      </c>
      <c r="N74" t="s">
        <v>1822</v>
      </c>
      <c r="O74" t="s">
        <v>1825</v>
      </c>
      <c r="P74" t="s">
        <v>1829</v>
      </c>
      <c r="Q74" cm="1">
        <f t="array" ref="Q74">_xlfn.IFS(P74="2 Years", 24,P74="1 Year",12, P74="6 Months",6, P74="1 Month",1)</f>
        <v>1</v>
      </c>
      <c r="R74" t="str" cm="1">
        <f t="array" ref="R74">_xlfn.IFS(Q74=1,"Mensual",Q74=6,"Semestral",Q74=12,"Anual",Q74=24,"Bienal")</f>
        <v>Mensual</v>
      </c>
      <c r="S74">
        <f>IFERROR(VLOOKUP(Sheet1[[#This Row],[ID usuario]],A75:$A$907,1,FALSE),0)</f>
        <v>0</v>
      </c>
    </row>
    <row r="75" spans="1:19" x14ac:dyDescent="0.25">
      <c r="A75" t="s">
        <v>73</v>
      </c>
      <c r="B75" t="s">
        <v>978</v>
      </c>
      <c r="C75" t="s">
        <v>1811</v>
      </c>
      <c r="D75">
        <v>96.81</v>
      </c>
      <c r="E75" s="1">
        <v>45310</v>
      </c>
      <c r="F75" s="1" t="str">
        <f>TEXT(Sheet1[[#This Row],[Fecha ingreso]],"mmmm")</f>
        <v>enero</v>
      </c>
      <c r="G75" s="2">
        <f>YEAR(Sheet1[[#This Row],[Fecha ingreso]])</f>
        <v>2024</v>
      </c>
      <c r="H75" s="1" t="str">
        <f>TEXT(Sheet1[[#This Row],[Fecha ingreso]],"dddd")</f>
        <v>viernes</v>
      </c>
      <c r="I75" s="1">
        <v>45375</v>
      </c>
      <c r="J75" s="2">
        <f>DATEDIF(Sheet1[[#This Row],[Fecha ingreso]],Sheet1[[#This Row],[Fecha último pago]],"M")+1</f>
        <v>3</v>
      </c>
      <c r="K75" s="2">
        <f>Sheet1[[#This Row],[Ingresos mensuales]]*Sheet1[[#This Row],[Meses contratados]]</f>
        <v>290.43</v>
      </c>
      <c r="L75" t="s">
        <v>1817</v>
      </c>
      <c r="M75">
        <v>68</v>
      </c>
      <c r="N75" t="s">
        <v>1821</v>
      </c>
      <c r="O75" t="s">
        <v>1824</v>
      </c>
      <c r="P75" t="s">
        <v>1829</v>
      </c>
      <c r="Q75" cm="1">
        <f t="array" ref="Q75">_xlfn.IFS(P75="2 Years", 24,P75="1 Year",12, P75="6 Months",6, P75="1 Month",1)</f>
        <v>1</v>
      </c>
      <c r="R75" t="str" cm="1">
        <f t="array" ref="R75">_xlfn.IFS(Q75=1,"Mensual",Q75=6,"Semestral",Q75=12,"Anual",Q75=24,"Bienal")</f>
        <v>Mensual</v>
      </c>
      <c r="S75">
        <f>IFERROR(VLOOKUP(Sheet1[[#This Row],[ID usuario]],A76:$A$907,1,FALSE),0)</f>
        <v>0</v>
      </c>
    </row>
    <row r="76" spans="1:19" x14ac:dyDescent="0.25">
      <c r="A76" t="s">
        <v>74</v>
      </c>
      <c r="B76" t="s">
        <v>979</v>
      </c>
      <c r="C76" t="s">
        <v>1811</v>
      </c>
      <c r="D76">
        <v>53.23</v>
      </c>
      <c r="E76" s="1">
        <v>44580</v>
      </c>
      <c r="F76" s="1" t="str">
        <f>TEXT(Sheet1[[#This Row],[Fecha ingreso]],"mmmm")</f>
        <v>enero</v>
      </c>
      <c r="G76" s="2">
        <f>YEAR(Sheet1[[#This Row],[Fecha ingreso]])</f>
        <v>2022</v>
      </c>
      <c r="H76" s="1" t="str">
        <f>TEXT(Sheet1[[#This Row],[Fecha ingreso]],"dddd")</f>
        <v>miércoles</v>
      </c>
      <c r="I76" s="1">
        <v>45419</v>
      </c>
      <c r="J76" s="2">
        <f>DATEDIF(Sheet1[[#This Row],[Fecha ingreso]],Sheet1[[#This Row],[Fecha último pago]],"M")+1</f>
        <v>28</v>
      </c>
      <c r="K76" s="2">
        <f>Sheet1[[#This Row],[Ingresos mensuales]]*Sheet1[[#This Row],[Meses contratados]]</f>
        <v>1490.4399999999998</v>
      </c>
      <c r="L76" t="s">
        <v>1813</v>
      </c>
      <c r="M76">
        <v>59</v>
      </c>
      <c r="N76" t="s">
        <v>1822</v>
      </c>
      <c r="O76" t="s">
        <v>1823</v>
      </c>
      <c r="P76" t="s">
        <v>1826</v>
      </c>
      <c r="Q76" cm="1">
        <f t="array" ref="Q76">_xlfn.IFS(P76="2 Years", 24,P76="1 Year",12, P76="6 Months",6, P76="1 Month",1)</f>
        <v>24</v>
      </c>
      <c r="R76" t="str" cm="1">
        <f t="array" ref="R76">_xlfn.IFS(Q76=1,"Mensual",Q76=6,"Semestral",Q76=12,"Anual",Q76=24,"Bienal")</f>
        <v>Bienal</v>
      </c>
      <c r="S76">
        <f>IFERROR(VLOOKUP(Sheet1[[#This Row],[ID usuario]],A77:$A$907,1,FALSE),0)</f>
        <v>0</v>
      </c>
    </row>
    <row r="77" spans="1:19" x14ac:dyDescent="0.25">
      <c r="A77" t="s">
        <v>75</v>
      </c>
      <c r="B77" t="s">
        <v>980</v>
      </c>
      <c r="C77" t="s">
        <v>1811</v>
      </c>
      <c r="D77">
        <v>33.54</v>
      </c>
      <c r="E77" s="1">
        <v>44996</v>
      </c>
      <c r="F77" s="1" t="str">
        <f>TEXT(Sheet1[[#This Row],[Fecha ingreso]],"mmmm")</f>
        <v>marzo</v>
      </c>
      <c r="G77" s="2">
        <f>YEAR(Sheet1[[#This Row],[Fecha ingreso]])</f>
        <v>2023</v>
      </c>
      <c r="H77" s="1" t="str">
        <f>TEXT(Sheet1[[#This Row],[Fecha ingreso]],"dddd")</f>
        <v>sábado</v>
      </c>
      <c r="I77" s="1">
        <v>45043</v>
      </c>
      <c r="J77" s="2">
        <f>DATEDIF(Sheet1[[#This Row],[Fecha ingreso]],Sheet1[[#This Row],[Fecha último pago]],"M")+1</f>
        <v>2</v>
      </c>
      <c r="K77" s="2">
        <f>Sheet1[[#This Row],[Ingresos mensuales]]*Sheet1[[#This Row],[Meses contratados]]</f>
        <v>67.08</v>
      </c>
      <c r="L77" t="s">
        <v>1817</v>
      </c>
      <c r="M77">
        <v>19</v>
      </c>
      <c r="N77" t="s">
        <v>1822</v>
      </c>
      <c r="O77" t="s">
        <v>1823</v>
      </c>
      <c r="P77" t="s">
        <v>1829</v>
      </c>
      <c r="Q77" cm="1">
        <f t="array" ref="Q77">_xlfn.IFS(P77="2 Years", 24,P77="1 Year",12, P77="6 Months",6, P77="1 Month",1)</f>
        <v>1</v>
      </c>
      <c r="R77" t="str" cm="1">
        <f t="array" ref="R77">_xlfn.IFS(Q77=1,"Mensual",Q77=6,"Semestral",Q77=12,"Anual",Q77=24,"Bienal")</f>
        <v>Mensual</v>
      </c>
      <c r="S77">
        <f>IFERROR(VLOOKUP(Sheet1[[#This Row],[ID usuario]],A78:$A$907,1,FALSE),0)</f>
        <v>0</v>
      </c>
    </row>
    <row r="78" spans="1:19" x14ac:dyDescent="0.25">
      <c r="A78" t="s">
        <v>76</v>
      </c>
      <c r="B78" t="s">
        <v>981</v>
      </c>
      <c r="C78" t="s">
        <v>1810</v>
      </c>
      <c r="D78">
        <v>57.2</v>
      </c>
      <c r="E78" s="1">
        <v>44497</v>
      </c>
      <c r="F78" s="1" t="str">
        <f>TEXT(Sheet1[[#This Row],[Fecha ingreso]],"mmmm")</f>
        <v>octubre</v>
      </c>
      <c r="G78" s="2">
        <f>YEAR(Sheet1[[#This Row],[Fecha ingreso]])</f>
        <v>2021</v>
      </c>
      <c r="H78" s="1" t="str">
        <f>TEXT(Sheet1[[#This Row],[Fecha ingreso]],"dddd")</f>
        <v>jueves</v>
      </c>
      <c r="I78" s="1">
        <v>44659</v>
      </c>
      <c r="J78" s="2">
        <f>DATEDIF(Sheet1[[#This Row],[Fecha ingreso]],Sheet1[[#This Row],[Fecha último pago]],"M")+1</f>
        <v>6</v>
      </c>
      <c r="K78" s="2">
        <f>Sheet1[[#This Row],[Ingresos mensuales]]*Sheet1[[#This Row],[Meses contratados]]</f>
        <v>343.20000000000005</v>
      </c>
      <c r="L78" t="s">
        <v>1815</v>
      </c>
      <c r="M78">
        <v>26</v>
      </c>
      <c r="N78" t="s">
        <v>1822</v>
      </c>
      <c r="O78" t="s">
        <v>1823</v>
      </c>
      <c r="P78" t="s">
        <v>1826</v>
      </c>
      <c r="Q78" cm="1">
        <f t="array" ref="Q78">_xlfn.IFS(P78="2 Years", 24,P78="1 Year",12, P78="6 Months",6, P78="1 Month",1)</f>
        <v>24</v>
      </c>
      <c r="R78" t="str" cm="1">
        <f t="array" ref="R78">_xlfn.IFS(Q78=1,"Mensual",Q78=6,"Semestral",Q78=12,"Anual",Q78=24,"Bienal")</f>
        <v>Bienal</v>
      </c>
      <c r="S78">
        <f>IFERROR(VLOOKUP(Sheet1[[#This Row],[ID usuario]],A79:$A$907,1,FALSE),0)</f>
        <v>0</v>
      </c>
    </row>
    <row r="79" spans="1:19" x14ac:dyDescent="0.25">
      <c r="A79" t="s">
        <v>77</v>
      </c>
      <c r="B79" t="s">
        <v>982</v>
      </c>
      <c r="C79" t="s">
        <v>1811</v>
      </c>
      <c r="D79">
        <v>93.43</v>
      </c>
      <c r="E79" s="1">
        <v>44677</v>
      </c>
      <c r="F79" s="1" t="str">
        <f>TEXT(Sheet1[[#This Row],[Fecha ingreso]],"mmmm")</f>
        <v>abril</v>
      </c>
      <c r="G79" s="2">
        <f>YEAR(Sheet1[[#This Row],[Fecha ingreso]])</f>
        <v>2022</v>
      </c>
      <c r="H79" s="1" t="str">
        <f>TEXT(Sheet1[[#This Row],[Fecha ingreso]],"dddd")</f>
        <v>martes</v>
      </c>
      <c r="I79" s="1">
        <v>45295</v>
      </c>
      <c r="J79" s="2">
        <f>DATEDIF(Sheet1[[#This Row],[Fecha ingreso]],Sheet1[[#This Row],[Fecha último pago]],"M")+1</f>
        <v>21</v>
      </c>
      <c r="K79" s="2">
        <f>Sheet1[[#This Row],[Ingresos mensuales]]*Sheet1[[#This Row],[Meses contratados]]</f>
        <v>1962.0300000000002</v>
      </c>
      <c r="L79" t="s">
        <v>1817</v>
      </c>
      <c r="M79">
        <v>57</v>
      </c>
      <c r="N79" t="s">
        <v>1822</v>
      </c>
      <c r="O79" t="s">
        <v>1823</v>
      </c>
      <c r="P79" t="s">
        <v>1828</v>
      </c>
      <c r="Q79" cm="1">
        <f t="array" ref="Q79">_xlfn.IFS(P79="2 Years", 24,P79="1 Year",12, P79="6 Months",6, P79="1 Month",1)</f>
        <v>6</v>
      </c>
      <c r="R79" t="str" cm="1">
        <f t="array" ref="R79">_xlfn.IFS(Q79=1,"Mensual",Q79=6,"Semestral",Q79=12,"Anual",Q79=24,"Bienal")</f>
        <v>Semestral</v>
      </c>
      <c r="S79">
        <f>IFERROR(VLOOKUP(Sheet1[[#This Row],[ID usuario]],A80:$A$907,1,FALSE),0)</f>
        <v>0</v>
      </c>
    </row>
    <row r="80" spans="1:19" x14ac:dyDescent="0.25">
      <c r="A80" t="s">
        <v>78</v>
      </c>
      <c r="B80" t="s">
        <v>983</v>
      </c>
      <c r="C80" t="s">
        <v>1811</v>
      </c>
      <c r="D80">
        <v>54.47</v>
      </c>
      <c r="E80" s="1">
        <v>44922</v>
      </c>
      <c r="F80" s="1" t="str">
        <f>TEXT(Sheet1[[#This Row],[Fecha ingreso]],"mmmm")</f>
        <v>diciembre</v>
      </c>
      <c r="G80" s="2">
        <f>YEAR(Sheet1[[#This Row],[Fecha ingreso]])</f>
        <v>2022</v>
      </c>
      <c r="H80" s="1" t="str">
        <f>TEXT(Sheet1[[#This Row],[Fecha ingreso]],"dddd")</f>
        <v>martes</v>
      </c>
      <c r="I80" s="1">
        <v>45313</v>
      </c>
      <c r="J80" s="2">
        <f>DATEDIF(Sheet1[[#This Row],[Fecha ingreso]],Sheet1[[#This Row],[Fecha último pago]],"M")+1</f>
        <v>13</v>
      </c>
      <c r="K80" s="2">
        <f>Sheet1[[#This Row],[Ingresos mensuales]]*Sheet1[[#This Row],[Meses contratados]]</f>
        <v>708.11</v>
      </c>
      <c r="L80" t="s">
        <v>1814</v>
      </c>
      <c r="M80">
        <v>62</v>
      </c>
      <c r="N80" t="s">
        <v>1821</v>
      </c>
      <c r="O80" t="s">
        <v>1824</v>
      </c>
      <c r="P80" t="s">
        <v>1829</v>
      </c>
      <c r="Q80" cm="1">
        <f t="array" ref="Q80">_xlfn.IFS(P80="2 Years", 24,P80="1 Year",12, P80="6 Months",6, P80="1 Month",1)</f>
        <v>1</v>
      </c>
      <c r="R80" t="str" cm="1">
        <f t="array" ref="R80">_xlfn.IFS(Q80=1,"Mensual",Q80=6,"Semestral",Q80=12,"Anual",Q80=24,"Bienal")</f>
        <v>Mensual</v>
      </c>
      <c r="S80">
        <f>IFERROR(VLOOKUP(Sheet1[[#This Row],[ID usuario]],A81:$A$907,1,FALSE),0)</f>
        <v>0</v>
      </c>
    </row>
    <row r="81" spans="1:19" x14ac:dyDescent="0.25">
      <c r="A81" t="s">
        <v>79</v>
      </c>
      <c r="B81" t="s">
        <v>984</v>
      </c>
      <c r="C81" t="s">
        <v>1811</v>
      </c>
      <c r="D81">
        <v>30.38</v>
      </c>
      <c r="E81" s="1">
        <v>45042</v>
      </c>
      <c r="F81" s="1" t="str">
        <f>TEXT(Sheet1[[#This Row],[Fecha ingreso]],"mmmm")</f>
        <v>abril</v>
      </c>
      <c r="G81" s="2">
        <f>YEAR(Sheet1[[#This Row],[Fecha ingreso]])</f>
        <v>2023</v>
      </c>
      <c r="H81" s="1" t="str">
        <f>TEXT(Sheet1[[#This Row],[Fecha ingreso]],"dddd")</f>
        <v>miércoles</v>
      </c>
      <c r="I81" s="1">
        <v>45310</v>
      </c>
      <c r="J81" s="2">
        <f>DATEDIF(Sheet1[[#This Row],[Fecha ingreso]],Sheet1[[#This Row],[Fecha último pago]],"M")+1</f>
        <v>9</v>
      </c>
      <c r="K81" s="2">
        <f>Sheet1[[#This Row],[Ingresos mensuales]]*Sheet1[[#This Row],[Meses contratados]]</f>
        <v>273.42</v>
      </c>
      <c r="L81" t="s">
        <v>1815</v>
      </c>
      <c r="M81">
        <v>27</v>
      </c>
      <c r="N81" t="s">
        <v>1820</v>
      </c>
      <c r="O81" t="s">
        <v>1823</v>
      </c>
      <c r="P81" t="s">
        <v>1829</v>
      </c>
      <c r="Q81" cm="1">
        <f t="array" ref="Q81">_xlfn.IFS(P81="2 Years", 24,P81="1 Year",12, P81="6 Months",6, P81="1 Month",1)</f>
        <v>1</v>
      </c>
      <c r="R81" t="str" cm="1">
        <f t="array" ref="R81">_xlfn.IFS(Q81=1,"Mensual",Q81=6,"Semestral",Q81=12,"Anual",Q81=24,"Bienal")</f>
        <v>Mensual</v>
      </c>
      <c r="S81">
        <f>IFERROR(VLOOKUP(Sheet1[[#This Row],[ID usuario]],A82:$A$907,1,FALSE),0)</f>
        <v>0</v>
      </c>
    </row>
    <row r="82" spans="1:19" x14ac:dyDescent="0.25">
      <c r="A82" t="s">
        <v>80</v>
      </c>
      <c r="B82" t="s">
        <v>985</v>
      </c>
      <c r="C82" t="s">
        <v>1810</v>
      </c>
      <c r="D82">
        <v>88.35</v>
      </c>
      <c r="E82" s="1">
        <v>45230</v>
      </c>
      <c r="F82" s="1" t="str">
        <f>TEXT(Sheet1[[#This Row],[Fecha ingreso]],"mmmm")</f>
        <v>octubre</v>
      </c>
      <c r="G82" s="2">
        <f>YEAR(Sheet1[[#This Row],[Fecha ingreso]])</f>
        <v>2023</v>
      </c>
      <c r="H82" s="1" t="str">
        <f>TEXT(Sheet1[[#This Row],[Fecha ingreso]],"dddd")</f>
        <v>martes</v>
      </c>
      <c r="I82" s="1">
        <v>45320</v>
      </c>
      <c r="J82" s="2">
        <f>DATEDIF(Sheet1[[#This Row],[Fecha ingreso]],Sheet1[[#This Row],[Fecha último pago]],"M")+1</f>
        <v>3</v>
      </c>
      <c r="K82" s="2">
        <f>Sheet1[[#This Row],[Ingresos mensuales]]*Sheet1[[#This Row],[Meses contratados]]</f>
        <v>265.04999999999995</v>
      </c>
      <c r="L82" t="s">
        <v>1815</v>
      </c>
      <c r="M82">
        <v>67</v>
      </c>
      <c r="N82" t="s">
        <v>1821</v>
      </c>
      <c r="O82" t="s">
        <v>1823</v>
      </c>
      <c r="P82" t="s">
        <v>1826</v>
      </c>
      <c r="Q82" cm="1">
        <f t="array" ref="Q82">_xlfn.IFS(P82="2 Years", 24,P82="1 Year",12, P82="6 Months",6, P82="1 Month",1)</f>
        <v>24</v>
      </c>
      <c r="R82" t="str" cm="1">
        <f t="array" ref="R82">_xlfn.IFS(Q82=1,"Mensual",Q82=6,"Semestral",Q82=12,"Anual",Q82=24,"Bienal")</f>
        <v>Bienal</v>
      </c>
      <c r="S82">
        <f>IFERROR(VLOOKUP(Sheet1[[#This Row],[ID usuario]],A83:$A$907,1,FALSE),0)</f>
        <v>0</v>
      </c>
    </row>
    <row r="83" spans="1:19" x14ac:dyDescent="0.25">
      <c r="A83" t="s">
        <v>81</v>
      </c>
      <c r="B83" t="s">
        <v>986</v>
      </c>
      <c r="C83" t="s">
        <v>1811</v>
      </c>
      <c r="D83">
        <v>40.33</v>
      </c>
      <c r="E83" s="1">
        <v>44412</v>
      </c>
      <c r="F83" s="1" t="str">
        <f>TEXT(Sheet1[[#This Row],[Fecha ingreso]],"mmmm")</f>
        <v>agosto</v>
      </c>
      <c r="G83" s="2">
        <f>YEAR(Sheet1[[#This Row],[Fecha ingreso]])</f>
        <v>2021</v>
      </c>
      <c r="H83" s="1" t="str">
        <f>TEXT(Sheet1[[#This Row],[Fecha ingreso]],"dddd")</f>
        <v>miércoles</v>
      </c>
      <c r="I83" s="1">
        <v>45316</v>
      </c>
      <c r="J83" s="2">
        <f>DATEDIF(Sheet1[[#This Row],[Fecha ingreso]],Sheet1[[#This Row],[Fecha último pago]],"M")+1</f>
        <v>30</v>
      </c>
      <c r="K83" s="2">
        <f>Sheet1[[#This Row],[Ingresos mensuales]]*Sheet1[[#This Row],[Meses contratados]]</f>
        <v>1209.8999999999999</v>
      </c>
      <c r="L83" t="s">
        <v>1813</v>
      </c>
      <c r="M83">
        <v>35</v>
      </c>
      <c r="N83" t="s">
        <v>1820</v>
      </c>
      <c r="O83" t="s">
        <v>1823</v>
      </c>
      <c r="P83" t="s">
        <v>1827</v>
      </c>
      <c r="Q83" cm="1">
        <f t="array" ref="Q83">_xlfn.IFS(P83="2 Years", 24,P83="1 Year",12, P83="6 Months",6, P83="1 Month",1)</f>
        <v>12</v>
      </c>
      <c r="R83" t="str" cm="1">
        <f t="array" ref="R83">_xlfn.IFS(Q83=1,"Mensual",Q83=6,"Semestral",Q83=12,"Anual",Q83=24,"Bienal")</f>
        <v>Anual</v>
      </c>
      <c r="S83">
        <f>IFERROR(VLOOKUP(Sheet1[[#This Row],[ID usuario]],A84:$A$907,1,FALSE),0)</f>
        <v>0</v>
      </c>
    </row>
    <row r="84" spans="1:19" x14ac:dyDescent="0.25">
      <c r="A84" t="s">
        <v>82</v>
      </c>
      <c r="B84" t="s">
        <v>987</v>
      </c>
      <c r="C84" t="s">
        <v>1812</v>
      </c>
      <c r="D84">
        <v>5.13</v>
      </c>
      <c r="E84" s="1">
        <v>44847</v>
      </c>
      <c r="F84" s="1" t="str">
        <f>TEXT(Sheet1[[#This Row],[Fecha ingreso]],"mmmm")</f>
        <v>octubre</v>
      </c>
      <c r="G84" s="2">
        <f>YEAR(Sheet1[[#This Row],[Fecha ingreso]])</f>
        <v>2022</v>
      </c>
      <c r="H84" s="1" t="str">
        <f>TEXT(Sheet1[[#This Row],[Fecha ingreso]],"dddd")</f>
        <v>jueves</v>
      </c>
      <c r="I84" s="1">
        <v>44915</v>
      </c>
      <c r="J84" s="2">
        <f>DATEDIF(Sheet1[[#This Row],[Fecha ingreso]],Sheet1[[#This Row],[Fecha último pago]],"M")+1</f>
        <v>3</v>
      </c>
      <c r="K84" s="2">
        <f>Sheet1[[#This Row],[Ingresos mensuales]]*Sheet1[[#This Row],[Meses contratados]]</f>
        <v>15.39</v>
      </c>
      <c r="L84" t="s">
        <v>1818</v>
      </c>
      <c r="M84">
        <v>67</v>
      </c>
      <c r="N84" t="s">
        <v>1822</v>
      </c>
      <c r="O84" t="s">
        <v>1825</v>
      </c>
      <c r="P84" t="s">
        <v>1827</v>
      </c>
      <c r="Q84" cm="1">
        <f t="array" ref="Q84">_xlfn.IFS(P84="2 Years", 24,P84="1 Year",12, P84="6 Months",6, P84="1 Month",1)</f>
        <v>12</v>
      </c>
      <c r="R84" t="str" cm="1">
        <f t="array" ref="R84">_xlfn.IFS(Q84=1,"Mensual",Q84=6,"Semestral",Q84=12,"Anual",Q84=24,"Bienal")</f>
        <v>Anual</v>
      </c>
      <c r="S84">
        <f>IFERROR(VLOOKUP(Sheet1[[#This Row],[ID usuario]],A85:$A$907,1,FALSE),0)</f>
        <v>0</v>
      </c>
    </row>
    <row r="85" spans="1:19" x14ac:dyDescent="0.25">
      <c r="A85" t="s">
        <v>83</v>
      </c>
      <c r="B85" t="s">
        <v>988</v>
      </c>
      <c r="C85" t="s">
        <v>1810</v>
      </c>
      <c r="D85">
        <v>28.53</v>
      </c>
      <c r="E85" s="1">
        <v>45105</v>
      </c>
      <c r="F85" s="1" t="str">
        <f>TEXT(Sheet1[[#This Row],[Fecha ingreso]],"mmmm")</f>
        <v>junio</v>
      </c>
      <c r="G85" s="2">
        <f>YEAR(Sheet1[[#This Row],[Fecha ingreso]])</f>
        <v>2023</v>
      </c>
      <c r="H85" s="1" t="str">
        <f>TEXT(Sheet1[[#This Row],[Fecha ingreso]],"dddd")</f>
        <v>miércoles</v>
      </c>
      <c r="I85" s="1">
        <v>45434</v>
      </c>
      <c r="J85" s="2">
        <f>DATEDIF(Sheet1[[#This Row],[Fecha ingreso]],Sheet1[[#This Row],[Fecha último pago]],"M")+1</f>
        <v>11</v>
      </c>
      <c r="K85" s="2">
        <f>Sheet1[[#This Row],[Ingresos mensuales]]*Sheet1[[#This Row],[Meses contratados]]</f>
        <v>313.83000000000004</v>
      </c>
      <c r="L85" t="s">
        <v>1814</v>
      </c>
      <c r="M85">
        <v>43</v>
      </c>
      <c r="N85" t="s">
        <v>1821</v>
      </c>
      <c r="O85" t="s">
        <v>1825</v>
      </c>
      <c r="P85" t="s">
        <v>1828</v>
      </c>
      <c r="Q85" cm="1">
        <f t="array" ref="Q85">_xlfn.IFS(P85="2 Years", 24,P85="1 Year",12, P85="6 Months",6, P85="1 Month",1)</f>
        <v>6</v>
      </c>
      <c r="R85" t="str" cm="1">
        <f t="array" ref="R85">_xlfn.IFS(Q85=1,"Mensual",Q85=6,"Semestral",Q85=12,"Anual",Q85=24,"Bienal")</f>
        <v>Semestral</v>
      </c>
      <c r="S85">
        <f>IFERROR(VLOOKUP(Sheet1[[#This Row],[ID usuario]],A86:$A$907,1,FALSE),0)</f>
        <v>0</v>
      </c>
    </row>
    <row r="86" spans="1:19" x14ac:dyDescent="0.25">
      <c r="A86" t="s">
        <v>84</v>
      </c>
      <c r="B86" t="s">
        <v>989</v>
      </c>
      <c r="C86" t="s">
        <v>1811</v>
      </c>
      <c r="D86">
        <v>35.229999999999997</v>
      </c>
      <c r="E86" s="1">
        <v>45407</v>
      </c>
      <c r="F86" s="1" t="str">
        <f>TEXT(Sheet1[[#This Row],[Fecha ingreso]],"mmmm")</f>
        <v>abril</v>
      </c>
      <c r="G86" s="2">
        <f>YEAR(Sheet1[[#This Row],[Fecha ingreso]])</f>
        <v>2024</v>
      </c>
      <c r="H86" s="1" t="str">
        <f>TEXT(Sheet1[[#This Row],[Fecha ingreso]],"dddd")</f>
        <v>jueves</v>
      </c>
      <c r="I86" s="1">
        <v>45440</v>
      </c>
      <c r="J86" s="2">
        <f>DATEDIF(Sheet1[[#This Row],[Fecha ingreso]],Sheet1[[#This Row],[Fecha último pago]],"M")+1</f>
        <v>2</v>
      </c>
      <c r="K86" s="2">
        <f>Sheet1[[#This Row],[Ingresos mensuales]]*Sheet1[[#This Row],[Meses contratados]]</f>
        <v>70.459999999999994</v>
      </c>
      <c r="L86" t="s">
        <v>1818</v>
      </c>
      <c r="M86">
        <v>41</v>
      </c>
      <c r="N86" t="s">
        <v>1822</v>
      </c>
      <c r="O86" t="s">
        <v>1824</v>
      </c>
      <c r="P86" t="s">
        <v>1828</v>
      </c>
      <c r="Q86" cm="1">
        <f t="array" ref="Q86">_xlfn.IFS(P86="2 Years", 24,P86="1 Year",12, P86="6 Months",6, P86="1 Month",1)</f>
        <v>6</v>
      </c>
      <c r="R86" t="str" cm="1">
        <f t="array" ref="R86">_xlfn.IFS(Q86=1,"Mensual",Q86=6,"Semestral",Q86=12,"Anual",Q86=24,"Bienal")</f>
        <v>Semestral</v>
      </c>
      <c r="S86">
        <f>IFERROR(VLOOKUP(Sheet1[[#This Row],[ID usuario]],A87:$A$907,1,FALSE),0)</f>
        <v>0</v>
      </c>
    </row>
    <row r="87" spans="1:19" x14ac:dyDescent="0.25">
      <c r="A87" t="s">
        <v>85</v>
      </c>
      <c r="B87" t="s">
        <v>990</v>
      </c>
      <c r="C87" t="s">
        <v>1812</v>
      </c>
      <c r="D87">
        <v>86.58</v>
      </c>
      <c r="E87" s="1">
        <v>45074</v>
      </c>
      <c r="F87" s="1" t="str">
        <f>TEXT(Sheet1[[#This Row],[Fecha ingreso]],"mmmm")</f>
        <v>mayo</v>
      </c>
      <c r="G87" s="2">
        <f>YEAR(Sheet1[[#This Row],[Fecha ingreso]])</f>
        <v>2023</v>
      </c>
      <c r="H87" s="1" t="str">
        <f>TEXT(Sheet1[[#This Row],[Fecha ingreso]],"dddd")</f>
        <v>domingo</v>
      </c>
      <c r="I87" s="1">
        <v>45439</v>
      </c>
      <c r="J87" s="2">
        <f>DATEDIF(Sheet1[[#This Row],[Fecha ingreso]],Sheet1[[#This Row],[Fecha último pago]],"M")+1</f>
        <v>12</v>
      </c>
      <c r="K87" s="2">
        <f>Sheet1[[#This Row],[Ingresos mensuales]]*Sheet1[[#This Row],[Meses contratados]]</f>
        <v>1038.96</v>
      </c>
      <c r="L87" t="s">
        <v>1817</v>
      </c>
      <c r="M87">
        <v>58</v>
      </c>
      <c r="N87" t="s">
        <v>1822</v>
      </c>
      <c r="O87" t="s">
        <v>1823</v>
      </c>
      <c r="P87" t="s">
        <v>1828</v>
      </c>
      <c r="Q87" cm="1">
        <f t="array" ref="Q87">_xlfn.IFS(P87="2 Years", 24,P87="1 Year",12, P87="6 Months",6, P87="1 Month",1)</f>
        <v>6</v>
      </c>
      <c r="R87" t="str" cm="1">
        <f t="array" ref="R87">_xlfn.IFS(Q87=1,"Mensual",Q87=6,"Semestral",Q87=12,"Anual",Q87=24,"Bienal")</f>
        <v>Semestral</v>
      </c>
      <c r="S87">
        <f>IFERROR(VLOOKUP(Sheet1[[#This Row],[ID usuario]],A88:$A$907,1,FALSE),0)</f>
        <v>0</v>
      </c>
    </row>
    <row r="88" spans="1:19" x14ac:dyDescent="0.25">
      <c r="A88" t="s">
        <v>86</v>
      </c>
      <c r="B88" t="s">
        <v>991</v>
      </c>
      <c r="C88" t="s">
        <v>1810</v>
      </c>
      <c r="D88">
        <v>48.56</v>
      </c>
      <c r="E88" s="1">
        <v>44730</v>
      </c>
      <c r="F88" s="1" t="str">
        <f>TEXT(Sheet1[[#This Row],[Fecha ingreso]],"mmmm")</f>
        <v>junio</v>
      </c>
      <c r="G88" s="2">
        <f>YEAR(Sheet1[[#This Row],[Fecha ingreso]])</f>
        <v>2022</v>
      </c>
      <c r="H88" s="1" t="str">
        <f>TEXT(Sheet1[[#This Row],[Fecha ingreso]],"dddd")</f>
        <v>sábado</v>
      </c>
      <c r="I88" s="1">
        <v>45410</v>
      </c>
      <c r="J88" s="2">
        <f>DATEDIF(Sheet1[[#This Row],[Fecha ingreso]],Sheet1[[#This Row],[Fecha último pago]],"M")+1</f>
        <v>23</v>
      </c>
      <c r="K88" s="2">
        <f>Sheet1[[#This Row],[Ingresos mensuales]]*Sheet1[[#This Row],[Meses contratados]]</f>
        <v>1116.8800000000001</v>
      </c>
      <c r="L88" t="s">
        <v>1818</v>
      </c>
      <c r="M88">
        <v>69</v>
      </c>
      <c r="N88" t="s">
        <v>1822</v>
      </c>
      <c r="O88" t="s">
        <v>1824</v>
      </c>
      <c r="P88" t="s">
        <v>1827</v>
      </c>
      <c r="Q88" cm="1">
        <f t="array" ref="Q88">_xlfn.IFS(P88="2 Years", 24,P88="1 Year",12, P88="6 Months",6, P88="1 Month",1)</f>
        <v>12</v>
      </c>
      <c r="R88" t="str" cm="1">
        <f t="array" ref="R88">_xlfn.IFS(Q88=1,"Mensual",Q88=6,"Semestral",Q88=12,"Anual",Q88=24,"Bienal")</f>
        <v>Anual</v>
      </c>
      <c r="S88">
        <f>IFERROR(VLOOKUP(Sheet1[[#This Row],[ID usuario]],A89:$A$907,1,FALSE),0)</f>
        <v>0</v>
      </c>
    </row>
    <row r="89" spans="1:19" x14ac:dyDescent="0.25">
      <c r="A89" t="s">
        <v>87</v>
      </c>
      <c r="B89" t="s">
        <v>992</v>
      </c>
      <c r="C89" t="s">
        <v>1810</v>
      </c>
      <c r="D89">
        <v>36.93</v>
      </c>
      <c r="E89" s="1">
        <v>45104</v>
      </c>
      <c r="F89" s="1" t="str">
        <f>TEXT(Sheet1[[#This Row],[Fecha ingreso]],"mmmm")</f>
        <v>junio</v>
      </c>
      <c r="G89" s="2">
        <f>YEAR(Sheet1[[#This Row],[Fecha ingreso]])</f>
        <v>2023</v>
      </c>
      <c r="H89" s="1" t="str">
        <f>TEXT(Sheet1[[#This Row],[Fecha ingreso]],"dddd")</f>
        <v>martes</v>
      </c>
      <c r="I89" s="1">
        <v>45405</v>
      </c>
      <c r="J89" s="2">
        <f>DATEDIF(Sheet1[[#This Row],[Fecha ingreso]],Sheet1[[#This Row],[Fecha último pago]],"M")+1</f>
        <v>10</v>
      </c>
      <c r="K89" s="2">
        <f>Sheet1[[#This Row],[Ingresos mensuales]]*Sheet1[[#This Row],[Meses contratados]]</f>
        <v>369.3</v>
      </c>
      <c r="L89" t="s">
        <v>1815</v>
      </c>
      <c r="M89">
        <v>44</v>
      </c>
      <c r="N89" t="s">
        <v>1822</v>
      </c>
      <c r="O89" t="s">
        <v>1825</v>
      </c>
      <c r="P89" t="s">
        <v>1829</v>
      </c>
      <c r="Q89" cm="1">
        <f t="array" ref="Q89">_xlfn.IFS(P89="2 Years", 24,P89="1 Year",12, P89="6 Months",6, P89="1 Month",1)</f>
        <v>1</v>
      </c>
      <c r="R89" t="str" cm="1">
        <f t="array" ref="R89">_xlfn.IFS(Q89=1,"Mensual",Q89=6,"Semestral",Q89=12,"Anual",Q89=24,"Bienal")</f>
        <v>Mensual</v>
      </c>
      <c r="S89">
        <f>IFERROR(VLOOKUP(Sheet1[[#This Row],[ID usuario]],A90:$A$907,1,FALSE),0)</f>
        <v>0</v>
      </c>
    </row>
    <row r="90" spans="1:19" x14ac:dyDescent="0.25">
      <c r="A90" t="s">
        <v>88</v>
      </c>
      <c r="B90" t="s">
        <v>993</v>
      </c>
      <c r="C90" t="s">
        <v>1811</v>
      </c>
      <c r="D90">
        <v>88.66</v>
      </c>
      <c r="E90" s="1">
        <v>44963</v>
      </c>
      <c r="F90" s="1" t="str">
        <f>TEXT(Sheet1[[#This Row],[Fecha ingreso]],"mmmm")</f>
        <v>febrero</v>
      </c>
      <c r="G90" s="2">
        <f>YEAR(Sheet1[[#This Row],[Fecha ingreso]])</f>
        <v>2023</v>
      </c>
      <c r="H90" s="1" t="str">
        <f>TEXT(Sheet1[[#This Row],[Fecha ingreso]],"dddd")</f>
        <v>lunes</v>
      </c>
      <c r="I90" s="1">
        <v>45343</v>
      </c>
      <c r="J90" s="2">
        <f>DATEDIF(Sheet1[[#This Row],[Fecha ingreso]],Sheet1[[#This Row],[Fecha último pago]],"M")+1</f>
        <v>13</v>
      </c>
      <c r="K90" s="2">
        <f>Sheet1[[#This Row],[Ingresos mensuales]]*Sheet1[[#This Row],[Meses contratados]]</f>
        <v>1152.58</v>
      </c>
      <c r="L90" t="s">
        <v>1817</v>
      </c>
      <c r="M90">
        <v>31</v>
      </c>
      <c r="N90" t="s">
        <v>1820</v>
      </c>
      <c r="O90" t="s">
        <v>1824</v>
      </c>
      <c r="P90" t="s">
        <v>1826</v>
      </c>
      <c r="Q90" cm="1">
        <f t="array" ref="Q90">_xlfn.IFS(P90="2 Years", 24,P90="1 Year",12, P90="6 Months",6, P90="1 Month",1)</f>
        <v>24</v>
      </c>
      <c r="R90" t="str" cm="1">
        <f t="array" ref="R90">_xlfn.IFS(Q90=1,"Mensual",Q90=6,"Semestral",Q90=12,"Anual",Q90=24,"Bienal")</f>
        <v>Bienal</v>
      </c>
      <c r="S90">
        <f>IFERROR(VLOOKUP(Sheet1[[#This Row],[ID usuario]],A91:$A$907,1,FALSE),0)</f>
        <v>0</v>
      </c>
    </row>
    <row r="91" spans="1:19" x14ac:dyDescent="0.25">
      <c r="A91" t="s">
        <v>89</v>
      </c>
      <c r="B91" t="s">
        <v>994</v>
      </c>
      <c r="C91" t="s">
        <v>1812</v>
      </c>
      <c r="D91">
        <v>94.78</v>
      </c>
      <c r="E91" s="1">
        <v>44732</v>
      </c>
      <c r="F91" s="1" t="str">
        <f>TEXT(Sheet1[[#This Row],[Fecha ingreso]],"mmmm")</f>
        <v>junio</v>
      </c>
      <c r="G91" s="2">
        <f>YEAR(Sheet1[[#This Row],[Fecha ingreso]])</f>
        <v>2022</v>
      </c>
      <c r="H91" s="1" t="str">
        <f>TEXT(Sheet1[[#This Row],[Fecha ingreso]],"dddd")</f>
        <v>lunes</v>
      </c>
      <c r="I91" s="1">
        <v>45171</v>
      </c>
      <c r="J91" s="2">
        <f>DATEDIF(Sheet1[[#This Row],[Fecha ingreso]],Sheet1[[#This Row],[Fecha último pago]],"M")+1</f>
        <v>15</v>
      </c>
      <c r="K91" s="2">
        <f>Sheet1[[#This Row],[Ingresos mensuales]]*Sheet1[[#This Row],[Meses contratados]]</f>
        <v>1421.7</v>
      </c>
      <c r="L91" t="s">
        <v>1819</v>
      </c>
      <c r="M91">
        <v>49</v>
      </c>
      <c r="N91" t="s">
        <v>1822</v>
      </c>
      <c r="O91" t="s">
        <v>1825</v>
      </c>
      <c r="P91" t="s">
        <v>1826</v>
      </c>
      <c r="Q91" cm="1">
        <f t="array" ref="Q91">_xlfn.IFS(P91="2 Years", 24,P91="1 Year",12, P91="6 Months",6, P91="1 Month",1)</f>
        <v>24</v>
      </c>
      <c r="R91" t="str" cm="1">
        <f t="array" ref="R91">_xlfn.IFS(Q91=1,"Mensual",Q91=6,"Semestral",Q91=12,"Anual",Q91=24,"Bienal")</f>
        <v>Bienal</v>
      </c>
      <c r="S91">
        <f>IFERROR(VLOOKUP(Sheet1[[#This Row],[ID usuario]],A92:$A$907,1,FALSE),0)</f>
        <v>0</v>
      </c>
    </row>
    <row r="92" spans="1:19" x14ac:dyDescent="0.25">
      <c r="A92" t="s">
        <v>90</v>
      </c>
      <c r="B92" t="s">
        <v>995</v>
      </c>
      <c r="C92" t="s">
        <v>1812</v>
      </c>
      <c r="D92">
        <v>99.23</v>
      </c>
      <c r="E92" s="1">
        <v>44595</v>
      </c>
      <c r="F92" s="1" t="str">
        <f>TEXT(Sheet1[[#This Row],[Fecha ingreso]],"mmmm")</f>
        <v>febrero</v>
      </c>
      <c r="G92" s="2">
        <f>YEAR(Sheet1[[#This Row],[Fecha ingreso]])</f>
        <v>2022</v>
      </c>
      <c r="H92" s="1" t="str">
        <f>TEXT(Sheet1[[#This Row],[Fecha ingreso]],"dddd")</f>
        <v>jueves</v>
      </c>
      <c r="I92" s="1">
        <v>45097</v>
      </c>
      <c r="J92" s="2">
        <f>DATEDIF(Sheet1[[#This Row],[Fecha ingreso]],Sheet1[[#This Row],[Fecha último pago]],"M")+1</f>
        <v>17</v>
      </c>
      <c r="K92" s="2">
        <f>Sheet1[[#This Row],[Ingresos mensuales]]*Sheet1[[#This Row],[Meses contratados]]</f>
        <v>1686.91</v>
      </c>
      <c r="L92" t="s">
        <v>1816</v>
      </c>
      <c r="M92">
        <v>39</v>
      </c>
      <c r="N92" t="s">
        <v>1821</v>
      </c>
      <c r="O92" t="s">
        <v>1823</v>
      </c>
      <c r="P92" t="s">
        <v>1829</v>
      </c>
      <c r="Q92" cm="1">
        <f t="array" ref="Q92">_xlfn.IFS(P92="2 Years", 24,P92="1 Year",12, P92="6 Months",6, P92="1 Month",1)</f>
        <v>1</v>
      </c>
      <c r="R92" t="str" cm="1">
        <f t="array" ref="R92">_xlfn.IFS(Q92=1,"Mensual",Q92=6,"Semestral",Q92=12,"Anual",Q92=24,"Bienal")</f>
        <v>Mensual</v>
      </c>
      <c r="S92">
        <f>IFERROR(VLOOKUP(Sheet1[[#This Row],[ID usuario]],A93:$A$907,1,FALSE),0)</f>
        <v>0</v>
      </c>
    </row>
    <row r="93" spans="1:19" x14ac:dyDescent="0.25">
      <c r="A93" t="s">
        <v>91</v>
      </c>
      <c r="B93" t="s">
        <v>996</v>
      </c>
      <c r="C93" t="s">
        <v>1811</v>
      </c>
      <c r="D93">
        <v>40.79</v>
      </c>
      <c r="E93" s="1">
        <v>45088</v>
      </c>
      <c r="F93" s="1" t="str">
        <f>TEXT(Sheet1[[#This Row],[Fecha ingreso]],"mmmm")</f>
        <v>junio</v>
      </c>
      <c r="G93" s="2">
        <f>YEAR(Sheet1[[#This Row],[Fecha ingreso]])</f>
        <v>2023</v>
      </c>
      <c r="H93" s="1" t="str">
        <f>TEXT(Sheet1[[#This Row],[Fecha ingreso]],"dddd")</f>
        <v>domingo</v>
      </c>
      <c r="I93" s="1">
        <v>45351</v>
      </c>
      <c r="J93" s="2">
        <f>DATEDIF(Sheet1[[#This Row],[Fecha ingreso]],Sheet1[[#This Row],[Fecha último pago]],"M")+1</f>
        <v>9</v>
      </c>
      <c r="K93" s="2">
        <f>Sheet1[[#This Row],[Ingresos mensuales]]*Sheet1[[#This Row],[Meses contratados]]</f>
        <v>367.11</v>
      </c>
      <c r="L93" t="s">
        <v>1818</v>
      </c>
      <c r="M93">
        <v>51</v>
      </c>
      <c r="N93" t="s">
        <v>1821</v>
      </c>
      <c r="O93" t="s">
        <v>1825</v>
      </c>
      <c r="P93" t="s">
        <v>1827</v>
      </c>
      <c r="Q93" cm="1">
        <f t="array" ref="Q93">_xlfn.IFS(P93="2 Years", 24,P93="1 Year",12, P93="6 Months",6, P93="1 Month",1)</f>
        <v>12</v>
      </c>
      <c r="R93" t="str" cm="1">
        <f t="array" ref="R93">_xlfn.IFS(Q93=1,"Mensual",Q93=6,"Semestral",Q93=12,"Anual",Q93=24,"Bienal")</f>
        <v>Anual</v>
      </c>
      <c r="S93">
        <f>IFERROR(VLOOKUP(Sheet1[[#This Row],[ID usuario]],A94:$A$907,1,FALSE),0)</f>
        <v>0</v>
      </c>
    </row>
    <row r="94" spans="1:19" x14ac:dyDescent="0.25">
      <c r="A94" t="s">
        <v>92</v>
      </c>
      <c r="B94" t="s">
        <v>997</v>
      </c>
      <c r="C94" t="s">
        <v>1811</v>
      </c>
      <c r="D94">
        <v>80.23</v>
      </c>
      <c r="E94" s="1">
        <v>45163</v>
      </c>
      <c r="F94" s="1" t="str">
        <f>TEXT(Sheet1[[#This Row],[Fecha ingreso]],"mmmm")</f>
        <v>agosto</v>
      </c>
      <c r="G94" s="2">
        <f>YEAR(Sheet1[[#This Row],[Fecha ingreso]])</f>
        <v>2023</v>
      </c>
      <c r="H94" s="1" t="str">
        <f>TEXT(Sheet1[[#This Row],[Fecha ingreso]],"dddd")</f>
        <v>viernes</v>
      </c>
      <c r="I94" s="1">
        <v>45247</v>
      </c>
      <c r="J94" s="2">
        <f>DATEDIF(Sheet1[[#This Row],[Fecha ingreso]],Sheet1[[#This Row],[Fecha último pago]],"M")+1</f>
        <v>3</v>
      </c>
      <c r="K94" s="2">
        <f>Sheet1[[#This Row],[Ingresos mensuales]]*Sheet1[[#This Row],[Meses contratados]]</f>
        <v>240.69</v>
      </c>
      <c r="L94" t="s">
        <v>1814</v>
      </c>
      <c r="M94">
        <v>19</v>
      </c>
      <c r="N94" t="s">
        <v>1820</v>
      </c>
      <c r="O94" t="s">
        <v>1825</v>
      </c>
      <c r="P94" t="s">
        <v>1827</v>
      </c>
      <c r="Q94" cm="1">
        <f t="array" ref="Q94">_xlfn.IFS(P94="2 Years", 24,P94="1 Year",12, P94="6 Months",6, P94="1 Month",1)</f>
        <v>12</v>
      </c>
      <c r="R94" t="str" cm="1">
        <f t="array" ref="R94">_xlfn.IFS(Q94=1,"Mensual",Q94=6,"Semestral",Q94=12,"Anual",Q94=24,"Bienal")</f>
        <v>Anual</v>
      </c>
      <c r="S94">
        <f>IFERROR(VLOOKUP(Sheet1[[#This Row],[ID usuario]],A95:$A$907,1,FALSE),0)</f>
        <v>0</v>
      </c>
    </row>
    <row r="95" spans="1:19" x14ac:dyDescent="0.25">
      <c r="A95" t="s">
        <v>93</v>
      </c>
      <c r="B95" t="s">
        <v>998</v>
      </c>
      <c r="C95" t="s">
        <v>1811</v>
      </c>
      <c r="D95">
        <v>69.19</v>
      </c>
      <c r="E95" s="1">
        <v>44981</v>
      </c>
      <c r="F95" s="1" t="str">
        <f>TEXT(Sheet1[[#This Row],[Fecha ingreso]],"mmmm")</f>
        <v>febrero</v>
      </c>
      <c r="G95" s="2">
        <f>YEAR(Sheet1[[#This Row],[Fecha ingreso]])</f>
        <v>2023</v>
      </c>
      <c r="H95" s="1" t="str">
        <f>TEXT(Sheet1[[#This Row],[Fecha ingreso]],"dddd")</f>
        <v>viernes</v>
      </c>
      <c r="I95" s="1">
        <v>45244</v>
      </c>
      <c r="J95" s="2">
        <f>DATEDIF(Sheet1[[#This Row],[Fecha ingreso]],Sheet1[[#This Row],[Fecha último pago]],"M")+1</f>
        <v>9</v>
      </c>
      <c r="K95" s="2">
        <f>Sheet1[[#This Row],[Ingresos mensuales]]*Sheet1[[#This Row],[Meses contratados]]</f>
        <v>622.71</v>
      </c>
      <c r="L95" t="s">
        <v>1815</v>
      </c>
      <c r="M95">
        <v>50</v>
      </c>
      <c r="N95" t="s">
        <v>1822</v>
      </c>
      <c r="O95" t="s">
        <v>1825</v>
      </c>
      <c r="P95" t="s">
        <v>1826</v>
      </c>
      <c r="Q95" cm="1">
        <f t="array" ref="Q95">_xlfn.IFS(P95="2 Years", 24,P95="1 Year",12, P95="6 Months",6, P95="1 Month",1)</f>
        <v>24</v>
      </c>
      <c r="R95" t="str" cm="1">
        <f t="array" ref="R95">_xlfn.IFS(Q95=1,"Mensual",Q95=6,"Semestral",Q95=12,"Anual",Q95=24,"Bienal")</f>
        <v>Bienal</v>
      </c>
      <c r="S95">
        <f>IFERROR(VLOOKUP(Sheet1[[#This Row],[ID usuario]],A96:$A$907,1,FALSE),0)</f>
        <v>0</v>
      </c>
    </row>
    <row r="96" spans="1:19" x14ac:dyDescent="0.25">
      <c r="A96" t="s">
        <v>94</v>
      </c>
      <c r="B96" t="s">
        <v>999</v>
      </c>
      <c r="C96" t="s">
        <v>1810</v>
      </c>
      <c r="D96">
        <v>28.26</v>
      </c>
      <c r="E96" s="1">
        <v>44841</v>
      </c>
      <c r="F96" s="1" t="str">
        <f>TEXT(Sheet1[[#This Row],[Fecha ingreso]],"mmmm")</f>
        <v>octubre</v>
      </c>
      <c r="G96" s="2">
        <f>YEAR(Sheet1[[#This Row],[Fecha ingreso]])</f>
        <v>2022</v>
      </c>
      <c r="H96" s="1" t="str">
        <f>TEXT(Sheet1[[#This Row],[Fecha ingreso]],"dddd")</f>
        <v>viernes</v>
      </c>
      <c r="I96" s="1">
        <v>44889</v>
      </c>
      <c r="J96" s="2">
        <f>DATEDIF(Sheet1[[#This Row],[Fecha ingreso]],Sheet1[[#This Row],[Fecha último pago]],"M")+1</f>
        <v>2</v>
      </c>
      <c r="K96" s="2">
        <f>Sheet1[[#This Row],[Ingresos mensuales]]*Sheet1[[#This Row],[Meses contratados]]</f>
        <v>56.52</v>
      </c>
      <c r="L96" t="s">
        <v>1818</v>
      </c>
      <c r="M96">
        <v>61</v>
      </c>
      <c r="N96" t="s">
        <v>1821</v>
      </c>
      <c r="O96" t="s">
        <v>1824</v>
      </c>
      <c r="P96" t="s">
        <v>1827</v>
      </c>
      <c r="Q96" cm="1">
        <f t="array" ref="Q96">_xlfn.IFS(P96="2 Years", 24,P96="1 Year",12, P96="6 Months",6, P96="1 Month",1)</f>
        <v>12</v>
      </c>
      <c r="R96" t="str" cm="1">
        <f t="array" ref="R96">_xlfn.IFS(Q96=1,"Mensual",Q96=6,"Semestral",Q96=12,"Anual",Q96=24,"Bienal")</f>
        <v>Anual</v>
      </c>
      <c r="S96">
        <f>IFERROR(VLOOKUP(Sheet1[[#This Row],[ID usuario]],A97:$A$907,1,FALSE),0)</f>
        <v>0</v>
      </c>
    </row>
    <row r="97" spans="1:19" x14ac:dyDescent="0.25">
      <c r="A97" t="s">
        <v>95</v>
      </c>
      <c r="B97" t="s">
        <v>1000</v>
      </c>
      <c r="C97" t="s">
        <v>1812</v>
      </c>
      <c r="D97">
        <v>25.56</v>
      </c>
      <c r="E97" s="1">
        <v>45016</v>
      </c>
      <c r="F97" s="1" t="str">
        <f>TEXT(Sheet1[[#This Row],[Fecha ingreso]],"mmmm")</f>
        <v>marzo</v>
      </c>
      <c r="G97" s="2">
        <f>YEAR(Sheet1[[#This Row],[Fecha ingreso]])</f>
        <v>2023</v>
      </c>
      <c r="H97" s="1" t="str">
        <f>TEXT(Sheet1[[#This Row],[Fecha ingreso]],"dddd")</f>
        <v>viernes</v>
      </c>
      <c r="I97" s="1">
        <v>45134</v>
      </c>
      <c r="J97" s="2">
        <f>DATEDIF(Sheet1[[#This Row],[Fecha ingreso]],Sheet1[[#This Row],[Fecha último pago]],"M")+1</f>
        <v>4</v>
      </c>
      <c r="K97" s="2">
        <f>Sheet1[[#This Row],[Ingresos mensuales]]*Sheet1[[#This Row],[Meses contratados]]</f>
        <v>102.24</v>
      </c>
      <c r="L97" t="s">
        <v>1814</v>
      </c>
      <c r="M97">
        <v>24</v>
      </c>
      <c r="N97" t="s">
        <v>1822</v>
      </c>
      <c r="O97" t="s">
        <v>1825</v>
      </c>
      <c r="P97" t="s">
        <v>1829</v>
      </c>
      <c r="Q97" cm="1">
        <f t="array" ref="Q97">_xlfn.IFS(P97="2 Years", 24,P97="1 Year",12, P97="6 Months",6, P97="1 Month",1)</f>
        <v>1</v>
      </c>
      <c r="R97" t="str" cm="1">
        <f t="array" ref="R97">_xlfn.IFS(Q97=1,"Mensual",Q97=6,"Semestral",Q97=12,"Anual",Q97=24,"Bienal")</f>
        <v>Mensual</v>
      </c>
      <c r="S97">
        <f>IFERROR(VLOOKUP(Sheet1[[#This Row],[ID usuario]],A98:$A$907,1,FALSE),0)</f>
        <v>0</v>
      </c>
    </row>
    <row r="98" spans="1:19" x14ac:dyDescent="0.25">
      <c r="A98" t="s">
        <v>96</v>
      </c>
      <c r="B98" t="s">
        <v>1001</v>
      </c>
      <c r="C98" t="s">
        <v>1812</v>
      </c>
      <c r="D98">
        <v>92.66</v>
      </c>
      <c r="E98" s="1">
        <v>44683</v>
      </c>
      <c r="F98" s="1" t="str">
        <f>TEXT(Sheet1[[#This Row],[Fecha ingreso]],"mmmm")</f>
        <v>mayo</v>
      </c>
      <c r="G98" s="2">
        <f>YEAR(Sheet1[[#This Row],[Fecha ingreso]])</f>
        <v>2022</v>
      </c>
      <c r="H98" s="1" t="str">
        <f>TEXT(Sheet1[[#This Row],[Fecha ingreso]],"dddd")</f>
        <v>lunes</v>
      </c>
      <c r="I98" s="1">
        <v>44917</v>
      </c>
      <c r="J98" s="2">
        <f>DATEDIF(Sheet1[[#This Row],[Fecha ingreso]],Sheet1[[#This Row],[Fecha último pago]],"M")+1</f>
        <v>8</v>
      </c>
      <c r="K98" s="2">
        <f>Sheet1[[#This Row],[Ingresos mensuales]]*Sheet1[[#This Row],[Meses contratados]]</f>
        <v>741.28</v>
      </c>
      <c r="L98" t="s">
        <v>1816</v>
      </c>
      <c r="M98">
        <v>48</v>
      </c>
      <c r="N98" t="s">
        <v>1821</v>
      </c>
      <c r="O98" t="s">
        <v>1823</v>
      </c>
      <c r="P98" t="s">
        <v>1826</v>
      </c>
      <c r="Q98" cm="1">
        <f t="array" ref="Q98">_xlfn.IFS(P98="2 Years", 24,P98="1 Year",12, P98="6 Months",6, P98="1 Month",1)</f>
        <v>24</v>
      </c>
      <c r="R98" t="str" cm="1">
        <f t="array" ref="R98">_xlfn.IFS(Q98=1,"Mensual",Q98=6,"Semestral",Q98=12,"Anual",Q98=24,"Bienal")</f>
        <v>Bienal</v>
      </c>
      <c r="S98">
        <f>IFERROR(VLOOKUP(Sheet1[[#This Row],[ID usuario]],A99:$A$907,1,FALSE),0)</f>
        <v>0</v>
      </c>
    </row>
    <row r="99" spans="1:19" x14ac:dyDescent="0.25">
      <c r="A99" t="s">
        <v>97</v>
      </c>
      <c r="B99" t="s">
        <v>1002</v>
      </c>
      <c r="C99" t="s">
        <v>1812</v>
      </c>
      <c r="D99">
        <v>32.94</v>
      </c>
      <c r="E99" s="1">
        <v>45014</v>
      </c>
      <c r="F99" s="1" t="str">
        <f>TEXT(Sheet1[[#This Row],[Fecha ingreso]],"mmmm")</f>
        <v>marzo</v>
      </c>
      <c r="G99" s="2">
        <f>YEAR(Sheet1[[#This Row],[Fecha ingreso]])</f>
        <v>2023</v>
      </c>
      <c r="H99" s="1" t="str">
        <f>TEXT(Sheet1[[#This Row],[Fecha ingreso]],"dddd")</f>
        <v>miércoles</v>
      </c>
      <c r="I99" s="1">
        <v>45047</v>
      </c>
      <c r="J99" s="2">
        <f>DATEDIF(Sheet1[[#This Row],[Fecha ingreso]],Sheet1[[#This Row],[Fecha último pago]],"M")+1</f>
        <v>2</v>
      </c>
      <c r="K99" s="2">
        <f>Sheet1[[#This Row],[Ingresos mensuales]]*Sheet1[[#This Row],[Meses contratados]]</f>
        <v>65.88</v>
      </c>
      <c r="L99" t="s">
        <v>1816</v>
      </c>
      <c r="M99">
        <v>64</v>
      </c>
      <c r="N99" t="s">
        <v>1821</v>
      </c>
      <c r="O99" t="s">
        <v>1824</v>
      </c>
      <c r="P99" t="s">
        <v>1829</v>
      </c>
      <c r="Q99" cm="1">
        <f t="array" ref="Q99">_xlfn.IFS(P99="2 Years", 24,P99="1 Year",12, P99="6 Months",6, P99="1 Month",1)</f>
        <v>1</v>
      </c>
      <c r="R99" t="str" cm="1">
        <f t="array" ref="R99">_xlfn.IFS(Q99=1,"Mensual",Q99=6,"Semestral",Q99=12,"Anual",Q99=24,"Bienal")</f>
        <v>Mensual</v>
      </c>
      <c r="S99">
        <f>IFERROR(VLOOKUP(Sheet1[[#This Row],[ID usuario]],A100:$A$907,1,FALSE),0)</f>
        <v>0</v>
      </c>
    </row>
    <row r="100" spans="1:19" x14ac:dyDescent="0.25">
      <c r="A100" t="s">
        <v>98</v>
      </c>
      <c r="B100" t="s">
        <v>1003</v>
      </c>
      <c r="C100" t="s">
        <v>1811</v>
      </c>
      <c r="D100">
        <v>48.04</v>
      </c>
      <c r="E100" s="1">
        <v>44703</v>
      </c>
      <c r="F100" s="1" t="str">
        <f>TEXT(Sheet1[[#This Row],[Fecha ingreso]],"mmmm")</f>
        <v>mayo</v>
      </c>
      <c r="G100" s="2">
        <f>YEAR(Sheet1[[#This Row],[Fecha ingreso]])</f>
        <v>2022</v>
      </c>
      <c r="H100" s="1" t="str">
        <f>TEXT(Sheet1[[#This Row],[Fecha ingreso]],"dddd")</f>
        <v>domingo</v>
      </c>
      <c r="I100" s="1">
        <v>45046</v>
      </c>
      <c r="J100" s="2">
        <f>DATEDIF(Sheet1[[#This Row],[Fecha ingreso]],Sheet1[[#This Row],[Fecha último pago]],"M")+1</f>
        <v>12</v>
      </c>
      <c r="K100" s="2">
        <f>Sheet1[[#This Row],[Ingresos mensuales]]*Sheet1[[#This Row],[Meses contratados]]</f>
        <v>576.48</v>
      </c>
      <c r="L100" t="s">
        <v>1818</v>
      </c>
      <c r="M100">
        <v>44</v>
      </c>
      <c r="N100" t="s">
        <v>1821</v>
      </c>
      <c r="O100" t="s">
        <v>1825</v>
      </c>
      <c r="P100" t="s">
        <v>1827</v>
      </c>
      <c r="Q100" cm="1">
        <f t="array" ref="Q100">_xlfn.IFS(P100="2 Years", 24,P100="1 Year",12, P100="6 Months",6, P100="1 Month",1)</f>
        <v>12</v>
      </c>
      <c r="R100" t="str" cm="1">
        <f t="array" ref="R100">_xlfn.IFS(Q100=1,"Mensual",Q100=6,"Semestral",Q100=12,"Anual",Q100=24,"Bienal")</f>
        <v>Anual</v>
      </c>
      <c r="S100">
        <f>IFERROR(VLOOKUP(Sheet1[[#This Row],[ID usuario]],A101:$A$907,1,FALSE),0)</f>
        <v>0</v>
      </c>
    </row>
    <row r="101" spans="1:19" x14ac:dyDescent="0.25">
      <c r="A101" t="s">
        <v>99</v>
      </c>
      <c r="B101" t="s">
        <v>1004</v>
      </c>
      <c r="C101" t="s">
        <v>1812</v>
      </c>
      <c r="D101">
        <v>51.93</v>
      </c>
      <c r="E101" s="1">
        <v>45129</v>
      </c>
      <c r="F101" s="1" t="str">
        <f>TEXT(Sheet1[[#This Row],[Fecha ingreso]],"mmmm")</f>
        <v>julio</v>
      </c>
      <c r="G101" s="2">
        <f>YEAR(Sheet1[[#This Row],[Fecha ingreso]])</f>
        <v>2023</v>
      </c>
      <c r="H101" s="1" t="str">
        <f>TEXT(Sheet1[[#This Row],[Fecha ingreso]],"dddd")</f>
        <v>sábado</v>
      </c>
      <c r="I101" s="1">
        <v>45235</v>
      </c>
      <c r="J101" s="2">
        <f>DATEDIF(Sheet1[[#This Row],[Fecha ingreso]],Sheet1[[#This Row],[Fecha último pago]],"M")+1</f>
        <v>4</v>
      </c>
      <c r="K101" s="2">
        <f>Sheet1[[#This Row],[Ingresos mensuales]]*Sheet1[[#This Row],[Meses contratados]]</f>
        <v>207.72</v>
      </c>
      <c r="L101" t="s">
        <v>1815</v>
      </c>
      <c r="M101">
        <v>56</v>
      </c>
      <c r="N101" t="s">
        <v>1821</v>
      </c>
      <c r="O101" t="s">
        <v>1823</v>
      </c>
      <c r="P101" t="s">
        <v>1826</v>
      </c>
      <c r="Q101" cm="1">
        <f t="array" ref="Q101">_xlfn.IFS(P101="2 Years", 24,P101="1 Year",12, P101="6 Months",6, P101="1 Month",1)</f>
        <v>24</v>
      </c>
      <c r="R101" t="str" cm="1">
        <f t="array" ref="R101">_xlfn.IFS(Q101=1,"Mensual",Q101=6,"Semestral",Q101=12,"Anual",Q101=24,"Bienal")</f>
        <v>Bienal</v>
      </c>
      <c r="S101">
        <f>IFERROR(VLOOKUP(Sheet1[[#This Row],[ID usuario]],A102:$A$907,1,FALSE),0)</f>
        <v>0</v>
      </c>
    </row>
    <row r="102" spans="1:19" x14ac:dyDescent="0.25">
      <c r="A102" t="s">
        <v>100</v>
      </c>
      <c r="B102" t="s">
        <v>1005</v>
      </c>
      <c r="C102" t="s">
        <v>1812</v>
      </c>
      <c r="D102">
        <v>78.930000000000007</v>
      </c>
      <c r="E102" s="1">
        <v>44940</v>
      </c>
      <c r="F102" s="1" t="str">
        <f>TEXT(Sheet1[[#This Row],[Fecha ingreso]],"mmmm")</f>
        <v>enero</v>
      </c>
      <c r="G102" s="2">
        <f>YEAR(Sheet1[[#This Row],[Fecha ingreso]])</f>
        <v>2023</v>
      </c>
      <c r="H102" s="1" t="str">
        <f>TEXT(Sheet1[[#This Row],[Fecha ingreso]],"dddd")</f>
        <v>sábado</v>
      </c>
      <c r="I102" s="1">
        <v>45141</v>
      </c>
      <c r="J102" s="2">
        <f>DATEDIF(Sheet1[[#This Row],[Fecha ingreso]],Sheet1[[#This Row],[Fecha último pago]],"M")+1</f>
        <v>7</v>
      </c>
      <c r="K102" s="2">
        <f>Sheet1[[#This Row],[Ingresos mensuales]]*Sheet1[[#This Row],[Meses contratados]]</f>
        <v>552.51</v>
      </c>
      <c r="L102" t="s">
        <v>1816</v>
      </c>
      <c r="M102">
        <v>54</v>
      </c>
      <c r="N102" t="s">
        <v>1820</v>
      </c>
      <c r="O102" t="s">
        <v>1824</v>
      </c>
      <c r="P102" t="s">
        <v>1827</v>
      </c>
      <c r="Q102" cm="1">
        <f t="array" ref="Q102">_xlfn.IFS(P102="2 Years", 24,P102="1 Year",12, P102="6 Months",6, P102="1 Month",1)</f>
        <v>12</v>
      </c>
      <c r="R102" t="str" cm="1">
        <f t="array" ref="R102">_xlfn.IFS(Q102=1,"Mensual",Q102=6,"Semestral",Q102=12,"Anual",Q102=24,"Bienal")</f>
        <v>Anual</v>
      </c>
      <c r="S102">
        <f>IFERROR(VLOOKUP(Sheet1[[#This Row],[ID usuario]],A103:$A$907,1,FALSE),0)</f>
        <v>0</v>
      </c>
    </row>
    <row r="103" spans="1:19" x14ac:dyDescent="0.25">
      <c r="A103" t="s">
        <v>101</v>
      </c>
      <c r="B103" t="s">
        <v>1006</v>
      </c>
      <c r="C103" t="s">
        <v>1812</v>
      </c>
      <c r="D103">
        <v>85.2</v>
      </c>
      <c r="E103" s="1">
        <v>44827</v>
      </c>
      <c r="F103" s="1" t="str">
        <f>TEXT(Sheet1[[#This Row],[Fecha ingreso]],"mmmm")</f>
        <v>septiembre</v>
      </c>
      <c r="G103" s="2">
        <f>YEAR(Sheet1[[#This Row],[Fecha ingreso]])</f>
        <v>2022</v>
      </c>
      <c r="H103" s="1" t="str">
        <f>TEXT(Sheet1[[#This Row],[Fecha ingreso]],"dddd")</f>
        <v>viernes</v>
      </c>
      <c r="I103" s="1">
        <v>44847</v>
      </c>
      <c r="J103" s="2">
        <f>DATEDIF(Sheet1[[#This Row],[Fecha ingreso]],Sheet1[[#This Row],[Fecha último pago]],"M")+1</f>
        <v>1</v>
      </c>
      <c r="K103" s="2">
        <f>Sheet1[[#This Row],[Ingresos mensuales]]*Sheet1[[#This Row],[Meses contratados]]</f>
        <v>85.2</v>
      </c>
      <c r="L103" t="s">
        <v>1814</v>
      </c>
      <c r="M103">
        <v>35</v>
      </c>
      <c r="N103" t="s">
        <v>1822</v>
      </c>
      <c r="O103" t="s">
        <v>1824</v>
      </c>
      <c r="P103" t="s">
        <v>1829</v>
      </c>
      <c r="Q103" cm="1">
        <f t="array" ref="Q103">_xlfn.IFS(P103="2 Years", 24,P103="1 Year",12, P103="6 Months",6, P103="1 Month",1)</f>
        <v>1</v>
      </c>
      <c r="R103" t="str" cm="1">
        <f t="array" ref="R103">_xlfn.IFS(Q103=1,"Mensual",Q103=6,"Semestral",Q103=12,"Anual",Q103=24,"Bienal")</f>
        <v>Mensual</v>
      </c>
      <c r="S103">
        <f>IFERROR(VLOOKUP(Sheet1[[#This Row],[ID usuario]],A104:$A$907,1,FALSE),0)</f>
        <v>0</v>
      </c>
    </row>
    <row r="104" spans="1:19" x14ac:dyDescent="0.25">
      <c r="A104" t="s">
        <v>102</v>
      </c>
      <c r="B104" t="s">
        <v>1007</v>
      </c>
      <c r="C104" t="s">
        <v>1812</v>
      </c>
      <c r="D104">
        <v>18.21</v>
      </c>
      <c r="E104" s="1">
        <v>44729</v>
      </c>
      <c r="F104" s="1" t="str">
        <f>TEXT(Sheet1[[#This Row],[Fecha ingreso]],"mmmm")</f>
        <v>junio</v>
      </c>
      <c r="G104" s="2">
        <f>YEAR(Sheet1[[#This Row],[Fecha ingreso]])</f>
        <v>2022</v>
      </c>
      <c r="H104" s="1" t="str">
        <f>TEXT(Sheet1[[#This Row],[Fecha ingreso]],"dddd")</f>
        <v>viernes</v>
      </c>
      <c r="I104" s="1">
        <v>44991</v>
      </c>
      <c r="J104" s="2">
        <f>DATEDIF(Sheet1[[#This Row],[Fecha ingreso]],Sheet1[[#This Row],[Fecha último pago]],"M")+1</f>
        <v>9</v>
      </c>
      <c r="K104" s="2">
        <f>Sheet1[[#This Row],[Ingresos mensuales]]*Sheet1[[#This Row],[Meses contratados]]</f>
        <v>163.89000000000001</v>
      </c>
      <c r="L104" t="s">
        <v>1813</v>
      </c>
      <c r="M104">
        <v>66</v>
      </c>
      <c r="N104" t="s">
        <v>1821</v>
      </c>
      <c r="O104" t="s">
        <v>1824</v>
      </c>
      <c r="P104" t="s">
        <v>1828</v>
      </c>
      <c r="Q104" cm="1">
        <f t="array" ref="Q104">_xlfn.IFS(P104="2 Years", 24,P104="1 Year",12, P104="6 Months",6, P104="1 Month",1)</f>
        <v>6</v>
      </c>
      <c r="R104" t="str" cm="1">
        <f t="array" ref="R104">_xlfn.IFS(Q104=1,"Mensual",Q104=6,"Semestral",Q104=12,"Anual",Q104=24,"Bienal")</f>
        <v>Semestral</v>
      </c>
      <c r="S104">
        <f>IFERROR(VLOOKUP(Sheet1[[#This Row],[ID usuario]],A105:$A$907,1,FALSE),0)</f>
        <v>0</v>
      </c>
    </row>
    <row r="105" spans="1:19" x14ac:dyDescent="0.25">
      <c r="A105" t="s">
        <v>103</v>
      </c>
      <c r="B105" t="s">
        <v>1008</v>
      </c>
      <c r="C105" t="s">
        <v>1812</v>
      </c>
      <c r="D105">
        <v>45.56</v>
      </c>
      <c r="E105" s="1">
        <v>45034</v>
      </c>
      <c r="F105" s="1" t="str">
        <f>TEXT(Sheet1[[#This Row],[Fecha ingreso]],"mmmm")</f>
        <v>abril</v>
      </c>
      <c r="G105" s="2">
        <f>YEAR(Sheet1[[#This Row],[Fecha ingreso]])</f>
        <v>2023</v>
      </c>
      <c r="H105" s="1" t="str">
        <f>TEXT(Sheet1[[#This Row],[Fecha ingreso]],"dddd")</f>
        <v>martes</v>
      </c>
      <c r="I105" s="1">
        <v>45295</v>
      </c>
      <c r="J105" s="2">
        <f>DATEDIF(Sheet1[[#This Row],[Fecha ingreso]],Sheet1[[#This Row],[Fecha último pago]],"M")+1</f>
        <v>9</v>
      </c>
      <c r="K105" s="2">
        <f>Sheet1[[#This Row],[Ingresos mensuales]]*Sheet1[[#This Row],[Meses contratados]]</f>
        <v>410.04</v>
      </c>
      <c r="L105" t="s">
        <v>1815</v>
      </c>
      <c r="M105">
        <v>30</v>
      </c>
      <c r="N105" t="s">
        <v>1821</v>
      </c>
      <c r="O105" t="s">
        <v>1824</v>
      </c>
      <c r="P105" t="s">
        <v>1828</v>
      </c>
      <c r="Q105" cm="1">
        <f t="array" ref="Q105">_xlfn.IFS(P105="2 Years", 24,P105="1 Year",12, P105="6 Months",6, P105="1 Month",1)</f>
        <v>6</v>
      </c>
      <c r="R105" t="str" cm="1">
        <f t="array" ref="R105">_xlfn.IFS(Q105=1,"Mensual",Q105=6,"Semestral",Q105=12,"Anual",Q105=24,"Bienal")</f>
        <v>Semestral</v>
      </c>
      <c r="S105">
        <f>IFERROR(VLOOKUP(Sheet1[[#This Row],[ID usuario]],A106:$A$907,1,FALSE),0)</f>
        <v>0</v>
      </c>
    </row>
    <row r="106" spans="1:19" x14ac:dyDescent="0.25">
      <c r="A106" t="s">
        <v>104</v>
      </c>
      <c r="B106" t="s">
        <v>1009</v>
      </c>
      <c r="C106" t="s">
        <v>1810</v>
      </c>
      <c r="D106">
        <v>85.07</v>
      </c>
      <c r="E106" s="1">
        <v>44384</v>
      </c>
      <c r="F106" s="1" t="str">
        <f>TEXT(Sheet1[[#This Row],[Fecha ingreso]],"mmmm")</f>
        <v>julio</v>
      </c>
      <c r="G106" s="2">
        <f>YEAR(Sheet1[[#This Row],[Fecha ingreso]])</f>
        <v>2021</v>
      </c>
      <c r="H106" s="1" t="str">
        <f>TEXT(Sheet1[[#This Row],[Fecha ingreso]],"dddd")</f>
        <v>miércoles</v>
      </c>
      <c r="I106" s="1">
        <v>44887</v>
      </c>
      <c r="J106" s="2">
        <f>DATEDIF(Sheet1[[#This Row],[Fecha ingreso]],Sheet1[[#This Row],[Fecha último pago]],"M")+1</f>
        <v>17</v>
      </c>
      <c r="K106" s="2">
        <f>Sheet1[[#This Row],[Ingresos mensuales]]*Sheet1[[#This Row],[Meses contratados]]</f>
        <v>1446.1899999999998</v>
      </c>
      <c r="L106" t="s">
        <v>1813</v>
      </c>
      <c r="M106">
        <v>65</v>
      </c>
      <c r="N106" t="s">
        <v>1822</v>
      </c>
      <c r="O106" t="s">
        <v>1825</v>
      </c>
      <c r="P106" t="s">
        <v>1827</v>
      </c>
      <c r="Q106" cm="1">
        <f t="array" ref="Q106">_xlfn.IFS(P106="2 Years", 24,P106="1 Year",12, P106="6 Months",6, P106="1 Month",1)</f>
        <v>12</v>
      </c>
      <c r="R106" t="str" cm="1">
        <f t="array" ref="R106">_xlfn.IFS(Q106=1,"Mensual",Q106=6,"Semestral",Q106=12,"Anual",Q106=24,"Bienal")</f>
        <v>Anual</v>
      </c>
      <c r="S106">
        <f>IFERROR(VLOOKUP(Sheet1[[#This Row],[ID usuario]],A107:$A$907,1,FALSE),0)</f>
        <v>0</v>
      </c>
    </row>
    <row r="107" spans="1:19" x14ac:dyDescent="0.25">
      <c r="A107" t="s">
        <v>105</v>
      </c>
      <c r="B107" t="s">
        <v>1010</v>
      </c>
      <c r="C107" t="s">
        <v>1811</v>
      </c>
      <c r="D107">
        <v>82.71</v>
      </c>
      <c r="E107" s="1">
        <v>44797</v>
      </c>
      <c r="F107" s="1" t="str">
        <f>TEXT(Sheet1[[#This Row],[Fecha ingreso]],"mmmm")</f>
        <v>agosto</v>
      </c>
      <c r="G107" s="2">
        <f>YEAR(Sheet1[[#This Row],[Fecha ingreso]])</f>
        <v>2022</v>
      </c>
      <c r="H107" s="1" t="str">
        <f>TEXT(Sheet1[[#This Row],[Fecha ingreso]],"dddd")</f>
        <v>miércoles</v>
      </c>
      <c r="I107" s="1">
        <v>45093</v>
      </c>
      <c r="J107" s="2">
        <f>DATEDIF(Sheet1[[#This Row],[Fecha ingreso]],Sheet1[[#This Row],[Fecha último pago]],"M")+1</f>
        <v>10</v>
      </c>
      <c r="K107" s="2">
        <f>Sheet1[[#This Row],[Ingresos mensuales]]*Sheet1[[#This Row],[Meses contratados]]</f>
        <v>827.09999999999991</v>
      </c>
      <c r="L107" t="s">
        <v>1815</v>
      </c>
      <c r="M107">
        <v>57</v>
      </c>
      <c r="N107" t="s">
        <v>1820</v>
      </c>
      <c r="O107" t="s">
        <v>1823</v>
      </c>
      <c r="P107" t="s">
        <v>1827</v>
      </c>
      <c r="Q107" cm="1">
        <f t="array" ref="Q107">_xlfn.IFS(P107="2 Years", 24,P107="1 Year",12, P107="6 Months",6, P107="1 Month",1)</f>
        <v>12</v>
      </c>
      <c r="R107" t="str" cm="1">
        <f t="array" ref="R107">_xlfn.IFS(Q107=1,"Mensual",Q107=6,"Semestral",Q107=12,"Anual",Q107=24,"Bienal")</f>
        <v>Anual</v>
      </c>
      <c r="S107">
        <f>IFERROR(VLOOKUP(Sheet1[[#This Row],[ID usuario]],A108:$A$907,1,FALSE),0)</f>
        <v>0</v>
      </c>
    </row>
    <row r="108" spans="1:19" x14ac:dyDescent="0.25">
      <c r="A108" t="s">
        <v>106</v>
      </c>
      <c r="B108" t="s">
        <v>1011</v>
      </c>
      <c r="C108" t="s">
        <v>1812</v>
      </c>
      <c r="D108">
        <v>14.73</v>
      </c>
      <c r="E108" s="1">
        <v>44967</v>
      </c>
      <c r="F108" s="1" t="str">
        <f>TEXT(Sheet1[[#This Row],[Fecha ingreso]],"mmmm")</f>
        <v>febrero</v>
      </c>
      <c r="G108" s="2">
        <f>YEAR(Sheet1[[#This Row],[Fecha ingreso]])</f>
        <v>2023</v>
      </c>
      <c r="H108" s="1" t="str">
        <f>TEXT(Sheet1[[#This Row],[Fecha ingreso]],"dddd")</f>
        <v>viernes</v>
      </c>
      <c r="I108" s="1">
        <v>45208</v>
      </c>
      <c r="J108" s="2">
        <f>DATEDIF(Sheet1[[#This Row],[Fecha ingreso]],Sheet1[[#This Row],[Fecha último pago]],"M")+1</f>
        <v>8</v>
      </c>
      <c r="K108" s="2">
        <f>Sheet1[[#This Row],[Ingresos mensuales]]*Sheet1[[#This Row],[Meses contratados]]</f>
        <v>117.84</v>
      </c>
      <c r="L108" t="s">
        <v>1815</v>
      </c>
      <c r="M108">
        <v>66</v>
      </c>
      <c r="N108" t="s">
        <v>1821</v>
      </c>
      <c r="O108" t="s">
        <v>1824</v>
      </c>
      <c r="P108" t="s">
        <v>1828</v>
      </c>
      <c r="Q108" cm="1">
        <f t="array" ref="Q108">_xlfn.IFS(P108="2 Years", 24,P108="1 Year",12, P108="6 Months",6, P108="1 Month",1)</f>
        <v>6</v>
      </c>
      <c r="R108" t="str" cm="1">
        <f t="array" ref="R108">_xlfn.IFS(Q108=1,"Mensual",Q108=6,"Semestral",Q108=12,"Anual",Q108=24,"Bienal")</f>
        <v>Semestral</v>
      </c>
      <c r="S108">
        <f>IFERROR(VLOOKUP(Sheet1[[#This Row],[ID usuario]],A109:$A$907,1,FALSE),0)</f>
        <v>0</v>
      </c>
    </row>
    <row r="109" spans="1:19" x14ac:dyDescent="0.25">
      <c r="A109" t="s">
        <v>107</v>
      </c>
      <c r="B109" t="s">
        <v>1012</v>
      </c>
      <c r="C109" t="s">
        <v>1812</v>
      </c>
      <c r="D109">
        <v>19.86</v>
      </c>
      <c r="E109" s="1">
        <v>44638</v>
      </c>
      <c r="F109" s="1" t="str">
        <f>TEXT(Sheet1[[#This Row],[Fecha ingreso]],"mmmm")</f>
        <v>marzo</v>
      </c>
      <c r="G109" s="2">
        <f>YEAR(Sheet1[[#This Row],[Fecha ingreso]])</f>
        <v>2022</v>
      </c>
      <c r="H109" s="1" t="str">
        <f>TEXT(Sheet1[[#This Row],[Fecha ingreso]],"dddd")</f>
        <v>viernes</v>
      </c>
      <c r="I109" s="1">
        <v>45119</v>
      </c>
      <c r="J109" s="2">
        <f>DATEDIF(Sheet1[[#This Row],[Fecha ingreso]],Sheet1[[#This Row],[Fecha último pago]],"M")+1</f>
        <v>16</v>
      </c>
      <c r="K109" s="2">
        <f>Sheet1[[#This Row],[Ingresos mensuales]]*Sheet1[[#This Row],[Meses contratados]]</f>
        <v>317.76</v>
      </c>
      <c r="L109" t="s">
        <v>1817</v>
      </c>
      <c r="M109">
        <v>66</v>
      </c>
      <c r="N109" t="s">
        <v>1821</v>
      </c>
      <c r="O109" t="s">
        <v>1824</v>
      </c>
      <c r="P109" t="s">
        <v>1827</v>
      </c>
      <c r="Q109" cm="1">
        <f t="array" ref="Q109">_xlfn.IFS(P109="2 Years", 24,P109="1 Year",12, P109="6 Months",6, P109="1 Month",1)</f>
        <v>12</v>
      </c>
      <c r="R109" t="str" cm="1">
        <f t="array" ref="R109">_xlfn.IFS(Q109=1,"Mensual",Q109=6,"Semestral",Q109=12,"Anual",Q109=24,"Bienal")</f>
        <v>Anual</v>
      </c>
      <c r="S109">
        <f>IFERROR(VLOOKUP(Sheet1[[#This Row],[ID usuario]],A110:$A$907,1,FALSE),0)</f>
        <v>0</v>
      </c>
    </row>
    <row r="110" spans="1:19" x14ac:dyDescent="0.25">
      <c r="A110" t="s">
        <v>108</v>
      </c>
      <c r="B110" t="s">
        <v>1013</v>
      </c>
      <c r="C110" t="s">
        <v>1812</v>
      </c>
      <c r="D110">
        <v>12.16</v>
      </c>
      <c r="E110" s="1">
        <v>44564</v>
      </c>
      <c r="F110" s="1" t="str">
        <f>TEXT(Sheet1[[#This Row],[Fecha ingreso]],"mmmm")</f>
        <v>enero</v>
      </c>
      <c r="G110" s="2">
        <f>YEAR(Sheet1[[#This Row],[Fecha ingreso]])</f>
        <v>2022</v>
      </c>
      <c r="H110" s="1" t="str">
        <f>TEXT(Sheet1[[#This Row],[Fecha ingreso]],"dddd")</f>
        <v>lunes</v>
      </c>
      <c r="I110" s="1">
        <v>44816</v>
      </c>
      <c r="J110" s="2">
        <f>DATEDIF(Sheet1[[#This Row],[Fecha ingreso]],Sheet1[[#This Row],[Fecha último pago]],"M")+1</f>
        <v>9</v>
      </c>
      <c r="K110" s="2">
        <f>Sheet1[[#This Row],[Ingresos mensuales]]*Sheet1[[#This Row],[Meses contratados]]</f>
        <v>109.44</v>
      </c>
      <c r="L110" t="s">
        <v>1816</v>
      </c>
      <c r="M110">
        <v>18</v>
      </c>
      <c r="N110" t="s">
        <v>1820</v>
      </c>
      <c r="O110" t="s">
        <v>1825</v>
      </c>
      <c r="P110" t="s">
        <v>1826</v>
      </c>
      <c r="Q110" cm="1">
        <f t="array" ref="Q110">_xlfn.IFS(P110="2 Years", 24,P110="1 Year",12, P110="6 Months",6, P110="1 Month",1)</f>
        <v>24</v>
      </c>
      <c r="R110" t="str" cm="1">
        <f t="array" ref="R110">_xlfn.IFS(Q110=1,"Mensual",Q110=6,"Semestral",Q110=12,"Anual",Q110=24,"Bienal")</f>
        <v>Bienal</v>
      </c>
      <c r="S110">
        <f>IFERROR(VLOOKUP(Sheet1[[#This Row],[ID usuario]],A111:$A$907,1,FALSE),0)</f>
        <v>0</v>
      </c>
    </row>
    <row r="111" spans="1:19" x14ac:dyDescent="0.25">
      <c r="A111" t="s">
        <v>109</v>
      </c>
      <c r="B111" t="s">
        <v>1014</v>
      </c>
      <c r="C111" t="s">
        <v>1811</v>
      </c>
      <c r="D111">
        <v>45.34</v>
      </c>
      <c r="E111" s="1">
        <v>45094</v>
      </c>
      <c r="F111" s="1" t="str">
        <f>TEXT(Sheet1[[#This Row],[Fecha ingreso]],"mmmm")</f>
        <v>junio</v>
      </c>
      <c r="G111" s="2">
        <f>YEAR(Sheet1[[#This Row],[Fecha ingreso]])</f>
        <v>2023</v>
      </c>
      <c r="H111" s="1" t="str">
        <f>TEXT(Sheet1[[#This Row],[Fecha ingreso]],"dddd")</f>
        <v>sábado</v>
      </c>
      <c r="I111" s="1">
        <v>45270</v>
      </c>
      <c r="J111" s="2">
        <f>DATEDIF(Sheet1[[#This Row],[Fecha ingreso]],Sheet1[[#This Row],[Fecha último pago]],"M")+1</f>
        <v>6</v>
      </c>
      <c r="K111" s="2">
        <f>Sheet1[[#This Row],[Ingresos mensuales]]*Sheet1[[#This Row],[Meses contratados]]</f>
        <v>272.04000000000002</v>
      </c>
      <c r="L111" t="s">
        <v>1814</v>
      </c>
      <c r="M111">
        <v>56</v>
      </c>
      <c r="N111" t="s">
        <v>1821</v>
      </c>
      <c r="O111" t="s">
        <v>1825</v>
      </c>
      <c r="P111" t="s">
        <v>1829</v>
      </c>
      <c r="Q111" cm="1">
        <f t="array" ref="Q111">_xlfn.IFS(P111="2 Years", 24,P111="1 Year",12, P111="6 Months",6, P111="1 Month",1)</f>
        <v>1</v>
      </c>
      <c r="R111" t="str" cm="1">
        <f t="array" ref="R111">_xlfn.IFS(Q111=1,"Mensual",Q111=6,"Semestral",Q111=12,"Anual",Q111=24,"Bienal")</f>
        <v>Mensual</v>
      </c>
      <c r="S111">
        <f>IFERROR(VLOOKUP(Sheet1[[#This Row],[ID usuario]],A112:$A$907,1,FALSE),0)</f>
        <v>0</v>
      </c>
    </row>
    <row r="112" spans="1:19" x14ac:dyDescent="0.25">
      <c r="A112" t="s">
        <v>110</v>
      </c>
      <c r="B112" t="s">
        <v>1015</v>
      </c>
      <c r="C112" t="s">
        <v>1810</v>
      </c>
      <c r="D112">
        <v>15.22</v>
      </c>
      <c r="E112" s="1">
        <v>44924</v>
      </c>
      <c r="F112" s="1" t="str">
        <f>TEXT(Sheet1[[#This Row],[Fecha ingreso]],"mmmm")</f>
        <v>diciembre</v>
      </c>
      <c r="G112" s="2">
        <f>YEAR(Sheet1[[#This Row],[Fecha ingreso]])</f>
        <v>2022</v>
      </c>
      <c r="H112" s="1" t="str">
        <f>TEXT(Sheet1[[#This Row],[Fecha ingreso]],"dddd")</f>
        <v>jueves</v>
      </c>
      <c r="I112" s="1">
        <v>45103</v>
      </c>
      <c r="J112" s="2">
        <f>DATEDIF(Sheet1[[#This Row],[Fecha ingreso]],Sheet1[[#This Row],[Fecha último pago]],"M")+1</f>
        <v>6</v>
      </c>
      <c r="K112" s="2">
        <f>Sheet1[[#This Row],[Ingresos mensuales]]*Sheet1[[#This Row],[Meses contratados]]</f>
        <v>91.320000000000007</v>
      </c>
      <c r="L112" t="s">
        <v>1813</v>
      </c>
      <c r="M112">
        <v>48</v>
      </c>
      <c r="N112" t="s">
        <v>1821</v>
      </c>
      <c r="O112" t="s">
        <v>1824</v>
      </c>
      <c r="P112" t="s">
        <v>1826</v>
      </c>
      <c r="Q112" cm="1">
        <f t="array" ref="Q112">_xlfn.IFS(P112="2 Years", 24,P112="1 Year",12, P112="6 Months",6, P112="1 Month",1)</f>
        <v>24</v>
      </c>
      <c r="R112" t="str" cm="1">
        <f t="array" ref="R112">_xlfn.IFS(Q112=1,"Mensual",Q112=6,"Semestral",Q112=12,"Anual",Q112=24,"Bienal")</f>
        <v>Bienal</v>
      </c>
      <c r="S112">
        <f>IFERROR(VLOOKUP(Sheet1[[#This Row],[ID usuario]],A113:$A$907,1,FALSE),0)</f>
        <v>0</v>
      </c>
    </row>
    <row r="113" spans="1:19" x14ac:dyDescent="0.25">
      <c r="A113" t="s">
        <v>111</v>
      </c>
      <c r="B113" t="s">
        <v>1016</v>
      </c>
      <c r="C113" t="s">
        <v>1812</v>
      </c>
      <c r="D113">
        <v>58.98</v>
      </c>
      <c r="E113" s="1">
        <v>44696</v>
      </c>
      <c r="F113" s="1" t="str">
        <f>TEXT(Sheet1[[#This Row],[Fecha ingreso]],"mmmm")</f>
        <v>mayo</v>
      </c>
      <c r="G113" s="2">
        <f>YEAR(Sheet1[[#This Row],[Fecha ingreso]])</f>
        <v>2022</v>
      </c>
      <c r="H113" s="1" t="str">
        <f>TEXT(Sheet1[[#This Row],[Fecha ingreso]],"dddd")</f>
        <v>domingo</v>
      </c>
      <c r="I113" s="1">
        <v>44829</v>
      </c>
      <c r="J113" s="2">
        <f>DATEDIF(Sheet1[[#This Row],[Fecha ingreso]],Sheet1[[#This Row],[Fecha último pago]],"M")+1</f>
        <v>5</v>
      </c>
      <c r="K113" s="2">
        <f>Sheet1[[#This Row],[Ingresos mensuales]]*Sheet1[[#This Row],[Meses contratados]]</f>
        <v>294.89999999999998</v>
      </c>
      <c r="L113" t="s">
        <v>1816</v>
      </c>
      <c r="M113">
        <v>59</v>
      </c>
      <c r="N113" t="s">
        <v>1821</v>
      </c>
      <c r="O113" t="s">
        <v>1824</v>
      </c>
      <c r="P113" t="s">
        <v>1829</v>
      </c>
      <c r="Q113" cm="1">
        <f t="array" ref="Q113">_xlfn.IFS(P113="2 Years", 24,P113="1 Year",12, P113="6 Months",6, P113="1 Month",1)</f>
        <v>1</v>
      </c>
      <c r="R113" t="str" cm="1">
        <f t="array" ref="R113">_xlfn.IFS(Q113=1,"Mensual",Q113=6,"Semestral",Q113=12,"Anual",Q113=24,"Bienal")</f>
        <v>Mensual</v>
      </c>
      <c r="S113">
        <f>IFERROR(VLOOKUP(Sheet1[[#This Row],[ID usuario]],A114:$A$907,1,FALSE),0)</f>
        <v>0</v>
      </c>
    </row>
    <row r="114" spans="1:19" x14ac:dyDescent="0.25">
      <c r="A114" t="s">
        <v>112</v>
      </c>
      <c r="B114" t="s">
        <v>1017</v>
      </c>
      <c r="C114" t="s">
        <v>1812</v>
      </c>
      <c r="D114">
        <v>28.42</v>
      </c>
      <c r="E114" s="1">
        <v>45035</v>
      </c>
      <c r="F114" s="1" t="str">
        <f>TEXT(Sheet1[[#This Row],[Fecha ingreso]],"mmmm")</f>
        <v>abril</v>
      </c>
      <c r="G114" s="2">
        <f>YEAR(Sheet1[[#This Row],[Fecha ingreso]])</f>
        <v>2023</v>
      </c>
      <c r="H114" s="1" t="str">
        <f>TEXT(Sheet1[[#This Row],[Fecha ingreso]],"dddd")</f>
        <v>miércoles</v>
      </c>
      <c r="I114" s="1">
        <v>45142</v>
      </c>
      <c r="J114" s="2">
        <f>DATEDIF(Sheet1[[#This Row],[Fecha ingreso]],Sheet1[[#This Row],[Fecha último pago]],"M")+1</f>
        <v>4</v>
      </c>
      <c r="K114" s="2">
        <f>Sheet1[[#This Row],[Ingresos mensuales]]*Sheet1[[#This Row],[Meses contratados]]</f>
        <v>113.68</v>
      </c>
      <c r="L114" t="s">
        <v>1815</v>
      </c>
      <c r="M114">
        <v>65</v>
      </c>
      <c r="N114" t="s">
        <v>1822</v>
      </c>
      <c r="O114" t="s">
        <v>1823</v>
      </c>
      <c r="P114" t="s">
        <v>1827</v>
      </c>
      <c r="Q114" cm="1">
        <f t="array" ref="Q114">_xlfn.IFS(P114="2 Years", 24,P114="1 Year",12, P114="6 Months",6, P114="1 Month",1)</f>
        <v>12</v>
      </c>
      <c r="R114" t="str" cm="1">
        <f t="array" ref="R114">_xlfn.IFS(Q114=1,"Mensual",Q114=6,"Semestral",Q114=12,"Anual",Q114=24,"Bienal")</f>
        <v>Anual</v>
      </c>
      <c r="S114">
        <f>IFERROR(VLOOKUP(Sheet1[[#This Row],[ID usuario]],A115:$A$907,1,FALSE),0)</f>
        <v>0</v>
      </c>
    </row>
    <row r="115" spans="1:19" x14ac:dyDescent="0.25">
      <c r="A115" t="s">
        <v>113</v>
      </c>
      <c r="B115" t="s">
        <v>1018</v>
      </c>
      <c r="C115" t="s">
        <v>1810</v>
      </c>
      <c r="D115">
        <v>61.66</v>
      </c>
      <c r="E115" s="1">
        <v>44578</v>
      </c>
      <c r="F115" s="1" t="str">
        <f>TEXT(Sheet1[[#This Row],[Fecha ingreso]],"mmmm")</f>
        <v>enero</v>
      </c>
      <c r="G115" s="2">
        <f>YEAR(Sheet1[[#This Row],[Fecha ingreso]])</f>
        <v>2022</v>
      </c>
      <c r="H115" s="1" t="str">
        <f>TEXT(Sheet1[[#This Row],[Fecha ingreso]],"dddd")</f>
        <v>lunes</v>
      </c>
      <c r="I115" s="1">
        <v>45088</v>
      </c>
      <c r="J115" s="2">
        <f>DATEDIF(Sheet1[[#This Row],[Fecha ingreso]],Sheet1[[#This Row],[Fecha último pago]],"M")+1</f>
        <v>17</v>
      </c>
      <c r="K115" s="2">
        <f>Sheet1[[#This Row],[Ingresos mensuales]]*Sheet1[[#This Row],[Meses contratados]]</f>
        <v>1048.22</v>
      </c>
      <c r="L115" t="s">
        <v>1814</v>
      </c>
      <c r="M115">
        <v>54</v>
      </c>
      <c r="N115" t="s">
        <v>1821</v>
      </c>
      <c r="O115" t="s">
        <v>1823</v>
      </c>
      <c r="P115" t="s">
        <v>1828</v>
      </c>
      <c r="Q115" cm="1">
        <f t="array" ref="Q115">_xlfn.IFS(P115="2 Years", 24,P115="1 Year",12, P115="6 Months",6, P115="1 Month",1)</f>
        <v>6</v>
      </c>
      <c r="R115" t="str" cm="1">
        <f t="array" ref="R115">_xlfn.IFS(Q115=1,"Mensual",Q115=6,"Semestral",Q115=12,"Anual",Q115=24,"Bienal")</f>
        <v>Semestral</v>
      </c>
      <c r="S115">
        <f>IFERROR(VLOOKUP(Sheet1[[#This Row],[ID usuario]],A116:$A$907,1,FALSE),0)</f>
        <v>0</v>
      </c>
    </row>
    <row r="116" spans="1:19" x14ac:dyDescent="0.25">
      <c r="A116" t="s">
        <v>114</v>
      </c>
      <c r="B116" t="s">
        <v>1019</v>
      </c>
      <c r="C116" t="s">
        <v>1812</v>
      </c>
      <c r="D116">
        <v>16.16</v>
      </c>
      <c r="E116" s="1">
        <v>45231</v>
      </c>
      <c r="F116" s="1" t="str">
        <f>TEXT(Sheet1[[#This Row],[Fecha ingreso]],"mmmm")</f>
        <v>noviembre</v>
      </c>
      <c r="G116" s="2">
        <f>YEAR(Sheet1[[#This Row],[Fecha ingreso]])</f>
        <v>2023</v>
      </c>
      <c r="H116" s="1" t="str">
        <f>TEXT(Sheet1[[#This Row],[Fecha ingreso]],"dddd")</f>
        <v>miércoles</v>
      </c>
      <c r="I116" s="1">
        <v>45240</v>
      </c>
      <c r="J116" s="2">
        <f>DATEDIF(Sheet1[[#This Row],[Fecha ingreso]],Sheet1[[#This Row],[Fecha último pago]],"M")+1</f>
        <v>1</v>
      </c>
      <c r="K116" s="2">
        <f>Sheet1[[#This Row],[Ingresos mensuales]]*Sheet1[[#This Row],[Meses contratados]]</f>
        <v>16.16</v>
      </c>
      <c r="L116" t="s">
        <v>1814</v>
      </c>
      <c r="M116">
        <v>56</v>
      </c>
      <c r="N116" t="s">
        <v>1820</v>
      </c>
      <c r="O116" t="s">
        <v>1825</v>
      </c>
      <c r="P116" t="s">
        <v>1827</v>
      </c>
      <c r="Q116" cm="1">
        <f t="array" ref="Q116">_xlfn.IFS(P116="2 Years", 24,P116="1 Year",12, P116="6 Months",6, P116="1 Month",1)</f>
        <v>12</v>
      </c>
      <c r="R116" t="str" cm="1">
        <f t="array" ref="R116">_xlfn.IFS(Q116=1,"Mensual",Q116=6,"Semestral",Q116=12,"Anual",Q116=24,"Bienal")</f>
        <v>Anual</v>
      </c>
      <c r="S116">
        <f>IFERROR(VLOOKUP(Sheet1[[#This Row],[ID usuario]],A117:$A$907,1,FALSE),0)</f>
        <v>0</v>
      </c>
    </row>
    <row r="117" spans="1:19" x14ac:dyDescent="0.25">
      <c r="A117" t="s">
        <v>115</v>
      </c>
      <c r="B117" t="s">
        <v>1020</v>
      </c>
      <c r="C117" t="s">
        <v>1810</v>
      </c>
      <c r="D117">
        <v>97.71</v>
      </c>
      <c r="E117" s="1">
        <v>44653</v>
      </c>
      <c r="F117" s="1" t="str">
        <f>TEXT(Sheet1[[#This Row],[Fecha ingreso]],"mmmm")</f>
        <v>abril</v>
      </c>
      <c r="G117" s="2">
        <f>YEAR(Sheet1[[#This Row],[Fecha ingreso]])</f>
        <v>2022</v>
      </c>
      <c r="H117" s="1" t="str">
        <f>TEXT(Sheet1[[#This Row],[Fecha ingreso]],"dddd")</f>
        <v>sábado</v>
      </c>
      <c r="I117" s="1">
        <v>44935</v>
      </c>
      <c r="J117" s="2">
        <f>DATEDIF(Sheet1[[#This Row],[Fecha ingreso]],Sheet1[[#This Row],[Fecha último pago]],"M")+1</f>
        <v>10</v>
      </c>
      <c r="K117" s="2">
        <f>Sheet1[[#This Row],[Ingresos mensuales]]*Sheet1[[#This Row],[Meses contratados]]</f>
        <v>977.09999999999991</v>
      </c>
      <c r="L117" t="s">
        <v>1819</v>
      </c>
      <c r="M117">
        <v>46</v>
      </c>
      <c r="N117" t="s">
        <v>1820</v>
      </c>
      <c r="O117" t="s">
        <v>1824</v>
      </c>
      <c r="P117" t="s">
        <v>1827</v>
      </c>
      <c r="Q117" cm="1">
        <f t="array" ref="Q117">_xlfn.IFS(P117="2 Years", 24,P117="1 Year",12, P117="6 Months",6, P117="1 Month",1)</f>
        <v>12</v>
      </c>
      <c r="R117" t="str" cm="1">
        <f t="array" ref="R117">_xlfn.IFS(Q117=1,"Mensual",Q117=6,"Semestral",Q117=12,"Anual",Q117=24,"Bienal")</f>
        <v>Anual</v>
      </c>
      <c r="S117">
        <f>IFERROR(VLOOKUP(Sheet1[[#This Row],[ID usuario]],A118:$A$907,1,FALSE),0)</f>
        <v>0</v>
      </c>
    </row>
    <row r="118" spans="1:19" x14ac:dyDescent="0.25">
      <c r="A118" t="s">
        <v>116</v>
      </c>
      <c r="B118" t="s">
        <v>1021</v>
      </c>
      <c r="C118" t="s">
        <v>1810</v>
      </c>
      <c r="D118">
        <v>93.59</v>
      </c>
      <c r="E118" s="1">
        <v>44971</v>
      </c>
      <c r="F118" s="1" t="str">
        <f>TEXT(Sheet1[[#This Row],[Fecha ingreso]],"mmmm")</f>
        <v>febrero</v>
      </c>
      <c r="G118" s="2">
        <f>YEAR(Sheet1[[#This Row],[Fecha ingreso]])</f>
        <v>2023</v>
      </c>
      <c r="H118" s="1" t="str">
        <f>TEXT(Sheet1[[#This Row],[Fecha ingreso]],"dddd")</f>
        <v>martes</v>
      </c>
      <c r="I118" s="1">
        <v>45067</v>
      </c>
      <c r="J118" s="2">
        <f>DATEDIF(Sheet1[[#This Row],[Fecha ingreso]],Sheet1[[#This Row],[Fecha último pago]],"M")+1</f>
        <v>4</v>
      </c>
      <c r="K118" s="2">
        <f>Sheet1[[#This Row],[Ingresos mensuales]]*Sheet1[[#This Row],[Meses contratados]]</f>
        <v>374.36</v>
      </c>
      <c r="L118" t="s">
        <v>1814</v>
      </c>
      <c r="M118">
        <v>60</v>
      </c>
      <c r="N118" t="s">
        <v>1820</v>
      </c>
      <c r="O118" t="s">
        <v>1825</v>
      </c>
      <c r="P118" t="s">
        <v>1826</v>
      </c>
      <c r="Q118" cm="1">
        <f t="array" ref="Q118">_xlfn.IFS(P118="2 Years", 24,P118="1 Year",12, P118="6 Months",6, P118="1 Month",1)</f>
        <v>24</v>
      </c>
      <c r="R118" t="str" cm="1">
        <f t="array" ref="R118">_xlfn.IFS(Q118=1,"Mensual",Q118=6,"Semestral",Q118=12,"Anual",Q118=24,"Bienal")</f>
        <v>Bienal</v>
      </c>
      <c r="S118">
        <f>IFERROR(VLOOKUP(Sheet1[[#This Row],[ID usuario]],A119:$A$907,1,FALSE),0)</f>
        <v>0</v>
      </c>
    </row>
    <row r="119" spans="1:19" x14ac:dyDescent="0.25">
      <c r="A119" t="s">
        <v>117</v>
      </c>
      <c r="B119" t="s">
        <v>1022</v>
      </c>
      <c r="C119" t="s">
        <v>1812</v>
      </c>
      <c r="D119">
        <v>42.22</v>
      </c>
      <c r="E119" s="1">
        <v>44553</v>
      </c>
      <c r="F119" s="1" t="str">
        <f>TEXT(Sheet1[[#This Row],[Fecha ingreso]],"mmmm")</f>
        <v>diciembre</v>
      </c>
      <c r="G119" s="2">
        <f>YEAR(Sheet1[[#This Row],[Fecha ingreso]])</f>
        <v>2021</v>
      </c>
      <c r="H119" s="1" t="str">
        <f>TEXT(Sheet1[[#This Row],[Fecha ingreso]],"dddd")</f>
        <v>jueves</v>
      </c>
      <c r="I119" s="1">
        <v>45371</v>
      </c>
      <c r="J119" s="2">
        <f>DATEDIF(Sheet1[[#This Row],[Fecha ingreso]],Sheet1[[#This Row],[Fecha último pago]],"M")+1</f>
        <v>27</v>
      </c>
      <c r="K119" s="2">
        <f>Sheet1[[#This Row],[Ingresos mensuales]]*Sheet1[[#This Row],[Meses contratados]]</f>
        <v>1139.94</v>
      </c>
      <c r="L119" t="s">
        <v>1813</v>
      </c>
      <c r="M119">
        <v>41</v>
      </c>
      <c r="N119" t="s">
        <v>1821</v>
      </c>
      <c r="O119" t="s">
        <v>1824</v>
      </c>
      <c r="P119" t="s">
        <v>1829</v>
      </c>
      <c r="Q119" cm="1">
        <f t="array" ref="Q119">_xlfn.IFS(P119="2 Years", 24,P119="1 Year",12, P119="6 Months",6, P119="1 Month",1)</f>
        <v>1</v>
      </c>
      <c r="R119" t="str" cm="1">
        <f t="array" ref="R119">_xlfn.IFS(Q119=1,"Mensual",Q119=6,"Semestral",Q119=12,"Anual",Q119=24,"Bienal")</f>
        <v>Mensual</v>
      </c>
      <c r="S119">
        <f>IFERROR(VLOOKUP(Sheet1[[#This Row],[ID usuario]],A120:$A$907,1,FALSE),0)</f>
        <v>0</v>
      </c>
    </row>
    <row r="120" spans="1:19" x14ac:dyDescent="0.25">
      <c r="A120" t="s">
        <v>118</v>
      </c>
      <c r="B120" t="s">
        <v>1023</v>
      </c>
      <c r="C120" t="s">
        <v>1810</v>
      </c>
      <c r="D120">
        <v>28.01</v>
      </c>
      <c r="E120" s="1">
        <v>45367</v>
      </c>
      <c r="F120" s="1" t="str">
        <f>TEXT(Sheet1[[#This Row],[Fecha ingreso]],"mmmm")</f>
        <v>marzo</v>
      </c>
      <c r="G120" s="2">
        <f>YEAR(Sheet1[[#This Row],[Fecha ingreso]])</f>
        <v>2024</v>
      </c>
      <c r="H120" s="1" t="str">
        <f>TEXT(Sheet1[[#This Row],[Fecha ingreso]],"dddd")</f>
        <v>sábado</v>
      </c>
      <c r="I120" s="1">
        <v>45456</v>
      </c>
      <c r="J120" s="2">
        <f>DATEDIF(Sheet1[[#This Row],[Fecha ingreso]],Sheet1[[#This Row],[Fecha último pago]],"M")+1</f>
        <v>3</v>
      </c>
      <c r="K120" s="2">
        <f>Sheet1[[#This Row],[Ingresos mensuales]]*Sheet1[[#This Row],[Meses contratados]]</f>
        <v>84.03</v>
      </c>
      <c r="L120" t="s">
        <v>1814</v>
      </c>
      <c r="M120">
        <v>33</v>
      </c>
      <c r="N120" t="s">
        <v>1821</v>
      </c>
      <c r="O120" t="s">
        <v>1823</v>
      </c>
      <c r="P120" t="s">
        <v>1828</v>
      </c>
      <c r="Q120" cm="1">
        <f t="array" ref="Q120">_xlfn.IFS(P120="2 Years", 24,P120="1 Year",12, P120="6 Months",6, P120="1 Month",1)</f>
        <v>6</v>
      </c>
      <c r="R120" t="str" cm="1">
        <f t="array" ref="R120">_xlfn.IFS(Q120=1,"Mensual",Q120=6,"Semestral",Q120=12,"Anual",Q120=24,"Bienal")</f>
        <v>Semestral</v>
      </c>
      <c r="S120">
        <f>IFERROR(VLOOKUP(Sheet1[[#This Row],[ID usuario]],A121:$A$907,1,FALSE),0)</f>
        <v>0</v>
      </c>
    </row>
    <row r="121" spans="1:19" x14ac:dyDescent="0.25">
      <c r="A121" t="s">
        <v>119</v>
      </c>
      <c r="B121" t="s">
        <v>1024</v>
      </c>
      <c r="C121" t="s">
        <v>1812</v>
      </c>
      <c r="D121">
        <v>28.79</v>
      </c>
      <c r="E121" s="1">
        <v>45235</v>
      </c>
      <c r="F121" s="1" t="str">
        <f>TEXT(Sheet1[[#This Row],[Fecha ingreso]],"mmmm")</f>
        <v>noviembre</v>
      </c>
      <c r="G121" s="2">
        <f>YEAR(Sheet1[[#This Row],[Fecha ingreso]])</f>
        <v>2023</v>
      </c>
      <c r="H121" s="1" t="str">
        <f>TEXT(Sheet1[[#This Row],[Fecha ingreso]],"dddd")</f>
        <v>domingo</v>
      </c>
      <c r="I121" s="1">
        <v>45435</v>
      </c>
      <c r="J121" s="2">
        <f>DATEDIF(Sheet1[[#This Row],[Fecha ingreso]],Sheet1[[#This Row],[Fecha último pago]],"M")+1</f>
        <v>7</v>
      </c>
      <c r="K121" s="2">
        <f>Sheet1[[#This Row],[Ingresos mensuales]]*Sheet1[[#This Row],[Meses contratados]]</f>
        <v>201.53</v>
      </c>
      <c r="L121" t="s">
        <v>1815</v>
      </c>
      <c r="M121">
        <v>56</v>
      </c>
      <c r="N121" t="s">
        <v>1820</v>
      </c>
      <c r="O121" t="s">
        <v>1823</v>
      </c>
      <c r="P121" t="s">
        <v>1828</v>
      </c>
      <c r="Q121" cm="1">
        <f t="array" ref="Q121">_xlfn.IFS(P121="2 Years", 24,P121="1 Year",12, P121="6 Months",6, P121="1 Month",1)</f>
        <v>6</v>
      </c>
      <c r="R121" t="str" cm="1">
        <f t="array" ref="R121">_xlfn.IFS(Q121=1,"Mensual",Q121=6,"Semestral",Q121=12,"Anual",Q121=24,"Bienal")</f>
        <v>Semestral</v>
      </c>
      <c r="S121">
        <f>IFERROR(VLOOKUP(Sheet1[[#This Row],[ID usuario]],A122:$A$907,1,FALSE),0)</f>
        <v>0</v>
      </c>
    </row>
    <row r="122" spans="1:19" x14ac:dyDescent="0.25">
      <c r="A122" t="s">
        <v>120</v>
      </c>
      <c r="B122" t="s">
        <v>1025</v>
      </c>
      <c r="C122" t="s">
        <v>1812</v>
      </c>
      <c r="D122">
        <v>50.92</v>
      </c>
      <c r="E122" s="1">
        <v>44398</v>
      </c>
      <c r="F122" s="1" t="str">
        <f>TEXT(Sheet1[[#This Row],[Fecha ingreso]],"mmmm")</f>
        <v>julio</v>
      </c>
      <c r="G122" s="2">
        <f>YEAR(Sheet1[[#This Row],[Fecha ingreso]])</f>
        <v>2021</v>
      </c>
      <c r="H122" s="1" t="str">
        <f>TEXT(Sheet1[[#This Row],[Fecha ingreso]],"dddd")</f>
        <v>miércoles</v>
      </c>
      <c r="I122" s="1">
        <v>44416</v>
      </c>
      <c r="J122" s="2">
        <f>DATEDIF(Sheet1[[#This Row],[Fecha ingreso]],Sheet1[[#This Row],[Fecha último pago]],"M")+1</f>
        <v>1</v>
      </c>
      <c r="K122" s="2">
        <f>Sheet1[[#This Row],[Ingresos mensuales]]*Sheet1[[#This Row],[Meses contratados]]</f>
        <v>50.92</v>
      </c>
      <c r="L122" t="s">
        <v>1813</v>
      </c>
      <c r="M122">
        <v>56</v>
      </c>
      <c r="N122" t="s">
        <v>1822</v>
      </c>
      <c r="O122" t="s">
        <v>1825</v>
      </c>
      <c r="P122" t="s">
        <v>1827</v>
      </c>
      <c r="Q122" cm="1">
        <f t="array" ref="Q122">_xlfn.IFS(P122="2 Years", 24,P122="1 Year",12, P122="6 Months",6, P122="1 Month",1)</f>
        <v>12</v>
      </c>
      <c r="R122" t="str" cm="1">
        <f t="array" ref="R122">_xlfn.IFS(Q122=1,"Mensual",Q122=6,"Semestral",Q122=12,"Anual",Q122=24,"Bienal")</f>
        <v>Anual</v>
      </c>
      <c r="S122">
        <f>IFERROR(VLOOKUP(Sheet1[[#This Row],[ID usuario]],A123:$A$907,1,FALSE),0)</f>
        <v>0</v>
      </c>
    </row>
    <row r="123" spans="1:19" x14ac:dyDescent="0.25">
      <c r="A123" t="s">
        <v>121</v>
      </c>
      <c r="B123" t="s">
        <v>1026</v>
      </c>
      <c r="C123" t="s">
        <v>1810</v>
      </c>
      <c r="D123">
        <v>65.77</v>
      </c>
      <c r="E123" s="1">
        <v>45332</v>
      </c>
      <c r="F123" s="1" t="str">
        <f>TEXT(Sheet1[[#This Row],[Fecha ingreso]],"mmmm")</f>
        <v>febrero</v>
      </c>
      <c r="G123" s="2">
        <f>YEAR(Sheet1[[#This Row],[Fecha ingreso]])</f>
        <v>2024</v>
      </c>
      <c r="H123" s="1" t="str">
        <f>TEXT(Sheet1[[#This Row],[Fecha ingreso]],"dddd")</f>
        <v>sábado</v>
      </c>
      <c r="I123" s="1">
        <v>45442</v>
      </c>
      <c r="J123" s="2">
        <f>DATEDIF(Sheet1[[#This Row],[Fecha ingreso]],Sheet1[[#This Row],[Fecha último pago]],"M")+1</f>
        <v>4</v>
      </c>
      <c r="K123" s="2">
        <f>Sheet1[[#This Row],[Ingresos mensuales]]*Sheet1[[#This Row],[Meses contratados]]</f>
        <v>263.08</v>
      </c>
      <c r="L123" t="s">
        <v>1816</v>
      </c>
      <c r="M123">
        <v>66</v>
      </c>
      <c r="N123" t="s">
        <v>1820</v>
      </c>
      <c r="O123" t="s">
        <v>1825</v>
      </c>
      <c r="P123" t="s">
        <v>1829</v>
      </c>
      <c r="Q123" cm="1">
        <f t="array" ref="Q123">_xlfn.IFS(P123="2 Years", 24,P123="1 Year",12, P123="6 Months",6, P123="1 Month",1)</f>
        <v>1</v>
      </c>
      <c r="R123" t="str" cm="1">
        <f t="array" ref="R123">_xlfn.IFS(Q123=1,"Mensual",Q123=6,"Semestral",Q123=12,"Anual",Q123=24,"Bienal")</f>
        <v>Mensual</v>
      </c>
      <c r="S123">
        <f>IFERROR(VLOOKUP(Sheet1[[#This Row],[ID usuario]],A124:$A$907,1,FALSE),0)</f>
        <v>0</v>
      </c>
    </row>
    <row r="124" spans="1:19" x14ac:dyDescent="0.25">
      <c r="A124" t="s">
        <v>122</v>
      </c>
      <c r="B124" t="s">
        <v>1027</v>
      </c>
      <c r="C124" t="s">
        <v>1810</v>
      </c>
      <c r="D124">
        <v>43.79</v>
      </c>
      <c r="E124" s="1">
        <v>45052</v>
      </c>
      <c r="F124" s="1" t="str">
        <f>TEXT(Sheet1[[#This Row],[Fecha ingreso]],"mmmm")</f>
        <v>mayo</v>
      </c>
      <c r="G124" s="2">
        <f>YEAR(Sheet1[[#This Row],[Fecha ingreso]])</f>
        <v>2023</v>
      </c>
      <c r="H124" s="1" t="str">
        <f>TEXT(Sheet1[[#This Row],[Fecha ingreso]],"dddd")</f>
        <v>sábado</v>
      </c>
      <c r="I124" s="1">
        <v>45235</v>
      </c>
      <c r="J124" s="2">
        <f>DATEDIF(Sheet1[[#This Row],[Fecha ingreso]],Sheet1[[#This Row],[Fecha último pago]],"M")+1</f>
        <v>6</v>
      </c>
      <c r="K124" s="2">
        <f>Sheet1[[#This Row],[Ingresos mensuales]]*Sheet1[[#This Row],[Meses contratados]]</f>
        <v>262.74</v>
      </c>
      <c r="L124" t="s">
        <v>1814</v>
      </c>
      <c r="M124">
        <v>25</v>
      </c>
      <c r="N124" t="s">
        <v>1822</v>
      </c>
      <c r="O124" t="s">
        <v>1823</v>
      </c>
      <c r="P124" t="s">
        <v>1828</v>
      </c>
      <c r="Q124" cm="1">
        <f t="array" ref="Q124">_xlfn.IFS(P124="2 Years", 24,P124="1 Year",12, P124="6 Months",6, P124="1 Month",1)</f>
        <v>6</v>
      </c>
      <c r="R124" t="str" cm="1">
        <f t="array" ref="R124">_xlfn.IFS(Q124=1,"Mensual",Q124=6,"Semestral",Q124=12,"Anual",Q124=24,"Bienal")</f>
        <v>Semestral</v>
      </c>
      <c r="S124">
        <f>IFERROR(VLOOKUP(Sheet1[[#This Row],[ID usuario]],A125:$A$907,1,FALSE),0)</f>
        <v>0</v>
      </c>
    </row>
    <row r="125" spans="1:19" x14ac:dyDescent="0.25">
      <c r="A125" t="s">
        <v>123</v>
      </c>
      <c r="B125" t="s">
        <v>1028</v>
      </c>
      <c r="C125" t="s">
        <v>1810</v>
      </c>
      <c r="D125">
        <v>40.85</v>
      </c>
      <c r="E125" s="1">
        <v>44621</v>
      </c>
      <c r="F125" s="1" t="str">
        <f>TEXT(Sheet1[[#This Row],[Fecha ingreso]],"mmmm")</f>
        <v>marzo</v>
      </c>
      <c r="G125" s="2">
        <f>YEAR(Sheet1[[#This Row],[Fecha ingreso]])</f>
        <v>2022</v>
      </c>
      <c r="H125" s="1" t="str">
        <f>TEXT(Sheet1[[#This Row],[Fecha ingreso]],"dddd")</f>
        <v>martes</v>
      </c>
      <c r="I125" s="1">
        <v>45343</v>
      </c>
      <c r="J125" s="2">
        <f>DATEDIF(Sheet1[[#This Row],[Fecha ingreso]],Sheet1[[#This Row],[Fecha último pago]],"M")+1</f>
        <v>24</v>
      </c>
      <c r="K125" s="2">
        <f>Sheet1[[#This Row],[Ingresos mensuales]]*Sheet1[[#This Row],[Meses contratados]]</f>
        <v>980.40000000000009</v>
      </c>
      <c r="L125" t="s">
        <v>1816</v>
      </c>
      <c r="M125">
        <v>55</v>
      </c>
      <c r="N125" t="s">
        <v>1820</v>
      </c>
      <c r="O125" t="s">
        <v>1824</v>
      </c>
      <c r="P125" t="s">
        <v>1828</v>
      </c>
      <c r="Q125" cm="1">
        <f t="array" ref="Q125">_xlfn.IFS(P125="2 Years", 24,P125="1 Year",12, P125="6 Months",6, P125="1 Month",1)</f>
        <v>6</v>
      </c>
      <c r="R125" t="str" cm="1">
        <f t="array" ref="R125">_xlfn.IFS(Q125=1,"Mensual",Q125=6,"Semestral",Q125=12,"Anual",Q125=24,"Bienal")</f>
        <v>Semestral</v>
      </c>
      <c r="S125">
        <f>IFERROR(VLOOKUP(Sheet1[[#This Row],[ID usuario]],A126:$A$907,1,FALSE),0)</f>
        <v>0</v>
      </c>
    </row>
    <row r="126" spans="1:19" x14ac:dyDescent="0.25">
      <c r="A126" t="s">
        <v>124</v>
      </c>
      <c r="B126" t="s">
        <v>1029</v>
      </c>
      <c r="C126" t="s">
        <v>1811</v>
      </c>
      <c r="D126">
        <v>81.89</v>
      </c>
      <c r="E126" s="1">
        <v>44988</v>
      </c>
      <c r="F126" s="1" t="str">
        <f>TEXT(Sheet1[[#This Row],[Fecha ingreso]],"mmmm")</f>
        <v>marzo</v>
      </c>
      <c r="G126" s="2">
        <f>YEAR(Sheet1[[#This Row],[Fecha ingreso]])</f>
        <v>2023</v>
      </c>
      <c r="H126" s="1" t="str">
        <f>TEXT(Sheet1[[#This Row],[Fecha ingreso]],"dddd")</f>
        <v>viernes</v>
      </c>
      <c r="I126" s="1">
        <v>45381</v>
      </c>
      <c r="J126" s="2">
        <f>DATEDIF(Sheet1[[#This Row],[Fecha ingreso]],Sheet1[[#This Row],[Fecha último pago]],"M")+1</f>
        <v>13</v>
      </c>
      <c r="K126" s="2">
        <f>Sheet1[[#This Row],[Ingresos mensuales]]*Sheet1[[#This Row],[Meses contratados]]</f>
        <v>1064.57</v>
      </c>
      <c r="L126" t="s">
        <v>1815</v>
      </c>
      <c r="M126">
        <v>68</v>
      </c>
      <c r="N126" t="s">
        <v>1821</v>
      </c>
      <c r="O126" t="s">
        <v>1824</v>
      </c>
      <c r="P126" t="s">
        <v>1827</v>
      </c>
      <c r="Q126" cm="1">
        <f t="array" ref="Q126">_xlfn.IFS(P126="2 Years", 24,P126="1 Year",12, P126="6 Months",6, P126="1 Month",1)</f>
        <v>12</v>
      </c>
      <c r="R126" t="str" cm="1">
        <f t="array" ref="R126">_xlfn.IFS(Q126=1,"Mensual",Q126=6,"Semestral",Q126=12,"Anual",Q126=24,"Bienal")</f>
        <v>Anual</v>
      </c>
      <c r="S126">
        <f>IFERROR(VLOOKUP(Sheet1[[#This Row],[ID usuario]],A127:$A$907,1,FALSE),0)</f>
        <v>0</v>
      </c>
    </row>
    <row r="127" spans="1:19" x14ac:dyDescent="0.25">
      <c r="A127" t="s">
        <v>125</v>
      </c>
      <c r="B127" t="s">
        <v>1030</v>
      </c>
      <c r="C127" t="s">
        <v>1812</v>
      </c>
      <c r="D127">
        <v>72.36</v>
      </c>
      <c r="E127" s="1">
        <v>45407</v>
      </c>
      <c r="F127" s="1" t="str">
        <f>TEXT(Sheet1[[#This Row],[Fecha ingreso]],"mmmm")</f>
        <v>abril</v>
      </c>
      <c r="G127" s="2">
        <f>YEAR(Sheet1[[#This Row],[Fecha ingreso]])</f>
        <v>2024</v>
      </c>
      <c r="H127" s="1" t="str">
        <f>TEXT(Sheet1[[#This Row],[Fecha ingreso]],"dddd")</f>
        <v>jueves</v>
      </c>
      <c r="I127" s="1">
        <v>45448</v>
      </c>
      <c r="J127" s="2">
        <f>DATEDIF(Sheet1[[#This Row],[Fecha ingreso]],Sheet1[[#This Row],[Fecha último pago]],"M")+1</f>
        <v>2</v>
      </c>
      <c r="K127" s="2">
        <f>Sheet1[[#This Row],[Ingresos mensuales]]*Sheet1[[#This Row],[Meses contratados]]</f>
        <v>144.72</v>
      </c>
      <c r="L127" t="s">
        <v>1815</v>
      </c>
      <c r="M127">
        <v>20</v>
      </c>
      <c r="N127" t="s">
        <v>1822</v>
      </c>
      <c r="O127" t="s">
        <v>1825</v>
      </c>
      <c r="P127" t="s">
        <v>1829</v>
      </c>
      <c r="Q127" cm="1">
        <f t="array" ref="Q127">_xlfn.IFS(P127="2 Years", 24,P127="1 Year",12, P127="6 Months",6, P127="1 Month",1)</f>
        <v>1</v>
      </c>
      <c r="R127" t="str" cm="1">
        <f t="array" ref="R127">_xlfn.IFS(Q127=1,"Mensual",Q127=6,"Semestral",Q127=12,"Anual",Q127=24,"Bienal")</f>
        <v>Mensual</v>
      </c>
      <c r="S127">
        <f>IFERROR(VLOOKUP(Sheet1[[#This Row],[ID usuario]],A128:$A$907,1,FALSE),0)</f>
        <v>0</v>
      </c>
    </row>
    <row r="128" spans="1:19" x14ac:dyDescent="0.25">
      <c r="A128" t="s">
        <v>126</v>
      </c>
      <c r="B128" t="s">
        <v>1031</v>
      </c>
      <c r="C128" t="s">
        <v>1810</v>
      </c>
      <c r="D128">
        <v>95.66</v>
      </c>
      <c r="E128" s="1">
        <v>44776</v>
      </c>
      <c r="F128" s="1" t="str">
        <f>TEXT(Sheet1[[#This Row],[Fecha ingreso]],"mmmm")</f>
        <v>agosto</v>
      </c>
      <c r="G128" s="2">
        <f>YEAR(Sheet1[[#This Row],[Fecha ingreso]])</f>
        <v>2022</v>
      </c>
      <c r="H128" s="1" t="str">
        <f>TEXT(Sheet1[[#This Row],[Fecha ingreso]],"dddd")</f>
        <v>miércoles</v>
      </c>
      <c r="I128" s="1">
        <v>45392</v>
      </c>
      <c r="J128" s="2">
        <f>DATEDIF(Sheet1[[#This Row],[Fecha ingreso]],Sheet1[[#This Row],[Fecha último pago]],"M")+1</f>
        <v>21</v>
      </c>
      <c r="K128" s="2">
        <f>Sheet1[[#This Row],[Ingresos mensuales]]*Sheet1[[#This Row],[Meses contratados]]</f>
        <v>2008.86</v>
      </c>
      <c r="L128" t="s">
        <v>1818</v>
      </c>
      <c r="M128">
        <v>31</v>
      </c>
      <c r="N128" t="s">
        <v>1822</v>
      </c>
      <c r="O128" t="s">
        <v>1824</v>
      </c>
      <c r="P128" t="s">
        <v>1828</v>
      </c>
      <c r="Q128" cm="1">
        <f t="array" ref="Q128">_xlfn.IFS(P128="2 Years", 24,P128="1 Year",12, P128="6 Months",6, P128="1 Month",1)</f>
        <v>6</v>
      </c>
      <c r="R128" t="str" cm="1">
        <f t="array" ref="R128">_xlfn.IFS(Q128=1,"Mensual",Q128=6,"Semestral",Q128=12,"Anual",Q128=24,"Bienal")</f>
        <v>Semestral</v>
      </c>
      <c r="S128">
        <f>IFERROR(VLOOKUP(Sheet1[[#This Row],[ID usuario]],A129:$A$907,1,FALSE),0)</f>
        <v>0</v>
      </c>
    </row>
    <row r="129" spans="1:19" x14ac:dyDescent="0.25">
      <c r="A129" t="s">
        <v>127</v>
      </c>
      <c r="B129" t="s">
        <v>1032</v>
      </c>
      <c r="C129" t="s">
        <v>1811</v>
      </c>
      <c r="D129">
        <v>38.43</v>
      </c>
      <c r="E129" s="1">
        <v>44454</v>
      </c>
      <c r="F129" s="1" t="str">
        <f>TEXT(Sheet1[[#This Row],[Fecha ingreso]],"mmmm")</f>
        <v>septiembre</v>
      </c>
      <c r="G129" s="2">
        <f>YEAR(Sheet1[[#This Row],[Fecha ingreso]])</f>
        <v>2021</v>
      </c>
      <c r="H129" s="1" t="str">
        <f>TEXT(Sheet1[[#This Row],[Fecha ingreso]],"dddd")</f>
        <v>miércoles</v>
      </c>
      <c r="I129" s="1">
        <v>44770</v>
      </c>
      <c r="J129" s="2">
        <f>DATEDIF(Sheet1[[#This Row],[Fecha ingreso]],Sheet1[[#This Row],[Fecha último pago]],"M")+1</f>
        <v>11</v>
      </c>
      <c r="K129" s="2">
        <f>Sheet1[[#This Row],[Ingresos mensuales]]*Sheet1[[#This Row],[Meses contratados]]</f>
        <v>422.73</v>
      </c>
      <c r="L129" t="s">
        <v>1814</v>
      </c>
      <c r="M129">
        <v>38</v>
      </c>
      <c r="N129" t="s">
        <v>1821</v>
      </c>
      <c r="O129" t="s">
        <v>1824</v>
      </c>
      <c r="P129" t="s">
        <v>1829</v>
      </c>
      <c r="Q129" cm="1">
        <f t="array" ref="Q129">_xlfn.IFS(P129="2 Years", 24,P129="1 Year",12, P129="6 Months",6, P129="1 Month",1)</f>
        <v>1</v>
      </c>
      <c r="R129" t="str" cm="1">
        <f t="array" ref="R129">_xlfn.IFS(Q129=1,"Mensual",Q129=6,"Semestral",Q129=12,"Anual",Q129=24,"Bienal")</f>
        <v>Mensual</v>
      </c>
      <c r="S129">
        <f>IFERROR(VLOOKUP(Sheet1[[#This Row],[ID usuario]],A130:$A$907,1,FALSE),0)</f>
        <v>0</v>
      </c>
    </row>
    <row r="130" spans="1:19" x14ac:dyDescent="0.25">
      <c r="A130" t="s">
        <v>128</v>
      </c>
      <c r="B130" t="s">
        <v>1033</v>
      </c>
      <c r="C130" t="s">
        <v>1812</v>
      </c>
      <c r="D130">
        <v>78.150000000000006</v>
      </c>
      <c r="E130" s="1">
        <v>44508</v>
      </c>
      <c r="F130" s="1" t="str">
        <f>TEXT(Sheet1[[#This Row],[Fecha ingreso]],"mmmm")</f>
        <v>noviembre</v>
      </c>
      <c r="G130" s="2">
        <f>YEAR(Sheet1[[#This Row],[Fecha ingreso]])</f>
        <v>2021</v>
      </c>
      <c r="H130" s="1" t="str">
        <f>TEXT(Sheet1[[#This Row],[Fecha ingreso]],"dddd")</f>
        <v>lunes</v>
      </c>
      <c r="I130" s="1">
        <v>45087</v>
      </c>
      <c r="J130" s="2">
        <f>DATEDIF(Sheet1[[#This Row],[Fecha ingreso]],Sheet1[[#This Row],[Fecha último pago]],"M")+1</f>
        <v>20</v>
      </c>
      <c r="K130" s="2">
        <f>Sheet1[[#This Row],[Ingresos mensuales]]*Sheet1[[#This Row],[Meses contratados]]</f>
        <v>1563</v>
      </c>
      <c r="L130" t="s">
        <v>1816</v>
      </c>
      <c r="M130">
        <v>47</v>
      </c>
      <c r="N130" t="s">
        <v>1821</v>
      </c>
      <c r="O130" t="s">
        <v>1823</v>
      </c>
      <c r="P130" t="s">
        <v>1827</v>
      </c>
      <c r="Q130" cm="1">
        <f t="array" ref="Q130">_xlfn.IFS(P130="2 Years", 24,P130="1 Year",12, P130="6 Months",6, P130="1 Month",1)</f>
        <v>12</v>
      </c>
      <c r="R130" t="str" cm="1">
        <f t="array" ref="R130">_xlfn.IFS(Q130=1,"Mensual",Q130=6,"Semestral",Q130=12,"Anual",Q130=24,"Bienal")</f>
        <v>Anual</v>
      </c>
      <c r="S130">
        <f>IFERROR(VLOOKUP(Sheet1[[#This Row],[ID usuario]],A131:$A$907,1,FALSE),0)</f>
        <v>0</v>
      </c>
    </row>
    <row r="131" spans="1:19" x14ac:dyDescent="0.25">
      <c r="A131" t="s">
        <v>129</v>
      </c>
      <c r="B131" t="s">
        <v>1034</v>
      </c>
      <c r="C131" t="s">
        <v>1812</v>
      </c>
      <c r="D131">
        <v>38.96</v>
      </c>
      <c r="E131" s="1">
        <v>44466</v>
      </c>
      <c r="F131" s="1" t="str">
        <f>TEXT(Sheet1[[#This Row],[Fecha ingreso]],"mmmm")</f>
        <v>septiembre</v>
      </c>
      <c r="G131" s="2">
        <f>YEAR(Sheet1[[#This Row],[Fecha ingreso]])</f>
        <v>2021</v>
      </c>
      <c r="H131" s="1" t="str">
        <f>TEXT(Sheet1[[#This Row],[Fecha ingreso]],"dddd")</f>
        <v>lunes</v>
      </c>
      <c r="I131" s="1">
        <v>45133</v>
      </c>
      <c r="J131" s="2">
        <f>DATEDIF(Sheet1[[#This Row],[Fecha ingreso]],Sheet1[[#This Row],[Fecha último pago]],"M")+1</f>
        <v>22</v>
      </c>
      <c r="K131" s="2">
        <f>Sheet1[[#This Row],[Ingresos mensuales]]*Sheet1[[#This Row],[Meses contratados]]</f>
        <v>857.12</v>
      </c>
      <c r="L131" t="s">
        <v>1816</v>
      </c>
      <c r="M131">
        <v>50</v>
      </c>
      <c r="N131" t="s">
        <v>1822</v>
      </c>
      <c r="O131" t="s">
        <v>1825</v>
      </c>
      <c r="P131" t="s">
        <v>1826</v>
      </c>
      <c r="Q131" cm="1">
        <f t="array" ref="Q131">_xlfn.IFS(P131="2 Years", 24,P131="1 Year",12, P131="6 Months",6, P131="1 Month",1)</f>
        <v>24</v>
      </c>
      <c r="R131" t="str" cm="1">
        <f t="array" ref="R131">_xlfn.IFS(Q131=1,"Mensual",Q131=6,"Semestral",Q131=12,"Anual",Q131=24,"Bienal")</f>
        <v>Bienal</v>
      </c>
      <c r="S131">
        <f>IFERROR(VLOOKUP(Sheet1[[#This Row],[ID usuario]],A132:$A$907,1,FALSE),0)</f>
        <v>0</v>
      </c>
    </row>
    <row r="132" spans="1:19" x14ac:dyDescent="0.25">
      <c r="A132" t="s">
        <v>130</v>
      </c>
      <c r="B132" t="s">
        <v>1035</v>
      </c>
      <c r="C132" t="s">
        <v>1811</v>
      </c>
      <c r="D132">
        <v>64.06</v>
      </c>
      <c r="E132" s="1">
        <v>45101</v>
      </c>
      <c r="F132" s="1" t="str">
        <f>TEXT(Sheet1[[#This Row],[Fecha ingreso]],"mmmm")</f>
        <v>junio</v>
      </c>
      <c r="G132" s="2">
        <f>YEAR(Sheet1[[#This Row],[Fecha ingreso]])</f>
        <v>2023</v>
      </c>
      <c r="H132" s="1" t="str">
        <f>TEXT(Sheet1[[#This Row],[Fecha ingreso]],"dddd")</f>
        <v>sábado</v>
      </c>
      <c r="I132" s="1">
        <v>45186</v>
      </c>
      <c r="J132" s="2">
        <f>DATEDIF(Sheet1[[#This Row],[Fecha ingreso]],Sheet1[[#This Row],[Fecha último pago]],"M")+1</f>
        <v>3</v>
      </c>
      <c r="K132" s="2">
        <f>Sheet1[[#This Row],[Ingresos mensuales]]*Sheet1[[#This Row],[Meses contratados]]</f>
        <v>192.18</v>
      </c>
      <c r="L132" t="s">
        <v>1819</v>
      </c>
      <c r="M132">
        <v>37</v>
      </c>
      <c r="N132" t="s">
        <v>1820</v>
      </c>
      <c r="O132" t="s">
        <v>1825</v>
      </c>
      <c r="P132" t="s">
        <v>1826</v>
      </c>
      <c r="Q132" cm="1">
        <f t="array" ref="Q132">_xlfn.IFS(P132="2 Years", 24,P132="1 Year",12, P132="6 Months",6, P132="1 Month",1)</f>
        <v>24</v>
      </c>
      <c r="R132" t="str" cm="1">
        <f t="array" ref="R132">_xlfn.IFS(Q132=1,"Mensual",Q132=6,"Semestral",Q132=12,"Anual",Q132=24,"Bienal")</f>
        <v>Bienal</v>
      </c>
      <c r="S132">
        <f>IFERROR(VLOOKUP(Sheet1[[#This Row],[ID usuario]],A133:$A$907,1,FALSE),0)</f>
        <v>0</v>
      </c>
    </row>
    <row r="133" spans="1:19" x14ac:dyDescent="0.25">
      <c r="A133" t="s">
        <v>131</v>
      </c>
      <c r="B133" t="s">
        <v>1036</v>
      </c>
      <c r="C133" t="s">
        <v>1810</v>
      </c>
      <c r="D133">
        <v>32.409999999999997</v>
      </c>
      <c r="E133" s="1">
        <v>45033</v>
      </c>
      <c r="F133" s="1" t="str">
        <f>TEXT(Sheet1[[#This Row],[Fecha ingreso]],"mmmm")</f>
        <v>abril</v>
      </c>
      <c r="G133" s="2">
        <f>YEAR(Sheet1[[#This Row],[Fecha ingreso]])</f>
        <v>2023</v>
      </c>
      <c r="H133" s="1" t="str">
        <f>TEXT(Sheet1[[#This Row],[Fecha ingreso]],"dddd")</f>
        <v>lunes</v>
      </c>
      <c r="I133" s="1">
        <v>45184</v>
      </c>
      <c r="J133" s="2">
        <f>DATEDIF(Sheet1[[#This Row],[Fecha ingreso]],Sheet1[[#This Row],[Fecha último pago]],"M")+1</f>
        <v>5</v>
      </c>
      <c r="K133" s="2">
        <f>Sheet1[[#This Row],[Ingresos mensuales]]*Sheet1[[#This Row],[Meses contratados]]</f>
        <v>162.04999999999998</v>
      </c>
      <c r="L133" t="s">
        <v>1817</v>
      </c>
      <c r="M133">
        <v>62</v>
      </c>
      <c r="N133" t="s">
        <v>1820</v>
      </c>
      <c r="O133" t="s">
        <v>1825</v>
      </c>
      <c r="P133" t="s">
        <v>1828</v>
      </c>
      <c r="Q133" cm="1">
        <f t="array" ref="Q133">_xlfn.IFS(P133="2 Years", 24,P133="1 Year",12, P133="6 Months",6, P133="1 Month",1)</f>
        <v>6</v>
      </c>
      <c r="R133" t="str" cm="1">
        <f t="array" ref="R133">_xlfn.IFS(Q133=1,"Mensual",Q133=6,"Semestral",Q133=12,"Anual",Q133=24,"Bienal")</f>
        <v>Semestral</v>
      </c>
      <c r="S133">
        <f>IFERROR(VLOOKUP(Sheet1[[#This Row],[ID usuario]],A134:$A$907,1,FALSE),0)</f>
        <v>0</v>
      </c>
    </row>
    <row r="134" spans="1:19" x14ac:dyDescent="0.25">
      <c r="A134" t="s">
        <v>132</v>
      </c>
      <c r="B134" t="s">
        <v>1037</v>
      </c>
      <c r="C134" t="s">
        <v>1810</v>
      </c>
      <c r="D134">
        <v>88.07</v>
      </c>
      <c r="E134" s="1">
        <v>44979</v>
      </c>
      <c r="F134" s="1" t="str">
        <f>TEXT(Sheet1[[#This Row],[Fecha ingreso]],"mmmm")</f>
        <v>febrero</v>
      </c>
      <c r="G134" s="2">
        <f>YEAR(Sheet1[[#This Row],[Fecha ingreso]])</f>
        <v>2023</v>
      </c>
      <c r="H134" s="1" t="str">
        <f>TEXT(Sheet1[[#This Row],[Fecha ingreso]],"dddd")</f>
        <v>miércoles</v>
      </c>
      <c r="I134" s="1">
        <v>45112</v>
      </c>
      <c r="J134" s="2">
        <f>DATEDIF(Sheet1[[#This Row],[Fecha ingreso]],Sheet1[[#This Row],[Fecha último pago]],"M")+1</f>
        <v>5</v>
      </c>
      <c r="K134" s="2">
        <f>Sheet1[[#This Row],[Ingresos mensuales]]*Sheet1[[#This Row],[Meses contratados]]</f>
        <v>440.34999999999997</v>
      </c>
      <c r="L134" t="s">
        <v>1814</v>
      </c>
      <c r="M134">
        <v>62</v>
      </c>
      <c r="N134" t="s">
        <v>1820</v>
      </c>
      <c r="O134" t="s">
        <v>1824</v>
      </c>
      <c r="P134" t="s">
        <v>1829</v>
      </c>
      <c r="Q134" cm="1">
        <f t="array" ref="Q134">_xlfn.IFS(P134="2 Years", 24,P134="1 Year",12, P134="6 Months",6, P134="1 Month",1)</f>
        <v>1</v>
      </c>
      <c r="R134" t="str" cm="1">
        <f t="array" ref="R134">_xlfn.IFS(Q134=1,"Mensual",Q134=6,"Semestral",Q134=12,"Anual",Q134=24,"Bienal")</f>
        <v>Mensual</v>
      </c>
      <c r="S134">
        <f>IFERROR(VLOOKUP(Sheet1[[#This Row],[ID usuario]],A135:$A$907,1,FALSE),0)</f>
        <v>0</v>
      </c>
    </row>
    <row r="135" spans="1:19" x14ac:dyDescent="0.25">
      <c r="A135" t="s">
        <v>133</v>
      </c>
      <c r="B135" t="s">
        <v>1038</v>
      </c>
      <c r="C135" t="s">
        <v>1810</v>
      </c>
      <c r="D135">
        <v>15.68</v>
      </c>
      <c r="E135" s="1">
        <v>45394</v>
      </c>
      <c r="F135" s="1" t="str">
        <f>TEXT(Sheet1[[#This Row],[Fecha ingreso]],"mmmm")</f>
        <v>abril</v>
      </c>
      <c r="G135" s="2">
        <f>YEAR(Sheet1[[#This Row],[Fecha ingreso]])</f>
        <v>2024</v>
      </c>
      <c r="H135" s="1" t="str">
        <f>TEXT(Sheet1[[#This Row],[Fecha ingreso]],"dddd")</f>
        <v>viernes</v>
      </c>
      <c r="I135" s="1">
        <v>45408</v>
      </c>
      <c r="J135" s="2">
        <f>DATEDIF(Sheet1[[#This Row],[Fecha ingreso]],Sheet1[[#This Row],[Fecha último pago]],"M")+1</f>
        <v>1</v>
      </c>
      <c r="K135" s="2">
        <f>Sheet1[[#This Row],[Ingresos mensuales]]*Sheet1[[#This Row],[Meses contratados]]</f>
        <v>15.68</v>
      </c>
      <c r="L135" t="s">
        <v>1818</v>
      </c>
      <c r="M135">
        <v>40</v>
      </c>
      <c r="N135" t="s">
        <v>1821</v>
      </c>
      <c r="O135" t="s">
        <v>1825</v>
      </c>
      <c r="P135" t="s">
        <v>1828</v>
      </c>
      <c r="Q135" cm="1">
        <f t="array" ref="Q135">_xlfn.IFS(P135="2 Years", 24,P135="1 Year",12, P135="6 Months",6, P135="1 Month",1)</f>
        <v>6</v>
      </c>
      <c r="R135" t="str" cm="1">
        <f t="array" ref="R135">_xlfn.IFS(Q135=1,"Mensual",Q135=6,"Semestral",Q135=12,"Anual",Q135=24,"Bienal")</f>
        <v>Semestral</v>
      </c>
      <c r="S135">
        <f>IFERROR(VLOOKUP(Sheet1[[#This Row],[ID usuario]],A136:$A$907,1,FALSE),0)</f>
        <v>0</v>
      </c>
    </row>
    <row r="136" spans="1:19" x14ac:dyDescent="0.25">
      <c r="A136" t="s">
        <v>134</v>
      </c>
      <c r="B136" t="s">
        <v>1039</v>
      </c>
      <c r="C136" t="s">
        <v>1810</v>
      </c>
      <c r="D136">
        <v>25.18</v>
      </c>
      <c r="E136" s="1">
        <v>44896</v>
      </c>
      <c r="F136" s="1" t="str">
        <f>TEXT(Sheet1[[#This Row],[Fecha ingreso]],"mmmm")</f>
        <v>diciembre</v>
      </c>
      <c r="G136" s="2">
        <f>YEAR(Sheet1[[#This Row],[Fecha ingreso]])</f>
        <v>2022</v>
      </c>
      <c r="H136" s="1" t="str">
        <f>TEXT(Sheet1[[#This Row],[Fecha ingreso]],"dddd")</f>
        <v>jueves</v>
      </c>
      <c r="I136" s="1">
        <v>45164</v>
      </c>
      <c r="J136" s="2">
        <f>DATEDIF(Sheet1[[#This Row],[Fecha ingreso]],Sheet1[[#This Row],[Fecha último pago]],"M")+1</f>
        <v>9</v>
      </c>
      <c r="K136" s="2">
        <f>Sheet1[[#This Row],[Ingresos mensuales]]*Sheet1[[#This Row],[Meses contratados]]</f>
        <v>226.62</v>
      </c>
      <c r="L136" t="s">
        <v>1818</v>
      </c>
      <c r="M136">
        <v>40</v>
      </c>
      <c r="N136" t="s">
        <v>1821</v>
      </c>
      <c r="O136" t="s">
        <v>1825</v>
      </c>
      <c r="P136" t="s">
        <v>1828</v>
      </c>
      <c r="Q136" cm="1">
        <f t="array" ref="Q136">_xlfn.IFS(P136="2 Years", 24,P136="1 Year",12, P136="6 Months",6, P136="1 Month",1)</f>
        <v>6</v>
      </c>
      <c r="R136" t="str" cm="1">
        <f t="array" ref="R136">_xlfn.IFS(Q136=1,"Mensual",Q136=6,"Semestral",Q136=12,"Anual",Q136=24,"Bienal")</f>
        <v>Semestral</v>
      </c>
      <c r="S136">
        <f>IFERROR(VLOOKUP(Sheet1[[#This Row],[ID usuario]],A137:$A$907,1,FALSE),0)</f>
        <v>0</v>
      </c>
    </row>
    <row r="137" spans="1:19" x14ac:dyDescent="0.25">
      <c r="A137" t="s">
        <v>135</v>
      </c>
      <c r="B137" t="s">
        <v>1040</v>
      </c>
      <c r="C137" t="s">
        <v>1812</v>
      </c>
      <c r="D137">
        <v>22.39</v>
      </c>
      <c r="E137" s="1">
        <v>44574</v>
      </c>
      <c r="F137" s="1" t="str">
        <f>TEXT(Sheet1[[#This Row],[Fecha ingreso]],"mmmm")</f>
        <v>enero</v>
      </c>
      <c r="G137" s="2">
        <f>YEAR(Sheet1[[#This Row],[Fecha ingreso]])</f>
        <v>2022</v>
      </c>
      <c r="H137" s="1" t="str">
        <f>TEXT(Sheet1[[#This Row],[Fecha ingreso]],"dddd")</f>
        <v>jueves</v>
      </c>
      <c r="I137" s="1">
        <v>45405</v>
      </c>
      <c r="J137" s="2">
        <f>DATEDIF(Sheet1[[#This Row],[Fecha ingreso]],Sheet1[[#This Row],[Fecha último pago]],"M")+1</f>
        <v>28</v>
      </c>
      <c r="K137" s="2">
        <f>Sheet1[[#This Row],[Ingresos mensuales]]*Sheet1[[#This Row],[Meses contratados]]</f>
        <v>626.92000000000007</v>
      </c>
      <c r="L137" t="s">
        <v>1815</v>
      </c>
      <c r="M137">
        <v>62</v>
      </c>
      <c r="N137" t="s">
        <v>1820</v>
      </c>
      <c r="O137" t="s">
        <v>1823</v>
      </c>
      <c r="P137" t="s">
        <v>1826</v>
      </c>
      <c r="Q137" cm="1">
        <f t="array" ref="Q137">_xlfn.IFS(P137="2 Years", 24,P137="1 Year",12, P137="6 Months",6, P137="1 Month",1)</f>
        <v>24</v>
      </c>
      <c r="R137" t="str" cm="1">
        <f t="array" ref="R137">_xlfn.IFS(Q137=1,"Mensual",Q137=6,"Semestral",Q137=12,"Anual",Q137=24,"Bienal")</f>
        <v>Bienal</v>
      </c>
      <c r="S137">
        <f>IFERROR(VLOOKUP(Sheet1[[#This Row],[ID usuario]],A138:$A$907,1,FALSE),0)</f>
        <v>0</v>
      </c>
    </row>
    <row r="138" spans="1:19" x14ac:dyDescent="0.25">
      <c r="A138" t="s">
        <v>136</v>
      </c>
      <c r="B138" t="s">
        <v>1041</v>
      </c>
      <c r="C138" t="s">
        <v>1812</v>
      </c>
      <c r="D138">
        <v>43.29</v>
      </c>
      <c r="E138" s="1">
        <v>44536</v>
      </c>
      <c r="F138" s="1" t="str">
        <f>TEXT(Sheet1[[#This Row],[Fecha ingreso]],"mmmm")</f>
        <v>diciembre</v>
      </c>
      <c r="G138" s="2">
        <f>YEAR(Sheet1[[#This Row],[Fecha ingreso]])</f>
        <v>2021</v>
      </c>
      <c r="H138" s="1" t="str">
        <f>TEXT(Sheet1[[#This Row],[Fecha ingreso]],"dddd")</f>
        <v>lunes</v>
      </c>
      <c r="I138" s="1">
        <v>44853</v>
      </c>
      <c r="J138" s="2">
        <f>DATEDIF(Sheet1[[#This Row],[Fecha ingreso]],Sheet1[[#This Row],[Fecha último pago]],"M")+1</f>
        <v>11</v>
      </c>
      <c r="K138" s="2">
        <f>Sheet1[[#This Row],[Ingresos mensuales]]*Sheet1[[#This Row],[Meses contratados]]</f>
        <v>476.19</v>
      </c>
      <c r="L138" t="s">
        <v>1817</v>
      </c>
      <c r="M138">
        <v>55</v>
      </c>
      <c r="N138" t="s">
        <v>1821</v>
      </c>
      <c r="O138" t="s">
        <v>1823</v>
      </c>
      <c r="P138" t="s">
        <v>1829</v>
      </c>
      <c r="Q138" cm="1">
        <f t="array" ref="Q138">_xlfn.IFS(P138="2 Years", 24,P138="1 Year",12, P138="6 Months",6, P138="1 Month",1)</f>
        <v>1</v>
      </c>
      <c r="R138" t="str" cm="1">
        <f t="array" ref="R138">_xlfn.IFS(Q138=1,"Mensual",Q138=6,"Semestral",Q138=12,"Anual",Q138=24,"Bienal")</f>
        <v>Mensual</v>
      </c>
      <c r="S138">
        <f>IFERROR(VLOOKUP(Sheet1[[#This Row],[ID usuario]],A139:$A$907,1,FALSE),0)</f>
        <v>0</v>
      </c>
    </row>
    <row r="139" spans="1:19" x14ac:dyDescent="0.25">
      <c r="A139" t="s">
        <v>137</v>
      </c>
      <c r="B139" t="s">
        <v>1042</v>
      </c>
      <c r="C139" t="s">
        <v>1810</v>
      </c>
      <c r="D139">
        <v>75.8</v>
      </c>
      <c r="E139" s="1">
        <v>44784</v>
      </c>
      <c r="F139" s="1" t="str">
        <f>TEXT(Sheet1[[#This Row],[Fecha ingreso]],"mmmm")</f>
        <v>agosto</v>
      </c>
      <c r="G139" s="2">
        <f>YEAR(Sheet1[[#This Row],[Fecha ingreso]])</f>
        <v>2022</v>
      </c>
      <c r="H139" s="1" t="str">
        <f>TEXT(Sheet1[[#This Row],[Fecha ingreso]],"dddd")</f>
        <v>jueves</v>
      </c>
      <c r="I139" s="1">
        <v>45422</v>
      </c>
      <c r="J139" s="2">
        <f>DATEDIF(Sheet1[[#This Row],[Fecha ingreso]],Sheet1[[#This Row],[Fecha último pago]],"M")+1</f>
        <v>21</v>
      </c>
      <c r="K139" s="2">
        <f>Sheet1[[#This Row],[Ingresos mensuales]]*Sheet1[[#This Row],[Meses contratados]]</f>
        <v>1591.8</v>
      </c>
      <c r="L139" t="s">
        <v>1815</v>
      </c>
      <c r="M139">
        <v>52</v>
      </c>
      <c r="N139" t="s">
        <v>1821</v>
      </c>
      <c r="O139" t="s">
        <v>1825</v>
      </c>
      <c r="P139" t="s">
        <v>1827</v>
      </c>
      <c r="Q139" cm="1">
        <f t="array" ref="Q139">_xlfn.IFS(P139="2 Years", 24,P139="1 Year",12, P139="6 Months",6, P139="1 Month",1)</f>
        <v>12</v>
      </c>
      <c r="R139" t="str" cm="1">
        <f t="array" ref="R139">_xlfn.IFS(Q139=1,"Mensual",Q139=6,"Semestral",Q139=12,"Anual",Q139=24,"Bienal")</f>
        <v>Anual</v>
      </c>
      <c r="S139">
        <f>IFERROR(VLOOKUP(Sheet1[[#This Row],[ID usuario]],A140:$A$907,1,FALSE),0)</f>
        <v>0</v>
      </c>
    </row>
    <row r="140" spans="1:19" x14ac:dyDescent="0.25">
      <c r="A140" t="s">
        <v>138</v>
      </c>
      <c r="B140" t="s">
        <v>1043</v>
      </c>
      <c r="C140" t="s">
        <v>1810</v>
      </c>
      <c r="D140">
        <v>55.06</v>
      </c>
      <c r="E140" s="1">
        <v>44371</v>
      </c>
      <c r="F140" s="1" t="str">
        <f>TEXT(Sheet1[[#This Row],[Fecha ingreso]],"mmmm")</f>
        <v>junio</v>
      </c>
      <c r="G140" s="2">
        <f>YEAR(Sheet1[[#This Row],[Fecha ingreso]])</f>
        <v>2021</v>
      </c>
      <c r="H140" s="1" t="str">
        <f>TEXT(Sheet1[[#This Row],[Fecha ingreso]],"dddd")</f>
        <v>jueves</v>
      </c>
      <c r="I140" s="1">
        <v>45067</v>
      </c>
      <c r="J140" s="2">
        <f>DATEDIF(Sheet1[[#This Row],[Fecha ingreso]],Sheet1[[#This Row],[Fecha último pago]],"M")+1</f>
        <v>23</v>
      </c>
      <c r="K140" s="2">
        <f>Sheet1[[#This Row],[Ingresos mensuales]]*Sheet1[[#This Row],[Meses contratados]]</f>
        <v>1266.3800000000001</v>
      </c>
      <c r="L140" t="s">
        <v>1815</v>
      </c>
      <c r="M140">
        <v>56</v>
      </c>
      <c r="N140" t="s">
        <v>1820</v>
      </c>
      <c r="O140" t="s">
        <v>1823</v>
      </c>
      <c r="P140" t="s">
        <v>1829</v>
      </c>
      <c r="Q140" cm="1">
        <f t="array" ref="Q140">_xlfn.IFS(P140="2 Years", 24,P140="1 Year",12, P140="6 Months",6, P140="1 Month",1)</f>
        <v>1</v>
      </c>
      <c r="R140" t="str" cm="1">
        <f t="array" ref="R140">_xlfn.IFS(Q140=1,"Mensual",Q140=6,"Semestral",Q140=12,"Anual",Q140=24,"Bienal")</f>
        <v>Mensual</v>
      </c>
      <c r="S140">
        <f>IFERROR(VLOOKUP(Sheet1[[#This Row],[ID usuario]],A141:$A$907,1,FALSE),0)</f>
        <v>0</v>
      </c>
    </row>
    <row r="141" spans="1:19" x14ac:dyDescent="0.25">
      <c r="A141" t="s">
        <v>139</v>
      </c>
      <c r="B141" t="s">
        <v>1044</v>
      </c>
      <c r="C141" t="s">
        <v>1810</v>
      </c>
      <c r="D141">
        <v>51.33</v>
      </c>
      <c r="E141" s="1">
        <v>44618</v>
      </c>
      <c r="F141" s="1" t="str">
        <f>TEXT(Sheet1[[#This Row],[Fecha ingreso]],"mmmm")</f>
        <v>febrero</v>
      </c>
      <c r="G141" s="2">
        <f>YEAR(Sheet1[[#This Row],[Fecha ingreso]])</f>
        <v>2022</v>
      </c>
      <c r="H141" s="1" t="str">
        <f>TEXT(Sheet1[[#This Row],[Fecha ingreso]],"dddd")</f>
        <v>sábado</v>
      </c>
      <c r="I141" s="1">
        <v>44984</v>
      </c>
      <c r="J141" s="2">
        <f>DATEDIF(Sheet1[[#This Row],[Fecha ingreso]],Sheet1[[#This Row],[Fecha último pago]],"M")+1</f>
        <v>13</v>
      </c>
      <c r="K141" s="2">
        <f>Sheet1[[#This Row],[Ingresos mensuales]]*Sheet1[[#This Row],[Meses contratados]]</f>
        <v>667.29</v>
      </c>
      <c r="L141" t="s">
        <v>1814</v>
      </c>
      <c r="M141">
        <v>39</v>
      </c>
      <c r="N141" t="s">
        <v>1820</v>
      </c>
      <c r="O141" t="s">
        <v>1825</v>
      </c>
      <c r="P141" t="s">
        <v>1829</v>
      </c>
      <c r="Q141" cm="1">
        <f t="array" ref="Q141">_xlfn.IFS(P141="2 Years", 24,P141="1 Year",12, P141="6 Months",6, P141="1 Month",1)</f>
        <v>1</v>
      </c>
      <c r="R141" t="str" cm="1">
        <f t="array" ref="R141">_xlfn.IFS(Q141=1,"Mensual",Q141=6,"Semestral",Q141=12,"Anual",Q141=24,"Bienal")</f>
        <v>Mensual</v>
      </c>
      <c r="S141">
        <f>IFERROR(VLOOKUP(Sheet1[[#This Row],[ID usuario]],A142:$A$907,1,FALSE),0)</f>
        <v>0</v>
      </c>
    </row>
    <row r="142" spans="1:19" x14ac:dyDescent="0.25">
      <c r="A142" t="s">
        <v>140</v>
      </c>
      <c r="B142" t="s">
        <v>1045</v>
      </c>
      <c r="C142" t="s">
        <v>1811</v>
      </c>
      <c r="D142">
        <v>5.05</v>
      </c>
      <c r="E142" s="1">
        <v>45063</v>
      </c>
      <c r="F142" s="1" t="str">
        <f>TEXT(Sheet1[[#This Row],[Fecha ingreso]],"mmmm")</f>
        <v>mayo</v>
      </c>
      <c r="G142" s="2">
        <f>YEAR(Sheet1[[#This Row],[Fecha ingreso]])</f>
        <v>2023</v>
      </c>
      <c r="H142" s="1" t="str">
        <f>TEXT(Sheet1[[#This Row],[Fecha ingreso]],"dddd")</f>
        <v>miércoles</v>
      </c>
      <c r="I142" s="1">
        <v>45258</v>
      </c>
      <c r="J142" s="2">
        <f>DATEDIF(Sheet1[[#This Row],[Fecha ingreso]],Sheet1[[#This Row],[Fecha último pago]],"M")+1</f>
        <v>7</v>
      </c>
      <c r="K142" s="2">
        <f>Sheet1[[#This Row],[Ingresos mensuales]]*Sheet1[[#This Row],[Meses contratados]]</f>
        <v>35.35</v>
      </c>
      <c r="L142" t="s">
        <v>1815</v>
      </c>
      <c r="M142">
        <v>46</v>
      </c>
      <c r="N142" t="s">
        <v>1821</v>
      </c>
      <c r="O142" t="s">
        <v>1823</v>
      </c>
      <c r="P142" t="s">
        <v>1826</v>
      </c>
      <c r="Q142" cm="1">
        <f t="array" ref="Q142">_xlfn.IFS(P142="2 Years", 24,P142="1 Year",12, P142="6 Months",6, P142="1 Month",1)</f>
        <v>24</v>
      </c>
      <c r="R142" t="str" cm="1">
        <f t="array" ref="R142">_xlfn.IFS(Q142=1,"Mensual",Q142=6,"Semestral",Q142=12,"Anual",Q142=24,"Bienal")</f>
        <v>Bienal</v>
      </c>
      <c r="S142">
        <f>IFERROR(VLOOKUP(Sheet1[[#This Row],[ID usuario]],A143:$A$907,1,FALSE),0)</f>
        <v>0</v>
      </c>
    </row>
    <row r="143" spans="1:19" x14ac:dyDescent="0.25">
      <c r="A143" t="s">
        <v>141</v>
      </c>
      <c r="B143" t="s">
        <v>1046</v>
      </c>
      <c r="C143" t="s">
        <v>1812</v>
      </c>
      <c r="D143">
        <v>45.41</v>
      </c>
      <c r="E143" s="1">
        <v>44888</v>
      </c>
      <c r="F143" s="1" t="str">
        <f>TEXT(Sheet1[[#This Row],[Fecha ingreso]],"mmmm")</f>
        <v>noviembre</v>
      </c>
      <c r="G143" s="2">
        <f>YEAR(Sheet1[[#This Row],[Fecha ingreso]])</f>
        <v>2022</v>
      </c>
      <c r="H143" s="1" t="str">
        <f>TEXT(Sheet1[[#This Row],[Fecha ingreso]],"dddd")</f>
        <v>miércoles</v>
      </c>
      <c r="I143" s="1">
        <v>45338</v>
      </c>
      <c r="J143" s="2">
        <f>DATEDIF(Sheet1[[#This Row],[Fecha ingreso]],Sheet1[[#This Row],[Fecha último pago]],"M")+1</f>
        <v>15</v>
      </c>
      <c r="K143" s="2">
        <f>Sheet1[[#This Row],[Ingresos mensuales]]*Sheet1[[#This Row],[Meses contratados]]</f>
        <v>681.15</v>
      </c>
      <c r="L143" t="s">
        <v>1813</v>
      </c>
      <c r="M143">
        <v>66</v>
      </c>
      <c r="N143" t="s">
        <v>1822</v>
      </c>
      <c r="O143" t="s">
        <v>1825</v>
      </c>
      <c r="P143" t="s">
        <v>1828</v>
      </c>
      <c r="Q143" cm="1">
        <f t="array" ref="Q143">_xlfn.IFS(P143="2 Years", 24,P143="1 Year",12, P143="6 Months",6, P143="1 Month",1)</f>
        <v>6</v>
      </c>
      <c r="R143" t="str" cm="1">
        <f t="array" ref="R143">_xlfn.IFS(Q143=1,"Mensual",Q143=6,"Semestral",Q143=12,"Anual",Q143=24,"Bienal")</f>
        <v>Semestral</v>
      </c>
      <c r="S143">
        <f>IFERROR(VLOOKUP(Sheet1[[#This Row],[ID usuario]],A144:$A$907,1,FALSE),0)</f>
        <v>0</v>
      </c>
    </row>
    <row r="144" spans="1:19" x14ac:dyDescent="0.25">
      <c r="A144" t="s">
        <v>142</v>
      </c>
      <c r="B144" t="s">
        <v>1047</v>
      </c>
      <c r="C144" t="s">
        <v>1810</v>
      </c>
      <c r="D144">
        <v>11.04</v>
      </c>
      <c r="E144" s="1">
        <v>44399</v>
      </c>
      <c r="F144" s="1" t="str">
        <f>TEXT(Sheet1[[#This Row],[Fecha ingreso]],"mmmm")</f>
        <v>julio</v>
      </c>
      <c r="G144" s="2">
        <f>YEAR(Sheet1[[#This Row],[Fecha ingreso]])</f>
        <v>2021</v>
      </c>
      <c r="H144" s="1" t="str">
        <f>TEXT(Sheet1[[#This Row],[Fecha ingreso]],"dddd")</f>
        <v>jueves</v>
      </c>
      <c r="I144" s="1">
        <v>44559</v>
      </c>
      <c r="J144" s="2">
        <f>DATEDIF(Sheet1[[#This Row],[Fecha ingreso]],Sheet1[[#This Row],[Fecha último pago]],"M")+1</f>
        <v>6</v>
      </c>
      <c r="K144" s="2">
        <f>Sheet1[[#This Row],[Ingresos mensuales]]*Sheet1[[#This Row],[Meses contratados]]</f>
        <v>66.239999999999995</v>
      </c>
      <c r="L144" t="s">
        <v>1817</v>
      </c>
      <c r="M144">
        <v>52</v>
      </c>
      <c r="N144" t="s">
        <v>1821</v>
      </c>
      <c r="O144" t="s">
        <v>1823</v>
      </c>
      <c r="P144" t="s">
        <v>1827</v>
      </c>
      <c r="Q144" cm="1">
        <f t="array" ref="Q144">_xlfn.IFS(P144="2 Years", 24,P144="1 Year",12, P144="6 Months",6, P144="1 Month",1)</f>
        <v>12</v>
      </c>
      <c r="R144" t="str" cm="1">
        <f t="array" ref="R144">_xlfn.IFS(Q144=1,"Mensual",Q144=6,"Semestral",Q144=12,"Anual",Q144=24,"Bienal")</f>
        <v>Anual</v>
      </c>
      <c r="S144">
        <f>IFERROR(VLOOKUP(Sheet1[[#This Row],[ID usuario]],A145:$A$907,1,FALSE),0)</f>
        <v>0</v>
      </c>
    </row>
    <row r="145" spans="1:19" x14ac:dyDescent="0.25">
      <c r="A145" t="s">
        <v>143</v>
      </c>
      <c r="B145" t="s">
        <v>1048</v>
      </c>
      <c r="C145" t="s">
        <v>1810</v>
      </c>
      <c r="D145">
        <v>24.78</v>
      </c>
      <c r="E145" s="1">
        <v>44431</v>
      </c>
      <c r="F145" s="1" t="str">
        <f>TEXT(Sheet1[[#This Row],[Fecha ingreso]],"mmmm")</f>
        <v>agosto</v>
      </c>
      <c r="G145" s="2">
        <f>YEAR(Sheet1[[#This Row],[Fecha ingreso]])</f>
        <v>2021</v>
      </c>
      <c r="H145" s="1" t="str">
        <f>TEXT(Sheet1[[#This Row],[Fecha ingreso]],"dddd")</f>
        <v>lunes</v>
      </c>
      <c r="I145" s="1">
        <v>45094</v>
      </c>
      <c r="J145" s="2">
        <f>DATEDIF(Sheet1[[#This Row],[Fecha ingreso]],Sheet1[[#This Row],[Fecha último pago]],"M")+1</f>
        <v>22</v>
      </c>
      <c r="K145" s="2">
        <f>Sheet1[[#This Row],[Ingresos mensuales]]*Sheet1[[#This Row],[Meses contratados]]</f>
        <v>545.16000000000008</v>
      </c>
      <c r="L145" t="s">
        <v>1814</v>
      </c>
      <c r="M145">
        <v>19</v>
      </c>
      <c r="N145" t="s">
        <v>1822</v>
      </c>
      <c r="O145" t="s">
        <v>1824</v>
      </c>
      <c r="P145" t="s">
        <v>1826</v>
      </c>
      <c r="Q145" cm="1">
        <f t="array" ref="Q145">_xlfn.IFS(P145="2 Years", 24,P145="1 Year",12, P145="6 Months",6, P145="1 Month",1)</f>
        <v>24</v>
      </c>
      <c r="R145" t="str" cm="1">
        <f t="array" ref="R145">_xlfn.IFS(Q145=1,"Mensual",Q145=6,"Semestral",Q145=12,"Anual",Q145=24,"Bienal")</f>
        <v>Bienal</v>
      </c>
      <c r="S145">
        <f>IFERROR(VLOOKUP(Sheet1[[#This Row],[ID usuario]],A146:$A$907,1,FALSE),0)</f>
        <v>0</v>
      </c>
    </row>
    <row r="146" spans="1:19" x14ac:dyDescent="0.25">
      <c r="A146" t="s">
        <v>144</v>
      </c>
      <c r="B146" t="s">
        <v>1049</v>
      </c>
      <c r="C146" t="s">
        <v>1811</v>
      </c>
      <c r="D146">
        <v>93.58</v>
      </c>
      <c r="E146" s="1">
        <v>44655</v>
      </c>
      <c r="F146" s="1" t="str">
        <f>TEXT(Sheet1[[#This Row],[Fecha ingreso]],"mmmm")</f>
        <v>abril</v>
      </c>
      <c r="G146" s="2">
        <f>YEAR(Sheet1[[#This Row],[Fecha ingreso]])</f>
        <v>2022</v>
      </c>
      <c r="H146" s="1" t="str">
        <f>TEXT(Sheet1[[#This Row],[Fecha ingreso]],"dddd")</f>
        <v>lunes</v>
      </c>
      <c r="I146" s="1">
        <v>44843</v>
      </c>
      <c r="J146" s="2">
        <f>DATEDIF(Sheet1[[#This Row],[Fecha ingreso]],Sheet1[[#This Row],[Fecha último pago]],"M")+1</f>
        <v>7</v>
      </c>
      <c r="K146" s="2">
        <f>Sheet1[[#This Row],[Ingresos mensuales]]*Sheet1[[#This Row],[Meses contratados]]</f>
        <v>655.05999999999995</v>
      </c>
      <c r="L146" t="s">
        <v>1819</v>
      </c>
      <c r="M146">
        <v>63</v>
      </c>
      <c r="N146" t="s">
        <v>1822</v>
      </c>
      <c r="O146" t="s">
        <v>1823</v>
      </c>
      <c r="P146" t="s">
        <v>1826</v>
      </c>
      <c r="Q146" cm="1">
        <f t="array" ref="Q146">_xlfn.IFS(P146="2 Years", 24,P146="1 Year",12, P146="6 Months",6, P146="1 Month",1)</f>
        <v>24</v>
      </c>
      <c r="R146" t="str" cm="1">
        <f t="array" ref="R146">_xlfn.IFS(Q146=1,"Mensual",Q146=6,"Semestral",Q146=12,"Anual",Q146=24,"Bienal")</f>
        <v>Bienal</v>
      </c>
      <c r="S146">
        <f>IFERROR(VLOOKUP(Sheet1[[#This Row],[ID usuario]],A147:$A$907,1,FALSE),0)</f>
        <v>0</v>
      </c>
    </row>
    <row r="147" spans="1:19" x14ac:dyDescent="0.25">
      <c r="A147" t="s">
        <v>145</v>
      </c>
      <c r="B147" t="s">
        <v>1050</v>
      </c>
      <c r="C147" t="s">
        <v>1810</v>
      </c>
      <c r="D147">
        <v>25.46</v>
      </c>
      <c r="E147" s="1">
        <v>45241</v>
      </c>
      <c r="F147" s="1" t="str">
        <f>TEXT(Sheet1[[#This Row],[Fecha ingreso]],"mmmm")</f>
        <v>noviembre</v>
      </c>
      <c r="G147" s="2">
        <f>YEAR(Sheet1[[#This Row],[Fecha ingreso]])</f>
        <v>2023</v>
      </c>
      <c r="H147" s="1" t="str">
        <f>TEXT(Sheet1[[#This Row],[Fecha ingreso]],"dddd")</f>
        <v>sábado</v>
      </c>
      <c r="I147" s="1">
        <v>45272</v>
      </c>
      <c r="J147" s="2">
        <f>DATEDIF(Sheet1[[#This Row],[Fecha ingreso]],Sheet1[[#This Row],[Fecha último pago]],"M")+1</f>
        <v>2</v>
      </c>
      <c r="K147" s="2">
        <f>Sheet1[[#This Row],[Ingresos mensuales]]*Sheet1[[#This Row],[Meses contratados]]</f>
        <v>50.92</v>
      </c>
      <c r="L147" t="s">
        <v>1818</v>
      </c>
      <c r="M147">
        <v>64</v>
      </c>
      <c r="N147" t="s">
        <v>1822</v>
      </c>
      <c r="O147" t="s">
        <v>1823</v>
      </c>
      <c r="P147" t="s">
        <v>1827</v>
      </c>
      <c r="Q147" cm="1">
        <f t="array" ref="Q147">_xlfn.IFS(P147="2 Years", 24,P147="1 Year",12, P147="6 Months",6, P147="1 Month",1)</f>
        <v>12</v>
      </c>
      <c r="R147" t="str" cm="1">
        <f t="array" ref="R147">_xlfn.IFS(Q147=1,"Mensual",Q147=6,"Semestral",Q147=12,"Anual",Q147=24,"Bienal")</f>
        <v>Anual</v>
      </c>
      <c r="S147">
        <f>IFERROR(VLOOKUP(Sheet1[[#This Row],[ID usuario]],A148:$A$907,1,FALSE),0)</f>
        <v>0</v>
      </c>
    </row>
    <row r="148" spans="1:19" x14ac:dyDescent="0.25">
      <c r="A148" t="s">
        <v>146</v>
      </c>
      <c r="B148" t="s">
        <v>1051</v>
      </c>
      <c r="C148" t="s">
        <v>1812</v>
      </c>
      <c r="D148">
        <v>86.54</v>
      </c>
      <c r="E148" s="1">
        <v>45433</v>
      </c>
      <c r="F148" s="1" t="str">
        <f>TEXT(Sheet1[[#This Row],[Fecha ingreso]],"mmmm")</f>
        <v>mayo</v>
      </c>
      <c r="G148" s="2">
        <f>YEAR(Sheet1[[#This Row],[Fecha ingreso]])</f>
        <v>2024</v>
      </c>
      <c r="H148" s="1" t="str">
        <f>TEXT(Sheet1[[#This Row],[Fecha ingreso]],"dddd")</f>
        <v>martes</v>
      </c>
      <c r="I148" s="1">
        <v>45453</v>
      </c>
      <c r="J148" s="2">
        <f>DATEDIF(Sheet1[[#This Row],[Fecha ingreso]],Sheet1[[#This Row],[Fecha último pago]],"M")+1</f>
        <v>1</v>
      </c>
      <c r="K148" s="2">
        <f>Sheet1[[#This Row],[Ingresos mensuales]]*Sheet1[[#This Row],[Meses contratados]]</f>
        <v>86.54</v>
      </c>
      <c r="L148" t="s">
        <v>1817</v>
      </c>
      <c r="M148">
        <v>35</v>
      </c>
      <c r="N148" t="s">
        <v>1822</v>
      </c>
      <c r="O148" t="s">
        <v>1825</v>
      </c>
      <c r="P148" t="s">
        <v>1828</v>
      </c>
      <c r="Q148" cm="1">
        <f t="array" ref="Q148">_xlfn.IFS(P148="2 Years", 24,P148="1 Year",12, P148="6 Months",6, P148="1 Month",1)</f>
        <v>6</v>
      </c>
      <c r="R148" t="str" cm="1">
        <f t="array" ref="R148">_xlfn.IFS(Q148=1,"Mensual",Q148=6,"Semestral",Q148=12,"Anual",Q148=24,"Bienal")</f>
        <v>Semestral</v>
      </c>
      <c r="S148">
        <f>IFERROR(VLOOKUP(Sheet1[[#This Row],[ID usuario]],A149:$A$907,1,FALSE),0)</f>
        <v>0</v>
      </c>
    </row>
    <row r="149" spans="1:19" x14ac:dyDescent="0.25">
      <c r="A149" t="s">
        <v>147</v>
      </c>
      <c r="B149" t="s">
        <v>1052</v>
      </c>
      <c r="C149" t="s">
        <v>1811</v>
      </c>
      <c r="D149">
        <v>81.27</v>
      </c>
      <c r="E149" s="1">
        <v>44968</v>
      </c>
      <c r="F149" s="1" t="str">
        <f>TEXT(Sheet1[[#This Row],[Fecha ingreso]],"mmmm")</f>
        <v>febrero</v>
      </c>
      <c r="G149" s="2">
        <f>YEAR(Sheet1[[#This Row],[Fecha ingreso]])</f>
        <v>2023</v>
      </c>
      <c r="H149" s="1" t="str">
        <f>TEXT(Sheet1[[#This Row],[Fecha ingreso]],"dddd")</f>
        <v>sábado</v>
      </c>
      <c r="I149" s="1">
        <v>45282</v>
      </c>
      <c r="J149" s="2">
        <f>DATEDIF(Sheet1[[#This Row],[Fecha ingreso]],Sheet1[[#This Row],[Fecha último pago]],"M")+1</f>
        <v>11</v>
      </c>
      <c r="K149" s="2">
        <f>Sheet1[[#This Row],[Ingresos mensuales]]*Sheet1[[#This Row],[Meses contratados]]</f>
        <v>893.96999999999991</v>
      </c>
      <c r="L149" t="s">
        <v>1818</v>
      </c>
      <c r="M149">
        <v>52</v>
      </c>
      <c r="N149" t="s">
        <v>1822</v>
      </c>
      <c r="O149" t="s">
        <v>1823</v>
      </c>
      <c r="P149" t="s">
        <v>1828</v>
      </c>
      <c r="Q149" cm="1">
        <f t="array" ref="Q149">_xlfn.IFS(P149="2 Years", 24,P149="1 Year",12, P149="6 Months",6, P149="1 Month",1)</f>
        <v>6</v>
      </c>
      <c r="R149" t="str" cm="1">
        <f t="array" ref="R149">_xlfn.IFS(Q149=1,"Mensual",Q149=6,"Semestral",Q149=12,"Anual",Q149=24,"Bienal")</f>
        <v>Semestral</v>
      </c>
      <c r="S149">
        <f>IFERROR(VLOOKUP(Sheet1[[#This Row],[ID usuario]],A150:$A$907,1,FALSE),0)</f>
        <v>0</v>
      </c>
    </row>
    <row r="150" spans="1:19" x14ac:dyDescent="0.25">
      <c r="A150" t="s">
        <v>148</v>
      </c>
      <c r="B150" t="s">
        <v>1053</v>
      </c>
      <c r="C150" t="s">
        <v>1811</v>
      </c>
      <c r="D150">
        <v>20.12</v>
      </c>
      <c r="E150" s="1">
        <v>44828</v>
      </c>
      <c r="F150" s="1" t="str">
        <f>TEXT(Sheet1[[#This Row],[Fecha ingreso]],"mmmm")</f>
        <v>septiembre</v>
      </c>
      <c r="G150" s="2">
        <f>YEAR(Sheet1[[#This Row],[Fecha ingreso]])</f>
        <v>2022</v>
      </c>
      <c r="H150" s="1" t="str">
        <f>TEXT(Sheet1[[#This Row],[Fecha ingreso]],"dddd")</f>
        <v>sábado</v>
      </c>
      <c r="I150" s="1">
        <v>45046</v>
      </c>
      <c r="J150" s="2">
        <f>DATEDIF(Sheet1[[#This Row],[Fecha ingreso]],Sheet1[[#This Row],[Fecha último pago]],"M")+1</f>
        <v>8</v>
      </c>
      <c r="K150" s="2">
        <f>Sheet1[[#This Row],[Ingresos mensuales]]*Sheet1[[#This Row],[Meses contratados]]</f>
        <v>160.96</v>
      </c>
      <c r="L150" t="s">
        <v>1816</v>
      </c>
      <c r="M150">
        <v>61</v>
      </c>
      <c r="N150" t="s">
        <v>1821</v>
      </c>
      <c r="O150" t="s">
        <v>1823</v>
      </c>
      <c r="P150" t="s">
        <v>1827</v>
      </c>
      <c r="Q150" cm="1">
        <f t="array" ref="Q150">_xlfn.IFS(P150="2 Years", 24,P150="1 Year",12, P150="6 Months",6, P150="1 Month",1)</f>
        <v>12</v>
      </c>
      <c r="R150" t="str" cm="1">
        <f t="array" ref="R150">_xlfn.IFS(Q150=1,"Mensual",Q150=6,"Semestral",Q150=12,"Anual",Q150=24,"Bienal")</f>
        <v>Anual</v>
      </c>
      <c r="S150">
        <f>IFERROR(VLOOKUP(Sheet1[[#This Row],[ID usuario]],A151:$A$907,1,FALSE),0)</f>
        <v>0</v>
      </c>
    </row>
    <row r="151" spans="1:19" x14ac:dyDescent="0.25">
      <c r="A151" t="s">
        <v>149</v>
      </c>
      <c r="B151" t="s">
        <v>1054</v>
      </c>
      <c r="C151" t="s">
        <v>1811</v>
      </c>
      <c r="D151">
        <v>62.54</v>
      </c>
      <c r="E151" s="1">
        <v>45101</v>
      </c>
      <c r="F151" s="1" t="str">
        <f>TEXT(Sheet1[[#This Row],[Fecha ingreso]],"mmmm")</f>
        <v>junio</v>
      </c>
      <c r="G151" s="2">
        <f>YEAR(Sheet1[[#This Row],[Fecha ingreso]])</f>
        <v>2023</v>
      </c>
      <c r="H151" s="1" t="str">
        <f>TEXT(Sheet1[[#This Row],[Fecha ingreso]],"dddd")</f>
        <v>sábado</v>
      </c>
      <c r="I151" s="1">
        <v>45365</v>
      </c>
      <c r="J151" s="2">
        <f>DATEDIF(Sheet1[[#This Row],[Fecha ingreso]],Sheet1[[#This Row],[Fecha último pago]],"M")+1</f>
        <v>9</v>
      </c>
      <c r="K151" s="2">
        <f>Sheet1[[#This Row],[Ingresos mensuales]]*Sheet1[[#This Row],[Meses contratados]]</f>
        <v>562.86</v>
      </c>
      <c r="L151" t="s">
        <v>1818</v>
      </c>
      <c r="M151">
        <v>31</v>
      </c>
      <c r="N151" t="s">
        <v>1820</v>
      </c>
      <c r="O151" t="s">
        <v>1824</v>
      </c>
      <c r="P151" t="s">
        <v>1828</v>
      </c>
      <c r="Q151" cm="1">
        <f t="array" ref="Q151">_xlfn.IFS(P151="2 Years", 24,P151="1 Year",12, P151="6 Months",6, P151="1 Month",1)</f>
        <v>6</v>
      </c>
      <c r="R151" t="str" cm="1">
        <f t="array" ref="R151">_xlfn.IFS(Q151=1,"Mensual",Q151=6,"Semestral",Q151=12,"Anual",Q151=24,"Bienal")</f>
        <v>Semestral</v>
      </c>
      <c r="S151">
        <f>IFERROR(VLOOKUP(Sheet1[[#This Row],[ID usuario]],A152:$A$907,1,FALSE),0)</f>
        <v>0</v>
      </c>
    </row>
    <row r="152" spans="1:19" x14ac:dyDescent="0.25">
      <c r="A152" t="s">
        <v>150</v>
      </c>
      <c r="B152" t="s">
        <v>1055</v>
      </c>
      <c r="C152" t="s">
        <v>1810</v>
      </c>
      <c r="D152">
        <v>15.99</v>
      </c>
      <c r="E152" s="1">
        <v>44479</v>
      </c>
      <c r="F152" s="1" t="str">
        <f>TEXT(Sheet1[[#This Row],[Fecha ingreso]],"mmmm")</f>
        <v>octubre</v>
      </c>
      <c r="G152" s="2">
        <f>YEAR(Sheet1[[#This Row],[Fecha ingreso]])</f>
        <v>2021</v>
      </c>
      <c r="H152" s="1" t="str">
        <f>TEXT(Sheet1[[#This Row],[Fecha ingreso]],"dddd")</f>
        <v>domingo</v>
      </c>
      <c r="I152" s="1">
        <v>44902</v>
      </c>
      <c r="J152" s="2">
        <f>DATEDIF(Sheet1[[#This Row],[Fecha ingreso]],Sheet1[[#This Row],[Fecha último pago]],"M")+1</f>
        <v>14</v>
      </c>
      <c r="K152" s="2">
        <f>Sheet1[[#This Row],[Ingresos mensuales]]*Sheet1[[#This Row],[Meses contratados]]</f>
        <v>223.86</v>
      </c>
      <c r="L152" t="s">
        <v>1814</v>
      </c>
      <c r="M152">
        <v>35</v>
      </c>
      <c r="N152" t="s">
        <v>1822</v>
      </c>
      <c r="O152" t="s">
        <v>1825</v>
      </c>
      <c r="P152" t="s">
        <v>1826</v>
      </c>
      <c r="Q152" cm="1">
        <f t="array" ref="Q152">_xlfn.IFS(P152="2 Years", 24,P152="1 Year",12, P152="6 Months",6, P152="1 Month",1)</f>
        <v>24</v>
      </c>
      <c r="R152" t="str" cm="1">
        <f t="array" ref="R152">_xlfn.IFS(Q152=1,"Mensual",Q152=6,"Semestral",Q152=12,"Anual",Q152=24,"Bienal")</f>
        <v>Bienal</v>
      </c>
      <c r="S152">
        <f>IFERROR(VLOOKUP(Sheet1[[#This Row],[ID usuario]],A153:$A$907,1,FALSE),0)</f>
        <v>0</v>
      </c>
    </row>
    <row r="153" spans="1:19" x14ac:dyDescent="0.25">
      <c r="A153" t="s">
        <v>151</v>
      </c>
      <c r="B153" t="s">
        <v>1056</v>
      </c>
      <c r="C153" t="s">
        <v>1810</v>
      </c>
      <c r="D153">
        <v>74.150000000000006</v>
      </c>
      <c r="E153" s="1">
        <v>44685</v>
      </c>
      <c r="F153" s="1" t="str">
        <f>TEXT(Sheet1[[#This Row],[Fecha ingreso]],"mmmm")</f>
        <v>mayo</v>
      </c>
      <c r="G153" s="2">
        <f>YEAR(Sheet1[[#This Row],[Fecha ingreso]])</f>
        <v>2022</v>
      </c>
      <c r="H153" s="1" t="str">
        <f>TEXT(Sheet1[[#This Row],[Fecha ingreso]],"dddd")</f>
        <v>miércoles</v>
      </c>
      <c r="I153" s="1">
        <v>44910</v>
      </c>
      <c r="J153" s="2">
        <f>DATEDIF(Sheet1[[#This Row],[Fecha ingreso]],Sheet1[[#This Row],[Fecha último pago]],"M")+1</f>
        <v>8</v>
      </c>
      <c r="K153" s="2">
        <f>Sheet1[[#This Row],[Ingresos mensuales]]*Sheet1[[#This Row],[Meses contratados]]</f>
        <v>593.20000000000005</v>
      </c>
      <c r="L153" t="s">
        <v>1813</v>
      </c>
      <c r="M153">
        <v>49</v>
      </c>
      <c r="N153" t="s">
        <v>1822</v>
      </c>
      <c r="O153" t="s">
        <v>1824</v>
      </c>
      <c r="P153" t="s">
        <v>1826</v>
      </c>
      <c r="Q153" cm="1">
        <f t="array" ref="Q153">_xlfn.IFS(P153="2 Years", 24,P153="1 Year",12, P153="6 Months",6, P153="1 Month",1)</f>
        <v>24</v>
      </c>
      <c r="R153" t="str" cm="1">
        <f t="array" ref="R153">_xlfn.IFS(Q153=1,"Mensual",Q153=6,"Semestral",Q153=12,"Anual",Q153=24,"Bienal")</f>
        <v>Bienal</v>
      </c>
      <c r="S153">
        <f>IFERROR(VLOOKUP(Sheet1[[#This Row],[ID usuario]],A154:$A$907,1,FALSE),0)</f>
        <v>0</v>
      </c>
    </row>
    <row r="154" spans="1:19" x14ac:dyDescent="0.25">
      <c r="A154" t="s">
        <v>152</v>
      </c>
      <c r="B154" t="s">
        <v>1057</v>
      </c>
      <c r="C154" t="s">
        <v>1810</v>
      </c>
      <c r="D154">
        <v>65.56</v>
      </c>
      <c r="E154" s="1">
        <v>44802</v>
      </c>
      <c r="F154" s="1" t="str">
        <f>TEXT(Sheet1[[#This Row],[Fecha ingreso]],"mmmm")</f>
        <v>agosto</v>
      </c>
      <c r="G154" s="2">
        <f>YEAR(Sheet1[[#This Row],[Fecha ingreso]])</f>
        <v>2022</v>
      </c>
      <c r="H154" s="1" t="str">
        <f>TEXT(Sheet1[[#This Row],[Fecha ingreso]],"dddd")</f>
        <v>lunes</v>
      </c>
      <c r="I154" s="1">
        <v>45392</v>
      </c>
      <c r="J154" s="2">
        <f>DATEDIF(Sheet1[[#This Row],[Fecha ingreso]],Sheet1[[#This Row],[Fecha último pago]],"M")+1</f>
        <v>20</v>
      </c>
      <c r="K154" s="2">
        <f>Sheet1[[#This Row],[Ingresos mensuales]]*Sheet1[[#This Row],[Meses contratados]]</f>
        <v>1311.2</v>
      </c>
      <c r="L154" t="s">
        <v>1817</v>
      </c>
      <c r="M154">
        <v>39</v>
      </c>
      <c r="N154" t="s">
        <v>1822</v>
      </c>
      <c r="O154" t="s">
        <v>1825</v>
      </c>
      <c r="P154" t="s">
        <v>1829</v>
      </c>
      <c r="Q154" cm="1">
        <f t="array" ref="Q154">_xlfn.IFS(P154="2 Years", 24,P154="1 Year",12, P154="6 Months",6, P154="1 Month",1)</f>
        <v>1</v>
      </c>
      <c r="R154" t="str" cm="1">
        <f t="array" ref="R154">_xlfn.IFS(Q154=1,"Mensual",Q154=6,"Semestral",Q154=12,"Anual",Q154=24,"Bienal")</f>
        <v>Mensual</v>
      </c>
      <c r="S154">
        <f>IFERROR(VLOOKUP(Sheet1[[#This Row],[ID usuario]],A155:$A$907,1,FALSE),0)</f>
        <v>0</v>
      </c>
    </row>
    <row r="155" spans="1:19" x14ac:dyDescent="0.25">
      <c r="A155" t="s">
        <v>153</v>
      </c>
      <c r="B155" t="s">
        <v>1058</v>
      </c>
      <c r="C155" t="s">
        <v>1811</v>
      </c>
      <c r="D155">
        <v>82.13</v>
      </c>
      <c r="E155" s="1">
        <v>45231</v>
      </c>
      <c r="F155" s="1" t="str">
        <f>TEXT(Sheet1[[#This Row],[Fecha ingreso]],"mmmm")</f>
        <v>noviembre</v>
      </c>
      <c r="G155" s="2">
        <f>YEAR(Sheet1[[#This Row],[Fecha ingreso]])</f>
        <v>2023</v>
      </c>
      <c r="H155" s="1" t="str">
        <f>TEXT(Sheet1[[#This Row],[Fecha ingreso]],"dddd")</f>
        <v>miércoles</v>
      </c>
      <c r="I155" s="1">
        <v>45310</v>
      </c>
      <c r="J155" s="2">
        <f>DATEDIF(Sheet1[[#This Row],[Fecha ingreso]],Sheet1[[#This Row],[Fecha último pago]],"M")+1</f>
        <v>3</v>
      </c>
      <c r="K155" s="2">
        <f>Sheet1[[#This Row],[Ingresos mensuales]]*Sheet1[[#This Row],[Meses contratados]]</f>
        <v>246.39</v>
      </c>
      <c r="L155" t="s">
        <v>1814</v>
      </c>
      <c r="M155">
        <v>52</v>
      </c>
      <c r="N155" t="s">
        <v>1821</v>
      </c>
      <c r="O155" t="s">
        <v>1825</v>
      </c>
      <c r="P155" t="s">
        <v>1826</v>
      </c>
      <c r="Q155" cm="1">
        <f t="array" ref="Q155">_xlfn.IFS(P155="2 Years", 24,P155="1 Year",12, P155="6 Months",6, P155="1 Month",1)</f>
        <v>24</v>
      </c>
      <c r="R155" t="str" cm="1">
        <f t="array" ref="R155">_xlfn.IFS(Q155=1,"Mensual",Q155=6,"Semestral",Q155=12,"Anual",Q155=24,"Bienal")</f>
        <v>Bienal</v>
      </c>
      <c r="S155">
        <f>IFERROR(VLOOKUP(Sheet1[[#This Row],[ID usuario]],A156:$A$907,1,FALSE),0)</f>
        <v>0</v>
      </c>
    </row>
    <row r="156" spans="1:19" x14ac:dyDescent="0.25">
      <c r="A156" t="s">
        <v>154</v>
      </c>
      <c r="B156" t="s">
        <v>1059</v>
      </c>
      <c r="C156" t="s">
        <v>1811</v>
      </c>
      <c r="D156">
        <v>50.54</v>
      </c>
      <c r="E156" s="1">
        <v>44508</v>
      </c>
      <c r="F156" s="1" t="str">
        <f>TEXT(Sheet1[[#This Row],[Fecha ingreso]],"mmmm")</f>
        <v>noviembre</v>
      </c>
      <c r="G156" s="2">
        <f>YEAR(Sheet1[[#This Row],[Fecha ingreso]])</f>
        <v>2021</v>
      </c>
      <c r="H156" s="1" t="str">
        <f>TEXT(Sheet1[[#This Row],[Fecha ingreso]],"dddd")</f>
        <v>lunes</v>
      </c>
      <c r="I156" s="1">
        <v>45054</v>
      </c>
      <c r="J156" s="2">
        <f>DATEDIF(Sheet1[[#This Row],[Fecha ingreso]],Sheet1[[#This Row],[Fecha último pago]],"M")+1</f>
        <v>19</v>
      </c>
      <c r="K156" s="2">
        <f>Sheet1[[#This Row],[Ingresos mensuales]]*Sheet1[[#This Row],[Meses contratados]]</f>
        <v>960.26</v>
      </c>
      <c r="L156" t="s">
        <v>1815</v>
      </c>
      <c r="M156">
        <v>63</v>
      </c>
      <c r="N156" t="s">
        <v>1820</v>
      </c>
      <c r="O156" t="s">
        <v>1825</v>
      </c>
      <c r="P156" t="s">
        <v>1829</v>
      </c>
      <c r="Q156" cm="1">
        <f t="array" ref="Q156">_xlfn.IFS(P156="2 Years", 24,P156="1 Year",12, P156="6 Months",6, P156="1 Month",1)</f>
        <v>1</v>
      </c>
      <c r="R156" t="str" cm="1">
        <f t="array" ref="R156">_xlfn.IFS(Q156=1,"Mensual",Q156=6,"Semestral",Q156=12,"Anual",Q156=24,"Bienal")</f>
        <v>Mensual</v>
      </c>
      <c r="S156">
        <f>IFERROR(VLOOKUP(Sheet1[[#This Row],[ID usuario]],A157:$A$907,1,FALSE),0)</f>
        <v>0</v>
      </c>
    </row>
    <row r="157" spans="1:19" x14ac:dyDescent="0.25">
      <c r="A157" t="s">
        <v>155</v>
      </c>
      <c r="B157" t="s">
        <v>1060</v>
      </c>
      <c r="C157" t="s">
        <v>1812</v>
      </c>
      <c r="D157">
        <v>91.91</v>
      </c>
      <c r="E157" s="1">
        <v>45420</v>
      </c>
      <c r="F157" s="1" t="str">
        <f>TEXT(Sheet1[[#This Row],[Fecha ingreso]],"mmmm")</f>
        <v>mayo</v>
      </c>
      <c r="G157" s="2">
        <f>YEAR(Sheet1[[#This Row],[Fecha ingreso]])</f>
        <v>2024</v>
      </c>
      <c r="H157" s="1" t="str">
        <f>TEXT(Sheet1[[#This Row],[Fecha ingreso]],"dddd")</f>
        <v>miércoles</v>
      </c>
      <c r="I157" s="1">
        <v>45437</v>
      </c>
      <c r="J157" s="2">
        <f>DATEDIF(Sheet1[[#This Row],[Fecha ingreso]],Sheet1[[#This Row],[Fecha último pago]],"M")+1</f>
        <v>1</v>
      </c>
      <c r="K157" s="2">
        <f>Sheet1[[#This Row],[Ingresos mensuales]]*Sheet1[[#This Row],[Meses contratados]]</f>
        <v>91.91</v>
      </c>
      <c r="L157" t="s">
        <v>1817</v>
      </c>
      <c r="M157">
        <v>19</v>
      </c>
      <c r="N157" t="s">
        <v>1822</v>
      </c>
      <c r="O157" t="s">
        <v>1823</v>
      </c>
      <c r="P157" t="s">
        <v>1828</v>
      </c>
      <c r="Q157" cm="1">
        <f t="array" ref="Q157">_xlfn.IFS(P157="2 Years", 24,P157="1 Year",12, P157="6 Months",6, P157="1 Month",1)</f>
        <v>6</v>
      </c>
      <c r="R157" t="str" cm="1">
        <f t="array" ref="R157">_xlfn.IFS(Q157=1,"Mensual",Q157=6,"Semestral",Q157=12,"Anual",Q157=24,"Bienal")</f>
        <v>Semestral</v>
      </c>
      <c r="S157">
        <f>IFERROR(VLOOKUP(Sheet1[[#This Row],[ID usuario]],A158:$A$907,1,FALSE),0)</f>
        <v>0</v>
      </c>
    </row>
    <row r="158" spans="1:19" x14ac:dyDescent="0.25">
      <c r="A158" t="s">
        <v>156</v>
      </c>
      <c r="B158" t="s">
        <v>1061</v>
      </c>
      <c r="C158" t="s">
        <v>1811</v>
      </c>
      <c r="D158">
        <v>9.69</v>
      </c>
      <c r="E158" s="1">
        <v>44845</v>
      </c>
      <c r="F158" s="1" t="str">
        <f>TEXT(Sheet1[[#This Row],[Fecha ingreso]],"mmmm")</f>
        <v>octubre</v>
      </c>
      <c r="G158" s="2">
        <f>YEAR(Sheet1[[#This Row],[Fecha ingreso]])</f>
        <v>2022</v>
      </c>
      <c r="H158" s="1" t="str">
        <f>TEXT(Sheet1[[#This Row],[Fecha ingreso]],"dddd")</f>
        <v>martes</v>
      </c>
      <c r="I158" s="1">
        <v>45128</v>
      </c>
      <c r="J158" s="2">
        <f>DATEDIF(Sheet1[[#This Row],[Fecha ingreso]],Sheet1[[#This Row],[Fecha último pago]],"M")+1</f>
        <v>10</v>
      </c>
      <c r="K158" s="2">
        <f>Sheet1[[#This Row],[Ingresos mensuales]]*Sheet1[[#This Row],[Meses contratados]]</f>
        <v>96.899999999999991</v>
      </c>
      <c r="L158" t="s">
        <v>1814</v>
      </c>
      <c r="M158">
        <v>23</v>
      </c>
      <c r="N158" t="s">
        <v>1822</v>
      </c>
      <c r="O158" t="s">
        <v>1825</v>
      </c>
      <c r="P158" t="s">
        <v>1829</v>
      </c>
      <c r="Q158" cm="1">
        <f t="array" ref="Q158">_xlfn.IFS(P158="2 Years", 24,P158="1 Year",12, P158="6 Months",6, P158="1 Month",1)</f>
        <v>1</v>
      </c>
      <c r="R158" t="str" cm="1">
        <f t="array" ref="R158">_xlfn.IFS(Q158=1,"Mensual",Q158=6,"Semestral",Q158=12,"Anual",Q158=24,"Bienal")</f>
        <v>Mensual</v>
      </c>
      <c r="S158">
        <f>IFERROR(VLOOKUP(Sheet1[[#This Row],[ID usuario]],A159:$A$907,1,FALSE),0)</f>
        <v>0</v>
      </c>
    </row>
    <row r="159" spans="1:19" x14ac:dyDescent="0.25">
      <c r="A159" t="s">
        <v>157</v>
      </c>
      <c r="B159" t="s">
        <v>1062</v>
      </c>
      <c r="C159" t="s">
        <v>1810</v>
      </c>
      <c r="D159">
        <v>32.82</v>
      </c>
      <c r="E159" s="1">
        <v>45453</v>
      </c>
      <c r="F159" s="1" t="str">
        <f>TEXT(Sheet1[[#This Row],[Fecha ingreso]],"mmmm")</f>
        <v>junio</v>
      </c>
      <c r="G159" s="2">
        <f>YEAR(Sheet1[[#This Row],[Fecha ingreso]])</f>
        <v>2024</v>
      </c>
      <c r="H159" s="1" t="str">
        <f>TEXT(Sheet1[[#This Row],[Fecha ingreso]],"dddd")</f>
        <v>lunes</v>
      </c>
      <c r="I159" s="1">
        <v>45457</v>
      </c>
      <c r="J159" s="2">
        <f>DATEDIF(Sheet1[[#This Row],[Fecha ingreso]],Sheet1[[#This Row],[Fecha último pago]],"M")+1</f>
        <v>1</v>
      </c>
      <c r="K159" s="2">
        <f>Sheet1[[#This Row],[Ingresos mensuales]]*Sheet1[[#This Row],[Meses contratados]]</f>
        <v>32.82</v>
      </c>
      <c r="L159" t="s">
        <v>1817</v>
      </c>
      <c r="M159">
        <v>65</v>
      </c>
      <c r="N159" t="s">
        <v>1821</v>
      </c>
      <c r="O159" t="s">
        <v>1824</v>
      </c>
      <c r="P159" t="s">
        <v>1828</v>
      </c>
      <c r="Q159" cm="1">
        <f t="array" ref="Q159">_xlfn.IFS(P159="2 Years", 24,P159="1 Year",12, P159="6 Months",6, P159="1 Month",1)</f>
        <v>6</v>
      </c>
      <c r="R159" t="str" cm="1">
        <f t="array" ref="R159">_xlfn.IFS(Q159=1,"Mensual",Q159=6,"Semestral",Q159=12,"Anual",Q159=24,"Bienal")</f>
        <v>Semestral</v>
      </c>
      <c r="S159">
        <f>IFERROR(VLOOKUP(Sheet1[[#This Row],[ID usuario]],A160:$A$907,1,FALSE),0)</f>
        <v>0</v>
      </c>
    </row>
    <row r="160" spans="1:19" x14ac:dyDescent="0.25">
      <c r="A160" t="s">
        <v>158</v>
      </c>
      <c r="B160" t="s">
        <v>1063</v>
      </c>
      <c r="C160" t="s">
        <v>1810</v>
      </c>
      <c r="D160">
        <v>72.930000000000007</v>
      </c>
      <c r="E160" s="1">
        <v>45381</v>
      </c>
      <c r="F160" s="1" t="str">
        <f>TEXT(Sheet1[[#This Row],[Fecha ingreso]],"mmmm")</f>
        <v>marzo</v>
      </c>
      <c r="G160" s="2">
        <f>YEAR(Sheet1[[#This Row],[Fecha ingreso]])</f>
        <v>2024</v>
      </c>
      <c r="H160" s="1" t="str">
        <f>TEXT(Sheet1[[#This Row],[Fecha ingreso]],"dddd")</f>
        <v>sábado</v>
      </c>
      <c r="I160" s="1">
        <v>45402</v>
      </c>
      <c r="J160" s="2">
        <f>DATEDIF(Sheet1[[#This Row],[Fecha ingreso]],Sheet1[[#This Row],[Fecha último pago]],"M")+1</f>
        <v>1</v>
      </c>
      <c r="K160" s="2">
        <f>Sheet1[[#This Row],[Ingresos mensuales]]*Sheet1[[#This Row],[Meses contratados]]</f>
        <v>72.930000000000007</v>
      </c>
      <c r="L160" t="s">
        <v>1817</v>
      </c>
      <c r="M160">
        <v>68</v>
      </c>
      <c r="N160" t="s">
        <v>1822</v>
      </c>
      <c r="O160" t="s">
        <v>1823</v>
      </c>
      <c r="P160" t="s">
        <v>1827</v>
      </c>
      <c r="Q160" cm="1">
        <f t="array" ref="Q160">_xlfn.IFS(P160="2 Years", 24,P160="1 Year",12, P160="6 Months",6, P160="1 Month",1)</f>
        <v>12</v>
      </c>
      <c r="R160" t="str" cm="1">
        <f t="array" ref="R160">_xlfn.IFS(Q160=1,"Mensual",Q160=6,"Semestral",Q160=12,"Anual",Q160=24,"Bienal")</f>
        <v>Anual</v>
      </c>
      <c r="S160">
        <f>IFERROR(VLOOKUP(Sheet1[[#This Row],[ID usuario]],A161:$A$907,1,FALSE),0)</f>
        <v>0</v>
      </c>
    </row>
    <row r="161" spans="1:19" x14ac:dyDescent="0.25">
      <c r="A161" t="s">
        <v>159</v>
      </c>
      <c r="B161" t="s">
        <v>1064</v>
      </c>
      <c r="C161" t="s">
        <v>1811</v>
      </c>
      <c r="D161">
        <v>44.72</v>
      </c>
      <c r="E161" s="1">
        <v>44736</v>
      </c>
      <c r="F161" s="1" t="str">
        <f>TEXT(Sheet1[[#This Row],[Fecha ingreso]],"mmmm")</f>
        <v>junio</v>
      </c>
      <c r="G161" s="2">
        <f>YEAR(Sheet1[[#This Row],[Fecha ingreso]])</f>
        <v>2022</v>
      </c>
      <c r="H161" s="1" t="str">
        <f>TEXT(Sheet1[[#This Row],[Fecha ingreso]],"dddd")</f>
        <v>viernes</v>
      </c>
      <c r="I161" s="1">
        <v>45146</v>
      </c>
      <c r="J161" s="2">
        <f>DATEDIF(Sheet1[[#This Row],[Fecha ingreso]],Sheet1[[#This Row],[Fecha último pago]],"M")+1</f>
        <v>14</v>
      </c>
      <c r="K161" s="2">
        <f>Sheet1[[#This Row],[Ingresos mensuales]]*Sheet1[[#This Row],[Meses contratados]]</f>
        <v>626.07999999999993</v>
      </c>
      <c r="L161" t="s">
        <v>1818</v>
      </c>
      <c r="M161">
        <v>56</v>
      </c>
      <c r="N161" t="s">
        <v>1820</v>
      </c>
      <c r="O161" t="s">
        <v>1825</v>
      </c>
      <c r="P161" t="s">
        <v>1828</v>
      </c>
      <c r="Q161" cm="1">
        <f t="array" ref="Q161">_xlfn.IFS(P161="2 Years", 24,P161="1 Year",12, P161="6 Months",6, P161="1 Month",1)</f>
        <v>6</v>
      </c>
      <c r="R161" t="str" cm="1">
        <f t="array" ref="R161">_xlfn.IFS(Q161=1,"Mensual",Q161=6,"Semestral",Q161=12,"Anual",Q161=24,"Bienal")</f>
        <v>Semestral</v>
      </c>
      <c r="S161">
        <f>IFERROR(VLOOKUP(Sheet1[[#This Row],[ID usuario]],A162:$A$907,1,FALSE),0)</f>
        <v>0</v>
      </c>
    </row>
    <row r="162" spans="1:19" x14ac:dyDescent="0.25">
      <c r="A162" t="s">
        <v>160</v>
      </c>
      <c r="B162" t="s">
        <v>1065</v>
      </c>
      <c r="C162" t="s">
        <v>1812</v>
      </c>
      <c r="D162">
        <v>21.43</v>
      </c>
      <c r="E162" s="1">
        <v>44389</v>
      </c>
      <c r="F162" s="1" t="str">
        <f>TEXT(Sheet1[[#This Row],[Fecha ingreso]],"mmmm")</f>
        <v>julio</v>
      </c>
      <c r="G162" s="2">
        <f>YEAR(Sheet1[[#This Row],[Fecha ingreso]])</f>
        <v>2021</v>
      </c>
      <c r="H162" s="1" t="str">
        <f>TEXT(Sheet1[[#This Row],[Fecha ingreso]],"dddd")</f>
        <v>lunes</v>
      </c>
      <c r="I162" s="1">
        <v>44891</v>
      </c>
      <c r="J162" s="2">
        <f>DATEDIF(Sheet1[[#This Row],[Fecha ingreso]],Sheet1[[#This Row],[Fecha último pago]],"M")+1</f>
        <v>17</v>
      </c>
      <c r="K162" s="2">
        <f>Sheet1[[#This Row],[Ingresos mensuales]]*Sheet1[[#This Row],[Meses contratados]]</f>
        <v>364.31</v>
      </c>
      <c r="L162" t="s">
        <v>1818</v>
      </c>
      <c r="M162">
        <v>49</v>
      </c>
      <c r="N162" t="s">
        <v>1820</v>
      </c>
      <c r="O162" t="s">
        <v>1825</v>
      </c>
      <c r="P162" t="s">
        <v>1827</v>
      </c>
      <c r="Q162" cm="1">
        <f t="array" ref="Q162">_xlfn.IFS(P162="2 Years", 24,P162="1 Year",12, P162="6 Months",6, P162="1 Month",1)</f>
        <v>12</v>
      </c>
      <c r="R162" t="str" cm="1">
        <f t="array" ref="R162">_xlfn.IFS(Q162=1,"Mensual",Q162=6,"Semestral",Q162=12,"Anual",Q162=24,"Bienal")</f>
        <v>Anual</v>
      </c>
      <c r="S162">
        <f>IFERROR(VLOOKUP(Sheet1[[#This Row],[ID usuario]],A163:$A$907,1,FALSE),0)</f>
        <v>0</v>
      </c>
    </row>
    <row r="163" spans="1:19" x14ac:dyDescent="0.25">
      <c r="A163" t="s">
        <v>161</v>
      </c>
      <c r="B163" t="s">
        <v>1066</v>
      </c>
      <c r="C163" t="s">
        <v>1811</v>
      </c>
      <c r="D163">
        <v>15.19</v>
      </c>
      <c r="E163" s="1">
        <v>44410</v>
      </c>
      <c r="F163" s="1" t="str">
        <f>TEXT(Sheet1[[#This Row],[Fecha ingreso]],"mmmm")</f>
        <v>agosto</v>
      </c>
      <c r="G163" s="2">
        <f>YEAR(Sheet1[[#This Row],[Fecha ingreso]])</f>
        <v>2021</v>
      </c>
      <c r="H163" s="1" t="str">
        <f>TEXT(Sheet1[[#This Row],[Fecha ingreso]],"dddd")</f>
        <v>lunes</v>
      </c>
      <c r="I163" s="1">
        <v>44826</v>
      </c>
      <c r="J163" s="2">
        <f>DATEDIF(Sheet1[[#This Row],[Fecha ingreso]],Sheet1[[#This Row],[Fecha último pago]],"M")+1</f>
        <v>14</v>
      </c>
      <c r="K163" s="2">
        <f>Sheet1[[#This Row],[Ingresos mensuales]]*Sheet1[[#This Row],[Meses contratados]]</f>
        <v>212.66</v>
      </c>
      <c r="L163" t="s">
        <v>1818</v>
      </c>
      <c r="M163">
        <v>46</v>
      </c>
      <c r="N163" t="s">
        <v>1822</v>
      </c>
      <c r="O163" t="s">
        <v>1823</v>
      </c>
      <c r="P163" t="s">
        <v>1828</v>
      </c>
      <c r="Q163" cm="1">
        <f t="array" ref="Q163">_xlfn.IFS(P163="2 Years", 24,P163="1 Year",12, P163="6 Months",6, P163="1 Month",1)</f>
        <v>6</v>
      </c>
      <c r="R163" t="str" cm="1">
        <f t="array" ref="R163">_xlfn.IFS(Q163=1,"Mensual",Q163=6,"Semestral",Q163=12,"Anual",Q163=24,"Bienal")</f>
        <v>Semestral</v>
      </c>
      <c r="S163">
        <f>IFERROR(VLOOKUP(Sheet1[[#This Row],[ID usuario]],A164:$A$907,1,FALSE),0)</f>
        <v>0</v>
      </c>
    </row>
    <row r="164" spans="1:19" x14ac:dyDescent="0.25">
      <c r="A164" t="s">
        <v>162</v>
      </c>
      <c r="B164" t="s">
        <v>1067</v>
      </c>
      <c r="C164" t="s">
        <v>1811</v>
      </c>
      <c r="D164">
        <v>82.65</v>
      </c>
      <c r="E164" s="1">
        <v>44683</v>
      </c>
      <c r="F164" s="1" t="str">
        <f>TEXT(Sheet1[[#This Row],[Fecha ingreso]],"mmmm")</f>
        <v>mayo</v>
      </c>
      <c r="G164" s="2">
        <f>YEAR(Sheet1[[#This Row],[Fecha ingreso]])</f>
        <v>2022</v>
      </c>
      <c r="H164" s="1" t="str">
        <f>TEXT(Sheet1[[#This Row],[Fecha ingreso]],"dddd")</f>
        <v>lunes</v>
      </c>
      <c r="I164" s="1">
        <v>45164</v>
      </c>
      <c r="J164" s="2">
        <f>DATEDIF(Sheet1[[#This Row],[Fecha ingreso]],Sheet1[[#This Row],[Fecha último pago]],"M")+1</f>
        <v>16</v>
      </c>
      <c r="K164" s="2">
        <f>Sheet1[[#This Row],[Ingresos mensuales]]*Sheet1[[#This Row],[Meses contratados]]</f>
        <v>1322.4</v>
      </c>
      <c r="L164" t="s">
        <v>1814</v>
      </c>
      <c r="M164">
        <v>56</v>
      </c>
      <c r="N164" t="s">
        <v>1821</v>
      </c>
      <c r="O164" t="s">
        <v>1824</v>
      </c>
      <c r="P164" t="s">
        <v>1828</v>
      </c>
      <c r="Q164" cm="1">
        <f t="array" ref="Q164">_xlfn.IFS(P164="2 Years", 24,P164="1 Year",12, P164="6 Months",6, P164="1 Month",1)</f>
        <v>6</v>
      </c>
      <c r="R164" t="str" cm="1">
        <f t="array" ref="R164">_xlfn.IFS(Q164=1,"Mensual",Q164=6,"Semestral",Q164=12,"Anual",Q164=24,"Bienal")</f>
        <v>Semestral</v>
      </c>
      <c r="S164">
        <f>IFERROR(VLOOKUP(Sheet1[[#This Row],[ID usuario]],A165:$A$907,1,FALSE),0)</f>
        <v>0</v>
      </c>
    </row>
    <row r="165" spans="1:19" x14ac:dyDescent="0.25">
      <c r="A165" t="s">
        <v>163</v>
      </c>
      <c r="B165" t="s">
        <v>1068</v>
      </c>
      <c r="C165" t="s">
        <v>1811</v>
      </c>
      <c r="D165">
        <v>49.95</v>
      </c>
      <c r="E165" s="1">
        <v>44692</v>
      </c>
      <c r="F165" s="1" t="str">
        <f>TEXT(Sheet1[[#This Row],[Fecha ingreso]],"mmmm")</f>
        <v>mayo</v>
      </c>
      <c r="G165" s="2">
        <f>YEAR(Sheet1[[#This Row],[Fecha ingreso]])</f>
        <v>2022</v>
      </c>
      <c r="H165" s="1" t="str">
        <f>TEXT(Sheet1[[#This Row],[Fecha ingreso]],"dddd")</f>
        <v>miércoles</v>
      </c>
      <c r="I165" s="1">
        <v>45031</v>
      </c>
      <c r="J165" s="2">
        <f>DATEDIF(Sheet1[[#This Row],[Fecha ingreso]],Sheet1[[#This Row],[Fecha último pago]],"M")+1</f>
        <v>12</v>
      </c>
      <c r="K165" s="2">
        <f>Sheet1[[#This Row],[Ingresos mensuales]]*Sheet1[[#This Row],[Meses contratados]]</f>
        <v>599.40000000000009</v>
      </c>
      <c r="L165" t="s">
        <v>1817</v>
      </c>
      <c r="M165">
        <v>68</v>
      </c>
      <c r="N165" t="s">
        <v>1820</v>
      </c>
      <c r="O165" t="s">
        <v>1824</v>
      </c>
      <c r="P165" t="s">
        <v>1829</v>
      </c>
      <c r="Q165" cm="1">
        <f t="array" ref="Q165">_xlfn.IFS(P165="2 Years", 24,P165="1 Year",12, P165="6 Months",6, P165="1 Month",1)</f>
        <v>1</v>
      </c>
      <c r="R165" t="str" cm="1">
        <f t="array" ref="R165">_xlfn.IFS(Q165=1,"Mensual",Q165=6,"Semestral",Q165=12,"Anual",Q165=24,"Bienal")</f>
        <v>Mensual</v>
      </c>
      <c r="S165">
        <f>IFERROR(VLOOKUP(Sheet1[[#This Row],[ID usuario]],A166:$A$907,1,FALSE),0)</f>
        <v>0</v>
      </c>
    </row>
    <row r="166" spans="1:19" x14ac:dyDescent="0.25">
      <c r="A166" t="s">
        <v>164</v>
      </c>
      <c r="B166" t="s">
        <v>1069</v>
      </c>
      <c r="C166" t="s">
        <v>1810</v>
      </c>
      <c r="D166">
        <v>88.82</v>
      </c>
      <c r="E166" s="1">
        <v>45316</v>
      </c>
      <c r="F166" s="1" t="str">
        <f>TEXT(Sheet1[[#This Row],[Fecha ingreso]],"mmmm")</f>
        <v>enero</v>
      </c>
      <c r="G166" s="2">
        <f>YEAR(Sheet1[[#This Row],[Fecha ingreso]])</f>
        <v>2024</v>
      </c>
      <c r="H166" s="1" t="str">
        <f>TEXT(Sheet1[[#This Row],[Fecha ingreso]],"dddd")</f>
        <v>jueves</v>
      </c>
      <c r="I166" s="1">
        <v>45392</v>
      </c>
      <c r="J166" s="2">
        <f>DATEDIF(Sheet1[[#This Row],[Fecha ingreso]],Sheet1[[#This Row],[Fecha último pago]],"M")+1</f>
        <v>3</v>
      </c>
      <c r="K166" s="2">
        <f>Sheet1[[#This Row],[Ingresos mensuales]]*Sheet1[[#This Row],[Meses contratados]]</f>
        <v>266.45999999999998</v>
      </c>
      <c r="L166" t="s">
        <v>1818</v>
      </c>
      <c r="M166">
        <v>66</v>
      </c>
      <c r="N166" t="s">
        <v>1821</v>
      </c>
      <c r="O166" t="s">
        <v>1823</v>
      </c>
      <c r="P166" t="s">
        <v>1829</v>
      </c>
      <c r="Q166" cm="1">
        <f t="array" ref="Q166">_xlfn.IFS(P166="2 Years", 24,P166="1 Year",12, P166="6 Months",6, P166="1 Month",1)</f>
        <v>1</v>
      </c>
      <c r="R166" t="str" cm="1">
        <f t="array" ref="R166">_xlfn.IFS(Q166=1,"Mensual",Q166=6,"Semestral",Q166=12,"Anual",Q166=24,"Bienal")</f>
        <v>Mensual</v>
      </c>
      <c r="S166">
        <f>IFERROR(VLOOKUP(Sheet1[[#This Row],[ID usuario]],A167:$A$907,1,FALSE),0)</f>
        <v>0</v>
      </c>
    </row>
    <row r="167" spans="1:19" x14ac:dyDescent="0.25">
      <c r="A167" t="s">
        <v>165</v>
      </c>
      <c r="B167" t="s">
        <v>1070</v>
      </c>
      <c r="C167" t="s">
        <v>1810</v>
      </c>
      <c r="D167">
        <v>74.66</v>
      </c>
      <c r="E167" s="1">
        <v>44872</v>
      </c>
      <c r="F167" s="1" t="str">
        <f>TEXT(Sheet1[[#This Row],[Fecha ingreso]],"mmmm")</f>
        <v>noviembre</v>
      </c>
      <c r="G167" s="2">
        <f>YEAR(Sheet1[[#This Row],[Fecha ingreso]])</f>
        <v>2022</v>
      </c>
      <c r="H167" s="1" t="str">
        <f>TEXT(Sheet1[[#This Row],[Fecha ingreso]],"dddd")</f>
        <v>lunes</v>
      </c>
      <c r="I167" s="1">
        <v>45166</v>
      </c>
      <c r="J167" s="2">
        <f>DATEDIF(Sheet1[[#This Row],[Fecha ingreso]],Sheet1[[#This Row],[Fecha último pago]],"M")+1</f>
        <v>10</v>
      </c>
      <c r="K167" s="2">
        <f>Sheet1[[#This Row],[Ingresos mensuales]]*Sheet1[[#This Row],[Meses contratados]]</f>
        <v>746.59999999999991</v>
      </c>
      <c r="L167" t="s">
        <v>1813</v>
      </c>
      <c r="M167">
        <v>22</v>
      </c>
      <c r="N167" t="s">
        <v>1820</v>
      </c>
      <c r="O167" t="s">
        <v>1823</v>
      </c>
      <c r="P167" t="s">
        <v>1829</v>
      </c>
      <c r="Q167" cm="1">
        <f t="array" ref="Q167">_xlfn.IFS(P167="2 Years", 24,P167="1 Year",12, P167="6 Months",6, P167="1 Month",1)</f>
        <v>1</v>
      </c>
      <c r="R167" t="str" cm="1">
        <f t="array" ref="R167">_xlfn.IFS(Q167=1,"Mensual",Q167=6,"Semestral",Q167=12,"Anual",Q167=24,"Bienal")</f>
        <v>Mensual</v>
      </c>
      <c r="S167">
        <f>IFERROR(VLOOKUP(Sheet1[[#This Row],[ID usuario]],A168:$A$907,1,FALSE),0)</f>
        <v>0</v>
      </c>
    </row>
    <row r="168" spans="1:19" x14ac:dyDescent="0.25">
      <c r="A168" t="s">
        <v>166</v>
      </c>
      <c r="B168" t="s">
        <v>1071</v>
      </c>
      <c r="C168" t="s">
        <v>1810</v>
      </c>
      <c r="D168">
        <v>43.92</v>
      </c>
      <c r="E168" s="1">
        <v>45254</v>
      </c>
      <c r="F168" s="1" t="str">
        <f>TEXT(Sheet1[[#This Row],[Fecha ingreso]],"mmmm")</f>
        <v>noviembre</v>
      </c>
      <c r="G168" s="2">
        <f>YEAR(Sheet1[[#This Row],[Fecha ingreso]])</f>
        <v>2023</v>
      </c>
      <c r="H168" s="1" t="str">
        <f>TEXT(Sheet1[[#This Row],[Fecha ingreso]],"dddd")</f>
        <v>viernes</v>
      </c>
      <c r="I168" s="1">
        <v>45269</v>
      </c>
      <c r="J168" s="2">
        <f>DATEDIF(Sheet1[[#This Row],[Fecha ingreso]],Sheet1[[#This Row],[Fecha último pago]],"M")+1</f>
        <v>1</v>
      </c>
      <c r="K168" s="2">
        <f>Sheet1[[#This Row],[Ingresos mensuales]]*Sheet1[[#This Row],[Meses contratados]]</f>
        <v>43.92</v>
      </c>
      <c r="L168" t="s">
        <v>1815</v>
      </c>
      <c r="M168">
        <v>55</v>
      </c>
      <c r="N168" t="s">
        <v>1820</v>
      </c>
      <c r="O168" t="s">
        <v>1823</v>
      </c>
      <c r="P168" t="s">
        <v>1826</v>
      </c>
      <c r="Q168" cm="1">
        <f t="array" ref="Q168">_xlfn.IFS(P168="2 Years", 24,P168="1 Year",12, P168="6 Months",6, P168="1 Month",1)</f>
        <v>24</v>
      </c>
      <c r="R168" t="str" cm="1">
        <f t="array" ref="R168">_xlfn.IFS(Q168=1,"Mensual",Q168=6,"Semestral",Q168=12,"Anual",Q168=24,"Bienal")</f>
        <v>Bienal</v>
      </c>
      <c r="S168">
        <f>IFERROR(VLOOKUP(Sheet1[[#This Row],[ID usuario]],A169:$A$907,1,FALSE),0)</f>
        <v>0</v>
      </c>
    </row>
    <row r="169" spans="1:19" x14ac:dyDescent="0.25">
      <c r="A169" t="s">
        <v>167</v>
      </c>
      <c r="B169" t="s">
        <v>1072</v>
      </c>
      <c r="C169" t="s">
        <v>1811</v>
      </c>
      <c r="D169">
        <v>40.479999999999997</v>
      </c>
      <c r="E169" s="1">
        <v>44416</v>
      </c>
      <c r="F169" s="1" t="str">
        <f>TEXT(Sheet1[[#This Row],[Fecha ingreso]],"mmmm")</f>
        <v>agosto</v>
      </c>
      <c r="G169" s="2">
        <f>YEAR(Sheet1[[#This Row],[Fecha ingreso]])</f>
        <v>2021</v>
      </c>
      <c r="H169" s="1" t="str">
        <f>TEXT(Sheet1[[#This Row],[Fecha ingreso]],"dddd")</f>
        <v>domingo</v>
      </c>
      <c r="I169" s="1">
        <v>45305</v>
      </c>
      <c r="J169" s="2">
        <f>DATEDIF(Sheet1[[#This Row],[Fecha ingreso]],Sheet1[[#This Row],[Fecha último pago]],"M")+1</f>
        <v>30</v>
      </c>
      <c r="K169" s="2">
        <f>Sheet1[[#This Row],[Ingresos mensuales]]*Sheet1[[#This Row],[Meses contratados]]</f>
        <v>1214.3999999999999</v>
      </c>
      <c r="L169" t="s">
        <v>1815</v>
      </c>
      <c r="M169">
        <v>25</v>
      </c>
      <c r="N169" t="s">
        <v>1822</v>
      </c>
      <c r="O169" t="s">
        <v>1823</v>
      </c>
      <c r="P169" t="s">
        <v>1829</v>
      </c>
      <c r="Q169" cm="1">
        <f t="array" ref="Q169">_xlfn.IFS(P169="2 Years", 24,P169="1 Year",12, P169="6 Months",6, P169="1 Month",1)</f>
        <v>1</v>
      </c>
      <c r="R169" t="str" cm="1">
        <f t="array" ref="R169">_xlfn.IFS(Q169=1,"Mensual",Q169=6,"Semestral",Q169=12,"Anual",Q169=24,"Bienal")</f>
        <v>Mensual</v>
      </c>
      <c r="S169">
        <f>IFERROR(VLOOKUP(Sheet1[[#This Row],[ID usuario]],A170:$A$907,1,FALSE),0)</f>
        <v>0</v>
      </c>
    </row>
    <row r="170" spans="1:19" x14ac:dyDescent="0.25">
      <c r="A170" t="s">
        <v>168</v>
      </c>
      <c r="B170" t="s">
        <v>1073</v>
      </c>
      <c r="C170" t="s">
        <v>1812</v>
      </c>
      <c r="D170">
        <v>53.99</v>
      </c>
      <c r="E170" s="1">
        <v>44569</v>
      </c>
      <c r="F170" s="1" t="str">
        <f>TEXT(Sheet1[[#This Row],[Fecha ingreso]],"mmmm")</f>
        <v>enero</v>
      </c>
      <c r="G170" s="2">
        <f>YEAR(Sheet1[[#This Row],[Fecha ingreso]])</f>
        <v>2022</v>
      </c>
      <c r="H170" s="1" t="str">
        <f>TEXT(Sheet1[[#This Row],[Fecha ingreso]],"dddd")</f>
        <v>sábado</v>
      </c>
      <c r="I170" s="1">
        <v>44595</v>
      </c>
      <c r="J170" s="2">
        <f>DATEDIF(Sheet1[[#This Row],[Fecha ingreso]],Sheet1[[#This Row],[Fecha último pago]],"M")+1</f>
        <v>1</v>
      </c>
      <c r="K170" s="2">
        <f>Sheet1[[#This Row],[Ingresos mensuales]]*Sheet1[[#This Row],[Meses contratados]]</f>
        <v>53.99</v>
      </c>
      <c r="L170" t="s">
        <v>1813</v>
      </c>
      <c r="M170">
        <v>21</v>
      </c>
      <c r="N170" t="s">
        <v>1820</v>
      </c>
      <c r="O170" t="s">
        <v>1823</v>
      </c>
      <c r="P170" t="s">
        <v>1828</v>
      </c>
      <c r="Q170" cm="1">
        <f t="array" ref="Q170">_xlfn.IFS(P170="2 Years", 24,P170="1 Year",12, P170="6 Months",6, P170="1 Month",1)</f>
        <v>6</v>
      </c>
      <c r="R170" t="str" cm="1">
        <f t="array" ref="R170">_xlfn.IFS(Q170=1,"Mensual",Q170=6,"Semestral",Q170=12,"Anual",Q170=24,"Bienal")</f>
        <v>Semestral</v>
      </c>
      <c r="S170">
        <f>IFERROR(VLOOKUP(Sheet1[[#This Row],[ID usuario]],A171:$A$907,1,FALSE),0)</f>
        <v>0</v>
      </c>
    </row>
    <row r="171" spans="1:19" x14ac:dyDescent="0.25">
      <c r="A171" t="s">
        <v>169</v>
      </c>
      <c r="B171" t="s">
        <v>1074</v>
      </c>
      <c r="C171" t="s">
        <v>1811</v>
      </c>
      <c r="D171">
        <v>89.46</v>
      </c>
      <c r="E171" s="1">
        <v>45384</v>
      </c>
      <c r="F171" s="1" t="str">
        <f>TEXT(Sheet1[[#This Row],[Fecha ingreso]],"mmmm")</f>
        <v>abril</v>
      </c>
      <c r="G171" s="2">
        <f>YEAR(Sheet1[[#This Row],[Fecha ingreso]])</f>
        <v>2024</v>
      </c>
      <c r="H171" s="1" t="str">
        <f>TEXT(Sheet1[[#This Row],[Fecha ingreso]],"dddd")</f>
        <v>martes</v>
      </c>
      <c r="I171" s="1">
        <v>45449</v>
      </c>
      <c r="J171" s="2">
        <f>DATEDIF(Sheet1[[#This Row],[Fecha ingreso]],Sheet1[[#This Row],[Fecha último pago]],"M")+1</f>
        <v>3</v>
      </c>
      <c r="K171" s="2">
        <f>Sheet1[[#This Row],[Ingresos mensuales]]*Sheet1[[#This Row],[Meses contratados]]</f>
        <v>268.38</v>
      </c>
      <c r="L171" t="s">
        <v>1813</v>
      </c>
      <c r="M171">
        <v>39</v>
      </c>
      <c r="N171" t="s">
        <v>1822</v>
      </c>
      <c r="O171" t="s">
        <v>1825</v>
      </c>
      <c r="P171" t="s">
        <v>1826</v>
      </c>
      <c r="Q171" cm="1">
        <f t="array" ref="Q171">_xlfn.IFS(P171="2 Years", 24,P171="1 Year",12, P171="6 Months",6, P171="1 Month",1)</f>
        <v>24</v>
      </c>
      <c r="R171" t="str" cm="1">
        <f t="array" ref="R171">_xlfn.IFS(Q171=1,"Mensual",Q171=6,"Semestral",Q171=12,"Anual",Q171=24,"Bienal")</f>
        <v>Bienal</v>
      </c>
      <c r="S171">
        <f>IFERROR(VLOOKUP(Sheet1[[#This Row],[ID usuario]],A172:$A$907,1,FALSE),0)</f>
        <v>0</v>
      </c>
    </row>
    <row r="172" spans="1:19" x14ac:dyDescent="0.25">
      <c r="A172" t="s">
        <v>170</v>
      </c>
      <c r="B172" t="s">
        <v>1075</v>
      </c>
      <c r="C172" t="s">
        <v>1811</v>
      </c>
      <c r="D172">
        <v>75.040000000000006</v>
      </c>
      <c r="E172" s="1">
        <v>44566</v>
      </c>
      <c r="F172" s="1" t="str">
        <f>TEXT(Sheet1[[#This Row],[Fecha ingreso]],"mmmm")</f>
        <v>enero</v>
      </c>
      <c r="G172" s="2">
        <f>YEAR(Sheet1[[#This Row],[Fecha ingreso]])</f>
        <v>2022</v>
      </c>
      <c r="H172" s="1" t="str">
        <f>TEXT(Sheet1[[#This Row],[Fecha ingreso]],"dddd")</f>
        <v>miércoles</v>
      </c>
      <c r="I172" s="1">
        <v>44903</v>
      </c>
      <c r="J172" s="2">
        <f>DATEDIF(Sheet1[[#This Row],[Fecha ingreso]],Sheet1[[#This Row],[Fecha último pago]],"M")+1</f>
        <v>12</v>
      </c>
      <c r="K172" s="2">
        <f>Sheet1[[#This Row],[Ingresos mensuales]]*Sheet1[[#This Row],[Meses contratados]]</f>
        <v>900.48</v>
      </c>
      <c r="L172" t="s">
        <v>1813</v>
      </c>
      <c r="M172">
        <v>39</v>
      </c>
      <c r="N172" t="s">
        <v>1820</v>
      </c>
      <c r="O172" t="s">
        <v>1824</v>
      </c>
      <c r="P172" t="s">
        <v>1826</v>
      </c>
      <c r="Q172" cm="1">
        <f t="array" ref="Q172">_xlfn.IFS(P172="2 Years", 24,P172="1 Year",12, P172="6 Months",6, P172="1 Month",1)</f>
        <v>24</v>
      </c>
      <c r="R172" t="str" cm="1">
        <f t="array" ref="R172">_xlfn.IFS(Q172=1,"Mensual",Q172=6,"Semestral",Q172=12,"Anual",Q172=24,"Bienal")</f>
        <v>Bienal</v>
      </c>
      <c r="S172">
        <f>IFERROR(VLOOKUP(Sheet1[[#This Row],[ID usuario]],A173:$A$907,1,FALSE),0)</f>
        <v>0</v>
      </c>
    </row>
    <row r="173" spans="1:19" x14ac:dyDescent="0.25">
      <c r="A173" t="s">
        <v>171</v>
      </c>
      <c r="B173" t="s">
        <v>1076</v>
      </c>
      <c r="C173" t="s">
        <v>1810</v>
      </c>
      <c r="D173">
        <v>5.49</v>
      </c>
      <c r="E173" s="1">
        <v>44867</v>
      </c>
      <c r="F173" s="1" t="str">
        <f>TEXT(Sheet1[[#This Row],[Fecha ingreso]],"mmmm")</f>
        <v>noviembre</v>
      </c>
      <c r="G173" s="2">
        <f>YEAR(Sheet1[[#This Row],[Fecha ingreso]])</f>
        <v>2022</v>
      </c>
      <c r="H173" s="1" t="str">
        <f>TEXT(Sheet1[[#This Row],[Fecha ingreso]],"dddd")</f>
        <v>miércoles</v>
      </c>
      <c r="I173" s="1">
        <v>45264</v>
      </c>
      <c r="J173" s="2">
        <f>DATEDIF(Sheet1[[#This Row],[Fecha ingreso]],Sheet1[[#This Row],[Fecha último pago]],"M")+1</f>
        <v>14</v>
      </c>
      <c r="K173" s="2">
        <f>Sheet1[[#This Row],[Ingresos mensuales]]*Sheet1[[#This Row],[Meses contratados]]</f>
        <v>76.86</v>
      </c>
      <c r="L173" t="s">
        <v>1817</v>
      </c>
      <c r="M173">
        <v>44</v>
      </c>
      <c r="N173" t="s">
        <v>1820</v>
      </c>
      <c r="O173" t="s">
        <v>1823</v>
      </c>
      <c r="P173" t="s">
        <v>1829</v>
      </c>
      <c r="Q173" cm="1">
        <f t="array" ref="Q173">_xlfn.IFS(P173="2 Years", 24,P173="1 Year",12, P173="6 Months",6, P173="1 Month",1)</f>
        <v>1</v>
      </c>
      <c r="R173" t="str" cm="1">
        <f t="array" ref="R173">_xlfn.IFS(Q173=1,"Mensual",Q173=6,"Semestral",Q173=12,"Anual",Q173=24,"Bienal")</f>
        <v>Mensual</v>
      </c>
      <c r="S173">
        <f>IFERROR(VLOOKUP(Sheet1[[#This Row],[ID usuario]],A174:$A$907,1,FALSE),0)</f>
        <v>0</v>
      </c>
    </row>
    <row r="174" spans="1:19" x14ac:dyDescent="0.25">
      <c r="A174" t="s">
        <v>172</v>
      </c>
      <c r="B174" t="s">
        <v>1077</v>
      </c>
      <c r="C174" t="s">
        <v>1810</v>
      </c>
      <c r="D174">
        <v>70.94</v>
      </c>
      <c r="E174" s="1">
        <v>45072</v>
      </c>
      <c r="F174" s="1" t="str">
        <f>TEXT(Sheet1[[#This Row],[Fecha ingreso]],"mmmm")</f>
        <v>mayo</v>
      </c>
      <c r="G174" s="2">
        <f>YEAR(Sheet1[[#This Row],[Fecha ingreso]])</f>
        <v>2023</v>
      </c>
      <c r="H174" s="1" t="str">
        <f>TEXT(Sheet1[[#This Row],[Fecha ingreso]],"dddd")</f>
        <v>viernes</v>
      </c>
      <c r="I174" s="1">
        <v>45282</v>
      </c>
      <c r="J174" s="2">
        <f>DATEDIF(Sheet1[[#This Row],[Fecha ingreso]],Sheet1[[#This Row],[Fecha último pago]],"M")+1</f>
        <v>7</v>
      </c>
      <c r="K174" s="2">
        <f>Sheet1[[#This Row],[Ingresos mensuales]]*Sheet1[[#This Row],[Meses contratados]]</f>
        <v>496.58</v>
      </c>
      <c r="L174" t="s">
        <v>1818</v>
      </c>
      <c r="M174">
        <v>20</v>
      </c>
      <c r="N174" t="s">
        <v>1820</v>
      </c>
      <c r="O174" t="s">
        <v>1825</v>
      </c>
      <c r="P174" t="s">
        <v>1826</v>
      </c>
      <c r="Q174" cm="1">
        <f t="array" ref="Q174">_xlfn.IFS(P174="2 Years", 24,P174="1 Year",12, P174="6 Months",6, P174="1 Month",1)</f>
        <v>24</v>
      </c>
      <c r="R174" t="str" cm="1">
        <f t="array" ref="R174">_xlfn.IFS(Q174=1,"Mensual",Q174=6,"Semestral",Q174=12,"Anual",Q174=24,"Bienal")</f>
        <v>Bienal</v>
      </c>
      <c r="S174">
        <f>IFERROR(VLOOKUP(Sheet1[[#This Row],[ID usuario]],A175:$A$907,1,FALSE),0)</f>
        <v>0</v>
      </c>
    </row>
    <row r="175" spans="1:19" x14ac:dyDescent="0.25">
      <c r="A175" t="s">
        <v>173</v>
      </c>
      <c r="B175" t="s">
        <v>1078</v>
      </c>
      <c r="C175" t="s">
        <v>1811</v>
      </c>
      <c r="D175">
        <v>92.35</v>
      </c>
      <c r="E175" s="1">
        <v>45003</v>
      </c>
      <c r="F175" s="1" t="str">
        <f>TEXT(Sheet1[[#This Row],[Fecha ingreso]],"mmmm")</f>
        <v>marzo</v>
      </c>
      <c r="G175" s="2">
        <f>YEAR(Sheet1[[#This Row],[Fecha ingreso]])</f>
        <v>2023</v>
      </c>
      <c r="H175" s="1" t="str">
        <f>TEXT(Sheet1[[#This Row],[Fecha ingreso]],"dddd")</f>
        <v>sábado</v>
      </c>
      <c r="I175" s="1">
        <v>45313</v>
      </c>
      <c r="J175" s="2">
        <f>DATEDIF(Sheet1[[#This Row],[Fecha ingreso]],Sheet1[[#This Row],[Fecha último pago]],"M")+1</f>
        <v>11</v>
      </c>
      <c r="K175" s="2">
        <f>Sheet1[[#This Row],[Ingresos mensuales]]*Sheet1[[#This Row],[Meses contratados]]</f>
        <v>1015.8499999999999</v>
      </c>
      <c r="L175" t="s">
        <v>1813</v>
      </c>
      <c r="M175">
        <v>46</v>
      </c>
      <c r="N175" t="s">
        <v>1822</v>
      </c>
      <c r="O175" t="s">
        <v>1823</v>
      </c>
      <c r="P175" t="s">
        <v>1828</v>
      </c>
      <c r="Q175" cm="1">
        <f t="array" ref="Q175">_xlfn.IFS(P175="2 Years", 24,P175="1 Year",12, P175="6 Months",6, P175="1 Month",1)</f>
        <v>6</v>
      </c>
      <c r="R175" t="str" cm="1">
        <f t="array" ref="R175">_xlfn.IFS(Q175=1,"Mensual",Q175=6,"Semestral",Q175=12,"Anual",Q175=24,"Bienal")</f>
        <v>Semestral</v>
      </c>
      <c r="S175">
        <f>IFERROR(VLOOKUP(Sheet1[[#This Row],[ID usuario]],A176:$A$907,1,FALSE),0)</f>
        <v>0</v>
      </c>
    </row>
    <row r="176" spans="1:19" x14ac:dyDescent="0.25">
      <c r="A176" t="s">
        <v>174</v>
      </c>
      <c r="B176" t="s">
        <v>1079</v>
      </c>
      <c r="C176" t="s">
        <v>1812</v>
      </c>
      <c r="D176">
        <v>72.489999999999995</v>
      </c>
      <c r="E176" s="1">
        <v>45388</v>
      </c>
      <c r="F176" s="1" t="str">
        <f>TEXT(Sheet1[[#This Row],[Fecha ingreso]],"mmmm")</f>
        <v>abril</v>
      </c>
      <c r="G176" s="2">
        <f>YEAR(Sheet1[[#This Row],[Fecha ingreso]])</f>
        <v>2024</v>
      </c>
      <c r="H176" s="1" t="str">
        <f>TEXT(Sheet1[[#This Row],[Fecha ingreso]],"dddd")</f>
        <v>sábado</v>
      </c>
      <c r="I176" s="1">
        <v>45417</v>
      </c>
      <c r="J176" s="2">
        <f>DATEDIF(Sheet1[[#This Row],[Fecha ingreso]],Sheet1[[#This Row],[Fecha último pago]],"M")+1</f>
        <v>1</v>
      </c>
      <c r="K176" s="2">
        <f>Sheet1[[#This Row],[Ingresos mensuales]]*Sheet1[[#This Row],[Meses contratados]]</f>
        <v>72.489999999999995</v>
      </c>
      <c r="L176" t="s">
        <v>1814</v>
      </c>
      <c r="M176">
        <v>65</v>
      </c>
      <c r="N176" t="s">
        <v>1820</v>
      </c>
      <c r="O176" t="s">
        <v>1824</v>
      </c>
      <c r="P176" t="s">
        <v>1828</v>
      </c>
      <c r="Q176" cm="1">
        <f t="array" ref="Q176">_xlfn.IFS(P176="2 Years", 24,P176="1 Year",12, P176="6 Months",6, P176="1 Month",1)</f>
        <v>6</v>
      </c>
      <c r="R176" t="str" cm="1">
        <f t="array" ref="R176">_xlfn.IFS(Q176=1,"Mensual",Q176=6,"Semestral",Q176=12,"Anual",Q176=24,"Bienal")</f>
        <v>Semestral</v>
      </c>
      <c r="S176">
        <f>IFERROR(VLOOKUP(Sheet1[[#This Row],[ID usuario]],A177:$A$907,1,FALSE),0)</f>
        <v>0</v>
      </c>
    </row>
    <row r="177" spans="1:19" x14ac:dyDescent="0.25">
      <c r="A177" t="s">
        <v>175</v>
      </c>
      <c r="B177" t="s">
        <v>1080</v>
      </c>
      <c r="C177" t="s">
        <v>1810</v>
      </c>
      <c r="D177">
        <v>21.82</v>
      </c>
      <c r="E177" s="1">
        <v>44728</v>
      </c>
      <c r="F177" s="1" t="str">
        <f>TEXT(Sheet1[[#This Row],[Fecha ingreso]],"mmmm")</f>
        <v>junio</v>
      </c>
      <c r="G177" s="2">
        <f>YEAR(Sheet1[[#This Row],[Fecha ingreso]])</f>
        <v>2022</v>
      </c>
      <c r="H177" s="1" t="str">
        <f>TEXT(Sheet1[[#This Row],[Fecha ingreso]],"dddd")</f>
        <v>jueves</v>
      </c>
      <c r="I177" s="1">
        <v>44762</v>
      </c>
      <c r="J177" s="2">
        <f>DATEDIF(Sheet1[[#This Row],[Fecha ingreso]],Sheet1[[#This Row],[Fecha último pago]],"M")+1</f>
        <v>2</v>
      </c>
      <c r="K177" s="2">
        <f>Sheet1[[#This Row],[Ingresos mensuales]]*Sheet1[[#This Row],[Meses contratados]]</f>
        <v>43.64</v>
      </c>
      <c r="L177" t="s">
        <v>1816</v>
      </c>
      <c r="M177">
        <v>50</v>
      </c>
      <c r="N177" t="s">
        <v>1820</v>
      </c>
      <c r="O177" t="s">
        <v>1824</v>
      </c>
      <c r="P177" t="s">
        <v>1827</v>
      </c>
      <c r="Q177" cm="1">
        <f t="array" ref="Q177">_xlfn.IFS(P177="2 Years", 24,P177="1 Year",12, P177="6 Months",6, P177="1 Month",1)</f>
        <v>12</v>
      </c>
      <c r="R177" t="str" cm="1">
        <f t="array" ref="R177">_xlfn.IFS(Q177=1,"Mensual",Q177=6,"Semestral",Q177=12,"Anual",Q177=24,"Bienal")</f>
        <v>Anual</v>
      </c>
      <c r="S177">
        <f>IFERROR(VLOOKUP(Sheet1[[#This Row],[ID usuario]],A178:$A$907,1,FALSE),0)</f>
        <v>0</v>
      </c>
    </row>
    <row r="178" spans="1:19" x14ac:dyDescent="0.25">
      <c r="A178" t="s">
        <v>176</v>
      </c>
      <c r="B178" t="s">
        <v>1081</v>
      </c>
      <c r="C178" t="s">
        <v>1812</v>
      </c>
      <c r="D178">
        <v>50.93</v>
      </c>
      <c r="E178" s="1">
        <v>44636</v>
      </c>
      <c r="F178" s="1" t="str">
        <f>TEXT(Sheet1[[#This Row],[Fecha ingreso]],"mmmm")</f>
        <v>marzo</v>
      </c>
      <c r="G178" s="2">
        <f>YEAR(Sheet1[[#This Row],[Fecha ingreso]])</f>
        <v>2022</v>
      </c>
      <c r="H178" s="1" t="str">
        <f>TEXT(Sheet1[[#This Row],[Fecha ingreso]],"dddd")</f>
        <v>miércoles</v>
      </c>
      <c r="I178" s="1">
        <v>45129</v>
      </c>
      <c r="J178" s="2">
        <f>DATEDIF(Sheet1[[#This Row],[Fecha ingreso]],Sheet1[[#This Row],[Fecha último pago]],"M")+1</f>
        <v>17</v>
      </c>
      <c r="K178" s="2">
        <f>Sheet1[[#This Row],[Ingresos mensuales]]*Sheet1[[#This Row],[Meses contratados]]</f>
        <v>865.81</v>
      </c>
      <c r="L178" t="s">
        <v>1815</v>
      </c>
      <c r="M178">
        <v>55</v>
      </c>
      <c r="N178" t="s">
        <v>1821</v>
      </c>
      <c r="O178" t="s">
        <v>1824</v>
      </c>
      <c r="P178" t="s">
        <v>1828</v>
      </c>
      <c r="Q178" cm="1">
        <f t="array" ref="Q178">_xlfn.IFS(P178="2 Years", 24,P178="1 Year",12, P178="6 Months",6, P178="1 Month",1)</f>
        <v>6</v>
      </c>
      <c r="R178" t="str" cm="1">
        <f t="array" ref="R178">_xlfn.IFS(Q178=1,"Mensual",Q178=6,"Semestral",Q178=12,"Anual",Q178=24,"Bienal")</f>
        <v>Semestral</v>
      </c>
      <c r="S178">
        <f>IFERROR(VLOOKUP(Sheet1[[#This Row],[ID usuario]],A179:$A$907,1,FALSE),0)</f>
        <v>0</v>
      </c>
    </row>
    <row r="179" spans="1:19" x14ac:dyDescent="0.25">
      <c r="A179" t="s">
        <v>177</v>
      </c>
      <c r="B179" t="s">
        <v>1082</v>
      </c>
      <c r="C179" t="s">
        <v>1812</v>
      </c>
      <c r="D179">
        <v>18.329999999999998</v>
      </c>
      <c r="E179" s="1">
        <v>44706</v>
      </c>
      <c r="F179" s="1" t="str">
        <f>TEXT(Sheet1[[#This Row],[Fecha ingreso]],"mmmm")</f>
        <v>mayo</v>
      </c>
      <c r="G179" s="2">
        <f>YEAR(Sheet1[[#This Row],[Fecha ingreso]])</f>
        <v>2022</v>
      </c>
      <c r="H179" s="1" t="str">
        <f>TEXT(Sheet1[[#This Row],[Fecha ingreso]],"dddd")</f>
        <v>miércoles</v>
      </c>
      <c r="I179" s="1">
        <v>44833</v>
      </c>
      <c r="J179" s="2">
        <f>DATEDIF(Sheet1[[#This Row],[Fecha ingreso]],Sheet1[[#This Row],[Fecha último pago]],"M")+1</f>
        <v>5</v>
      </c>
      <c r="K179" s="2">
        <f>Sheet1[[#This Row],[Ingresos mensuales]]*Sheet1[[#This Row],[Meses contratados]]</f>
        <v>91.649999999999991</v>
      </c>
      <c r="L179" t="s">
        <v>1815</v>
      </c>
      <c r="M179">
        <v>51</v>
      </c>
      <c r="N179" t="s">
        <v>1821</v>
      </c>
      <c r="O179" t="s">
        <v>1824</v>
      </c>
      <c r="P179" t="s">
        <v>1829</v>
      </c>
      <c r="Q179" cm="1">
        <f t="array" ref="Q179">_xlfn.IFS(P179="2 Years", 24,P179="1 Year",12, P179="6 Months",6, P179="1 Month",1)</f>
        <v>1</v>
      </c>
      <c r="R179" t="str" cm="1">
        <f t="array" ref="R179">_xlfn.IFS(Q179=1,"Mensual",Q179=6,"Semestral",Q179=12,"Anual",Q179=24,"Bienal")</f>
        <v>Mensual</v>
      </c>
      <c r="S179">
        <f>IFERROR(VLOOKUP(Sheet1[[#This Row],[ID usuario]],A180:$A$907,1,FALSE),0)</f>
        <v>0</v>
      </c>
    </row>
    <row r="180" spans="1:19" x14ac:dyDescent="0.25">
      <c r="A180" t="s">
        <v>178</v>
      </c>
      <c r="B180" t="s">
        <v>1083</v>
      </c>
      <c r="C180" t="s">
        <v>1811</v>
      </c>
      <c r="D180">
        <v>39.1</v>
      </c>
      <c r="E180" s="1">
        <v>45301</v>
      </c>
      <c r="F180" s="1" t="str">
        <f>TEXT(Sheet1[[#This Row],[Fecha ingreso]],"mmmm")</f>
        <v>enero</v>
      </c>
      <c r="G180" s="2">
        <f>YEAR(Sheet1[[#This Row],[Fecha ingreso]])</f>
        <v>2024</v>
      </c>
      <c r="H180" s="1" t="str">
        <f>TEXT(Sheet1[[#This Row],[Fecha ingreso]],"dddd")</f>
        <v>miércoles</v>
      </c>
      <c r="I180" s="1">
        <v>45377</v>
      </c>
      <c r="J180" s="2">
        <f>DATEDIF(Sheet1[[#This Row],[Fecha ingreso]],Sheet1[[#This Row],[Fecha último pago]],"M")+1</f>
        <v>3</v>
      </c>
      <c r="K180" s="2">
        <f>Sheet1[[#This Row],[Ingresos mensuales]]*Sheet1[[#This Row],[Meses contratados]]</f>
        <v>117.30000000000001</v>
      </c>
      <c r="L180" t="s">
        <v>1813</v>
      </c>
      <c r="M180">
        <v>53</v>
      </c>
      <c r="N180" t="s">
        <v>1820</v>
      </c>
      <c r="O180" t="s">
        <v>1825</v>
      </c>
      <c r="P180" t="s">
        <v>1827</v>
      </c>
      <c r="Q180" cm="1">
        <f t="array" ref="Q180">_xlfn.IFS(P180="2 Years", 24,P180="1 Year",12, P180="6 Months",6, P180="1 Month",1)</f>
        <v>12</v>
      </c>
      <c r="R180" t="str" cm="1">
        <f t="array" ref="R180">_xlfn.IFS(Q180=1,"Mensual",Q180=6,"Semestral",Q180=12,"Anual",Q180=24,"Bienal")</f>
        <v>Anual</v>
      </c>
      <c r="S180">
        <f>IFERROR(VLOOKUP(Sheet1[[#This Row],[ID usuario]],A181:$A$907,1,FALSE),0)</f>
        <v>0</v>
      </c>
    </row>
    <row r="181" spans="1:19" x14ac:dyDescent="0.25">
      <c r="A181" t="s">
        <v>179</v>
      </c>
      <c r="B181" t="s">
        <v>1084</v>
      </c>
      <c r="C181" t="s">
        <v>1811</v>
      </c>
      <c r="D181">
        <v>94.03</v>
      </c>
      <c r="E181" s="1">
        <v>44544</v>
      </c>
      <c r="F181" s="1" t="str">
        <f>TEXT(Sheet1[[#This Row],[Fecha ingreso]],"mmmm")</f>
        <v>diciembre</v>
      </c>
      <c r="G181" s="2">
        <f>YEAR(Sheet1[[#This Row],[Fecha ingreso]])</f>
        <v>2021</v>
      </c>
      <c r="H181" s="1" t="str">
        <f>TEXT(Sheet1[[#This Row],[Fecha ingreso]],"dddd")</f>
        <v>martes</v>
      </c>
      <c r="I181" s="1">
        <v>45381</v>
      </c>
      <c r="J181" s="2">
        <f>DATEDIF(Sheet1[[#This Row],[Fecha ingreso]],Sheet1[[#This Row],[Fecha último pago]],"M")+1</f>
        <v>28</v>
      </c>
      <c r="K181" s="2">
        <f>Sheet1[[#This Row],[Ingresos mensuales]]*Sheet1[[#This Row],[Meses contratados]]</f>
        <v>2632.84</v>
      </c>
      <c r="L181" t="s">
        <v>1818</v>
      </c>
      <c r="M181">
        <v>50</v>
      </c>
      <c r="N181" t="s">
        <v>1822</v>
      </c>
      <c r="O181" t="s">
        <v>1824</v>
      </c>
      <c r="P181" t="s">
        <v>1826</v>
      </c>
      <c r="Q181" cm="1">
        <f t="array" ref="Q181">_xlfn.IFS(P181="2 Years", 24,P181="1 Year",12, P181="6 Months",6, P181="1 Month",1)</f>
        <v>24</v>
      </c>
      <c r="R181" t="str" cm="1">
        <f t="array" ref="R181">_xlfn.IFS(Q181=1,"Mensual",Q181=6,"Semestral",Q181=12,"Anual",Q181=24,"Bienal")</f>
        <v>Bienal</v>
      </c>
      <c r="S181">
        <f>IFERROR(VLOOKUP(Sheet1[[#This Row],[ID usuario]],A182:$A$907,1,FALSE),0)</f>
        <v>0</v>
      </c>
    </row>
    <row r="182" spans="1:19" x14ac:dyDescent="0.25">
      <c r="A182" t="s">
        <v>180</v>
      </c>
      <c r="B182" t="s">
        <v>1085</v>
      </c>
      <c r="C182" t="s">
        <v>1811</v>
      </c>
      <c r="D182">
        <v>92.71</v>
      </c>
      <c r="E182" s="1">
        <v>45404</v>
      </c>
      <c r="F182" s="1" t="str">
        <f>TEXT(Sheet1[[#This Row],[Fecha ingreso]],"mmmm")</f>
        <v>abril</v>
      </c>
      <c r="G182" s="2">
        <f>YEAR(Sheet1[[#This Row],[Fecha ingreso]])</f>
        <v>2024</v>
      </c>
      <c r="H182" s="1" t="str">
        <f>TEXT(Sheet1[[#This Row],[Fecha ingreso]],"dddd")</f>
        <v>lunes</v>
      </c>
      <c r="I182" s="1">
        <v>45421</v>
      </c>
      <c r="J182" s="2">
        <f>DATEDIF(Sheet1[[#This Row],[Fecha ingreso]],Sheet1[[#This Row],[Fecha último pago]],"M")+1</f>
        <v>1</v>
      </c>
      <c r="K182" s="2">
        <f>Sheet1[[#This Row],[Ingresos mensuales]]*Sheet1[[#This Row],[Meses contratados]]</f>
        <v>92.71</v>
      </c>
      <c r="L182" t="s">
        <v>1813</v>
      </c>
      <c r="M182">
        <v>57</v>
      </c>
      <c r="N182" t="s">
        <v>1821</v>
      </c>
      <c r="O182" t="s">
        <v>1823</v>
      </c>
      <c r="P182" t="s">
        <v>1827</v>
      </c>
      <c r="Q182" cm="1">
        <f t="array" ref="Q182">_xlfn.IFS(P182="2 Years", 24,P182="1 Year",12, P182="6 Months",6, P182="1 Month",1)</f>
        <v>12</v>
      </c>
      <c r="R182" t="str" cm="1">
        <f t="array" ref="R182">_xlfn.IFS(Q182=1,"Mensual",Q182=6,"Semestral",Q182=12,"Anual",Q182=24,"Bienal")</f>
        <v>Anual</v>
      </c>
      <c r="S182">
        <f>IFERROR(VLOOKUP(Sheet1[[#This Row],[ID usuario]],A183:$A$907,1,FALSE),0)</f>
        <v>0</v>
      </c>
    </row>
    <row r="183" spans="1:19" x14ac:dyDescent="0.25">
      <c r="A183" t="s">
        <v>181</v>
      </c>
      <c r="B183" t="s">
        <v>1086</v>
      </c>
      <c r="C183" t="s">
        <v>1812</v>
      </c>
      <c r="D183">
        <v>31.87</v>
      </c>
      <c r="E183" s="1">
        <v>44502</v>
      </c>
      <c r="F183" s="1" t="str">
        <f>TEXT(Sheet1[[#This Row],[Fecha ingreso]],"mmmm")</f>
        <v>noviembre</v>
      </c>
      <c r="G183" s="2">
        <f>YEAR(Sheet1[[#This Row],[Fecha ingreso]])</f>
        <v>2021</v>
      </c>
      <c r="H183" s="1" t="str">
        <f>TEXT(Sheet1[[#This Row],[Fecha ingreso]],"dddd")</f>
        <v>martes</v>
      </c>
      <c r="I183" s="1">
        <v>44709</v>
      </c>
      <c r="J183" s="2">
        <f>DATEDIF(Sheet1[[#This Row],[Fecha ingreso]],Sheet1[[#This Row],[Fecha último pago]],"M")+1</f>
        <v>7</v>
      </c>
      <c r="K183" s="2">
        <f>Sheet1[[#This Row],[Ingresos mensuales]]*Sheet1[[#This Row],[Meses contratados]]</f>
        <v>223.09</v>
      </c>
      <c r="L183" t="s">
        <v>1818</v>
      </c>
      <c r="M183">
        <v>35</v>
      </c>
      <c r="N183" t="s">
        <v>1822</v>
      </c>
      <c r="O183" t="s">
        <v>1824</v>
      </c>
      <c r="P183" t="s">
        <v>1827</v>
      </c>
      <c r="Q183" cm="1">
        <f t="array" ref="Q183">_xlfn.IFS(P183="2 Years", 24,P183="1 Year",12, P183="6 Months",6, P183="1 Month",1)</f>
        <v>12</v>
      </c>
      <c r="R183" t="str" cm="1">
        <f t="array" ref="R183">_xlfn.IFS(Q183=1,"Mensual",Q183=6,"Semestral",Q183=12,"Anual",Q183=24,"Bienal")</f>
        <v>Anual</v>
      </c>
      <c r="S183">
        <f>IFERROR(VLOOKUP(Sheet1[[#This Row],[ID usuario]],A184:$A$907,1,FALSE),0)</f>
        <v>0</v>
      </c>
    </row>
    <row r="184" spans="1:19" x14ac:dyDescent="0.25">
      <c r="A184" t="s">
        <v>182</v>
      </c>
      <c r="B184" t="s">
        <v>1087</v>
      </c>
      <c r="C184" t="s">
        <v>1810</v>
      </c>
      <c r="D184">
        <v>37.26</v>
      </c>
      <c r="E184" s="1">
        <v>44602</v>
      </c>
      <c r="F184" s="1" t="str">
        <f>TEXT(Sheet1[[#This Row],[Fecha ingreso]],"mmmm")</f>
        <v>febrero</v>
      </c>
      <c r="G184" s="2">
        <f>YEAR(Sheet1[[#This Row],[Fecha ingreso]])</f>
        <v>2022</v>
      </c>
      <c r="H184" s="1" t="str">
        <f>TEXT(Sheet1[[#This Row],[Fecha ingreso]],"dddd")</f>
        <v>jueves</v>
      </c>
      <c r="I184" s="1">
        <v>45235</v>
      </c>
      <c r="J184" s="2">
        <f>DATEDIF(Sheet1[[#This Row],[Fecha ingreso]],Sheet1[[#This Row],[Fecha último pago]],"M")+1</f>
        <v>21</v>
      </c>
      <c r="K184" s="2">
        <f>Sheet1[[#This Row],[Ingresos mensuales]]*Sheet1[[#This Row],[Meses contratados]]</f>
        <v>782.45999999999992</v>
      </c>
      <c r="L184" t="s">
        <v>1813</v>
      </c>
      <c r="M184">
        <v>27</v>
      </c>
      <c r="N184" t="s">
        <v>1820</v>
      </c>
      <c r="O184" t="s">
        <v>1825</v>
      </c>
      <c r="P184" t="s">
        <v>1828</v>
      </c>
      <c r="Q184" cm="1">
        <f t="array" ref="Q184">_xlfn.IFS(P184="2 Years", 24,P184="1 Year",12, P184="6 Months",6, P184="1 Month",1)</f>
        <v>6</v>
      </c>
      <c r="R184" t="str" cm="1">
        <f t="array" ref="R184">_xlfn.IFS(Q184=1,"Mensual",Q184=6,"Semestral",Q184=12,"Anual",Q184=24,"Bienal")</f>
        <v>Semestral</v>
      </c>
      <c r="S184">
        <f>IFERROR(VLOOKUP(Sheet1[[#This Row],[ID usuario]],A185:$A$907,1,FALSE),0)</f>
        <v>0</v>
      </c>
    </row>
    <row r="185" spans="1:19" x14ac:dyDescent="0.25">
      <c r="A185" t="s">
        <v>183</v>
      </c>
      <c r="B185" t="s">
        <v>1088</v>
      </c>
      <c r="C185" t="s">
        <v>1810</v>
      </c>
      <c r="D185">
        <v>62.02</v>
      </c>
      <c r="E185" s="1">
        <v>45184</v>
      </c>
      <c r="F185" s="1" t="str">
        <f>TEXT(Sheet1[[#This Row],[Fecha ingreso]],"mmmm")</f>
        <v>septiembre</v>
      </c>
      <c r="G185" s="2">
        <f>YEAR(Sheet1[[#This Row],[Fecha ingreso]])</f>
        <v>2023</v>
      </c>
      <c r="H185" s="1" t="str">
        <f>TEXT(Sheet1[[#This Row],[Fecha ingreso]],"dddd")</f>
        <v>viernes</v>
      </c>
      <c r="I185" s="1">
        <v>45270</v>
      </c>
      <c r="J185" s="2">
        <f>DATEDIF(Sheet1[[#This Row],[Fecha ingreso]],Sheet1[[#This Row],[Fecha último pago]],"M")+1</f>
        <v>3</v>
      </c>
      <c r="K185" s="2">
        <f>Sheet1[[#This Row],[Ingresos mensuales]]*Sheet1[[#This Row],[Meses contratados]]</f>
        <v>186.06</v>
      </c>
      <c r="L185" t="s">
        <v>1817</v>
      </c>
      <c r="M185">
        <v>53</v>
      </c>
      <c r="N185" t="s">
        <v>1821</v>
      </c>
      <c r="O185" t="s">
        <v>1824</v>
      </c>
      <c r="P185" t="s">
        <v>1829</v>
      </c>
      <c r="Q185" cm="1">
        <f t="array" ref="Q185">_xlfn.IFS(P185="2 Years", 24,P185="1 Year",12, P185="6 Months",6, P185="1 Month",1)</f>
        <v>1</v>
      </c>
      <c r="R185" t="str" cm="1">
        <f t="array" ref="R185">_xlfn.IFS(Q185=1,"Mensual",Q185=6,"Semestral",Q185=12,"Anual",Q185=24,"Bienal")</f>
        <v>Mensual</v>
      </c>
      <c r="S185">
        <f>IFERROR(VLOOKUP(Sheet1[[#This Row],[ID usuario]],A186:$A$907,1,FALSE),0)</f>
        <v>0</v>
      </c>
    </row>
    <row r="186" spans="1:19" x14ac:dyDescent="0.25">
      <c r="A186" t="s">
        <v>184</v>
      </c>
      <c r="B186" t="s">
        <v>1089</v>
      </c>
      <c r="C186" t="s">
        <v>1811</v>
      </c>
      <c r="D186">
        <v>96.5</v>
      </c>
      <c r="E186" s="1">
        <v>44678</v>
      </c>
      <c r="F186" s="1" t="str">
        <f>TEXT(Sheet1[[#This Row],[Fecha ingreso]],"mmmm")</f>
        <v>abril</v>
      </c>
      <c r="G186" s="2">
        <f>YEAR(Sheet1[[#This Row],[Fecha ingreso]])</f>
        <v>2022</v>
      </c>
      <c r="H186" s="1" t="str">
        <f>TEXT(Sheet1[[#This Row],[Fecha ingreso]],"dddd")</f>
        <v>miércoles</v>
      </c>
      <c r="I186" s="1">
        <v>45287</v>
      </c>
      <c r="J186" s="2">
        <f>DATEDIF(Sheet1[[#This Row],[Fecha ingreso]],Sheet1[[#This Row],[Fecha último pago]],"M")+1</f>
        <v>21</v>
      </c>
      <c r="K186" s="2">
        <f>Sheet1[[#This Row],[Ingresos mensuales]]*Sheet1[[#This Row],[Meses contratados]]</f>
        <v>2026.5</v>
      </c>
      <c r="L186" t="s">
        <v>1813</v>
      </c>
      <c r="M186">
        <v>62</v>
      </c>
      <c r="N186" t="s">
        <v>1822</v>
      </c>
      <c r="O186" t="s">
        <v>1823</v>
      </c>
      <c r="P186" t="s">
        <v>1827</v>
      </c>
      <c r="Q186" cm="1">
        <f t="array" ref="Q186">_xlfn.IFS(P186="2 Years", 24,P186="1 Year",12, P186="6 Months",6, P186="1 Month",1)</f>
        <v>12</v>
      </c>
      <c r="R186" t="str" cm="1">
        <f t="array" ref="R186">_xlfn.IFS(Q186=1,"Mensual",Q186=6,"Semestral",Q186=12,"Anual",Q186=24,"Bienal")</f>
        <v>Anual</v>
      </c>
      <c r="S186">
        <f>IFERROR(VLOOKUP(Sheet1[[#This Row],[ID usuario]],A187:$A$907,1,FALSE),0)</f>
        <v>0</v>
      </c>
    </row>
    <row r="187" spans="1:19" x14ac:dyDescent="0.25">
      <c r="A187" t="s">
        <v>185</v>
      </c>
      <c r="B187" t="s">
        <v>1090</v>
      </c>
      <c r="C187" t="s">
        <v>1810</v>
      </c>
      <c r="D187">
        <v>19.04</v>
      </c>
      <c r="E187" s="1">
        <v>45294</v>
      </c>
      <c r="F187" s="1" t="str">
        <f>TEXT(Sheet1[[#This Row],[Fecha ingreso]],"mmmm")</f>
        <v>enero</v>
      </c>
      <c r="G187" s="2">
        <f>YEAR(Sheet1[[#This Row],[Fecha ingreso]])</f>
        <v>2024</v>
      </c>
      <c r="H187" s="1" t="str">
        <f>TEXT(Sheet1[[#This Row],[Fecha ingreso]],"dddd")</f>
        <v>miércoles</v>
      </c>
      <c r="I187" s="1">
        <v>45367</v>
      </c>
      <c r="J187" s="2">
        <f>DATEDIF(Sheet1[[#This Row],[Fecha ingreso]],Sheet1[[#This Row],[Fecha último pago]],"M")+1</f>
        <v>3</v>
      </c>
      <c r="K187" s="2">
        <f>Sheet1[[#This Row],[Ingresos mensuales]]*Sheet1[[#This Row],[Meses contratados]]</f>
        <v>57.12</v>
      </c>
      <c r="L187" t="s">
        <v>1817</v>
      </c>
      <c r="M187">
        <v>40</v>
      </c>
      <c r="N187" t="s">
        <v>1822</v>
      </c>
      <c r="O187" t="s">
        <v>1825</v>
      </c>
      <c r="P187" t="s">
        <v>1828</v>
      </c>
      <c r="Q187" cm="1">
        <f t="array" ref="Q187">_xlfn.IFS(P187="2 Years", 24,P187="1 Year",12, P187="6 Months",6, P187="1 Month",1)</f>
        <v>6</v>
      </c>
      <c r="R187" t="str" cm="1">
        <f t="array" ref="R187">_xlfn.IFS(Q187=1,"Mensual",Q187=6,"Semestral",Q187=12,"Anual",Q187=24,"Bienal")</f>
        <v>Semestral</v>
      </c>
      <c r="S187">
        <f>IFERROR(VLOOKUP(Sheet1[[#This Row],[ID usuario]],A188:$A$907,1,FALSE),0)</f>
        <v>0</v>
      </c>
    </row>
    <row r="188" spans="1:19" x14ac:dyDescent="0.25">
      <c r="A188" t="s">
        <v>186</v>
      </c>
      <c r="B188" t="s">
        <v>1091</v>
      </c>
      <c r="C188" t="s">
        <v>1812</v>
      </c>
      <c r="D188">
        <v>87.99</v>
      </c>
      <c r="E188" s="1">
        <v>45383</v>
      </c>
      <c r="F188" s="1" t="str">
        <f>TEXT(Sheet1[[#This Row],[Fecha ingreso]],"mmmm")</f>
        <v>abril</v>
      </c>
      <c r="G188" s="2">
        <f>YEAR(Sheet1[[#This Row],[Fecha ingreso]])</f>
        <v>2024</v>
      </c>
      <c r="H188" s="1" t="str">
        <f>TEXT(Sheet1[[#This Row],[Fecha ingreso]],"dddd")</f>
        <v>lunes</v>
      </c>
      <c r="I188" s="1">
        <v>45391</v>
      </c>
      <c r="J188" s="2">
        <f>DATEDIF(Sheet1[[#This Row],[Fecha ingreso]],Sheet1[[#This Row],[Fecha último pago]],"M")+1</f>
        <v>1</v>
      </c>
      <c r="K188" s="2">
        <f>Sheet1[[#This Row],[Ingresos mensuales]]*Sheet1[[#This Row],[Meses contratados]]</f>
        <v>87.99</v>
      </c>
      <c r="L188" t="s">
        <v>1816</v>
      </c>
      <c r="M188">
        <v>40</v>
      </c>
      <c r="N188" t="s">
        <v>1820</v>
      </c>
      <c r="O188" t="s">
        <v>1823</v>
      </c>
      <c r="P188" t="s">
        <v>1827</v>
      </c>
      <c r="Q188" cm="1">
        <f t="array" ref="Q188">_xlfn.IFS(P188="2 Years", 24,P188="1 Year",12, P188="6 Months",6, P188="1 Month",1)</f>
        <v>12</v>
      </c>
      <c r="R188" t="str" cm="1">
        <f t="array" ref="R188">_xlfn.IFS(Q188=1,"Mensual",Q188=6,"Semestral",Q188=12,"Anual",Q188=24,"Bienal")</f>
        <v>Anual</v>
      </c>
      <c r="S188">
        <f>IFERROR(VLOOKUP(Sheet1[[#This Row],[ID usuario]],A189:$A$907,1,FALSE),0)</f>
        <v>0</v>
      </c>
    </row>
    <row r="189" spans="1:19" x14ac:dyDescent="0.25">
      <c r="A189" t="s">
        <v>187</v>
      </c>
      <c r="B189" t="s">
        <v>1092</v>
      </c>
      <c r="C189" t="s">
        <v>1810</v>
      </c>
      <c r="D189">
        <v>51.73</v>
      </c>
      <c r="E189" s="1">
        <v>45369</v>
      </c>
      <c r="F189" s="1" t="str">
        <f>TEXT(Sheet1[[#This Row],[Fecha ingreso]],"mmmm")</f>
        <v>marzo</v>
      </c>
      <c r="G189" s="2">
        <f>YEAR(Sheet1[[#This Row],[Fecha ingreso]])</f>
        <v>2024</v>
      </c>
      <c r="H189" s="1" t="str">
        <f>TEXT(Sheet1[[#This Row],[Fecha ingreso]],"dddd")</f>
        <v>lunes</v>
      </c>
      <c r="I189" s="1">
        <v>45450</v>
      </c>
      <c r="J189" s="2">
        <f>DATEDIF(Sheet1[[#This Row],[Fecha ingreso]],Sheet1[[#This Row],[Fecha último pago]],"M")+1</f>
        <v>3</v>
      </c>
      <c r="K189" s="2">
        <f>Sheet1[[#This Row],[Ingresos mensuales]]*Sheet1[[#This Row],[Meses contratados]]</f>
        <v>155.19</v>
      </c>
      <c r="L189" t="s">
        <v>1818</v>
      </c>
      <c r="M189">
        <v>27</v>
      </c>
      <c r="N189" t="s">
        <v>1820</v>
      </c>
      <c r="O189" t="s">
        <v>1824</v>
      </c>
      <c r="P189" t="s">
        <v>1829</v>
      </c>
      <c r="Q189" cm="1">
        <f t="array" ref="Q189">_xlfn.IFS(P189="2 Years", 24,P189="1 Year",12, P189="6 Months",6, P189="1 Month",1)</f>
        <v>1</v>
      </c>
      <c r="R189" t="str" cm="1">
        <f t="array" ref="R189">_xlfn.IFS(Q189=1,"Mensual",Q189=6,"Semestral",Q189=12,"Anual",Q189=24,"Bienal")</f>
        <v>Mensual</v>
      </c>
      <c r="S189">
        <f>IFERROR(VLOOKUP(Sheet1[[#This Row],[ID usuario]],A190:$A$907,1,FALSE),0)</f>
        <v>0</v>
      </c>
    </row>
    <row r="190" spans="1:19" x14ac:dyDescent="0.25">
      <c r="A190" t="s">
        <v>188</v>
      </c>
      <c r="B190" t="s">
        <v>1093</v>
      </c>
      <c r="C190" t="s">
        <v>1812</v>
      </c>
      <c r="D190">
        <v>90.4</v>
      </c>
      <c r="E190" s="1">
        <v>45280</v>
      </c>
      <c r="F190" s="1" t="str">
        <f>TEXT(Sheet1[[#This Row],[Fecha ingreso]],"mmmm")</f>
        <v>diciembre</v>
      </c>
      <c r="G190" s="2">
        <f>YEAR(Sheet1[[#This Row],[Fecha ingreso]])</f>
        <v>2023</v>
      </c>
      <c r="H190" s="1" t="str">
        <f>TEXT(Sheet1[[#This Row],[Fecha ingreso]],"dddd")</f>
        <v>miércoles</v>
      </c>
      <c r="I190" s="1">
        <v>45442</v>
      </c>
      <c r="J190" s="2">
        <f>DATEDIF(Sheet1[[#This Row],[Fecha ingreso]],Sheet1[[#This Row],[Fecha último pago]],"M")+1</f>
        <v>6</v>
      </c>
      <c r="K190" s="2">
        <f>Sheet1[[#This Row],[Ingresos mensuales]]*Sheet1[[#This Row],[Meses contratados]]</f>
        <v>542.40000000000009</v>
      </c>
      <c r="L190" t="s">
        <v>1814</v>
      </c>
      <c r="M190">
        <v>19</v>
      </c>
      <c r="N190" t="s">
        <v>1821</v>
      </c>
      <c r="O190" t="s">
        <v>1824</v>
      </c>
      <c r="P190" t="s">
        <v>1826</v>
      </c>
      <c r="Q190" cm="1">
        <f t="array" ref="Q190">_xlfn.IFS(P190="2 Years", 24,P190="1 Year",12, P190="6 Months",6, P190="1 Month",1)</f>
        <v>24</v>
      </c>
      <c r="R190" t="str" cm="1">
        <f t="array" ref="R190">_xlfn.IFS(Q190=1,"Mensual",Q190=6,"Semestral",Q190=12,"Anual",Q190=24,"Bienal")</f>
        <v>Bienal</v>
      </c>
      <c r="S190">
        <f>IFERROR(VLOOKUP(Sheet1[[#This Row],[ID usuario]],A191:$A$907,1,FALSE),0)</f>
        <v>0</v>
      </c>
    </row>
    <row r="191" spans="1:19" x14ac:dyDescent="0.25">
      <c r="A191" t="s">
        <v>189</v>
      </c>
      <c r="B191" t="s">
        <v>1094</v>
      </c>
      <c r="C191" t="s">
        <v>1812</v>
      </c>
      <c r="D191">
        <v>22.62</v>
      </c>
      <c r="E191" s="1">
        <v>44501</v>
      </c>
      <c r="F191" s="1" t="str">
        <f>TEXT(Sheet1[[#This Row],[Fecha ingreso]],"mmmm")</f>
        <v>noviembre</v>
      </c>
      <c r="G191" s="2">
        <f>YEAR(Sheet1[[#This Row],[Fecha ingreso]])</f>
        <v>2021</v>
      </c>
      <c r="H191" s="1" t="str">
        <f>TEXT(Sheet1[[#This Row],[Fecha ingreso]],"dddd")</f>
        <v>lunes</v>
      </c>
      <c r="I191" s="1">
        <v>45351</v>
      </c>
      <c r="J191" s="2">
        <f>DATEDIF(Sheet1[[#This Row],[Fecha ingreso]],Sheet1[[#This Row],[Fecha último pago]],"M")+1</f>
        <v>28</v>
      </c>
      <c r="K191" s="2">
        <f>Sheet1[[#This Row],[Ingresos mensuales]]*Sheet1[[#This Row],[Meses contratados]]</f>
        <v>633.36</v>
      </c>
      <c r="L191" t="s">
        <v>1818</v>
      </c>
      <c r="M191">
        <v>61</v>
      </c>
      <c r="N191" t="s">
        <v>1822</v>
      </c>
      <c r="O191" t="s">
        <v>1824</v>
      </c>
      <c r="P191" t="s">
        <v>1826</v>
      </c>
      <c r="Q191" cm="1">
        <f t="array" ref="Q191">_xlfn.IFS(P191="2 Years", 24,P191="1 Year",12, P191="6 Months",6, P191="1 Month",1)</f>
        <v>24</v>
      </c>
      <c r="R191" t="str" cm="1">
        <f t="array" ref="R191">_xlfn.IFS(Q191=1,"Mensual",Q191=6,"Semestral",Q191=12,"Anual",Q191=24,"Bienal")</f>
        <v>Bienal</v>
      </c>
      <c r="S191">
        <f>IFERROR(VLOOKUP(Sheet1[[#This Row],[ID usuario]],A192:$A$907,1,FALSE),0)</f>
        <v>0</v>
      </c>
    </row>
    <row r="192" spans="1:19" x14ac:dyDescent="0.25">
      <c r="A192" t="s">
        <v>190</v>
      </c>
      <c r="B192" t="s">
        <v>1095</v>
      </c>
      <c r="C192" t="s">
        <v>1812</v>
      </c>
      <c r="D192">
        <v>55.6</v>
      </c>
      <c r="E192" s="1">
        <v>44564</v>
      </c>
      <c r="F192" s="1" t="str">
        <f>TEXT(Sheet1[[#This Row],[Fecha ingreso]],"mmmm")</f>
        <v>enero</v>
      </c>
      <c r="G192" s="2">
        <f>YEAR(Sheet1[[#This Row],[Fecha ingreso]])</f>
        <v>2022</v>
      </c>
      <c r="H192" s="1" t="str">
        <f>TEXT(Sheet1[[#This Row],[Fecha ingreso]],"dddd")</f>
        <v>lunes</v>
      </c>
      <c r="I192" s="1">
        <v>44577</v>
      </c>
      <c r="J192" s="2">
        <f>DATEDIF(Sheet1[[#This Row],[Fecha ingreso]],Sheet1[[#This Row],[Fecha último pago]],"M")+1</f>
        <v>1</v>
      </c>
      <c r="K192" s="2">
        <f>Sheet1[[#This Row],[Ingresos mensuales]]*Sheet1[[#This Row],[Meses contratados]]</f>
        <v>55.6</v>
      </c>
      <c r="L192" t="s">
        <v>1817</v>
      </c>
      <c r="M192">
        <v>23</v>
      </c>
      <c r="N192" t="s">
        <v>1821</v>
      </c>
      <c r="O192" t="s">
        <v>1824</v>
      </c>
      <c r="P192" t="s">
        <v>1828</v>
      </c>
      <c r="Q192" cm="1">
        <f t="array" ref="Q192">_xlfn.IFS(P192="2 Years", 24,P192="1 Year",12, P192="6 Months",6, P192="1 Month",1)</f>
        <v>6</v>
      </c>
      <c r="R192" t="str" cm="1">
        <f t="array" ref="R192">_xlfn.IFS(Q192=1,"Mensual",Q192=6,"Semestral",Q192=12,"Anual",Q192=24,"Bienal")</f>
        <v>Semestral</v>
      </c>
      <c r="S192">
        <f>IFERROR(VLOOKUP(Sheet1[[#This Row],[ID usuario]],A193:$A$907,1,FALSE),0)</f>
        <v>0</v>
      </c>
    </row>
    <row r="193" spans="1:19" x14ac:dyDescent="0.25">
      <c r="A193" t="s">
        <v>191</v>
      </c>
      <c r="B193" t="s">
        <v>1096</v>
      </c>
      <c r="C193" t="s">
        <v>1811</v>
      </c>
      <c r="D193">
        <v>36</v>
      </c>
      <c r="E193" s="1">
        <v>44713</v>
      </c>
      <c r="F193" s="1" t="str">
        <f>TEXT(Sheet1[[#This Row],[Fecha ingreso]],"mmmm")</f>
        <v>junio</v>
      </c>
      <c r="G193" s="2">
        <f>YEAR(Sheet1[[#This Row],[Fecha ingreso]])</f>
        <v>2022</v>
      </c>
      <c r="H193" s="1" t="str">
        <f>TEXT(Sheet1[[#This Row],[Fecha ingreso]],"dddd")</f>
        <v>miércoles</v>
      </c>
      <c r="I193" s="1">
        <v>44831</v>
      </c>
      <c r="J193" s="2">
        <f>DATEDIF(Sheet1[[#This Row],[Fecha ingreso]],Sheet1[[#This Row],[Fecha último pago]],"M")+1</f>
        <v>4</v>
      </c>
      <c r="K193" s="2">
        <f>Sheet1[[#This Row],[Ingresos mensuales]]*Sheet1[[#This Row],[Meses contratados]]</f>
        <v>144</v>
      </c>
      <c r="L193" t="s">
        <v>1818</v>
      </c>
      <c r="M193">
        <v>60</v>
      </c>
      <c r="N193" t="s">
        <v>1821</v>
      </c>
      <c r="O193" t="s">
        <v>1824</v>
      </c>
      <c r="P193" t="s">
        <v>1826</v>
      </c>
      <c r="Q193" cm="1">
        <f t="array" ref="Q193">_xlfn.IFS(P193="2 Years", 24,P193="1 Year",12, P193="6 Months",6, P193="1 Month",1)</f>
        <v>24</v>
      </c>
      <c r="R193" t="str" cm="1">
        <f t="array" ref="R193">_xlfn.IFS(Q193=1,"Mensual",Q193=6,"Semestral",Q193=12,"Anual",Q193=24,"Bienal")</f>
        <v>Bienal</v>
      </c>
      <c r="S193">
        <f>IFERROR(VLOOKUP(Sheet1[[#This Row],[ID usuario]],A194:$A$907,1,FALSE),0)</f>
        <v>0</v>
      </c>
    </row>
    <row r="194" spans="1:19" x14ac:dyDescent="0.25">
      <c r="A194" t="s">
        <v>192</v>
      </c>
      <c r="B194" t="s">
        <v>1097</v>
      </c>
      <c r="C194" t="s">
        <v>1810</v>
      </c>
      <c r="D194">
        <v>47.45</v>
      </c>
      <c r="E194" s="1">
        <v>44834</v>
      </c>
      <c r="F194" s="1" t="str">
        <f>TEXT(Sheet1[[#This Row],[Fecha ingreso]],"mmmm")</f>
        <v>septiembre</v>
      </c>
      <c r="G194" s="2">
        <f>YEAR(Sheet1[[#This Row],[Fecha ingreso]])</f>
        <v>2022</v>
      </c>
      <c r="H194" s="1" t="str">
        <f>TEXT(Sheet1[[#This Row],[Fecha ingreso]],"dddd")</f>
        <v>viernes</v>
      </c>
      <c r="I194" s="1">
        <v>45210</v>
      </c>
      <c r="J194" s="2">
        <f>DATEDIF(Sheet1[[#This Row],[Fecha ingreso]],Sheet1[[#This Row],[Fecha último pago]],"M")+1</f>
        <v>13</v>
      </c>
      <c r="K194" s="2">
        <f>Sheet1[[#This Row],[Ingresos mensuales]]*Sheet1[[#This Row],[Meses contratados]]</f>
        <v>616.85</v>
      </c>
      <c r="L194" t="s">
        <v>1815</v>
      </c>
      <c r="M194">
        <v>25</v>
      </c>
      <c r="N194" t="s">
        <v>1820</v>
      </c>
      <c r="O194" t="s">
        <v>1824</v>
      </c>
      <c r="P194" t="s">
        <v>1828</v>
      </c>
      <c r="Q194" cm="1">
        <f t="array" ref="Q194">_xlfn.IFS(P194="2 Years", 24,P194="1 Year",12, P194="6 Months",6, P194="1 Month",1)</f>
        <v>6</v>
      </c>
      <c r="R194" t="str" cm="1">
        <f t="array" ref="R194">_xlfn.IFS(Q194=1,"Mensual",Q194=6,"Semestral",Q194=12,"Anual",Q194=24,"Bienal")</f>
        <v>Semestral</v>
      </c>
      <c r="S194">
        <f>IFERROR(VLOOKUP(Sheet1[[#This Row],[ID usuario]],A195:$A$907,1,FALSE),0)</f>
        <v>0</v>
      </c>
    </row>
    <row r="195" spans="1:19" x14ac:dyDescent="0.25">
      <c r="A195" t="s">
        <v>193</v>
      </c>
      <c r="B195" t="s">
        <v>1098</v>
      </c>
      <c r="C195" t="s">
        <v>1810</v>
      </c>
      <c r="D195">
        <v>46.14</v>
      </c>
      <c r="E195" s="1">
        <v>44854</v>
      </c>
      <c r="F195" s="1" t="str">
        <f>TEXT(Sheet1[[#This Row],[Fecha ingreso]],"mmmm")</f>
        <v>octubre</v>
      </c>
      <c r="G195" s="2">
        <f>YEAR(Sheet1[[#This Row],[Fecha ingreso]])</f>
        <v>2022</v>
      </c>
      <c r="H195" s="1" t="str">
        <f>TEXT(Sheet1[[#This Row],[Fecha ingreso]],"dddd")</f>
        <v>jueves</v>
      </c>
      <c r="I195" s="1">
        <v>45123</v>
      </c>
      <c r="J195" s="2">
        <f>DATEDIF(Sheet1[[#This Row],[Fecha ingreso]],Sheet1[[#This Row],[Fecha último pago]],"M")+1</f>
        <v>9</v>
      </c>
      <c r="K195" s="2">
        <f>Sheet1[[#This Row],[Ingresos mensuales]]*Sheet1[[#This Row],[Meses contratados]]</f>
        <v>415.26</v>
      </c>
      <c r="L195" t="s">
        <v>1817</v>
      </c>
      <c r="M195">
        <v>37</v>
      </c>
      <c r="N195" t="s">
        <v>1820</v>
      </c>
      <c r="O195" t="s">
        <v>1825</v>
      </c>
      <c r="P195" t="s">
        <v>1829</v>
      </c>
      <c r="Q195" cm="1">
        <f t="array" ref="Q195">_xlfn.IFS(P195="2 Years", 24,P195="1 Year",12, P195="6 Months",6, P195="1 Month",1)</f>
        <v>1</v>
      </c>
      <c r="R195" t="str" cm="1">
        <f t="array" ref="R195">_xlfn.IFS(Q195=1,"Mensual",Q195=6,"Semestral",Q195=12,"Anual",Q195=24,"Bienal")</f>
        <v>Mensual</v>
      </c>
      <c r="S195">
        <f>IFERROR(VLOOKUP(Sheet1[[#This Row],[ID usuario]],A196:$A$907,1,FALSE),0)</f>
        <v>0</v>
      </c>
    </row>
    <row r="196" spans="1:19" x14ac:dyDescent="0.25">
      <c r="A196" t="s">
        <v>194</v>
      </c>
      <c r="B196" t="s">
        <v>1099</v>
      </c>
      <c r="C196" t="s">
        <v>1810</v>
      </c>
      <c r="D196">
        <v>38.950000000000003</v>
      </c>
      <c r="E196" s="1">
        <v>44893</v>
      </c>
      <c r="F196" s="1" t="str">
        <f>TEXT(Sheet1[[#This Row],[Fecha ingreso]],"mmmm")</f>
        <v>noviembre</v>
      </c>
      <c r="G196" s="2">
        <f>YEAR(Sheet1[[#This Row],[Fecha ingreso]])</f>
        <v>2022</v>
      </c>
      <c r="H196" s="1" t="str">
        <f>TEXT(Sheet1[[#This Row],[Fecha ingreso]],"dddd")</f>
        <v>lunes</v>
      </c>
      <c r="I196" s="1">
        <v>45152</v>
      </c>
      <c r="J196" s="2">
        <f>DATEDIF(Sheet1[[#This Row],[Fecha ingreso]],Sheet1[[#This Row],[Fecha último pago]],"M")+1</f>
        <v>9</v>
      </c>
      <c r="K196" s="2">
        <f>Sheet1[[#This Row],[Ingresos mensuales]]*Sheet1[[#This Row],[Meses contratados]]</f>
        <v>350.55</v>
      </c>
      <c r="L196" t="s">
        <v>1813</v>
      </c>
      <c r="M196">
        <v>68</v>
      </c>
      <c r="N196" t="s">
        <v>1822</v>
      </c>
      <c r="O196" t="s">
        <v>1824</v>
      </c>
      <c r="P196" t="s">
        <v>1829</v>
      </c>
      <c r="Q196" cm="1">
        <f t="array" ref="Q196">_xlfn.IFS(P196="2 Years", 24,P196="1 Year",12, P196="6 Months",6, P196="1 Month",1)</f>
        <v>1</v>
      </c>
      <c r="R196" t="str" cm="1">
        <f t="array" ref="R196">_xlfn.IFS(Q196=1,"Mensual",Q196=6,"Semestral",Q196=12,"Anual",Q196=24,"Bienal")</f>
        <v>Mensual</v>
      </c>
      <c r="S196">
        <f>IFERROR(VLOOKUP(Sheet1[[#This Row],[ID usuario]],A197:$A$907,1,FALSE),0)</f>
        <v>0</v>
      </c>
    </row>
    <row r="197" spans="1:19" x14ac:dyDescent="0.25">
      <c r="A197" t="s">
        <v>195</v>
      </c>
      <c r="B197" t="s">
        <v>1100</v>
      </c>
      <c r="C197" t="s">
        <v>1812</v>
      </c>
      <c r="D197">
        <v>91.92</v>
      </c>
      <c r="E197" s="1">
        <v>44823</v>
      </c>
      <c r="F197" s="1" t="str">
        <f>TEXT(Sheet1[[#This Row],[Fecha ingreso]],"mmmm")</f>
        <v>septiembre</v>
      </c>
      <c r="G197" s="2">
        <f>YEAR(Sheet1[[#This Row],[Fecha ingreso]])</f>
        <v>2022</v>
      </c>
      <c r="H197" s="1" t="str">
        <f>TEXT(Sheet1[[#This Row],[Fecha ingreso]],"dddd")</f>
        <v>lunes</v>
      </c>
      <c r="I197" s="1">
        <v>44980</v>
      </c>
      <c r="J197" s="2">
        <f>DATEDIF(Sheet1[[#This Row],[Fecha ingreso]],Sheet1[[#This Row],[Fecha último pago]],"M")+1</f>
        <v>6</v>
      </c>
      <c r="K197" s="2">
        <f>Sheet1[[#This Row],[Ingresos mensuales]]*Sheet1[[#This Row],[Meses contratados]]</f>
        <v>551.52</v>
      </c>
      <c r="L197" t="s">
        <v>1819</v>
      </c>
      <c r="M197">
        <v>69</v>
      </c>
      <c r="N197" t="s">
        <v>1821</v>
      </c>
      <c r="O197" t="s">
        <v>1824</v>
      </c>
      <c r="P197" t="s">
        <v>1829</v>
      </c>
      <c r="Q197" cm="1">
        <f t="array" ref="Q197">_xlfn.IFS(P197="2 Years", 24,P197="1 Year",12, P197="6 Months",6, P197="1 Month",1)</f>
        <v>1</v>
      </c>
      <c r="R197" t="str" cm="1">
        <f t="array" ref="R197">_xlfn.IFS(Q197=1,"Mensual",Q197=6,"Semestral",Q197=12,"Anual",Q197=24,"Bienal")</f>
        <v>Mensual</v>
      </c>
      <c r="S197">
        <f>IFERROR(VLOOKUP(Sheet1[[#This Row],[ID usuario]],A198:$A$907,1,FALSE),0)</f>
        <v>0</v>
      </c>
    </row>
    <row r="198" spans="1:19" x14ac:dyDescent="0.25">
      <c r="A198" t="s">
        <v>196</v>
      </c>
      <c r="B198" t="s">
        <v>1101</v>
      </c>
      <c r="C198" t="s">
        <v>1812</v>
      </c>
      <c r="D198">
        <v>74.52</v>
      </c>
      <c r="E198" s="1">
        <v>44940</v>
      </c>
      <c r="F198" s="1" t="str">
        <f>TEXT(Sheet1[[#This Row],[Fecha ingreso]],"mmmm")</f>
        <v>enero</v>
      </c>
      <c r="G198" s="2">
        <f>YEAR(Sheet1[[#This Row],[Fecha ingreso]])</f>
        <v>2023</v>
      </c>
      <c r="H198" s="1" t="str">
        <f>TEXT(Sheet1[[#This Row],[Fecha ingreso]],"dddd")</f>
        <v>sábado</v>
      </c>
      <c r="I198" s="1">
        <v>45048</v>
      </c>
      <c r="J198" s="2">
        <f>DATEDIF(Sheet1[[#This Row],[Fecha ingreso]],Sheet1[[#This Row],[Fecha último pago]],"M")+1</f>
        <v>4</v>
      </c>
      <c r="K198" s="2">
        <f>Sheet1[[#This Row],[Ingresos mensuales]]*Sheet1[[#This Row],[Meses contratados]]</f>
        <v>298.08</v>
      </c>
      <c r="L198" t="s">
        <v>1815</v>
      </c>
      <c r="M198">
        <v>56</v>
      </c>
      <c r="N198" t="s">
        <v>1821</v>
      </c>
      <c r="O198" t="s">
        <v>1824</v>
      </c>
      <c r="P198" t="s">
        <v>1829</v>
      </c>
      <c r="Q198" cm="1">
        <f t="array" ref="Q198">_xlfn.IFS(P198="2 Years", 24,P198="1 Year",12, P198="6 Months",6, P198="1 Month",1)</f>
        <v>1</v>
      </c>
      <c r="R198" t="str" cm="1">
        <f t="array" ref="R198">_xlfn.IFS(Q198=1,"Mensual",Q198=6,"Semestral",Q198=12,"Anual",Q198=24,"Bienal")</f>
        <v>Mensual</v>
      </c>
      <c r="S198">
        <f>IFERROR(VLOOKUP(Sheet1[[#This Row],[ID usuario]],A199:$A$907,1,FALSE),0)</f>
        <v>0</v>
      </c>
    </row>
    <row r="199" spans="1:19" x14ac:dyDescent="0.25">
      <c r="A199" t="s">
        <v>197</v>
      </c>
      <c r="B199" t="s">
        <v>1102</v>
      </c>
      <c r="C199" t="s">
        <v>1811</v>
      </c>
      <c r="D199">
        <v>74.12</v>
      </c>
      <c r="E199" s="1">
        <v>44784</v>
      </c>
      <c r="F199" s="1" t="str">
        <f>TEXT(Sheet1[[#This Row],[Fecha ingreso]],"mmmm")</f>
        <v>agosto</v>
      </c>
      <c r="G199" s="2">
        <f>YEAR(Sheet1[[#This Row],[Fecha ingreso]])</f>
        <v>2022</v>
      </c>
      <c r="H199" s="1" t="str">
        <f>TEXT(Sheet1[[#This Row],[Fecha ingreso]],"dddd")</f>
        <v>jueves</v>
      </c>
      <c r="I199" s="1">
        <v>45088</v>
      </c>
      <c r="J199" s="2">
        <f>DATEDIF(Sheet1[[#This Row],[Fecha ingreso]],Sheet1[[#This Row],[Fecha último pago]],"M")+1</f>
        <v>11</v>
      </c>
      <c r="K199" s="2">
        <f>Sheet1[[#This Row],[Ingresos mensuales]]*Sheet1[[#This Row],[Meses contratados]]</f>
        <v>815.32</v>
      </c>
      <c r="L199" t="s">
        <v>1813</v>
      </c>
      <c r="M199">
        <v>31</v>
      </c>
      <c r="N199" t="s">
        <v>1821</v>
      </c>
      <c r="O199" t="s">
        <v>1823</v>
      </c>
      <c r="P199" t="s">
        <v>1828</v>
      </c>
      <c r="Q199" cm="1">
        <f t="array" ref="Q199">_xlfn.IFS(P199="2 Years", 24,P199="1 Year",12, P199="6 Months",6, P199="1 Month",1)</f>
        <v>6</v>
      </c>
      <c r="R199" t="str" cm="1">
        <f t="array" ref="R199">_xlfn.IFS(Q199=1,"Mensual",Q199=6,"Semestral",Q199=12,"Anual",Q199=24,"Bienal")</f>
        <v>Semestral</v>
      </c>
      <c r="S199">
        <f>IFERROR(VLOOKUP(Sheet1[[#This Row],[ID usuario]],A200:$A$907,1,FALSE),0)</f>
        <v>0</v>
      </c>
    </row>
    <row r="200" spans="1:19" x14ac:dyDescent="0.25">
      <c r="A200" t="s">
        <v>198</v>
      </c>
      <c r="B200" t="s">
        <v>1103</v>
      </c>
      <c r="C200" t="s">
        <v>1810</v>
      </c>
      <c r="D200">
        <v>59.88</v>
      </c>
      <c r="E200" s="1">
        <v>44809</v>
      </c>
      <c r="F200" s="1" t="str">
        <f>TEXT(Sheet1[[#This Row],[Fecha ingreso]],"mmmm")</f>
        <v>septiembre</v>
      </c>
      <c r="G200" s="2">
        <f>YEAR(Sheet1[[#This Row],[Fecha ingreso]])</f>
        <v>2022</v>
      </c>
      <c r="H200" s="1" t="str">
        <f>TEXT(Sheet1[[#This Row],[Fecha ingreso]],"dddd")</f>
        <v>lunes</v>
      </c>
      <c r="I200" s="1">
        <v>45011</v>
      </c>
      <c r="J200" s="2">
        <f>DATEDIF(Sheet1[[#This Row],[Fecha ingreso]],Sheet1[[#This Row],[Fecha último pago]],"M")+1</f>
        <v>7</v>
      </c>
      <c r="K200" s="2">
        <f>Sheet1[[#This Row],[Ingresos mensuales]]*Sheet1[[#This Row],[Meses contratados]]</f>
        <v>419.16</v>
      </c>
      <c r="L200" t="s">
        <v>1817</v>
      </c>
      <c r="M200">
        <v>41</v>
      </c>
      <c r="N200" t="s">
        <v>1820</v>
      </c>
      <c r="O200" t="s">
        <v>1825</v>
      </c>
      <c r="P200" t="s">
        <v>1827</v>
      </c>
      <c r="Q200" cm="1">
        <f t="array" ref="Q200">_xlfn.IFS(P200="2 Years", 24,P200="1 Year",12, P200="6 Months",6, P200="1 Month",1)</f>
        <v>12</v>
      </c>
      <c r="R200" t="str" cm="1">
        <f t="array" ref="R200">_xlfn.IFS(Q200=1,"Mensual",Q200=6,"Semestral",Q200=12,"Anual",Q200=24,"Bienal")</f>
        <v>Anual</v>
      </c>
      <c r="S200">
        <f>IFERROR(VLOOKUP(Sheet1[[#This Row],[ID usuario]],A201:$A$907,1,FALSE),0)</f>
        <v>0</v>
      </c>
    </row>
    <row r="201" spans="1:19" x14ac:dyDescent="0.25">
      <c r="A201" t="s">
        <v>199</v>
      </c>
      <c r="B201" t="s">
        <v>1104</v>
      </c>
      <c r="C201" t="s">
        <v>1810</v>
      </c>
      <c r="D201">
        <v>79.02</v>
      </c>
      <c r="E201" s="1">
        <v>44759</v>
      </c>
      <c r="F201" s="1" t="str">
        <f>TEXT(Sheet1[[#This Row],[Fecha ingreso]],"mmmm")</f>
        <v>julio</v>
      </c>
      <c r="G201" s="2">
        <f>YEAR(Sheet1[[#This Row],[Fecha ingreso]])</f>
        <v>2022</v>
      </c>
      <c r="H201" s="1" t="str">
        <f>TEXT(Sheet1[[#This Row],[Fecha ingreso]],"dddd")</f>
        <v>domingo</v>
      </c>
      <c r="I201" s="1">
        <v>45290</v>
      </c>
      <c r="J201" s="2">
        <f>DATEDIF(Sheet1[[#This Row],[Fecha ingreso]],Sheet1[[#This Row],[Fecha último pago]],"M")+1</f>
        <v>18</v>
      </c>
      <c r="K201" s="2">
        <f>Sheet1[[#This Row],[Ingresos mensuales]]*Sheet1[[#This Row],[Meses contratados]]</f>
        <v>1422.36</v>
      </c>
      <c r="L201" t="s">
        <v>1816</v>
      </c>
      <c r="M201">
        <v>56</v>
      </c>
      <c r="N201" t="s">
        <v>1820</v>
      </c>
      <c r="O201" t="s">
        <v>1824</v>
      </c>
      <c r="P201" t="s">
        <v>1829</v>
      </c>
      <c r="Q201" cm="1">
        <f t="array" ref="Q201">_xlfn.IFS(P201="2 Years", 24,P201="1 Year",12, P201="6 Months",6, P201="1 Month",1)</f>
        <v>1</v>
      </c>
      <c r="R201" t="str" cm="1">
        <f t="array" ref="R201">_xlfn.IFS(Q201=1,"Mensual",Q201=6,"Semestral",Q201=12,"Anual",Q201=24,"Bienal")</f>
        <v>Mensual</v>
      </c>
      <c r="S201">
        <f>IFERROR(VLOOKUP(Sheet1[[#This Row],[ID usuario]],A202:$A$907,1,FALSE),0)</f>
        <v>0</v>
      </c>
    </row>
    <row r="202" spans="1:19" x14ac:dyDescent="0.25">
      <c r="A202" t="s">
        <v>200</v>
      </c>
      <c r="B202" t="s">
        <v>1105</v>
      </c>
      <c r="C202" t="s">
        <v>1811</v>
      </c>
      <c r="D202">
        <v>37.729999999999997</v>
      </c>
      <c r="E202" s="1">
        <v>45217</v>
      </c>
      <c r="F202" s="1" t="str">
        <f>TEXT(Sheet1[[#This Row],[Fecha ingreso]],"mmmm")</f>
        <v>octubre</v>
      </c>
      <c r="G202" s="2">
        <f>YEAR(Sheet1[[#This Row],[Fecha ingreso]])</f>
        <v>2023</v>
      </c>
      <c r="H202" s="1" t="str">
        <f>TEXT(Sheet1[[#This Row],[Fecha ingreso]],"dddd")</f>
        <v>miércoles</v>
      </c>
      <c r="I202" s="1">
        <v>45293</v>
      </c>
      <c r="J202" s="2">
        <f>DATEDIF(Sheet1[[#This Row],[Fecha ingreso]],Sheet1[[#This Row],[Fecha último pago]],"M")+1</f>
        <v>3</v>
      </c>
      <c r="K202" s="2">
        <f>Sheet1[[#This Row],[Ingresos mensuales]]*Sheet1[[#This Row],[Meses contratados]]</f>
        <v>113.19</v>
      </c>
      <c r="L202" t="s">
        <v>1816</v>
      </c>
      <c r="M202">
        <v>58</v>
      </c>
      <c r="N202" t="s">
        <v>1822</v>
      </c>
      <c r="O202" t="s">
        <v>1823</v>
      </c>
      <c r="P202" t="s">
        <v>1826</v>
      </c>
      <c r="Q202" cm="1">
        <f t="array" ref="Q202">_xlfn.IFS(P202="2 Years", 24,P202="1 Year",12, P202="6 Months",6, P202="1 Month",1)</f>
        <v>24</v>
      </c>
      <c r="R202" t="str" cm="1">
        <f t="array" ref="R202">_xlfn.IFS(Q202=1,"Mensual",Q202=6,"Semestral",Q202=12,"Anual",Q202=24,"Bienal")</f>
        <v>Bienal</v>
      </c>
      <c r="S202">
        <f>IFERROR(VLOOKUP(Sheet1[[#This Row],[ID usuario]],A203:$A$907,1,FALSE),0)</f>
        <v>0</v>
      </c>
    </row>
    <row r="203" spans="1:19" x14ac:dyDescent="0.25">
      <c r="A203" t="s">
        <v>201</v>
      </c>
      <c r="B203" t="s">
        <v>1106</v>
      </c>
      <c r="C203" t="s">
        <v>1810</v>
      </c>
      <c r="D203">
        <v>18.440000000000001</v>
      </c>
      <c r="E203" s="1">
        <v>44978</v>
      </c>
      <c r="F203" s="1" t="str">
        <f>TEXT(Sheet1[[#This Row],[Fecha ingreso]],"mmmm")</f>
        <v>febrero</v>
      </c>
      <c r="G203" s="2">
        <f>YEAR(Sheet1[[#This Row],[Fecha ingreso]])</f>
        <v>2023</v>
      </c>
      <c r="H203" s="1" t="str">
        <f>TEXT(Sheet1[[#This Row],[Fecha ingreso]],"dddd")</f>
        <v>martes</v>
      </c>
      <c r="I203" s="1">
        <v>45261</v>
      </c>
      <c r="J203" s="2">
        <f>DATEDIF(Sheet1[[#This Row],[Fecha ingreso]],Sheet1[[#This Row],[Fecha último pago]],"M")+1</f>
        <v>10</v>
      </c>
      <c r="K203" s="2">
        <f>Sheet1[[#This Row],[Ingresos mensuales]]*Sheet1[[#This Row],[Meses contratados]]</f>
        <v>184.4</v>
      </c>
      <c r="L203" t="s">
        <v>1813</v>
      </c>
      <c r="M203">
        <v>20</v>
      </c>
      <c r="N203" t="s">
        <v>1821</v>
      </c>
      <c r="O203" t="s">
        <v>1825</v>
      </c>
      <c r="P203" t="s">
        <v>1829</v>
      </c>
      <c r="Q203" cm="1">
        <f t="array" ref="Q203">_xlfn.IFS(P203="2 Years", 24,P203="1 Year",12, P203="6 Months",6, P203="1 Month",1)</f>
        <v>1</v>
      </c>
      <c r="R203" t="str" cm="1">
        <f t="array" ref="R203">_xlfn.IFS(Q203=1,"Mensual",Q203=6,"Semestral",Q203=12,"Anual",Q203=24,"Bienal")</f>
        <v>Mensual</v>
      </c>
      <c r="S203">
        <f>IFERROR(VLOOKUP(Sheet1[[#This Row],[ID usuario]],A204:$A$907,1,FALSE),0)</f>
        <v>0</v>
      </c>
    </row>
    <row r="204" spans="1:19" x14ac:dyDescent="0.25">
      <c r="A204" t="s">
        <v>202</v>
      </c>
      <c r="B204" t="s">
        <v>1107</v>
      </c>
      <c r="C204" t="s">
        <v>1811</v>
      </c>
      <c r="D204">
        <v>87.26</v>
      </c>
      <c r="E204" s="1">
        <v>44669</v>
      </c>
      <c r="F204" s="1" t="str">
        <f>TEXT(Sheet1[[#This Row],[Fecha ingreso]],"mmmm")</f>
        <v>abril</v>
      </c>
      <c r="G204" s="2">
        <f>YEAR(Sheet1[[#This Row],[Fecha ingreso]])</f>
        <v>2022</v>
      </c>
      <c r="H204" s="1" t="str">
        <f>TEXT(Sheet1[[#This Row],[Fecha ingreso]],"dddd")</f>
        <v>lunes</v>
      </c>
      <c r="I204" s="1">
        <v>45414</v>
      </c>
      <c r="J204" s="2">
        <f>DATEDIF(Sheet1[[#This Row],[Fecha ingreso]],Sheet1[[#This Row],[Fecha último pago]],"M")+1</f>
        <v>25</v>
      </c>
      <c r="K204" s="2">
        <f>Sheet1[[#This Row],[Ingresos mensuales]]*Sheet1[[#This Row],[Meses contratados]]</f>
        <v>2181.5</v>
      </c>
      <c r="L204" t="s">
        <v>1813</v>
      </c>
      <c r="M204">
        <v>25</v>
      </c>
      <c r="N204" t="s">
        <v>1820</v>
      </c>
      <c r="O204" t="s">
        <v>1823</v>
      </c>
      <c r="P204" t="s">
        <v>1827</v>
      </c>
      <c r="Q204" cm="1">
        <f t="array" ref="Q204">_xlfn.IFS(P204="2 Years", 24,P204="1 Year",12, P204="6 Months",6, P204="1 Month",1)</f>
        <v>12</v>
      </c>
      <c r="R204" t="str" cm="1">
        <f t="array" ref="R204">_xlfn.IFS(Q204=1,"Mensual",Q204=6,"Semestral",Q204=12,"Anual",Q204=24,"Bienal")</f>
        <v>Anual</v>
      </c>
      <c r="S204">
        <f>IFERROR(VLOOKUP(Sheet1[[#This Row],[ID usuario]],A205:$A$907,1,FALSE),0)</f>
        <v>0</v>
      </c>
    </row>
    <row r="205" spans="1:19" x14ac:dyDescent="0.25">
      <c r="A205" t="s">
        <v>203</v>
      </c>
      <c r="B205" t="s">
        <v>1108</v>
      </c>
      <c r="C205" t="s">
        <v>1811</v>
      </c>
      <c r="D205">
        <v>46.93</v>
      </c>
      <c r="E205" s="1">
        <v>45437</v>
      </c>
      <c r="F205" s="1" t="str">
        <f>TEXT(Sheet1[[#This Row],[Fecha ingreso]],"mmmm")</f>
        <v>mayo</v>
      </c>
      <c r="G205" s="2">
        <f>YEAR(Sheet1[[#This Row],[Fecha ingreso]])</f>
        <v>2024</v>
      </c>
      <c r="H205" s="1" t="str">
        <f>TEXT(Sheet1[[#This Row],[Fecha ingreso]],"dddd")</f>
        <v>sábado</v>
      </c>
      <c r="I205" s="1">
        <v>45443</v>
      </c>
      <c r="J205" s="2">
        <f>DATEDIF(Sheet1[[#This Row],[Fecha ingreso]],Sheet1[[#This Row],[Fecha último pago]],"M")+1</f>
        <v>1</v>
      </c>
      <c r="K205" s="2">
        <f>Sheet1[[#This Row],[Ingresos mensuales]]*Sheet1[[#This Row],[Meses contratados]]</f>
        <v>46.93</v>
      </c>
      <c r="L205" t="s">
        <v>1817</v>
      </c>
      <c r="M205">
        <v>20</v>
      </c>
      <c r="N205" t="s">
        <v>1820</v>
      </c>
      <c r="O205" t="s">
        <v>1825</v>
      </c>
      <c r="P205" t="s">
        <v>1829</v>
      </c>
      <c r="Q205" cm="1">
        <f t="array" ref="Q205">_xlfn.IFS(P205="2 Years", 24,P205="1 Year",12, P205="6 Months",6, P205="1 Month",1)</f>
        <v>1</v>
      </c>
      <c r="R205" t="str" cm="1">
        <f t="array" ref="R205">_xlfn.IFS(Q205=1,"Mensual",Q205=6,"Semestral",Q205=12,"Anual",Q205=24,"Bienal")</f>
        <v>Mensual</v>
      </c>
      <c r="S205">
        <f>IFERROR(VLOOKUP(Sheet1[[#This Row],[ID usuario]],A206:$A$907,1,FALSE),0)</f>
        <v>0</v>
      </c>
    </row>
    <row r="206" spans="1:19" x14ac:dyDescent="0.25">
      <c r="A206" t="s">
        <v>204</v>
      </c>
      <c r="B206" t="s">
        <v>1109</v>
      </c>
      <c r="C206" t="s">
        <v>1811</v>
      </c>
      <c r="D206">
        <v>51.21</v>
      </c>
      <c r="E206" s="1">
        <v>44667</v>
      </c>
      <c r="F206" s="1" t="str">
        <f>TEXT(Sheet1[[#This Row],[Fecha ingreso]],"mmmm")</f>
        <v>abril</v>
      </c>
      <c r="G206" s="2">
        <f>YEAR(Sheet1[[#This Row],[Fecha ingreso]])</f>
        <v>2022</v>
      </c>
      <c r="H206" s="1" t="str">
        <f>TEXT(Sheet1[[#This Row],[Fecha ingreso]],"dddd")</f>
        <v>sábado</v>
      </c>
      <c r="I206" s="1">
        <v>44860</v>
      </c>
      <c r="J206" s="2">
        <f>DATEDIF(Sheet1[[#This Row],[Fecha ingreso]],Sheet1[[#This Row],[Fecha último pago]],"M")+1</f>
        <v>7</v>
      </c>
      <c r="K206" s="2">
        <f>Sheet1[[#This Row],[Ingresos mensuales]]*Sheet1[[#This Row],[Meses contratados]]</f>
        <v>358.47</v>
      </c>
      <c r="L206" t="s">
        <v>1815</v>
      </c>
      <c r="M206">
        <v>43</v>
      </c>
      <c r="N206" t="s">
        <v>1820</v>
      </c>
      <c r="O206" t="s">
        <v>1824</v>
      </c>
      <c r="P206" t="s">
        <v>1828</v>
      </c>
      <c r="Q206" cm="1">
        <f t="array" ref="Q206">_xlfn.IFS(P206="2 Years", 24,P206="1 Year",12, P206="6 Months",6, P206="1 Month",1)</f>
        <v>6</v>
      </c>
      <c r="R206" t="str" cm="1">
        <f t="array" ref="R206">_xlfn.IFS(Q206=1,"Mensual",Q206=6,"Semestral",Q206=12,"Anual",Q206=24,"Bienal")</f>
        <v>Semestral</v>
      </c>
      <c r="S206">
        <f>IFERROR(VLOOKUP(Sheet1[[#This Row],[ID usuario]],A207:$A$907,1,FALSE),0)</f>
        <v>0</v>
      </c>
    </row>
    <row r="207" spans="1:19" x14ac:dyDescent="0.25">
      <c r="A207" t="s">
        <v>205</v>
      </c>
      <c r="B207" t="s">
        <v>1110</v>
      </c>
      <c r="C207" t="s">
        <v>1811</v>
      </c>
      <c r="D207">
        <v>47.6</v>
      </c>
      <c r="E207" s="1">
        <v>44416</v>
      </c>
      <c r="F207" s="1" t="str">
        <f>TEXT(Sheet1[[#This Row],[Fecha ingreso]],"mmmm")</f>
        <v>agosto</v>
      </c>
      <c r="G207" s="2">
        <f>YEAR(Sheet1[[#This Row],[Fecha ingreso]])</f>
        <v>2021</v>
      </c>
      <c r="H207" s="1" t="str">
        <f>TEXT(Sheet1[[#This Row],[Fecha ingreso]],"dddd")</f>
        <v>domingo</v>
      </c>
      <c r="I207" s="1">
        <v>45156</v>
      </c>
      <c r="J207" s="2">
        <f>DATEDIF(Sheet1[[#This Row],[Fecha ingreso]],Sheet1[[#This Row],[Fecha último pago]],"M")+1</f>
        <v>25</v>
      </c>
      <c r="K207" s="2">
        <f>Sheet1[[#This Row],[Ingresos mensuales]]*Sheet1[[#This Row],[Meses contratados]]</f>
        <v>1190</v>
      </c>
      <c r="L207" t="s">
        <v>1818</v>
      </c>
      <c r="M207">
        <v>64</v>
      </c>
      <c r="N207" t="s">
        <v>1822</v>
      </c>
      <c r="O207" t="s">
        <v>1823</v>
      </c>
      <c r="P207" t="s">
        <v>1828</v>
      </c>
      <c r="Q207" cm="1">
        <f t="array" ref="Q207">_xlfn.IFS(P207="2 Years", 24,P207="1 Year",12, P207="6 Months",6, P207="1 Month",1)</f>
        <v>6</v>
      </c>
      <c r="R207" t="str" cm="1">
        <f t="array" ref="R207">_xlfn.IFS(Q207=1,"Mensual",Q207=6,"Semestral",Q207=12,"Anual",Q207=24,"Bienal")</f>
        <v>Semestral</v>
      </c>
      <c r="S207">
        <f>IFERROR(VLOOKUP(Sheet1[[#This Row],[ID usuario]],A208:$A$907,1,FALSE),0)</f>
        <v>0</v>
      </c>
    </row>
    <row r="208" spans="1:19" x14ac:dyDescent="0.25">
      <c r="A208" t="s">
        <v>206</v>
      </c>
      <c r="B208" t="s">
        <v>1111</v>
      </c>
      <c r="C208" t="s">
        <v>1811</v>
      </c>
      <c r="D208">
        <v>58.95</v>
      </c>
      <c r="E208" s="1">
        <v>44441</v>
      </c>
      <c r="F208" s="1" t="str">
        <f>TEXT(Sheet1[[#This Row],[Fecha ingreso]],"mmmm")</f>
        <v>septiembre</v>
      </c>
      <c r="G208" s="2">
        <f>YEAR(Sheet1[[#This Row],[Fecha ingreso]])</f>
        <v>2021</v>
      </c>
      <c r="H208" s="1" t="str">
        <f>TEXT(Sheet1[[#This Row],[Fecha ingreso]],"dddd")</f>
        <v>jueves</v>
      </c>
      <c r="I208" s="1">
        <v>45066</v>
      </c>
      <c r="J208" s="2">
        <f>DATEDIF(Sheet1[[#This Row],[Fecha ingreso]],Sheet1[[#This Row],[Fecha último pago]],"M")+1</f>
        <v>21</v>
      </c>
      <c r="K208" s="2">
        <f>Sheet1[[#This Row],[Ingresos mensuales]]*Sheet1[[#This Row],[Meses contratados]]</f>
        <v>1237.95</v>
      </c>
      <c r="L208" t="s">
        <v>1813</v>
      </c>
      <c r="M208">
        <v>23</v>
      </c>
      <c r="N208" t="s">
        <v>1821</v>
      </c>
      <c r="O208" t="s">
        <v>1823</v>
      </c>
      <c r="P208" t="s">
        <v>1829</v>
      </c>
      <c r="Q208" cm="1">
        <f t="array" ref="Q208">_xlfn.IFS(P208="2 Years", 24,P208="1 Year",12, P208="6 Months",6, P208="1 Month",1)</f>
        <v>1</v>
      </c>
      <c r="R208" t="str" cm="1">
        <f t="array" ref="R208">_xlfn.IFS(Q208=1,"Mensual",Q208=6,"Semestral",Q208=12,"Anual",Q208=24,"Bienal")</f>
        <v>Mensual</v>
      </c>
      <c r="S208">
        <f>IFERROR(VLOOKUP(Sheet1[[#This Row],[ID usuario]],A209:$A$907,1,FALSE),0)</f>
        <v>0</v>
      </c>
    </row>
    <row r="209" spans="1:19" x14ac:dyDescent="0.25">
      <c r="A209" t="s">
        <v>207</v>
      </c>
      <c r="B209" t="s">
        <v>1112</v>
      </c>
      <c r="C209" t="s">
        <v>1812</v>
      </c>
      <c r="D209">
        <v>52.33</v>
      </c>
      <c r="E209" s="1">
        <v>45220</v>
      </c>
      <c r="F209" s="1" t="str">
        <f>TEXT(Sheet1[[#This Row],[Fecha ingreso]],"mmmm")</f>
        <v>octubre</v>
      </c>
      <c r="G209" s="2">
        <f>YEAR(Sheet1[[#This Row],[Fecha ingreso]])</f>
        <v>2023</v>
      </c>
      <c r="H209" s="1" t="str">
        <f>TEXT(Sheet1[[#This Row],[Fecha ingreso]],"dddd")</f>
        <v>sábado</v>
      </c>
      <c r="I209" s="1">
        <v>45296</v>
      </c>
      <c r="J209" s="2">
        <f>DATEDIF(Sheet1[[#This Row],[Fecha ingreso]],Sheet1[[#This Row],[Fecha último pago]],"M")+1</f>
        <v>3</v>
      </c>
      <c r="K209" s="2">
        <f>Sheet1[[#This Row],[Ingresos mensuales]]*Sheet1[[#This Row],[Meses contratados]]</f>
        <v>156.99</v>
      </c>
      <c r="L209" t="s">
        <v>1818</v>
      </c>
      <c r="M209">
        <v>68</v>
      </c>
      <c r="N209" t="s">
        <v>1821</v>
      </c>
      <c r="O209" t="s">
        <v>1824</v>
      </c>
      <c r="P209" t="s">
        <v>1827</v>
      </c>
      <c r="Q209" cm="1">
        <f t="array" ref="Q209">_xlfn.IFS(P209="2 Years", 24,P209="1 Year",12, P209="6 Months",6, P209="1 Month",1)</f>
        <v>12</v>
      </c>
      <c r="R209" t="str" cm="1">
        <f t="array" ref="R209">_xlfn.IFS(Q209=1,"Mensual",Q209=6,"Semestral",Q209=12,"Anual",Q209=24,"Bienal")</f>
        <v>Anual</v>
      </c>
      <c r="S209">
        <f>IFERROR(VLOOKUP(Sheet1[[#This Row],[ID usuario]],A210:$A$907,1,FALSE),0)</f>
        <v>0</v>
      </c>
    </row>
    <row r="210" spans="1:19" x14ac:dyDescent="0.25">
      <c r="A210" t="s">
        <v>208</v>
      </c>
      <c r="B210" t="s">
        <v>1113</v>
      </c>
      <c r="C210" t="s">
        <v>1812</v>
      </c>
      <c r="D210">
        <v>87.34</v>
      </c>
      <c r="E210" s="1">
        <v>44779</v>
      </c>
      <c r="F210" s="1" t="str">
        <f>TEXT(Sheet1[[#This Row],[Fecha ingreso]],"mmmm")</f>
        <v>agosto</v>
      </c>
      <c r="G210" s="2">
        <f>YEAR(Sheet1[[#This Row],[Fecha ingreso]])</f>
        <v>2022</v>
      </c>
      <c r="H210" s="1" t="str">
        <f>TEXT(Sheet1[[#This Row],[Fecha ingreso]],"dddd")</f>
        <v>sábado</v>
      </c>
      <c r="I210" s="1">
        <v>45418</v>
      </c>
      <c r="J210" s="2">
        <f>DATEDIF(Sheet1[[#This Row],[Fecha ingreso]],Sheet1[[#This Row],[Fecha último pago]],"M")+1</f>
        <v>22</v>
      </c>
      <c r="K210" s="2">
        <f>Sheet1[[#This Row],[Ingresos mensuales]]*Sheet1[[#This Row],[Meses contratados]]</f>
        <v>1921.48</v>
      </c>
      <c r="L210" t="s">
        <v>1817</v>
      </c>
      <c r="M210">
        <v>26</v>
      </c>
      <c r="N210" t="s">
        <v>1822</v>
      </c>
      <c r="O210" t="s">
        <v>1824</v>
      </c>
      <c r="P210" t="s">
        <v>1828</v>
      </c>
      <c r="Q210" cm="1">
        <f t="array" ref="Q210">_xlfn.IFS(P210="2 Years", 24,P210="1 Year",12, P210="6 Months",6, P210="1 Month",1)</f>
        <v>6</v>
      </c>
      <c r="R210" t="str" cm="1">
        <f t="array" ref="R210">_xlfn.IFS(Q210=1,"Mensual",Q210=6,"Semestral",Q210=12,"Anual",Q210=24,"Bienal")</f>
        <v>Semestral</v>
      </c>
      <c r="S210">
        <f>IFERROR(VLOOKUP(Sheet1[[#This Row],[ID usuario]],A211:$A$907,1,FALSE),0)</f>
        <v>0</v>
      </c>
    </row>
    <row r="211" spans="1:19" x14ac:dyDescent="0.25">
      <c r="A211" t="s">
        <v>209</v>
      </c>
      <c r="B211" t="s">
        <v>1114</v>
      </c>
      <c r="C211" t="s">
        <v>1810</v>
      </c>
      <c r="D211">
        <v>64.63</v>
      </c>
      <c r="E211" s="1">
        <v>45123</v>
      </c>
      <c r="F211" s="1" t="str">
        <f>TEXT(Sheet1[[#This Row],[Fecha ingreso]],"mmmm")</f>
        <v>julio</v>
      </c>
      <c r="G211" s="2">
        <f>YEAR(Sheet1[[#This Row],[Fecha ingreso]])</f>
        <v>2023</v>
      </c>
      <c r="H211" s="1" t="str">
        <f>TEXT(Sheet1[[#This Row],[Fecha ingreso]],"dddd")</f>
        <v>domingo</v>
      </c>
      <c r="I211" s="1">
        <v>45205</v>
      </c>
      <c r="J211" s="2">
        <f>DATEDIF(Sheet1[[#This Row],[Fecha ingreso]],Sheet1[[#This Row],[Fecha último pago]],"M")+1</f>
        <v>3</v>
      </c>
      <c r="K211" s="2">
        <f>Sheet1[[#This Row],[Ingresos mensuales]]*Sheet1[[#This Row],[Meses contratados]]</f>
        <v>193.89</v>
      </c>
      <c r="L211" t="s">
        <v>1817</v>
      </c>
      <c r="M211">
        <v>35</v>
      </c>
      <c r="N211" t="s">
        <v>1820</v>
      </c>
      <c r="O211" t="s">
        <v>1823</v>
      </c>
      <c r="P211" t="s">
        <v>1829</v>
      </c>
      <c r="Q211" cm="1">
        <f t="array" ref="Q211">_xlfn.IFS(P211="2 Years", 24,P211="1 Year",12, P211="6 Months",6, P211="1 Month",1)</f>
        <v>1</v>
      </c>
      <c r="R211" t="str" cm="1">
        <f t="array" ref="R211">_xlfn.IFS(Q211=1,"Mensual",Q211=6,"Semestral",Q211=12,"Anual",Q211=24,"Bienal")</f>
        <v>Mensual</v>
      </c>
      <c r="S211">
        <f>IFERROR(VLOOKUP(Sheet1[[#This Row],[ID usuario]],A212:$A$907,1,FALSE),0)</f>
        <v>0</v>
      </c>
    </row>
    <row r="212" spans="1:19" x14ac:dyDescent="0.25">
      <c r="A212" t="s">
        <v>210</v>
      </c>
      <c r="B212" t="s">
        <v>1115</v>
      </c>
      <c r="C212" t="s">
        <v>1811</v>
      </c>
      <c r="D212">
        <v>43.14</v>
      </c>
      <c r="E212" s="1">
        <v>45400</v>
      </c>
      <c r="F212" s="1" t="str">
        <f>TEXT(Sheet1[[#This Row],[Fecha ingreso]],"mmmm")</f>
        <v>abril</v>
      </c>
      <c r="G212" s="2">
        <f>YEAR(Sheet1[[#This Row],[Fecha ingreso]])</f>
        <v>2024</v>
      </c>
      <c r="H212" s="1" t="str">
        <f>TEXT(Sheet1[[#This Row],[Fecha ingreso]],"dddd")</f>
        <v>jueves</v>
      </c>
      <c r="I212" s="1">
        <v>45430</v>
      </c>
      <c r="J212" s="2">
        <f>DATEDIF(Sheet1[[#This Row],[Fecha ingreso]],Sheet1[[#This Row],[Fecha último pago]],"M")+1</f>
        <v>2</v>
      </c>
      <c r="K212" s="2">
        <f>Sheet1[[#This Row],[Ingresos mensuales]]*Sheet1[[#This Row],[Meses contratados]]</f>
        <v>86.28</v>
      </c>
      <c r="L212" t="s">
        <v>1818</v>
      </c>
      <c r="M212">
        <v>68</v>
      </c>
      <c r="N212" t="s">
        <v>1822</v>
      </c>
      <c r="O212" t="s">
        <v>1825</v>
      </c>
      <c r="P212" t="s">
        <v>1829</v>
      </c>
      <c r="Q212" cm="1">
        <f t="array" ref="Q212">_xlfn.IFS(P212="2 Years", 24,P212="1 Year",12, P212="6 Months",6, P212="1 Month",1)</f>
        <v>1</v>
      </c>
      <c r="R212" t="str" cm="1">
        <f t="array" ref="R212">_xlfn.IFS(Q212=1,"Mensual",Q212=6,"Semestral",Q212=12,"Anual",Q212=24,"Bienal")</f>
        <v>Mensual</v>
      </c>
      <c r="S212">
        <f>IFERROR(VLOOKUP(Sheet1[[#This Row],[ID usuario]],A213:$A$907,1,FALSE),0)</f>
        <v>0</v>
      </c>
    </row>
    <row r="213" spans="1:19" x14ac:dyDescent="0.25">
      <c r="A213" t="s">
        <v>211</v>
      </c>
      <c r="B213" t="s">
        <v>1116</v>
      </c>
      <c r="C213" t="s">
        <v>1812</v>
      </c>
      <c r="D213">
        <v>44.59</v>
      </c>
      <c r="E213" s="1">
        <v>44775</v>
      </c>
      <c r="F213" s="1" t="str">
        <f>TEXT(Sheet1[[#This Row],[Fecha ingreso]],"mmmm")</f>
        <v>agosto</v>
      </c>
      <c r="G213" s="2">
        <f>YEAR(Sheet1[[#This Row],[Fecha ingreso]])</f>
        <v>2022</v>
      </c>
      <c r="H213" s="1" t="str">
        <f>TEXT(Sheet1[[#This Row],[Fecha ingreso]],"dddd")</f>
        <v>martes</v>
      </c>
      <c r="I213" s="1">
        <v>45063</v>
      </c>
      <c r="J213" s="2">
        <f>DATEDIF(Sheet1[[#This Row],[Fecha ingreso]],Sheet1[[#This Row],[Fecha último pago]],"M")+1</f>
        <v>10</v>
      </c>
      <c r="K213" s="2">
        <f>Sheet1[[#This Row],[Ingresos mensuales]]*Sheet1[[#This Row],[Meses contratados]]</f>
        <v>445.90000000000003</v>
      </c>
      <c r="L213" t="s">
        <v>1817</v>
      </c>
      <c r="M213">
        <v>46</v>
      </c>
      <c r="N213" t="s">
        <v>1820</v>
      </c>
      <c r="O213" t="s">
        <v>1824</v>
      </c>
      <c r="P213" t="s">
        <v>1829</v>
      </c>
      <c r="Q213" cm="1">
        <f t="array" ref="Q213">_xlfn.IFS(P213="2 Years", 24,P213="1 Year",12, P213="6 Months",6, P213="1 Month",1)</f>
        <v>1</v>
      </c>
      <c r="R213" t="str" cm="1">
        <f t="array" ref="R213">_xlfn.IFS(Q213=1,"Mensual",Q213=6,"Semestral",Q213=12,"Anual",Q213=24,"Bienal")</f>
        <v>Mensual</v>
      </c>
      <c r="S213">
        <f>IFERROR(VLOOKUP(Sheet1[[#This Row],[ID usuario]],A214:$A$907,1,FALSE),0)</f>
        <v>0</v>
      </c>
    </row>
    <row r="214" spans="1:19" x14ac:dyDescent="0.25">
      <c r="A214" t="s">
        <v>212</v>
      </c>
      <c r="B214" t="s">
        <v>1117</v>
      </c>
      <c r="C214" t="s">
        <v>1811</v>
      </c>
      <c r="D214">
        <v>82.03</v>
      </c>
      <c r="E214" s="1">
        <v>45087</v>
      </c>
      <c r="F214" s="1" t="str">
        <f>TEXT(Sheet1[[#This Row],[Fecha ingreso]],"mmmm")</f>
        <v>junio</v>
      </c>
      <c r="G214" s="2">
        <f>YEAR(Sheet1[[#This Row],[Fecha ingreso]])</f>
        <v>2023</v>
      </c>
      <c r="H214" s="1" t="str">
        <f>TEXT(Sheet1[[#This Row],[Fecha ingreso]],"dddd")</f>
        <v>sábado</v>
      </c>
      <c r="I214" s="1">
        <v>45274</v>
      </c>
      <c r="J214" s="2">
        <f>DATEDIF(Sheet1[[#This Row],[Fecha ingreso]],Sheet1[[#This Row],[Fecha último pago]],"M")+1</f>
        <v>7</v>
      </c>
      <c r="K214" s="2">
        <f>Sheet1[[#This Row],[Ingresos mensuales]]*Sheet1[[#This Row],[Meses contratados]]</f>
        <v>574.21</v>
      </c>
      <c r="L214" t="s">
        <v>1817</v>
      </c>
      <c r="M214">
        <v>32</v>
      </c>
      <c r="N214" t="s">
        <v>1821</v>
      </c>
      <c r="O214" t="s">
        <v>1824</v>
      </c>
      <c r="P214" t="s">
        <v>1829</v>
      </c>
      <c r="Q214" cm="1">
        <f t="array" ref="Q214">_xlfn.IFS(P214="2 Years", 24,P214="1 Year",12, P214="6 Months",6, P214="1 Month",1)</f>
        <v>1</v>
      </c>
      <c r="R214" t="str" cm="1">
        <f t="array" ref="R214">_xlfn.IFS(Q214=1,"Mensual",Q214=6,"Semestral",Q214=12,"Anual",Q214=24,"Bienal")</f>
        <v>Mensual</v>
      </c>
      <c r="S214">
        <f>IFERROR(VLOOKUP(Sheet1[[#This Row],[ID usuario]],A215:$A$907,1,FALSE),0)</f>
        <v>0</v>
      </c>
    </row>
    <row r="215" spans="1:19" x14ac:dyDescent="0.25">
      <c r="A215" t="s">
        <v>213</v>
      </c>
      <c r="B215" t="s">
        <v>1118</v>
      </c>
      <c r="C215" t="s">
        <v>1811</v>
      </c>
      <c r="D215">
        <v>38.08</v>
      </c>
      <c r="E215" s="1">
        <v>44600</v>
      </c>
      <c r="F215" s="1" t="str">
        <f>TEXT(Sheet1[[#This Row],[Fecha ingreso]],"mmmm")</f>
        <v>febrero</v>
      </c>
      <c r="G215" s="2">
        <f>YEAR(Sheet1[[#This Row],[Fecha ingreso]])</f>
        <v>2022</v>
      </c>
      <c r="H215" s="1" t="str">
        <f>TEXT(Sheet1[[#This Row],[Fecha ingreso]],"dddd")</f>
        <v>martes</v>
      </c>
      <c r="I215" s="1">
        <v>45053</v>
      </c>
      <c r="J215" s="2">
        <f>DATEDIF(Sheet1[[#This Row],[Fecha ingreso]],Sheet1[[#This Row],[Fecha último pago]],"M")+1</f>
        <v>15</v>
      </c>
      <c r="K215" s="2">
        <f>Sheet1[[#This Row],[Ingresos mensuales]]*Sheet1[[#This Row],[Meses contratados]]</f>
        <v>571.19999999999993</v>
      </c>
      <c r="L215" t="s">
        <v>1814</v>
      </c>
      <c r="M215">
        <v>24</v>
      </c>
      <c r="N215" t="s">
        <v>1820</v>
      </c>
      <c r="O215" t="s">
        <v>1825</v>
      </c>
      <c r="P215" t="s">
        <v>1827</v>
      </c>
      <c r="Q215" cm="1">
        <f t="array" ref="Q215">_xlfn.IFS(P215="2 Years", 24,P215="1 Year",12, P215="6 Months",6, P215="1 Month",1)</f>
        <v>12</v>
      </c>
      <c r="R215" t="str" cm="1">
        <f t="array" ref="R215">_xlfn.IFS(Q215=1,"Mensual",Q215=6,"Semestral",Q215=12,"Anual",Q215=24,"Bienal")</f>
        <v>Anual</v>
      </c>
      <c r="S215">
        <f>IFERROR(VLOOKUP(Sheet1[[#This Row],[ID usuario]],A216:$A$907,1,FALSE),0)</f>
        <v>0</v>
      </c>
    </row>
    <row r="216" spans="1:19" x14ac:dyDescent="0.25">
      <c r="A216" t="s">
        <v>214</v>
      </c>
      <c r="B216" t="s">
        <v>1119</v>
      </c>
      <c r="C216" t="s">
        <v>1811</v>
      </c>
      <c r="D216">
        <v>25.09</v>
      </c>
      <c r="E216" s="1">
        <v>44429</v>
      </c>
      <c r="F216" s="1" t="str">
        <f>TEXT(Sheet1[[#This Row],[Fecha ingreso]],"mmmm")</f>
        <v>agosto</v>
      </c>
      <c r="G216" s="2">
        <f>YEAR(Sheet1[[#This Row],[Fecha ingreso]])</f>
        <v>2021</v>
      </c>
      <c r="H216" s="1" t="str">
        <f>TEXT(Sheet1[[#This Row],[Fecha ingreso]],"dddd")</f>
        <v>sábado</v>
      </c>
      <c r="I216" s="1">
        <v>44764</v>
      </c>
      <c r="J216" s="2">
        <f>DATEDIF(Sheet1[[#This Row],[Fecha ingreso]],Sheet1[[#This Row],[Fecha último pago]],"M")+1</f>
        <v>12</v>
      </c>
      <c r="K216" s="2">
        <f>Sheet1[[#This Row],[Ingresos mensuales]]*Sheet1[[#This Row],[Meses contratados]]</f>
        <v>301.08</v>
      </c>
      <c r="L216" t="s">
        <v>1817</v>
      </c>
      <c r="M216">
        <v>31</v>
      </c>
      <c r="N216" t="s">
        <v>1822</v>
      </c>
      <c r="O216" t="s">
        <v>1825</v>
      </c>
      <c r="P216" t="s">
        <v>1829</v>
      </c>
      <c r="Q216" cm="1">
        <f t="array" ref="Q216">_xlfn.IFS(P216="2 Years", 24,P216="1 Year",12, P216="6 Months",6, P216="1 Month",1)</f>
        <v>1</v>
      </c>
      <c r="R216" t="str" cm="1">
        <f t="array" ref="R216">_xlfn.IFS(Q216=1,"Mensual",Q216=6,"Semestral",Q216=12,"Anual",Q216=24,"Bienal")</f>
        <v>Mensual</v>
      </c>
      <c r="S216">
        <f>IFERROR(VLOOKUP(Sheet1[[#This Row],[ID usuario]],A217:$A$907,1,FALSE),0)</f>
        <v>0</v>
      </c>
    </row>
    <row r="217" spans="1:19" x14ac:dyDescent="0.25">
      <c r="A217" t="s">
        <v>215</v>
      </c>
      <c r="B217" t="s">
        <v>1120</v>
      </c>
      <c r="C217" t="s">
        <v>1811</v>
      </c>
      <c r="D217">
        <v>10.64</v>
      </c>
      <c r="E217" s="1">
        <v>45035</v>
      </c>
      <c r="F217" s="1" t="str">
        <f>TEXT(Sheet1[[#This Row],[Fecha ingreso]],"mmmm")</f>
        <v>abril</v>
      </c>
      <c r="G217" s="2">
        <f>YEAR(Sheet1[[#This Row],[Fecha ingreso]])</f>
        <v>2023</v>
      </c>
      <c r="H217" s="1" t="str">
        <f>TEXT(Sheet1[[#This Row],[Fecha ingreso]],"dddd")</f>
        <v>miércoles</v>
      </c>
      <c r="I217" s="1">
        <v>45228</v>
      </c>
      <c r="J217" s="2">
        <f>DATEDIF(Sheet1[[#This Row],[Fecha ingreso]],Sheet1[[#This Row],[Fecha último pago]],"M")+1</f>
        <v>7</v>
      </c>
      <c r="K217" s="2">
        <f>Sheet1[[#This Row],[Ingresos mensuales]]*Sheet1[[#This Row],[Meses contratados]]</f>
        <v>74.48</v>
      </c>
      <c r="L217" t="s">
        <v>1818</v>
      </c>
      <c r="M217">
        <v>46</v>
      </c>
      <c r="N217" t="s">
        <v>1821</v>
      </c>
      <c r="O217" t="s">
        <v>1823</v>
      </c>
      <c r="P217" t="s">
        <v>1827</v>
      </c>
      <c r="Q217" cm="1">
        <f t="array" ref="Q217">_xlfn.IFS(P217="2 Years", 24,P217="1 Year",12, P217="6 Months",6, P217="1 Month",1)</f>
        <v>12</v>
      </c>
      <c r="R217" t="str" cm="1">
        <f t="array" ref="R217">_xlfn.IFS(Q217=1,"Mensual",Q217=6,"Semestral",Q217=12,"Anual",Q217=24,"Bienal")</f>
        <v>Anual</v>
      </c>
      <c r="S217">
        <f>IFERROR(VLOOKUP(Sheet1[[#This Row],[ID usuario]],A218:$A$907,1,FALSE),0)</f>
        <v>0</v>
      </c>
    </row>
    <row r="218" spans="1:19" x14ac:dyDescent="0.25">
      <c r="A218" t="s">
        <v>216</v>
      </c>
      <c r="B218" t="s">
        <v>1121</v>
      </c>
      <c r="C218" t="s">
        <v>1810</v>
      </c>
      <c r="D218">
        <v>88.22</v>
      </c>
      <c r="E218" s="1">
        <v>45436</v>
      </c>
      <c r="F218" s="1" t="str">
        <f>TEXT(Sheet1[[#This Row],[Fecha ingreso]],"mmmm")</f>
        <v>mayo</v>
      </c>
      <c r="G218" s="2">
        <f>YEAR(Sheet1[[#This Row],[Fecha ingreso]])</f>
        <v>2024</v>
      </c>
      <c r="H218" s="1" t="str">
        <f>TEXT(Sheet1[[#This Row],[Fecha ingreso]],"dddd")</f>
        <v>viernes</v>
      </c>
      <c r="I218" s="1">
        <v>45443</v>
      </c>
      <c r="J218" s="2">
        <f>DATEDIF(Sheet1[[#This Row],[Fecha ingreso]],Sheet1[[#This Row],[Fecha último pago]],"M")+1</f>
        <v>1</v>
      </c>
      <c r="K218" s="2">
        <f>Sheet1[[#This Row],[Ingresos mensuales]]*Sheet1[[#This Row],[Meses contratados]]</f>
        <v>88.22</v>
      </c>
      <c r="L218" t="s">
        <v>1818</v>
      </c>
      <c r="M218">
        <v>21</v>
      </c>
      <c r="N218" t="s">
        <v>1822</v>
      </c>
      <c r="O218" t="s">
        <v>1824</v>
      </c>
      <c r="P218" t="s">
        <v>1827</v>
      </c>
      <c r="Q218" cm="1">
        <f t="array" ref="Q218">_xlfn.IFS(P218="2 Years", 24,P218="1 Year",12, P218="6 Months",6, P218="1 Month",1)</f>
        <v>12</v>
      </c>
      <c r="R218" t="str" cm="1">
        <f t="array" ref="R218">_xlfn.IFS(Q218=1,"Mensual",Q218=6,"Semestral",Q218=12,"Anual",Q218=24,"Bienal")</f>
        <v>Anual</v>
      </c>
      <c r="S218">
        <f>IFERROR(VLOOKUP(Sheet1[[#This Row],[ID usuario]],A219:$A$907,1,FALSE),0)</f>
        <v>0</v>
      </c>
    </row>
    <row r="219" spans="1:19" x14ac:dyDescent="0.25">
      <c r="A219" t="s">
        <v>217</v>
      </c>
      <c r="B219" t="s">
        <v>1122</v>
      </c>
      <c r="C219" t="s">
        <v>1812</v>
      </c>
      <c r="D219">
        <v>92.26</v>
      </c>
      <c r="E219" s="1">
        <v>45342</v>
      </c>
      <c r="F219" s="1" t="str">
        <f>TEXT(Sheet1[[#This Row],[Fecha ingreso]],"mmmm")</f>
        <v>febrero</v>
      </c>
      <c r="G219" s="2">
        <f>YEAR(Sheet1[[#This Row],[Fecha ingreso]])</f>
        <v>2024</v>
      </c>
      <c r="H219" s="1" t="str">
        <f>TEXT(Sheet1[[#This Row],[Fecha ingreso]],"dddd")</f>
        <v>martes</v>
      </c>
      <c r="I219" s="1">
        <v>45417</v>
      </c>
      <c r="J219" s="2">
        <f>DATEDIF(Sheet1[[#This Row],[Fecha ingreso]],Sheet1[[#This Row],[Fecha último pago]],"M")+1</f>
        <v>3</v>
      </c>
      <c r="K219" s="2">
        <f>Sheet1[[#This Row],[Ingresos mensuales]]*Sheet1[[#This Row],[Meses contratados]]</f>
        <v>276.78000000000003</v>
      </c>
      <c r="L219" t="s">
        <v>1816</v>
      </c>
      <c r="M219">
        <v>62</v>
      </c>
      <c r="N219" t="s">
        <v>1822</v>
      </c>
      <c r="O219" t="s">
        <v>1823</v>
      </c>
      <c r="P219" t="s">
        <v>1829</v>
      </c>
      <c r="Q219" cm="1">
        <f t="array" ref="Q219">_xlfn.IFS(P219="2 Years", 24,P219="1 Year",12, P219="6 Months",6, P219="1 Month",1)</f>
        <v>1</v>
      </c>
      <c r="R219" t="str" cm="1">
        <f t="array" ref="R219">_xlfn.IFS(Q219=1,"Mensual",Q219=6,"Semestral",Q219=12,"Anual",Q219=24,"Bienal")</f>
        <v>Mensual</v>
      </c>
      <c r="S219">
        <f>IFERROR(VLOOKUP(Sheet1[[#This Row],[ID usuario]],A220:$A$907,1,FALSE),0)</f>
        <v>0</v>
      </c>
    </row>
    <row r="220" spans="1:19" x14ac:dyDescent="0.25">
      <c r="A220" t="s">
        <v>218</v>
      </c>
      <c r="B220" t="s">
        <v>1123</v>
      </c>
      <c r="C220" t="s">
        <v>1812</v>
      </c>
      <c r="D220">
        <v>16.41</v>
      </c>
      <c r="E220" s="1">
        <v>44432</v>
      </c>
      <c r="F220" s="1" t="str">
        <f>TEXT(Sheet1[[#This Row],[Fecha ingreso]],"mmmm")</f>
        <v>agosto</v>
      </c>
      <c r="G220" s="2">
        <f>YEAR(Sheet1[[#This Row],[Fecha ingreso]])</f>
        <v>2021</v>
      </c>
      <c r="H220" s="1" t="str">
        <f>TEXT(Sheet1[[#This Row],[Fecha ingreso]],"dddd")</f>
        <v>martes</v>
      </c>
      <c r="I220" s="1">
        <v>45054</v>
      </c>
      <c r="J220" s="2">
        <f>DATEDIF(Sheet1[[#This Row],[Fecha ingreso]],Sheet1[[#This Row],[Fecha último pago]],"M")+1</f>
        <v>21</v>
      </c>
      <c r="K220" s="2">
        <f>Sheet1[[#This Row],[Ingresos mensuales]]*Sheet1[[#This Row],[Meses contratados]]</f>
        <v>344.61</v>
      </c>
      <c r="L220" t="s">
        <v>1816</v>
      </c>
      <c r="M220">
        <v>56</v>
      </c>
      <c r="N220" t="s">
        <v>1822</v>
      </c>
      <c r="O220" t="s">
        <v>1823</v>
      </c>
      <c r="P220" t="s">
        <v>1828</v>
      </c>
      <c r="Q220" cm="1">
        <f t="array" ref="Q220">_xlfn.IFS(P220="2 Years", 24,P220="1 Year",12, P220="6 Months",6, P220="1 Month",1)</f>
        <v>6</v>
      </c>
      <c r="R220" t="str" cm="1">
        <f t="array" ref="R220">_xlfn.IFS(Q220=1,"Mensual",Q220=6,"Semestral",Q220=12,"Anual",Q220=24,"Bienal")</f>
        <v>Semestral</v>
      </c>
      <c r="S220">
        <f>IFERROR(VLOOKUP(Sheet1[[#This Row],[ID usuario]],A221:$A$907,1,FALSE),0)</f>
        <v>0</v>
      </c>
    </row>
    <row r="221" spans="1:19" x14ac:dyDescent="0.25">
      <c r="A221" t="s">
        <v>219</v>
      </c>
      <c r="B221" t="s">
        <v>1124</v>
      </c>
      <c r="C221" t="s">
        <v>1810</v>
      </c>
      <c r="D221">
        <v>36.78</v>
      </c>
      <c r="E221" s="1">
        <v>44769</v>
      </c>
      <c r="F221" s="1" t="str">
        <f>TEXT(Sheet1[[#This Row],[Fecha ingreso]],"mmmm")</f>
        <v>julio</v>
      </c>
      <c r="G221" s="2">
        <f>YEAR(Sheet1[[#This Row],[Fecha ingreso]])</f>
        <v>2022</v>
      </c>
      <c r="H221" s="1" t="str">
        <f>TEXT(Sheet1[[#This Row],[Fecha ingreso]],"dddd")</f>
        <v>miércoles</v>
      </c>
      <c r="I221" s="1">
        <v>45168</v>
      </c>
      <c r="J221" s="2">
        <f>DATEDIF(Sheet1[[#This Row],[Fecha ingreso]],Sheet1[[#This Row],[Fecha último pago]],"M")+1</f>
        <v>14</v>
      </c>
      <c r="K221" s="2">
        <f>Sheet1[[#This Row],[Ingresos mensuales]]*Sheet1[[#This Row],[Meses contratados]]</f>
        <v>514.92000000000007</v>
      </c>
      <c r="L221" t="s">
        <v>1815</v>
      </c>
      <c r="M221">
        <v>65</v>
      </c>
      <c r="N221" t="s">
        <v>1820</v>
      </c>
      <c r="O221" t="s">
        <v>1825</v>
      </c>
      <c r="P221" t="s">
        <v>1826</v>
      </c>
      <c r="Q221" cm="1">
        <f t="array" ref="Q221">_xlfn.IFS(P221="2 Years", 24,P221="1 Year",12, P221="6 Months",6, P221="1 Month",1)</f>
        <v>24</v>
      </c>
      <c r="R221" t="str" cm="1">
        <f t="array" ref="R221">_xlfn.IFS(Q221=1,"Mensual",Q221=6,"Semestral",Q221=12,"Anual",Q221=24,"Bienal")</f>
        <v>Bienal</v>
      </c>
      <c r="S221">
        <f>IFERROR(VLOOKUP(Sheet1[[#This Row],[ID usuario]],A222:$A$907,1,FALSE),0)</f>
        <v>0</v>
      </c>
    </row>
    <row r="222" spans="1:19" x14ac:dyDescent="0.25">
      <c r="A222" t="s">
        <v>220</v>
      </c>
      <c r="B222" t="s">
        <v>1125</v>
      </c>
      <c r="C222" t="s">
        <v>1811</v>
      </c>
      <c r="D222">
        <v>21.66</v>
      </c>
      <c r="E222" s="1">
        <v>45402</v>
      </c>
      <c r="F222" s="1" t="str">
        <f>TEXT(Sheet1[[#This Row],[Fecha ingreso]],"mmmm")</f>
        <v>abril</v>
      </c>
      <c r="G222" s="2">
        <f>YEAR(Sheet1[[#This Row],[Fecha ingreso]])</f>
        <v>2024</v>
      </c>
      <c r="H222" s="1" t="str">
        <f>TEXT(Sheet1[[#This Row],[Fecha ingreso]],"dddd")</f>
        <v>sábado</v>
      </c>
      <c r="I222" s="1">
        <v>45409</v>
      </c>
      <c r="J222" s="2">
        <f>DATEDIF(Sheet1[[#This Row],[Fecha ingreso]],Sheet1[[#This Row],[Fecha último pago]],"M")+1</f>
        <v>1</v>
      </c>
      <c r="K222" s="2">
        <f>Sheet1[[#This Row],[Ingresos mensuales]]*Sheet1[[#This Row],[Meses contratados]]</f>
        <v>21.66</v>
      </c>
      <c r="L222" t="s">
        <v>1813</v>
      </c>
      <c r="M222">
        <v>22</v>
      </c>
      <c r="N222" t="s">
        <v>1821</v>
      </c>
      <c r="O222" t="s">
        <v>1824</v>
      </c>
      <c r="P222" t="s">
        <v>1828</v>
      </c>
      <c r="Q222" cm="1">
        <f t="array" ref="Q222">_xlfn.IFS(P222="2 Years", 24,P222="1 Year",12, P222="6 Months",6, P222="1 Month",1)</f>
        <v>6</v>
      </c>
      <c r="R222" t="str" cm="1">
        <f t="array" ref="R222">_xlfn.IFS(Q222=1,"Mensual",Q222=6,"Semestral",Q222=12,"Anual",Q222=24,"Bienal")</f>
        <v>Semestral</v>
      </c>
      <c r="S222">
        <f>IFERROR(VLOOKUP(Sheet1[[#This Row],[ID usuario]],A223:$A$907,1,FALSE),0)</f>
        <v>0</v>
      </c>
    </row>
    <row r="223" spans="1:19" x14ac:dyDescent="0.25">
      <c r="A223" t="s">
        <v>221</v>
      </c>
      <c r="B223" t="s">
        <v>1126</v>
      </c>
      <c r="C223" t="s">
        <v>1811</v>
      </c>
      <c r="D223">
        <v>16.010000000000002</v>
      </c>
      <c r="E223" s="1">
        <v>45374</v>
      </c>
      <c r="F223" s="1" t="str">
        <f>TEXT(Sheet1[[#This Row],[Fecha ingreso]],"mmmm")</f>
        <v>marzo</v>
      </c>
      <c r="G223" s="2">
        <f>YEAR(Sheet1[[#This Row],[Fecha ingreso]])</f>
        <v>2024</v>
      </c>
      <c r="H223" s="1" t="str">
        <f>TEXT(Sheet1[[#This Row],[Fecha ingreso]],"dddd")</f>
        <v>sábado</v>
      </c>
      <c r="I223" s="1">
        <v>45378</v>
      </c>
      <c r="J223" s="2">
        <f>DATEDIF(Sheet1[[#This Row],[Fecha ingreso]],Sheet1[[#This Row],[Fecha último pago]],"M")+1</f>
        <v>1</v>
      </c>
      <c r="K223" s="2">
        <f>Sheet1[[#This Row],[Ingresos mensuales]]*Sheet1[[#This Row],[Meses contratados]]</f>
        <v>16.010000000000002</v>
      </c>
      <c r="L223" t="s">
        <v>1818</v>
      </c>
      <c r="M223">
        <v>18</v>
      </c>
      <c r="N223" t="s">
        <v>1822</v>
      </c>
      <c r="O223" t="s">
        <v>1825</v>
      </c>
      <c r="P223" t="s">
        <v>1828</v>
      </c>
      <c r="Q223" cm="1">
        <f t="array" ref="Q223">_xlfn.IFS(P223="2 Years", 24,P223="1 Year",12, P223="6 Months",6, P223="1 Month",1)</f>
        <v>6</v>
      </c>
      <c r="R223" t="str" cm="1">
        <f t="array" ref="R223">_xlfn.IFS(Q223=1,"Mensual",Q223=6,"Semestral",Q223=12,"Anual",Q223=24,"Bienal")</f>
        <v>Semestral</v>
      </c>
      <c r="S223">
        <f>IFERROR(VLOOKUP(Sheet1[[#This Row],[ID usuario]],A224:$A$907,1,FALSE),0)</f>
        <v>0</v>
      </c>
    </row>
    <row r="224" spans="1:19" x14ac:dyDescent="0.25">
      <c r="A224" t="s">
        <v>222</v>
      </c>
      <c r="B224" t="s">
        <v>1127</v>
      </c>
      <c r="C224" t="s">
        <v>1810</v>
      </c>
      <c r="D224">
        <v>90.49</v>
      </c>
      <c r="E224" s="1">
        <v>44889</v>
      </c>
      <c r="F224" s="1" t="str">
        <f>TEXT(Sheet1[[#This Row],[Fecha ingreso]],"mmmm")</f>
        <v>noviembre</v>
      </c>
      <c r="G224" s="2">
        <f>YEAR(Sheet1[[#This Row],[Fecha ingreso]])</f>
        <v>2022</v>
      </c>
      <c r="H224" s="1" t="str">
        <f>TEXT(Sheet1[[#This Row],[Fecha ingreso]],"dddd")</f>
        <v>jueves</v>
      </c>
      <c r="I224" s="1">
        <v>45183</v>
      </c>
      <c r="J224" s="2">
        <f>DATEDIF(Sheet1[[#This Row],[Fecha ingreso]],Sheet1[[#This Row],[Fecha último pago]],"M")+1</f>
        <v>10</v>
      </c>
      <c r="K224" s="2">
        <f>Sheet1[[#This Row],[Ingresos mensuales]]*Sheet1[[#This Row],[Meses contratados]]</f>
        <v>904.9</v>
      </c>
      <c r="L224" t="s">
        <v>1817</v>
      </c>
      <c r="M224">
        <v>29</v>
      </c>
      <c r="N224" t="s">
        <v>1820</v>
      </c>
      <c r="O224" t="s">
        <v>1825</v>
      </c>
      <c r="P224" t="s">
        <v>1829</v>
      </c>
      <c r="Q224" cm="1">
        <f t="array" ref="Q224">_xlfn.IFS(P224="2 Years", 24,P224="1 Year",12, P224="6 Months",6, P224="1 Month",1)</f>
        <v>1</v>
      </c>
      <c r="R224" t="str" cm="1">
        <f t="array" ref="R224">_xlfn.IFS(Q224=1,"Mensual",Q224=6,"Semestral",Q224=12,"Anual",Q224=24,"Bienal")</f>
        <v>Mensual</v>
      </c>
      <c r="S224">
        <f>IFERROR(VLOOKUP(Sheet1[[#This Row],[ID usuario]],A225:$A$907,1,FALSE),0)</f>
        <v>0</v>
      </c>
    </row>
    <row r="225" spans="1:19" x14ac:dyDescent="0.25">
      <c r="A225" t="s">
        <v>223</v>
      </c>
      <c r="B225" t="s">
        <v>1128</v>
      </c>
      <c r="C225" t="s">
        <v>1810</v>
      </c>
      <c r="D225">
        <v>10.4</v>
      </c>
      <c r="E225" s="1">
        <v>44841</v>
      </c>
      <c r="F225" s="1" t="str">
        <f>TEXT(Sheet1[[#This Row],[Fecha ingreso]],"mmmm")</f>
        <v>octubre</v>
      </c>
      <c r="G225" s="2">
        <f>YEAR(Sheet1[[#This Row],[Fecha ingreso]])</f>
        <v>2022</v>
      </c>
      <c r="H225" s="1" t="str">
        <f>TEXT(Sheet1[[#This Row],[Fecha ingreso]],"dddd")</f>
        <v>viernes</v>
      </c>
      <c r="I225" s="1">
        <v>45198</v>
      </c>
      <c r="J225" s="2">
        <f>DATEDIF(Sheet1[[#This Row],[Fecha ingreso]],Sheet1[[#This Row],[Fecha último pago]],"M")+1</f>
        <v>12</v>
      </c>
      <c r="K225" s="2">
        <f>Sheet1[[#This Row],[Ingresos mensuales]]*Sheet1[[#This Row],[Meses contratados]]</f>
        <v>124.80000000000001</v>
      </c>
      <c r="L225" t="s">
        <v>1816</v>
      </c>
      <c r="M225">
        <v>56</v>
      </c>
      <c r="N225" t="s">
        <v>1822</v>
      </c>
      <c r="O225" t="s">
        <v>1823</v>
      </c>
      <c r="P225" t="s">
        <v>1828</v>
      </c>
      <c r="Q225" cm="1">
        <f t="array" ref="Q225">_xlfn.IFS(P225="2 Years", 24,P225="1 Year",12, P225="6 Months",6, P225="1 Month",1)</f>
        <v>6</v>
      </c>
      <c r="R225" t="str" cm="1">
        <f t="array" ref="R225">_xlfn.IFS(Q225=1,"Mensual",Q225=6,"Semestral",Q225=12,"Anual",Q225=24,"Bienal")</f>
        <v>Semestral</v>
      </c>
      <c r="S225">
        <f>IFERROR(VLOOKUP(Sheet1[[#This Row],[ID usuario]],A226:$A$907,1,FALSE),0)</f>
        <v>0</v>
      </c>
    </row>
    <row r="226" spans="1:19" x14ac:dyDescent="0.25">
      <c r="A226" t="s">
        <v>224</v>
      </c>
      <c r="B226" t="s">
        <v>1129</v>
      </c>
      <c r="C226" t="s">
        <v>1810</v>
      </c>
      <c r="D226">
        <v>98.15</v>
      </c>
      <c r="E226" s="1">
        <v>44825</v>
      </c>
      <c r="F226" s="1" t="str">
        <f>TEXT(Sheet1[[#This Row],[Fecha ingreso]],"mmmm")</f>
        <v>septiembre</v>
      </c>
      <c r="G226" s="2">
        <f>YEAR(Sheet1[[#This Row],[Fecha ingreso]])</f>
        <v>2022</v>
      </c>
      <c r="H226" s="1" t="str">
        <f>TEXT(Sheet1[[#This Row],[Fecha ingreso]],"dddd")</f>
        <v>miércoles</v>
      </c>
      <c r="I226" s="1">
        <v>44886</v>
      </c>
      <c r="J226" s="2">
        <f>DATEDIF(Sheet1[[#This Row],[Fecha ingreso]],Sheet1[[#This Row],[Fecha último pago]],"M")+1</f>
        <v>3</v>
      </c>
      <c r="K226" s="2">
        <f>Sheet1[[#This Row],[Ingresos mensuales]]*Sheet1[[#This Row],[Meses contratados]]</f>
        <v>294.45000000000005</v>
      </c>
      <c r="L226" t="s">
        <v>1815</v>
      </c>
      <c r="M226">
        <v>24</v>
      </c>
      <c r="N226" t="s">
        <v>1821</v>
      </c>
      <c r="O226" t="s">
        <v>1824</v>
      </c>
      <c r="P226" t="s">
        <v>1827</v>
      </c>
      <c r="Q226" cm="1">
        <f t="array" ref="Q226">_xlfn.IFS(P226="2 Years", 24,P226="1 Year",12, P226="6 Months",6, P226="1 Month",1)</f>
        <v>12</v>
      </c>
      <c r="R226" t="str" cm="1">
        <f t="array" ref="R226">_xlfn.IFS(Q226=1,"Mensual",Q226=6,"Semestral",Q226=12,"Anual",Q226=24,"Bienal")</f>
        <v>Anual</v>
      </c>
      <c r="S226">
        <f>IFERROR(VLOOKUP(Sheet1[[#This Row],[ID usuario]],A227:$A$907,1,FALSE),0)</f>
        <v>0</v>
      </c>
    </row>
    <row r="227" spans="1:19" x14ac:dyDescent="0.25">
      <c r="A227" t="s">
        <v>225</v>
      </c>
      <c r="B227" t="s">
        <v>1130</v>
      </c>
      <c r="C227" t="s">
        <v>1812</v>
      </c>
      <c r="D227">
        <v>14.16</v>
      </c>
      <c r="E227" s="1">
        <v>45203</v>
      </c>
      <c r="F227" s="1" t="str">
        <f>TEXT(Sheet1[[#This Row],[Fecha ingreso]],"mmmm")</f>
        <v>octubre</v>
      </c>
      <c r="G227" s="2">
        <f>YEAR(Sheet1[[#This Row],[Fecha ingreso]])</f>
        <v>2023</v>
      </c>
      <c r="H227" s="1" t="str">
        <f>TEXT(Sheet1[[#This Row],[Fecha ingreso]],"dddd")</f>
        <v>miércoles</v>
      </c>
      <c r="I227" s="1">
        <v>45317</v>
      </c>
      <c r="J227" s="2">
        <f>DATEDIF(Sheet1[[#This Row],[Fecha ingreso]],Sheet1[[#This Row],[Fecha último pago]],"M")+1</f>
        <v>4</v>
      </c>
      <c r="K227" s="2">
        <f>Sheet1[[#This Row],[Ingresos mensuales]]*Sheet1[[#This Row],[Meses contratados]]</f>
        <v>56.64</v>
      </c>
      <c r="L227" t="s">
        <v>1815</v>
      </c>
      <c r="M227">
        <v>69</v>
      </c>
      <c r="N227" t="s">
        <v>1820</v>
      </c>
      <c r="O227" t="s">
        <v>1825</v>
      </c>
      <c r="P227" t="s">
        <v>1828</v>
      </c>
      <c r="Q227" cm="1">
        <f t="array" ref="Q227">_xlfn.IFS(P227="2 Years", 24,P227="1 Year",12, P227="6 Months",6, P227="1 Month",1)</f>
        <v>6</v>
      </c>
      <c r="R227" t="str" cm="1">
        <f t="array" ref="R227">_xlfn.IFS(Q227=1,"Mensual",Q227=6,"Semestral",Q227=12,"Anual",Q227=24,"Bienal")</f>
        <v>Semestral</v>
      </c>
      <c r="S227">
        <f>IFERROR(VLOOKUP(Sheet1[[#This Row],[ID usuario]],A228:$A$907,1,FALSE),0)</f>
        <v>0</v>
      </c>
    </row>
    <row r="228" spans="1:19" x14ac:dyDescent="0.25">
      <c r="A228" t="s">
        <v>226</v>
      </c>
      <c r="B228" t="s">
        <v>1131</v>
      </c>
      <c r="C228" t="s">
        <v>1811</v>
      </c>
      <c r="D228">
        <v>87.03</v>
      </c>
      <c r="E228" s="1">
        <v>44958</v>
      </c>
      <c r="F228" s="1" t="str">
        <f>TEXT(Sheet1[[#This Row],[Fecha ingreso]],"mmmm")</f>
        <v>febrero</v>
      </c>
      <c r="G228" s="2">
        <f>YEAR(Sheet1[[#This Row],[Fecha ingreso]])</f>
        <v>2023</v>
      </c>
      <c r="H228" s="1" t="str">
        <f>TEXT(Sheet1[[#This Row],[Fecha ingreso]],"dddd")</f>
        <v>miércoles</v>
      </c>
      <c r="I228" s="1">
        <v>44995</v>
      </c>
      <c r="J228" s="2">
        <f>DATEDIF(Sheet1[[#This Row],[Fecha ingreso]],Sheet1[[#This Row],[Fecha último pago]],"M")+1</f>
        <v>2</v>
      </c>
      <c r="K228" s="2">
        <f>Sheet1[[#This Row],[Ingresos mensuales]]*Sheet1[[#This Row],[Meses contratados]]</f>
        <v>174.06</v>
      </c>
      <c r="L228" t="s">
        <v>1814</v>
      </c>
      <c r="M228">
        <v>38</v>
      </c>
      <c r="N228" t="s">
        <v>1822</v>
      </c>
      <c r="O228" t="s">
        <v>1823</v>
      </c>
      <c r="P228" t="s">
        <v>1826</v>
      </c>
      <c r="Q228" cm="1">
        <f t="array" ref="Q228">_xlfn.IFS(P228="2 Years", 24,P228="1 Year",12, P228="6 Months",6, P228="1 Month",1)</f>
        <v>24</v>
      </c>
      <c r="R228" t="str" cm="1">
        <f t="array" ref="R228">_xlfn.IFS(Q228=1,"Mensual",Q228=6,"Semestral",Q228=12,"Anual",Q228=24,"Bienal")</f>
        <v>Bienal</v>
      </c>
      <c r="S228">
        <f>IFERROR(VLOOKUP(Sheet1[[#This Row],[ID usuario]],A229:$A$907,1,FALSE),0)</f>
        <v>0</v>
      </c>
    </row>
    <row r="229" spans="1:19" x14ac:dyDescent="0.25">
      <c r="A229" t="s">
        <v>227</v>
      </c>
      <c r="B229" t="s">
        <v>1132</v>
      </c>
      <c r="C229" t="s">
        <v>1812</v>
      </c>
      <c r="D229">
        <v>58.82</v>
      </c>
      <c r="E229" s="1">
        <v>44429</v>
      </c>
      <c r="F229" s="1" t="str">
        <f>TEXT(Sheet1[[#This Row],[Fecha ingreso]],"mmmm")</f>
        <v>agosto</v>
      </c>
      <c r="G229" s="2">
        <f>YEAR(Sheet1[[#This Row],[Fecha ingreso]])</f>
        <v>2021</v>
      </c>
      <c r="H229" s="1" t="str">
        <f>TEXT(Sheet1[[#This Row],[Fecha ingreso]],"dddd")</f>
        <v>sábado</v>
      </c>
      <c r="I229" s="1">
        <v>44811</v>
      </c>
      <c r="J229" s="2">
        <f>DATEDIF(Sheet1[[#This Row],[Fecha ingreso]],Sheet1[[#This Row],[Fecha último pago]],"M")+1</f>
        <v>13</v>
      </c>
      <c r="K229" s="2">
        <f>Sheet1[[#This Row],[Ingresos mensuales]]*Sheet1[[#This Row],[Meses contratados]]</f>
        <v>764.66</v>
      </c>
      <c r="L229" t="s">
        <v>1816</v>
      </c>
      <c r="M229">
        <v>24</v>
      </c>
      <c r="N229" t="s">
        <v>1822</v>
      </c>
      <c r="O229" t="s">
        <v>1824</v>
      </c>
      <c r="P229" t="s">
        <v>1827</v>
      </c>
      <c r="Q229" cm="1">
        <f t="array" ref="Q229">_xlfn.IFS(P229="2 Years", 24,P229="1 Year",12, P229="6 Months",6, P229="1 Month",1)</f>
        <v>12</v>
      </c>
      <c r="R229" t="str" cm="1">
        <f t="array" ref="R229">_xlfn.IFS(Q229=1,"Mensual",Q229=6,"Semestral",Q229=12,"Anual",Q229=24,"Bienal")</f>
        <v>Anual</v>
      </c>
      <c r="S229">
        <f>IFERROR(VLOOKUP(Sheet1[[#This Row],[ID usuario]],A230:$A$907,1,FALSE),0)</f>
        <v>0</v>
      </c>
    </row>
    <row r="230" spans="1:19" x14ac:dyDescent="0.25">
      <c r="A230" t="s">
        <v>228</v>
      </c>
      <c r="B230" t="s">
        <v>1133</v>
      </c>
      <c r="C230" t="s">
        <v>1812</v>
      </c>
      <c r="D230">
        <v>37.520000000000003</v>
      </c>
      <c r="E230" s="1">
        <v>45082</v>
      </c>
      <c r="F230" s="1" t="str">
        <f>TEXT(Sheet1[[#This Row],[Fecha ingreso]],"mmmm")</f>
        <v>junio</v>
      </c>
      <c r="G230" s="2">
        <f>YEAR(Sheet1[[#This Row],[Fecha ingreso]])</f>
        <v>2023</v>
      </c>
      <c r="H230" s="1" t="str">
        <f>TEXT(Sheet1[[#This Row],[Fecha ingreso]],"dddd")</f>
        <v>lunes</v>
      </c>
      <c r="I230" s="1">
        <v>45363</v>
      </c>
      <c r="J230" s="2">
        <f>DATEDIF(Sheet1[[#This Row],[Fecha ingreso]],Sheet1[[#This Row],[Fecha último pago]],"M")+1</f>
        <v>10</v>
      </c>
      <c r="K230" s="2">
        <f>Sheet1[[#This Row],[Ingresos mensuales]]*Sheet1[[#This Row],[Meses contratados]]</f>
        <v>375.20000000000005</v>
      </c>
      <c r="L230" t="s">
        <v>1817</v>
      </c>
      <c r="M230">
        <v>18</v>
      </c>
      <c r="N230" t="s">
        <v>1821</v>
      </c>
      <c r="O230" t="s">
        <v>1824</v>
      </c>
      <c r="P230" t="s">
        <v>1826</v>
      </c>
      <c r="Q230" cm="1">
        <f t="array" ref="Q230">_xlfn.IFS(P230="2 Years", 24,P230="1 Year",12, P230="6 Months",6, P230="1 Month",1)</f>
        <v>24</v>
      </c>
      <c r="R230" t="str" cm="1">
        <f t="array" ref="R230">_xlfn.IFS(Q230=1,"Mensual",Q230=6,"Semestral",Q230=12,"Anual",Q230=24,"Bienal")</f>
        <v>Bienal</v>
      </c>
      <c r="S230">
        <f>IFERROR(VLOOKUP(Sheet1[[#This Row],[ID usuario]],A231:$A$907,1,FALSE),0)</f>
        <v>0</v>
      </c>
    </row>
    <row r="231" spans="1:19" x14ac:dyDescent="0.25">
      <c r="A231" t="s">
        <v>229</v>
      </c>
      <c r="B231" t="s">
        <v>1134</v>
      </c>
      <c r="C231" t="s">
        <v>1810</v>
      </c>
      <c r="D231">
        <v>76.95</v>
      </c>
      <c r="E231" s="1">
        <v>44681</v>
      </c>
      <c r="F231" s="1" t="str">
        <f>TEXT(Sheet1[[#This Row],[Fecha ingreso]],"mmmm")</f>
        <v>abril</v>
      </c>
      <c r="G231" s="2">
        <f>YEAR(Sheet1[[#This Row],[Fecha ingreso]])</f>
        <v>2022</v>
      </c>
      <c r="H231" s="1" t="str">
        <f>TEXT(Sheet1[[#This Row],[Fecha ingreso]],"dddd")</f>
        <v>sábado</v>
      </c>
      <c r="I231" s="1">
        <v>44707</v>
      </c>
      <c r="J231" s="2">
        <f>DATEDIF(Sheet1[[#This Row],[Fecha ingreso]],Sheet1[[#This Row],[Fecha último pago]],"M")+1</f>
        <v>1</v>
      </c>
      <c r="K231" s="2">
        <f>Sheet1[[#This Row],[Ingresos mensuales]]*Sheet1[[#This Row],[Meses contratados]]</f>
        <v>76.95</v>
      </c>
      <c r="L231" t="s">
        <v>1818</v>
      </c>
      <c r="M231">
        <v>21</v>
      </c>
      <c r="N231" t="s">
        <v>1821</v>
      </c>
      <c r="O231" t="s">
        <v>1823</v>
      </c>
      <c r="P231" t="s">
        <v>1827</v>
      </c>
      <c r="Q231" cm="1">
        <f t="array" ref="Q231">_xlfn.IFS(P231="2 Years", 24,P231="1 Year",12, P231="6 Months",6, P231="1 Month",1)</f>
        <v>12</v>
      </c>
      <c r="R231" t="str" cm="1">
        <f t="array" ref="R231">_xlfn.IFS(Q231=1,"Mensual",Q231=6,"Semestral",Q231=12,"Anual",Q231=24,"Bienal")</f>
        <v>Anual</v>
      </c>
      <c r="S231">
        <f>IFERROR(VLOOKUP(Sheet1[[#This Row],[ID usuario]],A232:$A$907,1,FALSE),0)</f>
        <v>0</v>
      </c>
    </row>
    <row r="232" spans="1:19" x14ac:dyDescent="0.25">
      <c r="A232" t="s">
        <v>230</v>
      </c>
      <c r="B232" t="s">
        <v>1135</v>
      </c>
      <c r="C232" t="s">
        <v>1810</v>
      </c>
      <c r="D232">
        <v>67.45</v>
      </c>
      <c r="E232" s="1">
        <v>44388</v>
      </c>
      <c r="F232" s="1" t="str">
        <f>TEXT(Sheet1[[#This Row],[Fecha ingreso]],"mmmm")</f>
        <v>julio</v>
      </c>
      <c r="G232" s="2">
        <f>YEAR(Sheet1[[#This Row],[Fecha ingreso]])</f>
        <v>2021</v>
      </c>
      <c r="H232" s="1" t="str">
        <f>TEXT(Sheet1[[#This Row],[Fecha ingreso]],"dddd")</f>
        <v>domingo</v>
      </c>
      <c r="I232" s="1">
        <v>44875</v>
      </c>
      <c r="J232" s="2">
        <f>DATEDIF(Sheet1[[#This Row],[Fecha ingreso]],Sheet1[[#This Row],[Fecha último pago]],"M")+1</f>
        <v>16</v>
      </c>
      <c r="K232" s="2">
        <f>Sheet1[[#This Row],[Ingresos mensuales]]*Sheet1[[#This Row],[Meses contratados]]</f>
        <v>1079.2</v>
      </c>
      <c r="L232" t="s">
        <v>1817</v>
      </c>
      <c r="M232">
        <v>65</v>
      </c>
      <c r="N232" t="s">
        <v>1820</v>
      </c>
      <c r="O232" t="s">
        <v>1825</v>
      </c>
      <c r="P232" t="s">
        <v>1828</v>
      </c>
      <c r="Q232" cm="1">
        <f t="array" ref="Q232">_xlfn.IFS(P232="2 Years", 24,P232="1 Year",12, P232="6 Months",6, P232="1 Month",1)</f>
        <v>6</v>
      </c>
      <c r="R232" t="str" cm="1">
        <f t="array" ref="R232">_xlfn.IFS(Q232=1,"Mensual",Q232=6,"Semestral",Q232=12,"Anual",Q232=24,"Bienal")</f>
        <v>Semestral</v>
      </c>
      <c r="S232">
        <f>IFERROR(VLOOKUP(Sheet1[[#This Row],[ID usuario]],A233:$A$907,1,FALSE),0)</f>
        <v>0</v>
      </c>
    </row>
    <row r="233" spans="1:19" x14ac:dyDescent="0.25">
      <c r="A233" t="s">
        <v>231</v>
      </c>
      <c r="B233" t="s">
        <v>1136</v>
      </c>
      <c r="C233" t="s">
        <v>1811</v>
      </c>
      <c r="D233">
        <v>54.15</v>
      </c>
      <c r="E233" s="1">
        <v>44897</v>
      </c>
      <c r="F233" s="1" t="str">
        <f>TEXT(Sheet1[[#This Row],[Fecha ingreso]],"mmmm")</f>
        <v>diciembre</v>
      </c>
      <c r="G233" s="2">
        <f>YEAR(Sheet1[[#This Row],[Fecha ingreso]])</f>
        <v>2022</v>
      </c>
      <c r="H233" s="1" t="str">
        <f>TEXT(Sheet1[[#This Row],[Fecha ingreso]],"dddd")</f>
        <v>viernes</v>
      </c>
      <c r="I233" s="1">
        <v>44902</v>
      </c>
      <c r="J233" s="2">
        <f>DATEDIF(Sheet1[[#This Row],[Fecha ingreso]],Sheet1[[#This Row],[Fecha último pago]],"M")+1</f>
        <v>1</v>
      </c>
      <c r="K233" s="2">
        <f>Sheet1[[#This Row],[Ingresos mensuales]]*Sheet1[[#This Row],[Meses contratados]]</f>
        <v>54.15</v>
      </c>
      <c r="L233" t="s">
        <v>1814</v>
      </c>
      <c r="M233">
        <v>57</v>
      </c>
      <c r="N233" t="s">
        <v>1820</v>
      </c>
      <c r="O233" t="s">
        <v>1823</v>
      </c>
      <c r="P233" t="s">
        <v>1826</v>
      </c>
      <c r="Q233" cm="1">
        <f t="array" ref="Q233">_xlfn.IFS(P233="2 Years", 24,P233="1 Year",12, P233="6 Months",6, P233="1 Month",1)</f>
        <v>24</v>
      </c>
      <c r="R233" t="str" cm="1">
        <f t="array" ref="R233">_xlfn.IFS(Q233=1,"Mensual",Q233=6,"Semestral",Q233=12,"Anual",Q233=24,"Bienal")</f>
        <v>Bienal</v>
      </c>
      <c r="S233">
        <f>IFERROR(VLOOKUP(Sheet1[[#This Row],[ID usuario]],A234:$A$907,1,FALSE),0)</f>
        <v>0</v>
      </c>
    </row>
    <row r="234" spans="1:19" x14ac:dyDescent="0.25">
      <c r="A234" t="s">
        <v>232</v>
      </c>
      <c r="B234" t="s">
        <v>1137</v>
      </c>
      <c r="C234" t="s">
        <v>1811</v>
      </c>
      <c r="D234">
        <v>51.07</v>
      </c>
      <c r="E234" s="1">
        <v>44876</v>
      </c>
      <c r="F234" s="1" t="str">
        <f>TEXT(Sheet1[[#This Row],[Fecha ingreso]],"mmmm")</f>
        <v>noviembre</v>
      </c>
      <c r="G234" s="2">
        <f>YEAR(Sheet1[[#This Row],[Fecha ingreso]])</f>
        <v>2022</v>
      </c>
      <c r="H234" s="1" t="str">
        <f>TEXT(Sheet1[[#This Row],[Fecha ingreso]],"dddd")</f>
        <v>viernes</v>
      </c>
      <c r="I234" s="1">
        <v>45296</v>
      </c>
      <c r="J234" s="2">
        <f>DATEDIF(Sheet1[[#This Row],[Fecha ingreso]],Sheet1[[#This Row],[Fecha último pago]],"M")+1</f>
        <v>14</v>
      </c>
      <c r="K234" s="2">
        <f>Sheet1[[#This Row],[Ingresos mensuales]]*Sheet1[[#This Row],[Meses contratados]]</f>
        <v>714.98</v>
      </c>
      <c r="L234" t="s">
        <v>1816</v>
      </c>
      <c r="M234">
        <v>34</v>
      </c>
      <c r="N234" t="s">
        <v>1822</v>
      </c>
      <c r="O234" t="s">
        <v>1823</v>
      </c>
      <c r="P234" t="s">
        <v>1826</v>
      </c>
      <c r="Q234" cm="1">
        <f t="array" ref="Q234">_xlfn.IFS(P234="2 Years", 24,P234="1 Year",12, P234="6 Months",6, P234="1 Month",1)</f>
        <v>24</v>
      </c>
      <c r="R234" t="str" cm="1">
        <f t="array" ref="R234">_xlfn.IFS(Q234=1,"Mensual",Q234=6,"Semestral",Q234=12,"Anual",Q234=24,"Bienal")</f>
        <v>Bienal</v>
      </c>
      <c r="S234">
        <f>IFERROR(VLOOKUP(Sheet1[[#This Row],[ID usuario]],A235:$A$907,1,FALSE),0)</f>
        <v>0</v>
      </c>
    </row>
    <row r="235" spans="1:19" x14ac:dyDescent="0.25">
      <c r="A235" t="s">
        <v>233</v>
      </c>
      <c r="B235" t="s">
        <v>1138</v>
      </c>
      <c r="C235" t="s">
        <v>1811</v>
      </c>
      <c r="D235">
        <v>90.61</v>
      </c>
      <c r="E235" s="1">
        <v>45023</v>
      </c>
      <c r="F235" s="1" t="str">
        <f>TEXT(Sheet1[[#This Row],[Fecha ingreso]],"mmmm")</f>
        <v>abril</v>
      </c>
      <c r="G235" s="2">
        <f>YEAR(Sheet1[[#This Row],[Fecha ingreso]])</f>
        <v>2023</v>
      </c>
      <c r="H235" s="1" t="str">
        <f>TEXT(Sheet1[[#This Row],[Fecha ingreso]],"dddd")</f>
        <v>viernes</v>
      </c>
      <c r="I235" s="1">
        <v>45240</v>
      </c>
      <c r="J235" s="2">
        <f>DATEDIF(Sheet1[[#This Row],[Fecha ingreso]],Sheet1[[#This Row],[Fecha último pago]],"M")+1</f>
        <v>8</v>
      </c>
      <c r="K235" s="2">
        <f>Sheet1[[#This Row],[Ingresos mensuales]]*Sheet1[[#This Row],[Meses contratados]]</f>
        <v>724.88</v>
      </c>
      <c r="L235" t="s">
        <v>1815</v>
      </c>
      <c r="M235">
        <v>43</v>
      </c>
      <c r="N235" t="s">
        <v>1820</v>
      </c>
      <c r="O235" t="s">
        <v>1823</v>
      </c>
      <c r="P235" t="s">
        <v>1827</v>
      </c>
      <c r="Q235" cm="1">
        <f t="array" ref="Q235">_xlfn.IFS(P235="2 Years", 24,P235="1 Year",12, P235="6 Months",6, P235="1 Month",1)</f>
        <v>12</v>
      </c>
      <c r="R235" t="str" cm="1">
        <f t="array" ref="R235">_xlfn.IFS(Q235=1,"Mensual",Q235=6,"Semestral",Q235=12,"Anual",Q235=24,"Bienal")</f>
        <v>Anual</v>
      </c>
      <c r="S235">
        <f>IFERROR(VLOOKUP(Sheet1[[#This Row],[ID usuario]],A236:$A$907,1,FALSE),0)</f>
        <v>0</v>
      </c>
    </row>
    <row r="236" spans="1:19" x14ac:dyDescent="0.25">
      <c r="A236" t="s">
        <v>234</v>
      </c>
      <c r="B236" t="s">
        <v>1139</v>
      </c>
      <c r="C236" t="s">
        <v>1810</v>
      </c>
      <c r="D236">
        <v>57.69</v>
      </c>
      <c r="E236" s="1">
        <v>44528</v>
      </c>
      <c r="F236" s="1" t="str">
        <f>TEXT(Sheet1[[#This Row],[Fecha ingreso]],"mmmm")</f>
        <v>noviembre</v>
      </c>
      <c r="G236" s="2">
        <f>YEAR(Sheet1[[#This Row],[Fecha ingreso]])</f>
        <v>2021</v>
      </c>
      <c r="H236" s="1" t="str">
        <f>TEXT(Sheet1[[#This Row],[Fecha ingreso]],"dddd")</f>
        <v>domingo</v>
      </c>
      <c r="I236" s="1">
        <v>44891</v>
      </c>
      <c r="J236" s="2">
        <f>DATEDIF(Sheet1[[#This Row],[Fecha ingreso]],Sheet1[[#This Row],[Fecha último pago]],"M")+1</f>
        <v>12</v>
      </c>
      <c r="K236" s="2">
        <f>Sheet1[[#This Row],[Ingresos mensuales]]*Sheet1[[#This Row],[Meses contratados]]</f>
        <v>692.28</v>
      </c>
      <c r="L236" t="s">
        <v>1817</v>
      </c>
      <c r="M236">
        <v>48</v>
      </c>
      <c r="N236" t="s">
        <v>1822</v>
      </c>
      <c r="O236" t="s">
        <v>1824</v>
      </c>
      <c r="P236" t="s">
        <v>1826</v>
      </c>
      <c r="Q236" cm="1">
        <f t="array" ref="Q236">_xlfn.IFS(P236="2 Years", 24,P236="1 Year",12, P236="6 Months",6, P236="1 Month",1)</f>
        <v>24</v>
      </c>
      <c r="R236" t="str" cm="1">
        <f t="array" ref="R236">_xlfn.IFS(Q236=1,"Mensual",Q236=6,"Semestral",Q236=12,"Anual",Q236=24,"Bienal")</f>
        <v>Bienal</v>
      </c>
      <c r="S236">
        <f>IFERROR(VLOOKUP(Sheet1[[#This Row],[ID usuario]],A237:$A$907,1,FALSE),0)</f>
        <v>0</v>
      </c>
    </row>
    <row r="237" spans="1:19" x14ac:dyDescent="0.25">
      <c r="A237" t="s">
        <v>235</v>
      </c>
      <c r="B237" t="s">
        <v>1140</v>
      </c>
      <c r="C237" t="s">
        <v>1810</v>
      </c>
      <c r="D237">
        <v>83.55</v>
      </c>
      <c r="E237" s="1">
        <v>44437</v>
      </c>
      <c r="F237" s="1" t="str">
        <f>TEXT(Sheet1[[#This Row],[Fecha ingreso]],"mmmm")</f>
        <v>agosto</v>
      </c>
      <c r="G237" s="2">
        <f>YEAR(Sheet1[[#This Row],[Fecha ingreso]])</f>
        <v>2021</v>
      </c>
      <c r="H237" s="1" t="str">
        <f>TEXT(Sheet1[[#This Row],[Fecha ingreso]],"dddd")</f>
        <v>domingo</v>
      </c>
      <c r="I237" s="1">
        <v>45226</v>
      </c>
      <c r="J237" s="2">
        <f>DATEDIF(Sheet1[[#This Row],[Fecha ingreso]],Sheet1[[#This Row],[Fecha último pago]],"M")+1</f>
        <v>26</v>
      </c>
      <c r="K237" s="2">
        <f>Sheet1[[#This Row],[Ingresos mensuales]]*Sheet1[[#This Row],[Meses contratados]]</f>
        <v>2172.2999999999997</v>
      </c>
      <c r="L237" t="s">
        <v>1813</v>
      </c>
      <c r="M237">
        <v>45</v>
      </c>
      <c r="N237" t="s">
        <v>1820</v>
      </c>
      <c r="O237" t="s">
        <v>1825</v>
      </c>
      <c r="P237" t="s">
        <v>1828</v>
      </c>
      <c r="Q237" cm="1">
        <f t="array" ref="Q237">_xlfn.IFS(P237="2 Years", 24,P237="1 Year",12, P237="6 Months",6, P237="1 Month",1)</f>
        <v>6</v>
      </c>
      <c r="R237" t="str" cm="1">
        <f t="array" ref="R237">_xlfn.IFS(Q237=1,"Mensual",Q237=6,"Semestral",Q237=12,"Anual",Q237=24,"Bienal")</f>
        <v>Semestral</v>
      </c>
      <c r="S237">
        <f>IFERROR(VLOOKUP(Sheet1[[#This Row],[ID usuario]],A238:$A$907,1,FALSE),0)</f>
        <v>0</v>
      </c>
    </row>
    <row r="238" spans="1:19" x14ac:dyDescent="0.25">
      <c r="A238" t="s">
        <v>236</v>
      </c>
      <c r="B238" t="s">
        <v>1141</v>
      </c>
      <c r="C238" t="s">
        <v>1810</v>
      </c>
      <c r="D238">
        <v>73.930000000000007</v>
      </c>
      <c r="E238" s="1">
        <v>44371</v>
      </c>
      <c r="F238" s="1" t="str">
        <f>TEXT(Sheet1[[#This Row],[Fecha ingreso]],"mmmm")</f>
        <v>junio</v>
      </c>
      <c r="G238" s="2">
        <f>YEAR(Sheet1[[#This Row],[Fecha ingreso]])</f>
        <v>2021</v>
      </c>
      <c r="H238" s="1" t="str">
        <f>TEXT(Sheet1[[#This Row],[Fecha ingreso]],"dddd")</f>
        <v>jueves</v>
      </c>
      <c r="I238" s="1">
        <v>44520</v>
      </c>
      <c r="J238" s="2">
        <f>DATEDIF(Sheet1[[#This Row],[Fecha ingreso]],Sheet1[[#This Row],[Fecha último pago]],"M")+1</f>
        <v>5</v>
      </c>
      <c r="K238" s="2">
        <f>Sheet1[[#This Row],[Ingresos mensuales]]*Sheet1[[#This Row],[Meses contratados]]</f>
        <v>369.65000000000003</v>
      </c>
      <c r="L238" t="s">
        <v>1818</v>
      </c>
      <c r="M238">
        <v>29</v>
      </c>
      <c r="N238" t="s">
        <v>1821</v>
      </c>
      <c r="O238" t="s">
        <v>1825</v>
      </c>
      <c r="P238" t="s">
        <v>1828</v>
      </c>
      <c r="Q238" cm="1">
        <f t="array" ref="Q238">_xlfn.IFS(P238="2 Years", 24,P238="1 Year",12, P238="6 Months",6, P238="1 Month",1)</f>
        <v>6</v>
      </c>
      <c r="R238" t="str" cm="1">
        <f t="array" ref="R238">_xlfn.IFS(Q238=1,"Mensual",Q238=6,"Semestral",Q238=12,"Anual",Q238=24,"Bienal")</f>
        <v>Semestral</v>
      </c>
      <c r="S238">
        <f>IFERROR(VLOOKUP(Sheet1[[#This Row],[ID usuario]],A239:$A$907,1,FALSE),0)</f>
        <v>0</v>
      </c>
    </row>
    <row r="239" spans="1:19" x14ac:dyDescent="0.25">
      <c r="A239" t="s">
        <v>237</v>
      </c>
      <c r="B239" t="s">
        <v>1142</v>
      </c>
      <c r="C239" t="s">
        <v>1810</v>
      </c>
      <c r="D239">
        <v>8.66</v>
      </c>
      <c r="E239" s="1">
        <v>44792</v>
      </c>
      <c r="F239" s="1" t="str">
        <f>TEXT(Sheet1[[#This Row],[Fecha ingreso]],"mmmm")</f>
        <v>agosto</v>
      </c>
      <c r="G239" s="2">
        <f>YEAR(Sheet1[[#This Row],[Fecha ingreso]])</f>
        <v>2022</v>
      </c>
      <c r="H239" s="1" t="str">
        <f>TEXT(Sheet1[[#This Row],[Fecha ingreso]],"dddd")</f>
        <v>viernes</v>
      </c>
      <c r="I239" s="1">
        <v>45268</v>
      </c>
      <c r="J239" s="2">
        <f>DATEDIF(Sheet1[[#This Row],[Fecha ingreso]],Sheet1[[#This Row],[Fecha último pago]],"M")+1</f>
        <v>16</v>
      </c>
      <c r="K239" s="2">
        <f>Sheet1[[#This Row],[Ingresos mensuales]]*Sheet1[[#This Row],[Meses contratados]]</f>
        <v>138.56</v>
      </c>
      <c r="L239" t="s">
        <v>1817</v>
      </c>
      <c r="M239">
        <v>58</v>
      </c>
      <c r="N239" t="s">
        <v>1821</v>
      </c>
      <c r="O239" t="s">
        <v>1823</v>
      </c>
      <c r="P239" t="s">
        <v>1826</v>
      </c>
      <c r="Q239" cm="1">
        <f t="array" ref="Q239">_xlfn.IFS(P239="2 Years", 24,P239="1 Year",12, P239="6 Months",6, P239="1 Month",1)</f>
        <v>24</v>
      </c>
      <c r="R239" t="str" cm="1">
        <f t="array" ref="R239">_xlfn.IFS(Q239=1,"Mensual",Q239=6,"Semestral",Q239=12,"Anual",Q239=24,"Bienal")</f>
        <v>Bienal</v>
      </c>
      <c r="S239">
        <f>IFERROR(VLOOKUP(Sheet1[[#This Row],[ID usuario]],A240:$A$907,1,FALSE),0)</f>
        <v>0</v>
      </c>
    </row>
    <row r="240" spans="1:19" x14ac:dyDescent="0.25">
      <c r="A240" t="s">
        <v>238</v>
      </c>
      <c r="B240" t="s">
        <v>1143</v>
      </c>
      <c r="C240" t="s">
        <v>1810</v>
      </c>
      <c r="D240">
        <v>78.45</v>
      </c>
      <c r="E240" s="1">
        <v>45127</v>
      </c>
      <c r="F240" s="1" t="str">
        <f>TEXT(Sheet1[[#This Row],[Fecha ingreso]],"mmmm")</f>
        <v>julio</v>
      </c>
      <c r="G240" s="2">
        <f>YEAR(Sheet1[[#This Row],[Fecha ingreso]])</f>
        <v>2023</v>
      </c>
      <c r="H240" s="1" t="str">
        <f>TEXT(Sheet1[[#This Row],[Fecha ingreso]],"dddd")</f>
        <v>jueves</v>
      </c>
      <c r="I240" s="1">
        <v>45425</v>
      </c>
      <c r="J240" s="2">
        <f>DATEDIF(Sheet1[[#This Row],[Fecha ingreso]],Sheet1[[#This Row],[Fecha último pago]],"M")+1</f>
        <v>10</v>
      </c>
      <c r="K240" s="2">
        <f>Sheet1[[#This Row],[Ingresos mensuales]]*Sheet1[[#This Row],[Meses contratados]]</f>
        <v>784.5</v>
      </c>
      <c r="L240" t="s">
        <v>1813</v>
      </c>
      <c r="M240">
        <v>18</v>
      </c>
      <c r="N240" t="s">
        <v>1820</v>
      </c>
      <c r="O240" t="s">
        <v>1823</v>
      </c>
      <c r="P240" t="s">
        <v>1826</v>
      </c>
      <c r="Q240" cm="1">
        <f t="array" ref="Q240">_xlfn.IFS(P240="2 Years", 24,P240="1 Year",12, P240="6 Months",6, P240="1 Month",1)</f>
        <v>24</v>
      </c>
      <c r="R240" t="str" cm="1">
        <f t="array" ref="R240">_xlfn.IFS(Q240=1,"Mensual",Q240=6,"Semestral",Q240=12,"Anual",Q240=24,"Bienal")</f>
        <v>Bienal</v>
      </c>
      <c r="S240">
        <f>IFERROR(VLOOKUP(Sheet1[[#This Row],[ID usuario]],A241:$A$907,1,FALSE),0)</f>
        <v>0</v>
      </c>
    </row>
    <row r="241" spans="1:19" x14ac:dyDescent="0.25">
      <c r="A241" t="s">
        <v>239</v>
      </c>
      <c r="B241" t="s">
        <v>1144</v>
      </c>
      <c r="C241" t="s">
        <v>1810</v>
      </c>
      <c r="D241">
        <v>25.6</v>
      </c>
      <c r="E241" s="1">
        <v>44550</v>
      </c>
      <c r="F241" s="1" t="str">
        <f>TEXT(Sheet1[[#This Row],[Fecha ingreso]],"mmmm")</f>
        <v>diciembre</v>
      </c>
      <c r="G241" s="2">
        <f>YEAR(Sheet1[[#This Row],[Fecha ingreso]])</f>
        <v>2021</v>
      </c>
      <c r="H241" s="1" t="str">
        <f>TEXT(Sheet1[[#This Row],[Fecha ingreso]],"dddd")</f>
        <v>lunes</v>
      </c>
      <c r="I241" s="1">
        <v>45171</v>
      </c>
      <c r="J241" s="2">
        <f>DATEDIF(Sheet1[[#This Row],[Fecha ingreso]],Sheet1[[#This Row],[Fecha último pago]],"M")+1</f>
        <v>21</v>
      </c>
      <c r="K241" s="2">
        <f>Sheet1[[#This Row],[Ingresos mensuales]]*Sheet1[[#This Row],[Meses contratados]]</f>
        <v>537.6</v>
      </c>
      <c r="L241" t="s">
        <v>1818</v>
      </c>
      <c r="M241">
        <v>51</v>
      </c>
      <c r="N241" t="s">
        <v>1820</v>
      </c>
      <c r="O241" t="s">
        <v>1824</v>
      </c>
      <c r="P241" t="s">
        <v>1826</v>
      </c>
      <c r="Q241" cm="1">
        <f t="array" ref="Q241">_xlfn.IFS(P241="2 Years", 24,P241="1 Year",12, P241="6 Months",6, P241="1 Month",1)</f>
        <v>24</v>
      </c>
      <c r="R241" t="str" cm="1">
        <f t="array" ref="R241">_xlfn.IFS(Q241=1,"Mensual",Q241=6,"Semestral",Q241=12,"Anual",Q241=24,"Bienal")</f>
        <v>Bienal</v>
      </c>
      <c r="S241">
        <f>IFERROR(VLOOKUP(Sheet1[[#This Row],[ID usuario]],A242:$A$907,1,FALSE),0)</f>
        <v>0</v>
      </c>
    </row>
    <row r="242" spans="1:19" x14ac:dyDescent="0.25">
      <c r="A242" t="s">
        <v>240</v>
      </c>
      <c r="B242" t="s">
        <v>1145</v>
      </c>
      <c r="C242" t="s">
        <v>1811</v>
      </c>
      <c r="D242">
        <v>90.8</v>
      </c>
      <c r="E242" s="1">
        <v>44563</v>
      </c>
      <c r="F242" s="1" t="str">
        <f>TEXT(Sheet1[[#This Row],[Fecha ingreso]],"mmmm")</f>
        <v>enero</v>
      </c>
      <c r="G242" s="2">
        <f>YEAR(Sheet1[[#This Row],[Fecha ingreso]])</f>
        <v>2022</v>
      </c>
      <c r="H242" s="1" t="str">
        <f>TEXT(Sheet1[[#This Row],[Fecha ingreso]],"dddd")</f>
        <v>domingo</v>
      </c>
      <c r="I242" s="1">
        <v>45078</v>
      </c>
      <c r="J242" s="2">
        <f>DATEDIF(Sheet1[[#This Row],[Fecha ingreso]],Sheet1[[#This Row],[Fecha último pago]],"M")+1</f>
        <v>17</v>
      </c>
      <c r="K242" s="2">
        <f>Sheet1[[#This Row],[Ingresos mensuales]]*Sheet1[[#This Row],[Meses contratados]]</f>
        <v>1543.6</v>
      </c>
      <c r="L242" t="s">
        <v>1816</v>
      </c>
      <c r="M242">
        <v>43</v>
      </c>
      <c r="N242" t="s">
        <v>1821</v>
      </c>
      <c r="O242" t="s">
        <v>1825</v>
      </c>
      <c r="P242" t="s">
        <v>1828</v>
      </c>
      <c r="Q242" cm="1">
        <f t="array" ref="Q242">_xlfn.IFS(P242="2 Years", 24,P242="1 Year",12, P242="6 Months",6, P242="1 Month",1)</f>
        <v>6</v>
      </c>
      <c r="R242" t="str" cm="1">
        <f t="array" ref="R242">_xlfn.IFS(Q242=1,"Mensual",Q242=6,"Semestral",Q242=12,"Anual",Q242=24,"Bienal")</f>
        <v>Semestral</v>
      </c>
      <c r="S242">
        <f>IFERROR(VLOOKUP(Sheet1[[#This Row],[ID usuario]],A243:$A$907,1,FALSE),0)</f>
        <v>0</v>
      </c>
    </row>
    <row r="243" spans="1:19" x14ac:dyDescent="0.25">
      <c r="A243" t="s">
        <v>241</v>
      </c>
      <c r="B243" t="s">
        <v>1146</v>
      </c>
      <c r="C243" t="s">
        <v>1810</v>
      </c>
      <c r="D243">
        <v>9.08</v>
      </c>
      <c r="E243" s="1">
        <v>45233</v>
      </c>
      <c r="F243" s="1" t="str">
        <f>TEXT(Sheet1[[#This Row],[Fecha ingreso]],"mmmm")</f>
        <v>noviembre</v>
      </c>
      <c r="G243" s="2">
        <f>YEAR(Sheet1[[#This Row],[Fecha ingreso]])</f>
        <v>2023</v>
      </c>
      <c r="H243" s="1" t="str">
        <f>TEXT(Sheet1[[#This Row],[Fecha ingreso]],"dddd")</f>
        <v>viernes</v>
      </c>
      <c r="I243" s="1">
        <v>45296</v>
      </c>
      <c r="J243" s="2">
        <f>DATEDIF(Sheet1[[#This Row],[Fecha ingreso]],Sheet1[[#This Row],[Fecha último pago]],"M")+1</f>
        <v>3</v>
      </c>
      <c r="K243" s="2">
        <f>Sheet1[[#This Row],[Ingresos mensuales]]*Sheet1[[#This Row],[Meses contratados]]</f>
        <v>27.240000000000002</v>
      </c>
      <c r="L243" t="s">
        <v>1818</v>
      </c>
      <c r="M243">
        <v>32</v>
      </c>
      <c r="N243" t="s">
        <v>1821</v>
      </c>
      <c r="O243" t="s">
        <v>1824</v>
      </c>
      <c r="P243" t="s">
        <v>1826</v>
      </c>
      <c r="Q243" cm="1">
        <f t="array" ref="Q243">_xlfn.IFS(P243="2 Years", 24,P243="1 Year",12, P243="6 Months",6, P243="1 Month",1)</f>
        <v>24</v>
      </c>
      <c r="R243" t="str" cm="1">
        <f t="array" ref="R243">_xlfn.IFS(Q243=1,"Mensual",Q243=6,"Semestral",Q243=12,"Anual",Q243=24,"Bienal")</f>
        <v>Bienal</v>
      </c>
      <c r="S243">
        <f>IFERROR(VLOOKUP(Sheet1[[#This Row],[ID usuario]],A244:$A$907,1,FALSE),0)</f>
        <v>0</v>
      </c>
    </row>
    <row r="244" spans="1:19" x14ac:dyDescent="0.25">
      <c r="A244" t="s">
        <v>242</v>
      </c>
      <c r="B244" t="s">
        <v>1147</v>
      </c>
      <c r="C244" t="s">
        <v>1812</v>
      </c>
      <c r="D244">
        <v>36.64</v>
      </c>
      <c r="E244" s="1">
        <v>44890</v>
      </c>
      <c r="F244" s="1" t="str">
        <f>TEXT(Sheet1[[#This Row],[Fecha ingreso]],"mmmm")</f>
        <v>noviembre</v>
      </c>
      <c r="G244" s="2">
        <f>YEAR(Sheet1[[#This Row],[Fecha ingreso]])</f>
        <v>2022</v>
      </c>
      <c r="H244" s="1" t="str">
        <f>TEXT(Sheet1[[#This Row],[Fecha ingreso]],"dddd")</f>
        <v>viernes</v>
      </c>
      <c r="I244" s="1">
        <v>45047</v>
      </c>
      <c r="J244" s="2">
        <f>DATEDIF(Sheet1[[#This Row],[Fecha ingreso]],Sheet1[[#This Row],[Fecha último pago]],"M")+1</f>
        <v>6</v>
      </c>
      <c r="K244" s="2">
        <f>Sheet1[[#This Row],[Ingresos mensuales]]*Sheet1[[#This Row],[Meses contratados]]</f>
        <v>219.84</v>
      </c>
      <c r="L244" t="s">
        <v>1818</v>
      </c>
      <c r="M244">
        <v>66</v>
      </c>
      <c r="N244" t="s">
        <v>1820</v>
      </c>
      <c r="O244" t="s">
        <v>1825</v>
      </c>
      <c r="P244" t="s">
        <v>1826</v>
      </c>
      <c r="Q244" cm="1">
        <f t="array" ref="Q244">_xlfn.IFS(P244="2 Years", 24,P244="1 Year",12, P244="6 Months",6, P244="1 Month",1)</f>
        <v>24</v>
      </c>
      <c r="R244" t="str" cm="1">
        <f t="array" ref="R244">_xlfn.IFS(Q244=1,"Mensual",Q244=6,"Semestral",Q244=12,"Anual",Q244=24,"Bienal")</f>
        <v>Bienal</v>
      </c>
      <c r="S244">
        <f>IFERROR(VLOOKUP(Sheet1[[#This Row],[ID usuario]],A245:$A$907,1,FALSE),0)</f>
        <v>0</v>
      </c>
    </row>
    <row r="245" spans="1:19" x14ac:dyDescent="0.25">
      <c r="A245" t="s">
        <v>243</v>
      </c>
      <c r="B245" t="s">
        <v>1148</v>
      </c>
      <c r="C245" t="s">
        <v>1812</v>
      </c>
      <c r="D245">
        <v>14.47</v>
      </c>
      <c r="E245" s="1">
        <v>44494</v>
      </c>
      <c r="F245" s="1" t="str">
        <f>TEXT(Sheet1[[#This Row],[Fecha ingreso]],"mmmm")</f>
        <v>octubre</v>
      </c>
      <c r="G245" s="2">
        <f>YEAR(Sheet1[[#This Row],[Fecha ingreso]])</f>
        <v>2021</v>
      </c>
      <c r="H245" s="1" t="str">
        <f>TEXT(Sheet1[[#This Row],[Fecha ingreso]],"dddd")</f>
        <v>lunes</v>
      </c>
      <c r="I245" s="1">
        <v>44655</v>
      </c>
      <c r="J245" s="2">
        <f>DATEDIF(Sheet1[[#This Row],[Fecha ingreso]],Sheet1[[#This Row],[Fecha último pago]],"M")+1</f>
        <v>6</v>
      </c>
      <c r="K245" s="2">
        <f>Sheet1[[#This Row],[Ingresos mensuales]]*Sheet1[[#This Row],[Meses contratados]]</f>
        <v>86.820000000000007</v>
      </c>
      <c r="L245" t="s">
        <v>1818</v>
      </c>
      <c r="M245">
        <v>52</v>
      </c>
      <c r="N245" t="s">
        <v>1821</v>
      </c>
      <c r="O245" t="s">
        <v>1825</v>
      </c>
      <c r="P245" t="s">
        <v>1829</v>
      </c>
      <c r="Q245" cm="1">
        <f t="array" ref="Q245">_xlfn.IFS(P245="2 Years", 24,P245="1 Year",12, P245="6 Months",6, P245="1 Month",1)</f>
        <v>1</v>
      </c>
      <c r="R245" t="str" cm="1">
        <f t="array" ref="R245">_xlfn.IFS(Q245=1,"Mensual",Q245=6,"Semestral",Q245=12,"Anual",Q245=24,"Bienal")</f>
        <v>Mensual</v>
      </c>
      <c r="S245">
        <f>IFERROR(VLOOKUP(Sheet1[[#This Row],[ID usuario]],A246:$A$907,1,FALSE),0)</f>
        <v>0</v>
      </c>
    </row>
    <row r="246" spans="1:19" x14ac:dyDescent="0.25">
      <c r="A246" t="s">
        <v>244</v>
      </c>
      <c r="B246" t="s">
        <v>1149</v>
      </c>
      <c r="C246" t="s">
        <v>1811</v>
      </c>
      <c r="D246">
        <v>50.18</v>
      </c>
      <c r="E246" s="1">
        <v>44426</v>
      </c>
      <c r="F246" s="1" t="str">
        <f>TEXT(Sheet1[[#This Row],[Fecha ingreso]],"mmmm")</f>
        <v>agosto</v>
      </c>
      <c r="G246" s="2">
        <f>YEAR(Sheet1[[#This Row],[Fecha ingreso]])</f>
        <v>2021</v>
      </c>
      <c r="H246" s="1" t="str">
        <f>TEXT(Sheet1[[#This Row],[Fecha ingreso]],"dddd")</f>
        <v>miércoles</v>
      </c>
      <c r="I246" s="1">
        <v>45365</v>
      </c>
      <c r="J246" s="2">
        <f>DATEDIF(Sheet1[[#This Row],[Fecha ingreso]],Sheet1[[#This Row],[Fecha último pago]],"M")+1</f>
        <v>31</v>
      </c>
      <c r="K246" s="2">
        <f>Sheet1[[#This Row],[Ingresos mensuales]]*Sheet1[[#This Row],[Meses contratados]]</f>
        <v>1555.58</v>
      </c>
      <c r="L246" t="s">
        <v>1815</v>
      </c>
      <c r="M246">
        <v>58</v>
      </c>
      <c r="N246" t="s">
        <v>1820</v>
      </c>
      <c r="O246" t="s">
        <v>1824</v>
      </c>
      <c r="P246" t="s">
        <v>1829</v>
      </c>
      <c r="Q246" cm="1">
        <f t="array" ref="Q246">_xlfn.IFS(P246="2 Years", 24,P246="1 Year",12, P246="6 Months",6, P246="1 Month",1)</f>
        <v>1</v>
      </c>
      <c r="R246" t="str" cm="1">
        <f t="array" ref="R246">_xlfn.IFS(Q246=1,"Mensual",Q246=6,"Semestral",Q246=12,"Anual",Q246=24,"Bienal")</f>
        <v>Mensual</v>
      </c>
      <c r="S246">
        <f>IFERROR(VLOOKUP(Sheet1[[#This Row],[ID usuario]],A247:$A$907,1,FALSE),0)</f>
        <v>0</v>
      </c>
    </row>
    <row r="247" spans="1:19" x14ac:dyDescent="0.25">
      <c r="A247" t="s">
        <v>245</v>
      </c>
      <c r="B247" t="s">
        <v>1150</v>
      </c>
      <c r="C247" t="s">
        <v>1811</v>
      </c>
      <c r="D247">
        <v>82.9</v>
      </c>
      <c r="E247" s="1">
        <v>45320</v>
      </c>
      <c r="F247" s="1" t="str">
        <f>TEXT(Sheet1[[#This Row],[Fecha ingreso]],"mmmm")</f>
        <v>enero</v>
      </c>
      <c r="G247" s="2">
        <f>YEAR(Sheet1[[#This Row],[Fecha ingreso]])</f>
        <v>2024</v>
      </c>
      <c r="H247" s="1" t="str">
        <f>TEXT(Sheet1[[#This Row],[Fecha ingreso]],"dddd")</f>
        <v>lunes</v>
      </c>
      <c r="I247" s="1">
        <v>45345</v>
      </c>
      <c r="J247" s="2">
        <f>DATEDIF(Sheet1[[#This Row],[Fecha ingreso]],Sheet1[[#This Row],[Fecha último pago]],"M")+1</f>
        <v>1</v>
      </c>
      <c r="K247" s="2">
        <f>Sheet1[[#This Row],[Ingresos mensuales]]*Sheet1[[#This Row],[Meses contratados]]</f>
        <v>82.9</v>
      </c>
      <c r="L247" t="s">
        <v>1816</v>
      </c>
      <c r="M247">
        <v>68</v>
      </c>
      <c r="N247" t="s">
        <v>1820</v>
      </c>
      <c r="O247" t="s">
        <v>1824</v>
      </c>
      <c r="P247" t="s">
        <v>1828</v>
      </c>
      <c r="Q247" cm="1">
        <f t="array" ref="Q247">_xlfn.IFS(P247="2 Years", 24,P247="1 Year",12, P247="6 Months",6, P247="1 Month",1)</f>
        <v>6</v>
      </c>
      <c r="R247" t="str" cm="1">
        <f t="array" ref="R247">_xlfn.IFS(Q247=1,"Mensual",Q247=6,"Semestral",Q247=12,"Anual",Q247=24,"Bienal")</f>
        <v>Semestral</v>
      </c>
      <c r="S247">
        <f>IFERROR(VLOOKUP(Sheet1[[#This Row],[ID usuario]],A248:$A$907,1,FALSE),0)</f>
        <v>0</v>
      </c>
    </row>
    <row r="248" spans="1:19" x14ac:dyDescent="0.25">
      <c r="A248" t="s">
        <v>246</v>
      </c>
      <c r="B248" t="s">
        <v>1151</v>
      </c>
      <c r="C248" t="s">
        <v>1811</v>
      </c>
      <c r="D248">
        <v>33.33</v>
      </c>
      <c r="E248" s="1">
        <v>45191</v>
      </c>
      <c r="F248" s="1" t="str">
        <f>TEXT(Sheet1[[#This Row],[Fecha ingreso]],"mmmm")</f>
        <v>septiembre</v>
      </c>
      <c r="G248" s="2">
        <f>YEAR(Sheet1[[#This Row],[Fecha ingreso]])</f>
        <v>2023</v>
      </c>
      <c r="H248" s="1" t="str">
        <f>TEXT(Sheet1[[#This Row],[Fecha ingreso]],"dddd")</f>
        <v>viernes</v>
      </c>
      <c r="I248" s="1">
        <v>45277</v>
      </c>
      <c r="J248" s="2">
        <f>DATEDIF(Sheet1[[#This Row],[Fecha ingreso]],Sheet1[[#This Row],[Fecha último pago]],"M")+1</f>
        <v>3</v>
      </c>
      <c r="K248" s="2">
        <f>Sheet1[[#This Row],[Ingresos mensuales]]*Sheet1[[#This Row],[Meses contratados]]</f>
        <v>99.99</v>
      </c>
      <c r="L248" t="s">
        <v>1813</v>
      </c>
      <c r="M248">
        <v>68</v>
      </c>
      <c r="N248" t="s">
        <v>1820</v>
      </c>
      <c r="O248" t="s">
        <v>1823</v>
      </c>
      <c r="P248" t="s">
        <v>1826</v>
      </c>
      <c r="Q248" cm="1">
        <f t="array" ref="Q248">_xlfn.IFS(P248="2 Years", 24,P248="1 Year",12, P248="6 Months",6, P248="1 Month",1)</f>
        <v>24</v>
      </c>
      <c r="R248" t="str" cm="1">
        <f t="array" ref="R248">_xlfn.IFS(Q248=1,"Mensual",Q248=6,"Semestral",Q248=12,"Anual",Q248=24,"Bienal")</f>
        <v>Bienal</v>
      </c>
      <c r="S248">
        <f>IFERROR(VLOOKUP(Sheet1[[#This Row],[ID usuario]],A249:$A$907,1,FALSE),0)</f>
        <v>0</v>
      </c>
    </row>
    <row r="249" spans="1:19" x14ac:dyDescent="0.25">
      <c r="A249" t="s">
        <v>247</v>
      </c>
      <c r="B249" t="s">
        <v>1152</v>
      </c>
      <c r="C249" t="s">
        <v>1812</v>
      </c>
      <c r="D249">
        <v>19.34</v>
      </c>
      <c r="E249" s="1">
        <v>45181</v>
      </c>
      <c r="F249" s="1" t="str">
        <f>TEXT(Sheet1[[#This Row],[Fecha ingreso]],"mmmm")</f>
        <v>septiembre</v>
      </c>
      <c r="G249" s="2">
        <f>YEAR(Sheet1[[#This Row],[Fecha ingreso]])</f>
        <v>2023</v>
      </c>
      <c r="H249" s="1" t="str">
        <f>TEXT(Sheet1[[#This Row],[Fecha ingreso]],"dddd")</f>
        <v>martes</v>
      </c>
      <c r="I249" s="1">
        <v>45391</v>
      </c>
      <c r="J249" s="2">
        <f>DATEDIF(Sheet1[[#This Row],[Fecha ingreso]],Sheet1[[#This Row],[Fecha último pago]],"M")+1</f>
        <v>7</v>
      </c>
      <c r="K249" s="2">
        <f>Sheet1[[#This Row],[Ingresos mensuales]]*Sheet1[[#This Row],[Meses contratados]]</f>
        <v>135.38</v>
      </c>
      <c r="L249" t="s">
        <v>1813</v>
      </c>
      <c r="M249">
        <v>61</v>
      </c>
      <c r="N249" t="s">
        <v>1820</v>
      </c>
      <c r="O249" t="s">
        <v>1825</v>
      </c>
      <c r="P249" t="s">
        <v>1828</v>
      </c>
      <c r="Q249" cm="1">
        <f t="array" ref="Q249">_xlfn.IFS(P249="2 Years", 24,P249="1 Year",12, P249="6 Months",6, P249="1 Month",1)</f>
        <v>6</v>
      </c>
      <c r="R249" t="str" cm="1">
        <f t="array" ref="R249">_xlfn.IFS(Q249=1,"Mensual",Q249=6,"Semestral",Q249=12,"Anual",Q249=24,"Bienal")</f>
        <v>Semestral</v>
      </c>
      <c r="S249">
        <f>IFERROR(VLOOKUP(Sheet1[[#This Row],[ID usuario]],A250:$A$907,1,FALSE),0)</f>
        <v>0</v>
      </c>
    </row>
    <row r="250" spans="1:19" x14ac:dyDescent="0.25">
      <c r="A250" t="s">
        <v>248</v>
      </c>
      <c r="B250" t="s">
        <v>1153</v>
      </c>
      <c r="C250" t="s">
        <v>1811</v>
      </c>
      <c r="D250">
        <v>36.380000000000003</v>
      </c>
      <c r="E250" s="1">
        <v>44895</v>
      </c>
      <c r="F250" s="1" t="str">
        <f>TEXT(Sheet1[[#This Row],[Fecha ingreso]],"mmmm")</f>
        <v>noviembre</v>
      </c>
      <c r="G250" s="2">
        <f>YEAR(Sheet1[[#This Row],[Fecha ingreso]])</f>
        <v>2022</v>
      </c>
      <c r="H250" s="1" t="str">
        <f>TEXT(Sheet1[[#This Row],[Fecha ingreso]],"dddd")</f>
        <v>miércoles</v>
      </c>
      <c r="I250" s="1">
        <v>45209</v>
      </c>
      <c r="J250" s="2">
        <f>DATEDIF(Sheet1[[#This Row],[Fecha ingreso]],Sheet1[[#This Row],[Fecha último pago]],"M")+1</f>
        <v>11</v>
      </c>
      <c r="K250" s="2">
        <f>Sheet1[[#This Row],[Ingresos mensuales]]*Sheet1[[#This Row],[Meses contratados]]</f>
        <v>400.18</v>
      </c>
      <c r="L250" t="s">
        <v>1817</v>
      </c>
      <c r="M250">
        <v>56</v>
      </c>
      <c r="N250" t="s">
        <v>1820</v>
      </c>
      <c r="O250" t="s">
        <v>1823</v>
      </c>
      <c r="P250" t="s">
        <v>1829</v>
      </c>
      <c r="Q250" cm="1">
        <f t="array" ref="Q250">_xlfn.IFS(P250="2 Years", 24,P250="1 Year",12, P250="6 Months",6, P250="1 Month",1)</f>
        <v>1</v>
      </c>
      <c r="R250" t="str" cm="1">
        <f t="array" ref="R250">_xlfn.IFS(Q250=1,"Mensual",Q250=6,"Semestral",Q250=12,"Anual",Q250=24,"Bienal")</f>
        <v>Mensual</v>
      </c>
      <c r="S250">
        <f>IFERROR(VLOOKUP(Sheet1[[#This Row],[ID usuario]],A251:$A$907,1,FALSE),0)</f>
        <v>0</v>
      </c>
    </row>
    <row r="251" spans="1:19" x14ac:dyDescent="0.25">
      <c r="A251" t="s">
        <v>249</v>
      </c>
      <c r="B251" t="s">
        <v>1154</v>
      </c>
      <c r="C251" t="s">
        <v>1811</v>
      </c>
      <c r="D251">
        <v>82.32</v>
      </c>
      <c r="E251" s="1">
        <v>45226</v>
      </c>
      <c r="F251" s="1" t="str">
        <f>TEXT(Sheet1[[#This Row],[Fecha ingreso]],"mmmm")</f>
        <v>octubre</v>
      </c>
      <c r="G251" s="2">
        <f>YEAR(Sheet1[[#This Row],[Fecha ingreso]])</f>
        <v>2023</v>
      </c>
      <c r="H251" s="1" t="str">
        <f>TEXT(Sheet1[[#This Row],[Fecha ingreso]],"dddd")</f>
        <v>viernes</v>
      </c>
      <c r="I251" s="1">
        <v>45330</v>
      </c>
      <c r="J251" s="2">
        <f>DATEDIF(Sheet1[[#This Row],[Fecha ingreso]],Sheet1[[#This Row],[Fecha último pago]],"M")+1</f>
        <v>4</v>
      </c>
      <c r="K251" s="2">
        <f>Sheet1[[#This Row],[Ingresos mensuales]]*Sheet1[[#This Row],[Meses contratados]]</f>
        <v>329.28</v>
      </c>
      <c r="L251" t="s">
        <v>1817</v>
      </c>
      <c r="M251">
        <v>37</v>
      </c>
      <c r="N251" t="s">
        <v>1820</v>
      </c>
      <c r="O251" t="s">
        <v>1825</v>
      </c>
      <c r="P251" t="s">
        <v>1826</v>
      </c>
      <c r="Q251" cm="1">
        <f t="array" ref="Q251">_xlfn.IFS(P251="2 Years", 24,P251="1 Year",12, P251="6 Months",6, P251="1 Month",1)</f>
        <v>24</v>
      </c>
      <c r="R251" t="str" cm="1">
        <f t="array" ref="R251">_xlfn.IFS(Q251=1,"Mensual",Q251=6,"Semestral",Q251=12,"Anual",Q251=24,"Bienal")</f>
        <v>Bienal</v>
      </c>
      <c r="S251">
        <f>IFERROR(VLOOKUP(Sheet1[[#This Row],[ID usuario]],A252:$A$907,1,FALSE),0)</f>
        <v>0</v>
      </c>
    </row>
    <row r="252" spans="1:19" x14ac:dyDescent="0.25">
      <c r="A252" t="s">
        <v>250</v>
      </c>
      <c r="B252" t="s">
        <v>1155</v>
      </c>
      <c r="C252" t="s">
        <v>1810</v>
      </c>
      <c r="D252">
        <v>18.34</v>
      </c>
      <c r="E252" s="1">
        <v>44945</v>
      </c>
      <c r="F252" s="1" t="str">
        <f>TEXT(Sheet1[[#This Row],[Fecha ingreso]],"mmmm")</f>
        <v>enero</v>
      </c>
      <c r="G252" s="2">
        <f>YEAR(Sheet1[[#This Row],[Fecha ingreso]])</f>
        <v>2023</v>
      </c>
      <c r="H252" s="1" t="str">
        <f>TEXT(Sheet1[[#This Row],[Fecha ingreso]],"dddd")</f>
        <v>jueves</v>
      </c>
      <c r="I252" s="1">
        <v>44979</v>
      </c>
      <c r="J252" s="2">
        <f>DATEDIF(Sheet1[[#This Row],[Fecha ingreso]],Sheet1[[#This Row],[Fecha último pago]],"M")+1</f>
        <v>2</v>
      </c>
      <c r="K252" s="2">
        <f>Sheet1[[#This Row],[Ingresos mensuales]]*Sheet1[[#This Row],[Meses contratados]]</f>
        <v>36.68</v>
      </c>
      <c r="L252" t="s">
        <v>1814</v>
      </c>
      <c r="M252">
        <v>60</v>
      </c>
      <c r="N252" t="s">
        <v>1822</v>
      </c>
      <c r="O252" t="s">
        <v>1823</v>
      </c>
      <c r="P252" t="s">
        <v>1827</v>
      </c>
      <c r="Q252" cm="1">
        <f t="array" ref="Q252">_xlfn.IFS(P252="2 Years", 24,P252="1 Year",12, P252="6 Months",6, P252="1 Month",1)</f>
        <v>12</v>
      </c>
      <c r="R252" t="str" cm="1">
        <f t="array" ref="R252">_xlfn.IFS(Q252=1,"Mensual",Q252=6,"Semestral",Q252=12,"Anual",Q252=24,"Bienal")</f>
        <v>Anual</v>
      </c>
      <c r="S252">
        <f>IFERROR(VLOOKUP(Sheet1[[#This Row],[ID usuario]],A253:$A$907,1,FALSE),0)</f>
        <v>0</v>
      </c>
    </row>
    <row r="253" spans="1:19" x14ac:dyDescent="0.25">
      <c r="A253" t="s">
        <v>251</v>
      </c>
      <c r="B253" t="s">
        <v>1156</v>
      </c>
      <c r="C253" t="s">
        <v>1811</v>
      </c>
      <c r="D253">
        <v>26.6</v>
      </c>
      <c r="E253" s="1">
        <v>44723</v>
      </c>
      <c r="F253" s="1" t="str">
        <f>TEXT(Sheet1[[#This Row],[Fecha ingreso]],"mmmm")</f>
        <v>junio</v>
      </c>
      <c r="G253" s="2">
        <f>YEAR(Sheet1[[#This Row],[Fecha ingreso]])</f>
        <v>2022</v>
      </c>
      <c r="H253" s="1" t="str">
        <f>TEXT(Sheet1[[#This Row],[Fecha ingreso]],"dddd")</f>
        <v>sábado</v>
      </c>
      <c r="I253" s="1">
        <v>45404</v>
      </c>
      <c r="J253" s="2">
        <f>DATEDIF(Sheet1[[#This Row],[Fecha ingreso]],Sheet1[[#This Row],[Fecha último pago]],"M")+1</f>
        <v>23</v>
      </c>
      <c r="K253" s="2">
        <f>Sheet1[[#This Row],[Ingresos mensuales]]*Sheet1[[#This Row],[Meses contratados]]</f>
        <v>611.80000000000007</v>
      </c>
      <c r="L253" t="s">
        <v>1813</v>
      </c>
      <c r="M253">
        <v>52</v>
      </c>
      <c r="N253" t="s">
        <v>1820</v>
      </c>
      <c r="O253" t="s">
        <v>1823</v>
      </c>
      <c r="P253" t="s">
        <v>1828</v>
      </c>
      <c r="Q253" cm="1">
        <f t="array" ref="Q253">_xlfn.IFS(P253="2 Years", 24,P253="1 Year",12, P253="6 Months",6, P253="1 Month",1)</f>
        <v>6</v>
      </c>
      <c r="R253" t="str" cm="1">
        <f t="array" ref="R253">_xlfn.IFS(Q253=1,"Mensual",Q253=6,"Semestral",Q253=12,"Anual",Q253=24,"Bienal")</f>
        <v>Semestral</v>
      </c>
      <c r="S253">
        <f>IFERROR(VLOOKUP(Sheet1[[#This Row],[ID usuario]],A254:$A$907,1,FALSE),0)</f>
        <v>0</v>
      </c>
    </row>
    <row r="254" spans="1:19" x14ac:dyDescent="0.25">
      <c r="A254" t="s">
        <v>252</v>
      </c>
      <c r="B254" t="s">
        <v>1157</v>
      </c>
      <c r="C254" t="s">
        <v>1812</v>
      </c>
      <c r="D254">
        <v>11.54</v>
      </c>
      <c r="E254" s="1">
        <v>44839</v>
      </c>
      <c r="F254" s="1" t="str">
        <f>TEXT(Sheet1[[#This Row],[Fecha ingreso]],"mmmm")</f>
        <v>octubre</v>
      </c>
      <c r="G254" s="2">
        <f>YEAR(Sheet1[[#This Row],[Fecha ingreso]])</f>
        <v>2022</v>
      </c>
      <c r="H254" s="1" t="str">
        <f>TEXT(Sheet1[[#This Row],[Fecha ingreso]],"dddd")</f>
        <v>miércoles</v>
      </c>
      <c r="I254" s="1">
        <v>45368</v>
      </c>
      <c r="J254" s="2">
        <f>DATEDIF(Sheet1[[#This Row],[Fecha ingreso]],Sheet1[[#This Row],[Fecha último pago]],"M")+1</f>
        <v>18</v>
      </c>
      <c r="K254" s="2">
        <f>Sheet1[[#This Row],[Ingresos mensuales]]*Sheet1[[#This Row],[Meses contratados]]</f>
        <v>207.71999999999997</v>
      </c>
      <c r="L254" t="s">
        <v>1813</v>
      </c>
      <c r="M254">
        <v>56</v>
      </c>
      <c r="N254" t="s">
        <v>1820</v>
      </c>
      <c r="O254" t="s">
        <v>1825</v>
      </c>
      <c r="P254" t="s">
        <v>1828</v>
      </c>
      <c r="Q254" cm="1">
        <f t="array" ref="Q254">_xlfn.IFS(P254="2 Years", 24,P254="1 Year",12, P254="6 Months",6, P254="1 Month",1)</f>
        <v>6</v>
      </c>
      <c r="R254" t="str" cm="1">
        <f t="array" ref="R254">_xlfn.IFS(Q254=1,"Mensual",Q254=6,"Semestral",Q254=12,"Anual",Q254=24,"Bienal")</f>
        <v>Semestral</v>
      </c>
      <c r="S254">
        <f>IFERROR(VLOOKUP(Sheet1[[#This Row],[ID usuario]],A255:$A$907,1,FALSE),0)</f>
        <v>0</v>
      </c>
    </row>
    <row r="255" spans="1:19" x14ac:dyDescent="0.25">
      <c r="A255" t="s">
        <v>253</v>
      </c>
      <c r="B255" t="s">
        <v>1158</v>
      </c>
      <c r="C255" t="s">
        <v>1811</v>
      </c>
      <c r="D255">
        <v>72.040000000000006</v>
      </c>
      <c r="E255" s="1">
        <v>44504</v>
      </c>
      <c r="F255" s="1" t="str">
        <f>TEXT(Sheet1[[#This Row],[Fecha ingreso]],"mmmm")</f>
        <v>noviembre</v>
      </c>
      <c r="G255" s="2">
        <f>YEAR(Sheet1[[#This Row],[Fecha ingreso]])</f>
        <v>2021</v>
      </c>
      <c r="H255" s="1" t="str">
        <f>TEXT(Sheet1[[#This Row],[Fecha ingreso]],"dddd")</f>
        <v>jueves</v>
      </c>
      <c r="I255" s="1">
        <v>44530</v>
      </c>
      <c r="J255" s="2">
        <f>DATEDIF(Sheet1[[#This Row],[Fecha ingreso]],Sheet1[[#This Row],[Fecha último pago]],"M")+1</f>
        <v>1</v>
      </c>
      <c r="K255" s="2">
        <f>Sheet1[[#This Row],[Ingresos mensuales]]*Sheet1[[#This Row],[Meses contratados]]</f>
        <v>72.040000000000006</v>
      </c>
      <c r="L255" t="s">
        <v>1814</v>
      </c>
      <c r="M255">
        <v>39</v>
      </c>
      <c r="N255" t="s">
        <v>1822</v>
      </c>
      <c r="O255" t="s">
        <v>1823</v>
      </c>
      <c r="P255" t="s">
        <v>1826</v>
      </c>
      <c r="Q255" cm="1">
        <f t="array" ref="Q255">_xlfn.IFS(P255="2 Years", 24,P255="1 Year",12, P255="6 Months",6, P255="1 Month",1)</f>
        <v>24</v>
      </c>
      <c r="R255" t="str" cm="1">
        <f t="array" ref="R255">_xlfn.IFS(Q255=1,"Mensual",Q255=6,"Semestral",Q255=12,"Anual",Q255=24,"Bienal")</f>
        <v>Bienal</v>
      </c>
      <c r="S255">
        <f>IFERROR(VLOOKUP(Sheet1[[#This Row],[ID usuario]],A256:$A$907,1,FALSE),0)</f>
        <v>0</v>
      </c>
    </row>
    <row r="256" spans="1:19" x14ac:dyDescent="0.25">
      <c r="A256" t="s">
        <v>254</v>
      </c>
      <c r="B256" t="s">
        <v>1159</v>
      </c>
      <c r="C256" t="s">
        <v>1811</v>
      </c>
      <c r="D256">
        <v>42.55</v>
      </c>
      <c r="E256" s="1">
        <v>44460</v>
      </c>
      <c r="F256" s="1" t="str">
        <f>TEXT(Sheet1[[#This Row],[Fecha ingreso]],"mmmm")</f>
        <v>septiembre</v>
      </c>
      <c r="G256" s="2">
        <f>YEAR(Sheet1[[#This Row],[Fecha ingreso]])</f>
        <v>2021</v>
      </c>
      <c r="H256" s="1" t="str">
        <f>TEXT(Sheet1[[#This Row],[Fecha ingreso]],"dddd")</f>
        <v>martes</v>
      </c>
      <c r="I256" s="1">
        <v>44945</v>
      </c>
      <c r="J256" s="2">
        <f>DATEDIF(Sheet1[[#This Row],[Fecha ingreso]],Sheet1[[#This Row],[Fecha último pago]],"M")+1</f>
        <v>16</v>
      </c>
      <c r="K256" s="2">
        <f>Sheet1[[#This Row],[Ingresos mensuales]]*Sheet1[[#This Row],[Meses contratados]]</f>
        <v>680.8</v>
      </c>
      <c r="L256" t="s">
        <v>1818</v>
      </c>
      <c r="M256">
        <v>38</v>
      </c>
      <c r="N256" t="s">
        <v>1821</v>
      </c>
      <c r="O256" t="s">
        <v>1824</v>
      </c>
      <c r="P256" t="s">
        <v>1827</v>
      </c>
      <c r="Q256" cm="1">
        <f t="array" ref="Q256">_xlfn.IFS(P256="2 Years", 24,P256="1 Year",12, P256="6 Months",6, P256="1 Month",1)</f>
        <v>12</v>
      </c>
      <c r="R256" t="str" cm="1">
        <f t="array" ref="R256">_xlfn.IFS(Q256=1,"Mensual",Q256=6,"Semestral",Q256=12,"Anual",Q256=24,"Bienal")</f>
        <v>Anual</v>
      </c>
      <c r="S256">
        <f>IFERROR(VLOOKUP(Sheet1[[#This Row],[ID usuario]],A257:$A$907,1,FALSE),0)</f>
        <v>0</v>
      </c>
    </row>
    <row r="257" spans="1:19" x14ac:dyDescent="0.25">
      <c r="A257" t="s">
        <v>255</v>
      </c>
      <c r="B257" t="s">
        <v>1160</v>
      </c>
      <c r="C257" t="s">
        <v>1810</v>
      </c>
      <c r="D257">
        <v>34.53</v>
      </c>
      <c r="E257" s="1">
        <v>45017</v>
      </c>
      <c r="F257" s="1" t="str">
        <f>TEXT(Sheet1[[#This Row],[Fecha ingreso]],"mmmm")</f>
        <v>abril</v>
      </c>
      <c r="G257" s="2">
        <f>YEAR(Sheet1[[#This Row],[Fecha ingreso]])</f>
        <v>2023</v>
      </c>
      <c r="H257" s="1" t="str">
        <f>TEXT(Sheet1[[#This Row],[Fecha ingreso]],"dddd")</f>
        <v>sábado</v>
      </c>
      <c r="I257" s="1">
        <v>45299</v>
      </c>
      <c r="J257" s="2">
        <f>DATEDIF(Sheet1[[#This Row],[Fecha ingreso]],Sheet1[[#This Row],[Fecha último pago]],"M")+1</f>
        <v>10</v>
      </c>
      <c r="K257" s="2">
        <f>Sheet1[[#This Row],[Ingresos mensuales]]*Sheet1[[#This Row],[Meses contratados]]</f>
        <v>345.3</v>
      </c>
      <c r="L257" t="s">
        <v>1813</v>
      </c>
      <c r="M257">
        <v>44</v>
      </c>
      <c r="N257" t="s">
        <v>1820</v>
      </c>
      <c r="O257" t="s">
        <v>1824</v>
      </c>
      <c r="P257" t="s">
        <v>1827</v>
      </c>
      <c r="Q257" cm="1">
        <f t="array" ref="Q257">_xlfn.IFS(P257="2 Years", 24,P257="1 Year",12, P257="6 Months",6, P257="1 Month",1)</f>
        <v>12</v>
      </c>
      <c r="R257" t="str" cm="1">
        <f t="array" ref="R257">_xlfn.IFS(Q257=1,"Mensual",Q257=6,"Semestral",Q257=12,"Anual",Q257=24,"Bienal")</f>
        <v>Anual</v>
      </c>
      <c r="S257">
        <f>IFERROR(VLOOKUP(Sheet1[[#This Row],[ID usuario]],A258:$A$907,1,FALSE),0)</f>
        <v>0</v>
      </c>
    </row>
    <row r="258" spans="1:19" x14ac:dyDescent="0.25">
      <c r="A258" t="s">
        <v>256</v>
      </c>
      <c r="B258" t="s">
        <v>1161</v>
      </c>
      <c r="C258" t="s">
        <v>1810</v>
      </c>
      <c r="D258">
        <v>73.27</v>
      </c>
      <c r="E258" s="1">
        <v>45133</v>
      </c>
      <c r="F258" s="1" t="str">
        <f>TEXT(Sheet1[[#This Row],[Fecha ingreso]],"mmmm")</f>
        <v>julio</v>
      </c>
      <c r="G258" s="2">
        <f>YEAR(Sheet1[[#This Row],[Fecha ingreso]])</f>
        <v>2023</v>
      </c>
      <c r="H258" s="1" t="str">
        <f>TEXT(Sheet1[[#This Row],[Fecha ingreso]],"dddd")</f>
        <v>miércoles</v>
      </c>
      <c r="I258" s="1">
        <v>45185</v>
      </c>
      <c r="J258" s="2">
        <f>DATEDIF(Sheet1[[#This Row],[Fecha ingreso]],Sheet1[[#This Row],[Fecha último pago]],"M")+1</f>
        <v>2</v>
      </c>
      <c r="K258" s="2">
        <f>Sheet1[[#This Row],[Ingresos mensuales]]*Sheet1[[#This Row],[Meses contratados]]</f>
        <v>146.54</v>
      </c>
      <c r="L258" t="s">
        <v>1814</v>
      </c>
      <c r="M258">
        <v>53</v>
      </c>
      <c r="N258" t="s">
        <v>1820</v>
      </c>
      <c r="O258" t="s">
        <v>1823</v>
      </c>
      <c r="P258" t="s">
        <v>1827</v>
      </c>
      <c r="Q258" cm="1">
        <f t="array" ref="Q258">_xlfn.IFS(P258="2 Years", 24,P258="1 Year",12, P258="6 Months",6, P258="1 Month",1)</f>
        <v>12</v>
      </c>
      <c r="R258" t="str" cm="1">
        <f t="array" ref="R258">_xlfn.IFS(Q258=1,"Mensual",Q258=6,"Semestral",Q258=12,"Anual",Q258=24,"Bienal")</f>
        <v>Anual</v>
      </c>
      <c r="S258">
        <f>IFERROR(VLOOKUP(Sheet1[[#This Row],[ID usuario]],A259:$A$907,1,FALSE),0)</f>
        <v>0</v>
      </c>
    </row>
    <row r="259" spans="1:19" x14ac:dyDescent="0.25">
      <c r="A259" t="s">
        <v>257</v>
      </c>
      <c r="B259" t="s">
        <v>1162</v>
      </c>
      <c r="C259" t="s">
        <v>1811</v>
      </c>
      <c r="D259">
        <v>36.92</v>
      </c>
      <c r="E259" s="1">
        <v>44958</v>
      </c>
      <c r="F259" s="1" t="str">
        <f>TEXT(Sheet1[[#This Row],[Fecha ingreso]],"mmmm")</f>
        <v>febrero</v>
      </c>
      <c r="G259" s="2">
        <f>YEAR(Sheet1[[#This Row],[Fecha ingreso]])</f>
        <v>2023</v>
      </c>
      <c r="H259" s="1" t="str">
        <f>TEXT(Sheet1[[#This Row],[Fecha ingreso]],"dddd")</f>
        <v>miércoles</v>
      </c>
      <c r="I259" s="1">
        <v>45383</v>
      </c>
      <c r="J259" s="2">
        <f>DATEDIF(Sheet1[[#This Row],[Fecha ingreso]],Sheet1[[#This Row],[Fecha último pago]],"M")+1</f>
        <v>15</v>
      </c>
      <c r="K259" s="2">
        <f>Sheet1[[#This Row],[Ingresos mensuales]]*Sheet1[[#This Row],[Meses contratados]]</f>
        <v>553.80000000000007</v>
      </c>
      <c r="L259" t="s">
        <v>1814</v>
      </c>
      <c r="M259">
        <v>45</v>
      </c>
      <c r="N259" t="s">
        <v>1822</v>
      </c>
      <c r="O259" t="s">
        <v>1825</v>
      </c>
      <c r="P259" t="s">
        <v>1826</v>
      </c>
      <c r="Q259" cm="1">
        <f t="array" ref="Q259">_xlfn.IFS(P259="2 Years", 24,P259="1 Year",12, P259="6 Months",6, P259="1 Month",1)</f>
        <v>24</v>
      </c>
      <c r="R259" t="str" cm="1">
        <f t="array" ref="R259">_xlfn.IFS(Q259=1,"Mensual",Q259=6,"Semestral",Q259=12,"Anual",Q259=24,"Bienal")</f>
        <v>Bienal</v>
      </c>
      <c r="S259">
        <f>IFERROR(VLOOKUP(Sheet1[[#This Row],[ID usuario]],A260:$A$907,1,FALSE),0)</f>
        <v>0</v>
      </c>
    </row>
    <row r="260" spans="1:19" x14ac:dyDescent="0.25">
      <c r="A260" t="s">
        <v>258</v>
      </c>
      <c r="B260" t="s">
        <v>1163</v>
      </c>
      <c r="C260" t="s">
        <v>1811</v>
      </c>
      <c r="D260">
        <v>74.14</v>
      </c>
      <c r="E260" s="1">
        <v>45096</v>
      </c>
      <c r="F260" s="1" t="str">
        <f>TEXT(Sheet1[[#This Row],[Fecha ingreso]],"mmmm")</f>
        <v>junio</v>
      </c>
      <c r="G260" s="2">
        <f>YEAR(Sheet1[[#This Row],[Fecha ingreso]])</f>
        <v>2023</v>
      </c>
      <c r="H260" s="1" t="str">
        <f>TEXT(Sheet1[[#This Row],[Fecha ingreso]],"dddd")</f>
        <v>lunes</v>
      </c>
      <c r="I260" s="1">
        <v>45294</v>
      </c>
      <c r="J260" s="2">
        <f>DATEDIF(Sheet1[[#This Row],[Fecha ingreso]],Sheet1[[#This Row],[Fecha último pago]],"M")+1</f>
        <v>7</v>
      </c>
      <c r="K260" s="2">
        <f>Sheet1[[#This Row],[Ingresos mensuales]]*Sheet1[[#This Row],[Meses contratados]]</f>
        <v>518.98</v>
      </c>
      <c r="L260" t="s">
        <v>1818</v>
      </c>
      <c r="M260">
        <v>21</v>
      </c>
      <c r="N260" t="s">
        <v>1821</v>
      </c>
      <c r="O260" t="s">
        <v>1825</v>
      </c>
      <c r="P260" t="s">
        <v>1826</v>
      </c>
      <c r="Q260" cm="1">
        <f t="array" ref="Q260">_xlfn.IFS(P260="2 Years", 24,P260="1 Year",12, P260="6 Months",6, P260="1 Month",1)</f>
        <v>24</v>
      </c>
      <c r="R260" t="str" cm="1">
        <f t="array" ref="R260">_xlfn.IFS(Q260=1,"Mensual",Q260=6,"Semestral",Q260=12,"Anual",Q260=24,"Bienal")</f>
        <v>Bienal</v>
      </c>
      <c r="S260">
        <f>IFERROR(VLOOKUP(Sheet1[[#This Row],[ID usuario]],A261:$A$907,1,FALSE),0)</f>
        <v>0</v>
      </c>
    </row>
    <row r="261" spans="1:19" x14ac:dyDescent="0.25">
      <c r="A261" t="s">
        <v>259</v>
      </c>
      <c r="B261" t="s">
        <v>1164</v>
      </c>
      <c r="C261" t="s">
        <v>1812</v>
      </c>
      <c r="D261">
        <v>82.44</v>
      </c>
      <c r="E261" s="1">
        <v>45130</v>
      </c>
      <c r="F261" s="1" t="str">
        <f>TEXT(Sheet1[[#This Row],[Fecha ingreso]],"mmmm")</f>
        <v>julio</v>
      </c>
      <c r="G261" s="2">
        <f>YEAR(Sheet1[[#This Row],[Fecha ingreso]])</f>
        <v>2023</v>
      </c>
      <c r="H261" s="1" t="str">
        <f>TEXT(Sheet1[[#This Row],[Fecha ingreso]],"dddd")</f>
        <v>domingo</v>
      </c>
      <c r="I261" s="1">
        <v>45207</v>
      </c>
      <c r="J261" s="2">
        <f>DATEDIF(Sheet1[[#This Row],[Fecha ingreso]],Sheet1[[#This Row],[Fecha último pago]],"M")+1</f>
        <v>3</v>
      </c>
      <c r="K261" s="2">
        <f>Sheet1[[#This Row],[Ingresos mensuales]]*Sheet1[[#This Row],[Meses contratados]]</f>
        <v>247.32</v>
      </c>
      <c r="L261" t="s">
        <v>1818</v>
      </c>
      <c r="M261">
        <v>43</v>
      </c>
      <c r="N261" t="s">
        <v>1820</v>
      </c>
      <c r="O261" t="s">
        <v>1825</v>
      </c>
      <c r="P261" t="s">
        <v>1826</v>
      </c>
      <c r="Q261" cm="1">
        <f t="array" ref="Q261">_xlfn.IFS(P261="2 Years", 24,P261="1 Year",12, P261="6 Months",6, P261="1 Month",1)</f>
        <v>24</v>
      </c>
      <c r="R261" t="str" cm="1">
        <f t="array" ref="R261">_xlfn.IFS(Q261=1,"Mensual",Q261=6,"Semestral",Q261=12,"Anual",Q261=24,"Bienal")</f>
        <v>Bienal</v>
      </c>
      <c r="S261">
        <f>IFERROR(VLOOKUP(Sheet1[[#This Row],[ID usuario]],A262:$A$907,1,FALSE),0)</f>
        <v>0</v>
      </c>
    </row>
    <row r="262" spans="1:19" x14ac:dyDescent="0.25">
      <c r="A262" t="s">
        <v>260</v>
      </c>
      <c r="B262" t="s">
        <v>1165</v>
      </c>
      <c r="C262" t="s">
        <v>1811</v>
      </c>
      <c r="D262">
        <v>25.68</v>
      </c>
      <c r="E262" s="1">
        <v>45382</v>
      </c>
      <c r="F262" s="1" t="str">
        <f>TEXT(Sheet1[[#This Row],[Fecha ingreso]],"mmmm")</f>
        <v>marzo</v>
      </c>
      <c r="G262" s="2">
        <f>YEAR(Sheet1[[#This Row],[Fecha ingreso]])</f>
        <v>2024</v>
      </c>
      <c r="H262" s="1" t="str">
        <f>TEXT(Sheet1[[#This Row],[Fecha ingreso]],"dddd")</f>
        <v>domingo</v>
      </c>
      <c r="I262" s="1">
        <v>45457</v>
      </c>
      <c r="J262" s="2">
        <f>DATEDIF(Sheet1[[#This Row],[Fecha ingreso]],Sheet1[[#This Row],[Fecha último pago]],"M")+1</f>
        <v>3</v>
      </c>
      <c r="K262" s="2">
        <f>Sheet1[[#This Row],[Ingresos mensuales]]*Sheet1[[#This Row],[Meses contratados]]</f>
        <v>77.039999999999992</v>
      </c>
      <c r="L262" t="s">
        <v>1817</v>
      </c>
      <c r="M262">
        <v>25</v>
      </c>
      <c r="N262" t="s">
        <v>1820</v>
      </c>
      <c r="O262" t="s">
        <v>1823</v>
      </c>
      <c r="P262" t="s">
        <v>1826</v>
      </c>
      <c r="Q262" cm="1">
        <f t="array" ref="Q262">_xlfn.IFS(P262="2 Years", 24,P262="1 Year",12, P262="6 Months",6, P262="1 Month",1)</f>
        <v>24</v>
      </c>
      <c r="R262" t="str" cm="1">
        <f t="array" ref="R262">_xlfn.IFS(Q262=1,"Mensual",Q262=6,"Semestral",Q262=12,"Anual",Q262=24,"Bienal")</f>
        <v>Bienal</v>
      </c>
      <c r="S262">
        <f>IFERROR(VLOOKUP(Sheet1[[#This Row],[ID usuario]],A263:$A$907,1,FALSE),0)</f>
        <v>0</v>
      </c>
    </row>
    <row r="263" spans="1:19" x14ac:dyDescent="0.25">
      <c r="A263" t="s">
        <v>261</v>
      </c>
      <c r="B263" t="s">
        <v>1166</v>
      </c>
      <c r="C263" t="s">
        <v>1812</v>
      </c>
      <c r="D263">
        <v>97.51</v>
      </c>
      <c r="E263" s="1">
        <v>44843</v>
      </c>
      <c r="F263" s="1" t="str">
        <f>TEXT(Sheet1[[#This Row],[Fecha ingreso]],"mmmm")</f>
        <v>octubre</v>
      </c>
      <c r="G263" s="2">
        <f>YEAR(Sheet1[[#This Row],[Fecha ingreso]])</f>
        <v>2022</v>
      </c>
      <c r="H263" s="1" t="str">
        <f>TEXT(Sheet1[[#This Row],[Fecha ingreso]],"dddd")</f>
        <v>domingo</v>
      </c>
      <c r="I263" s="1">
        <v>44884</v>
      </c>
      <c r="J263" s="2">
        <f>DATEDIF(Sheet1[[#This Row],[Fecha ingreso]],Sheet1[[#This Row],[Fecha último pago]],"M")+1</f>
        <v>2</v>
      </c>
      <c r="K263" s="2">
        <f>Sheet1[[#This Row],[Ingresos mensuales]]*Sheet1[[#This Row],[Meses contratados]]</f>
        <v>195.02</v>
      </c>
      <c r="L263" t="s">
        <v>1814</v>
      </c>
      <c r="M263">
        <v>22</v>
      </c>
      <c r="N263" t="s">
        <v>1822</v>
      </c>
      <c r="O263" t="s">
        <v>1824</v>
      </c>
      <c r="P263" t="s">
        <v>1828</v>
      </c>
      <c r="Q263" cm="1">
        <f t="array" ref="Q263">_xlfn.IFS(P263="2 Years", 24,P263="1 Year",12, P263="6 Months",6, P263="1 Month",1)</f>
        <v>6</v>
      </c>
      <c r="R263" t="str" cm="1">
        <f t="array" ref="R263">_xlfn.IFS(Q263=1,"Mensual",Q263=6,"Semestral",Q263=12,"Anual",Q263=24,"Bienal")</f>
        <v>Semestral</v>
      </c>
      <c r="S263">
        <f>IFERROR(VLOOKUP(Sheet1[[#This Row],[ID usuario]],A264:$A$907,1,FALSE),0)</f>
        <v>0</v>
      </c>
    </row>
    <row r="264" spans="1:19" x14ac:dyDescent="0.25">
      <c r="A264" t="s">
        <v>262</v>
      </c>
      <c r="B264" t="s">
        <v>1167</v>
      </c>
      <c r="C264" t="s">
        <v>1812</v>
      </c>
      <c r="D264">
        <v>20.420000000000002</v>
      </c>
      <c r="E264" s="1">
        <v>45239</v>
      </c>
      <c r="F264" s="1" t="str">
        <f>TEXT(Sheet1[[#This Row],[Fecha ingreso]],"mmmm")</f>
        <v>noviembre</v>
      </c>
      <c r="G264" s="2">
        <f>YEAR(Sheet1[[#This Row],[Fecha ingreso]])</f>
        <v>2023</v>
      </c>
      <c r="H264" s="1" t="str">
        <f>TEXT(Sheet1[[#This Row],[Fecha ingreso]],"dddd")</f>
        <v>jueves</v>
      </c>
      <c r="I264" s="1">
        <v>45303</v>
      </c>
      <c r="J264" s="2">
        <f>DATEDIF(Sheet1[[#This Row],[Fecha ingreso]],Sheet1[[#This Row],[Fecha último pago]],"M")+1</f>
        <v>3</v>
      </c>
      <c r="K264" s="2">
        <f>Sheet1[[#This Row],[Ingresos mensuales]]*Sheet1[[#This Row],[Meses contratados]]</f>
        <v>61.260000000000005</v>
      </c>
      <c r="L264" t="s">
        <v>1818</v>
      </c>
      <c r="M264">
        <v>22</v>
      </c>
      <c r="N264" t="s">
        <v>1821</v>
      </c>
      <c r="O264" t="s">
        <v>1823</v>
      </c>
      <c r="P264" t="s">
        <v>1827</v>
      </c>
      <c r="Q264" cm="1">
        <f t="array" ref="Q264">_xlfn.IFS(P264="2 Years", 24,P264="1 Year",12, P264="6 Months",6, P264="1 Month",1)</f>
        <v>12</v>
      </c>
      <c r="R264" t="str" cm="1">
        <f t="array" ref="R264">_xlfn.IFS(Q264=1,"Mensual",Q264=6,"Semestral",Q264=12,"Anual",Q264=24,"Bienal")</f>
        <v>Anual</v>
      </c>
      <c r="S264">
        <f>IFERROR(VLOOKUP(Sheet1[[#This Row],[ID usuario]],A265:$A$907,1,FALSE),0)</f>
        <v>0</v>
      </c>
    </row>
    <row r="265" spans="1:19" x14ac:dyDescent="0.25">
      <c r="A265" t="s">
        <v>263</v>
      </c>
      <c r="B265" t="s">
        <v>1168</v>
      </c>
      <c r="C265" t="s">
        <v>1811</v>
      </c>
      <c r="D265">
        <v>32.630000000000003</v>
      </c>
      <c r="E265" s="1">
        <v>45104</v>
      </c>
      <c r="F265" s="1" t="str">
        <f>TEXT(Sheet1[[#This Row],[Fecha ingreso]],"mmmm")</f>
        <v>junio</v>
      </c>
      <c r="G265" s="2">
        <f>YEAR(Sheet1[[#This Row],[Fecha ingreso]])</f>
        <v>2023</v>
      </c>
      <c r="H265" s="1" t="str">
        <f>TEXT(Sheet1[[#This Row],[Fecha ingreso]],"dddd")</f>
        <v>martes</v>
      </c>
      <c r="I265" s="1">
        <v>45259</v>
      </c>
      <c r="J265" s="2">
        <f>DATEDIF(Sheet1[[#This Row],[Fecha ingreso]],Sheet1[[#This Row],[Fecha último pago]],"M")+1</f>
        <v>6</v>
      </c>
      <c r="K265" s="2">
        <f>Sheet1[[#This Row],[Ingresos mensuales]]*Sheet1[[#This Row],[Meses contratados]]</f>
        <v>195.78000000000003</v>
      </c>
      <c r="L265" t="s">
        <v>1816</v>
      </c>
      <c r="M265">
        <v>27</v>
      </c>
      <c r="N265" t="s">
        <v>1821</v>
      </c>
      <c r="O265" t="s">
        <v>1824</v>
      </c>
      <c r="P265" t="s">
        <v>1827</v>
      </c>
      <c r="Q265" cm="1">
        <f t="array" ref="Q265">_xlfn.IFS(P265="2 Years", 24,P265="1 Year",12, P265="6 Months",6, P265="1 Month",1)</f>
        <v>12</v>
      </c>
      <c r="R265" t="str" cm="1">
        <f t="array" ref="R265">_xlfn.IFS(Q265=1,"Mensual",Q265=6,"Semestral",Q265=12,"Anual",Q265=24,"Bienal")</f>
        <v>Anual</v>
      </c>
      <c r="S265">
        <f>IFERROR(VLOOKUP(Sheet1[[#This Row],[ID usuario]],A266:$A$907,1,FALSE),0)</f>
        <v>0</v>
      </c>
    </row>
    <row r="266" spans="1:19" x14ac:dyDescent="0.25">
      <c r="A266" t="s">
        <v>264</v>
      </c>
      <c r="B266" t="s">
        <v>1169</v>
      </c>
      <c r="C266" t="s">
        <v>1812</v>
      </c>
      <c r="D266">
        <v>22.08</v>
      </c>
      <c r="E266" s="1">
        <v>44683</v>
      </c>
      <c r="F266" s="1" t="str">
        <f>TEXT(Sheet1[[#This Row],[Fecha ingreso]],"mmmm")</f>
        <v>mayo</v>
      </c>
      <c r="G266" s="2">
        <f>YEAR(Sheet1[[#This Row],[Fecha ingreso]])</f>
        <v>2022</v>
      </c>
      <c r="H266" s="1" t="str">
        <f>TEXT(Sheet1[[#This Row],[Fecha ingreso]],"dddd")</f>
        <v>lunes</v>
      </c>
      <c r="I266" s="1">
        <v>45324</v>
      </c>
      <c r="J266" s="2">
        <f>DATEDIF(Sheet1[[#This Row],[Fecha ingreso]],Sheet1[[#This Row],[Fecha último pago]],"M")+1</f>
        <v>22</v>
      </c>
      <c r="K266" s="2">
        <f>Sheet1[[#This Row],[Ingresos mensuales]]*Sheet1[[#This Row],[Meses contratados]]</f>
        <v>485.76</v>
      </c>
      <c r="L266" t="s">
        <v>1817</v>
      </c>
      <c r="M266">
        <v>22</v>
      </c>
      <c r="N266" t="s">
        <v>1821</v>
      </c>
      <c r="O266" t="s">
        <v>1823</v>
      </c>
      <c r="P266" t="s">
        <v>1829</v>
      </c>
      <c r="Q266" cm="1">
        <f t="array" ref="Q266">_xlfn.IFS(P266="2 Years", 24,P266="1 Year",12, P266="6 Months",6, P266="1 Month",1)</f>
        <v>1</v>
      </c>
      <c r="R266" t="str" cm="1">
        <f t="array" ref="R266">_xlfn.IFS(Q266=1,"Mensual",Q266=6,"Semestral",Q266=12,"Anual",Q266=24,"Bienal")</f>
        <v>Mensual</v>
      </c>
      <c r="S266">
        <f>IFERROR(VLOOKUP(Sheet1[[#This Row],[ID usuario]],A267:$A$907,1,FALSE),0)</f>
        <v>0</v>
      </c>
    </row>
    <row r="267" spans="1:19" x14ac:dyDescent="0.25">
      <c r="A267" t="s">
        <v>265</v>
      </c>
      <c r="B267" t="s">
        <v>1170</v>
      </c>
      <c r="C267" t="s">
        <v>1812</v>
      </c>
      <c r="D267">
        <v>37.82</v>
      </c>
      <c r="E267" s="1">
        <v>45325</v>
      </c>
      <c r="F267" s="1" t="str">
        <f>TEXT(Sheet1[[#This Row],[Fecha ingreso]],"mmmm")</f>
        <v>febrero</v>
      </c>
      <c r="G267" s="2">
        <f>YEAR(Sheet1[[#This Row],[Fecha ingreso]])</f>
        <v>2024</v>
      </c>
      <c r="H267" s="1" t="str">
        <f>TEXT(Sheet1[[#This Row],[Fecha ingreso]],"dddd")</f>
        <v>sábado</v>
      </c>
      <c r="I267" s="1">
        <v>45365</v>
      </c>
      <c r="J267" s="2">
        <f>DATEDIF(Sheet1[[#This Row],[Fecha ingreso]],Sheet1[[#This Row],[Fecha último pago]],"M")+1</f>
        <v>2</v>
      </c>
      <c r="K267" s="2">
        <f>Sheet1[[#This Row],[Ingresos mensuales]]*Sheet1[[#This Row],[Meses contratados]]</f>
        <v>75.64</v>
      </c>
      <c r="L267" t="s">
        <v>1814</v>
      </c>
      <c r="M267">
        <v>51</v>
      </c>
      <c r="N267" t="s">
        <v>1821</v>
      </c>
      <c r="O267" t="s">
        <v>1823</v>
      </c>
      <c r="P267" t="s">
        <v>1827</v>
      </c>
      <c r="Q267" cm="1">
        <f t="array" ref="Q267">_xlfn.IFS(P267="2 Years", 24,P267="1 Year",12, P267="6 Months",6, P267="1 Month",1)</f>
        <v>12</v>
      </c>
      <c r="R267" t="str" cm="1">
        <f t="array" ref="R267">_xlfn.IFS(Q267=1,"Mensual",Q267=6,"Semestral",Q267=12,"Anual",Q267=24,"Bienal")</f>
        <v>Anual</v>
      </c>
      <c r="S267">
        <f>IFERROR(VLOOKUP(Sheet1[[#This Row],[ID usuario]],A268:$A$907,1,FALSE),0)</f>
        <v>0</v>
      </c>
    </row>
    <row r="268" spans="1:19" x14ac:dyDescent="0.25">
      <c r="A268" t="s">
        <v>266</v>
      </c>
      <c r="B268" t="s">
        <v>1171</v>
      </c>
      <c r="C268" t="s">
        <v>1810</v>
      </c>
      <c r="D268">
        <v>50.61</v>
      </c>
      <c r="E268" s="1">
        <v>44376</v>
      </c>
      <c r="F268" s="1" t="str">
        <f>TEXT(Sheet1[[#This Row],[Fecha ingreso]],"mmmm")</f>
        <v>junio</v>
      </c>
      <c r="G268" s="2">
        <f>YEAR(Sheet1[[#This Row],[Fecha ingreso]])</f>
        <v>2021</v>
      </c>
      <c r="H268" s="1" t="str">
        <f>TEXT(Sheet1[[#This Row],[Fecha ingreso]],"dddd")</f>
        <v>martes</v>
      </c>
      <c r="I268" s="1">
        <v>45229</v>
      </c>
      <c r="J268" s="2">
        <f>DATEDIF(Sheet1[[#This Row],[Fecha ingreso]],Sheet1[[#This Row],[Fecha último pago]],"M")+1</f>
        <v>29</v>
      </c>
      <c r="K268" s="2">
        <f>Sheet1[[#This Row],[Ingresos mensuales]]*Sheet1[[#This Row],[Meses contratados]]</f>
        <v>1467.69</v>
      </c>
      <c r="L268" t="s">
        <v>1816</v>
      </c>
      <c r="M268">
        <v>67</v>
      </c>
      <c r="N268" t="s">
        <v>1822</v>
      </c>
      <c r="O268" t="s">
        <v>1825</v>
      </c>
      <c r="P268" t="s">
        <v>1828</v>
      </c>
      <c r="Q268" cm="1">
        <f t="array" ref="Q268">_xlfn.IFS(P268="2 Years", 24,P268="1 Year",12, P268="6 Months",6, P268="1 Month",1)</f>
        <v>6</v>
      </c>
      <c r="R268" t="str" cm="1">
        <f t="array" ref="R268">_xlfn.IFS(Q268=1,"Mensual",Q268=6,"Semestral",Q268=12,"Anual",Q268=24,"Bienal")</f>
        <v>Semestral</v>
      </c>
      <c r="S268">
        <f>IFERROR(VLOOKUP(Sheet1[[#This Row],[ID usuario]],A269:$A$907,1,FALSE),0)</f>
        <v>0</v>
      </c>
    </row>
    <row r="269" spans="1:19" x14ac:dyDescent="0.25">
      <c r="A269" t="s">
        <v>267</v>
      </c>
      <c r="B269" t="s">
        <v>1172</v>
      </c>
      <c r="C269" t="s">
        <v>1811</v>
      </c>
      <c r="D269">
        <v>54.61</v>
      </c>
      <c r="E269" s="1">
        <v>44726</v>
      </c>
      <c r="F269" s="1" t="str">
        <f>TEXT(Sheet1[[#This Row],[Fecha ingreso]],"mmmm")</f>
        <v>junio</v>
      </c>
      <c r="G269" s="2">
        <f>YEAR(Sheet1[[#This Row],[Fecha ingreso]])</f>
        <v>2022</v>
      </c>
      <c r="H269" s="1" t="str">
        <f>TEXT(Sheet1[[#This Row],[Fecha ingreso]],"dddd")</f>
        <v>martes</v>
      </c>
      <c r="I269" s="1">
        <v>45317</v>
      </c>
      <c r="J269" s="2">
        <f>DATEDIF(Sheet1[[#This Row],[Fecha ingreso]],Sheet1[[#This Row],[Fecha último pago]],"M")+1</f>
        <v>20</v>
      </c>
      <c r="K269" s="2">
        <f>Sheet1[[#This Row],[Ingresos mensuales]]*Sheet1[[#This Row],[Meses contratados]]</f>
        <v>1092.2</v>
      </c>
      <c r="L269" t="s">
        <v>1813</v>
      </c>
      <c r="M269">
        <v>28</v>
      </c>
      <c r="N269" t="s">
        <v>1822</v>
      </c>
      <c r="O269" t="s">
        <v>1824</v>
      </c>
      <c r="P269" t="s">
        <v>1828</v>
      </c>
      <c r="Q269" cm="1">
        <f t="array" ref="Q269">_xlfn.IFS(P269="2 Years", 24,P269="1 Year",12, P269="6 Months",6, P269="1 Month",1)</f>
        <v>6</v>
      </c>
      <c r="R269" t="str" cm="1">
        <f t="array" ref="R269">_xlfn.IFS(Q269=1,"Mensual",Q269=6,"Semestral",Q269=12,"Anual",Q269=24,"Bienal")</f>
        <v>Semestral</v>
      </c>
      <c r="S269">
        <f>IFERROR(VLOOKUP(Sheet1[[#This Row],[ID usuario]],A270:$A$907,1,FALSE),0)</f>
        <v>0</v>
      </c>
    </row>
    <row r="270" spans="1:19" x14ac:dyDescent="0.25">
      <c r="A270" t="s">
        <v>268</v>
      </c>
      <c r="B270" t="s">
        <v>1173</v>
      </c>
      <c r="C270" t="s">
        <v>1811</v>
      </c>
      <c r="D270">
        <v>86.09</v>
      </c>
      <c r="E270" s="1">
        <v>45377</v>
      </c>
      <c r="F270" s="1" t="str">
        <f>TEXT(Sheet1[[#This Row],[Fecha ingreso]],"mmmm")</f>
        <v>marzo</v>
      </c>
      <c r="G270" s="2">
        <f>YEAR(Sheet1[[#This Row],[Fecha ingreso]])</f>
        <v>2024</v>
      </c>
      <c r="H270" s="1" t="str">
        <f>TEXT(Sheet1[[#This Row],[Fecha ingreso]],"dddd")</f>
        <v>martes</v>
      </c>
      <c r="I270" s="1">
        <v>45451</v>
      </c>
      <c r="J270" s="2">
        <f>DATEDIF(Sheet1[[#This Row],[Fecha ingreso]],Sheet1[[#This Row],[Fecha último pago]],"M")+1</f>
        <v>3</v>
      </c>
      <c r="K270" s="2">
        <f>Sheet1[[#This Row],[Ingresos mensuales]]*Sheet1[[#This Row],[Meses contratados]]</f>
        <v>258.27</v>
      </c>
      <c r="L270" t="s">
        <v>1813</v>
      </c>
      <c r="M270">
        <v>41</v>
      </c>
      <c r="N270" t="s">
        <v>1820</v>
      </c>
      <c r="O270" t="s">
        <v>1823</v>
      </c>
      <c r="P270" t="s">
        <v>1829</v>
      </c>
      <c r="Q270" cm="1">
        <f t="array" ref="Q270">_xlfn.IFS(P270="2 Years", 24,P270="1 Year",12, P270="6 Months",6, P270="1 Month",1)</f>
        <v>1</v>
      </c>
      <c r="R270" t="str" cm="1">
        <f t="array" ref="R270">_xlfn.IFS(Q270=1,"Mensual",Q270=6,"Semestral",Q270=12,"Anual",Q270=24,"Bienal")</f>
        <v>Mensual</v>
      </c>
      <c r="S270">
        <f>IFERROR(VLOOKUP(Sheet1[[#This Row],[ID usuario]],A271:$A$907,1,FALSE),0)</f>
        <v>0</v>
      </c>
    </row>
    <row r="271" spans="1:19" x14ac:dyDescent="0.25">
      <c r="A271" t="s">
        <v>269</v>
      </c>
      <c r="B271" t="s">
        <v>1174</v>
      </c>
      <c r="C271" t="s">
        <v>1811</v>
      </c>
      <c r="D271">
        <v>89.5</v>
      </c>
      <c r="E271" s="1">
        <v>44397</v>
      </c>
      <c r="F271" s="1" t="str">
        <f>TEXT(Sheet1[[#This Row],[Fecha ingreso]],"mmmm")</f>
        <v>julio</v>
      </c>
      <c r="G271" s="2">
        <f>YEAR(Sheet1[[#This Row],[Fecha ingreso]])</f>
        <v>2021</v>
      </c>
      <c r="H271" s="1" t="str">
        <f>TEXT(Sheet1[[#This Row],[Fecha ingreso]],"dddd")</f>
        <v>martes</v>
      </c>
      <c r="I271" s="1">
        <v>44598</v>
      </c>
      <c r="J271" s="2">
        <f>DATEDIF(Sheet1[[#This Row],[Fecha ingreso]],Sheet1[[#This Row],[Fecha último pago]],"M")+1</f>
        <v>7</v>
      </c>
      <c r="K271" s="2">
        <f>Sheet1[[#This Row],[Ingresos mensuales]]*Sheet1[[#This Row],[Meses contratados]]</f>
        <v>626.5</v>
      </c>
      <c r="L271" t="s">
        <v>1817</v>
      </c>
      <c r="M271">
        <v>66</v>
      </c>
      <c r="N271" t="s">
        <v>1820</v>
      </c>
      <c r="O271" t="s">
        <v>1824</v>
      </c>
      <c r="P271" t="s">
        <v>1826</v>
      </c>
      <c r="Q271" cm="1">
        <f t="array" ref="Q271">_xlfn.IFS(P271="2 Years", 24,P271="1 Year",12, P271="6 Months",6, P271="1 Month",1)</f>
        <v>24</v>
      </c>
      <c r="R271" t="str" cm="1">
        <f t="array" ref="R271">_xlfn.IFS(Q271=1,"Mensual",Q271=6,"Semestral",Q271=12,"Anual",Q271=24,"Bienal")</f>
        <v>Bienal</v>
      </c>
      <c r="S271">
        <f>IFERROR(VLOOKUP(Sheet1[[#This Row],[ID usuario]],A272:$A$907,1,FALSE),0)</f>
        <v>0</v>
      </c>
    </row>
    <row r="272" spans="1:19" x14ac:dyDescent="0.25">
      <c r="A272" t="s">
        <v>270</v>
      </c>
      <c r="B272" t="s">
        <v>1175</v>
      </c>
      <c r="C272" t="s">
        <v>1812</v>
      </c>
      <c r="D272">
        <v>25.91</v>
      </c>
      <c r="E272" s="1">
        <v>45451</v>
      </c>
      <c r="F272" s="1" t="str">
        <f>TEXT(Sheet1[[#This Row],[Fecha ingreso]],"mmmm")</f>
        <v>junio</v>
      </c>
      <c r="G272" s="2">
        <f>YEAR(Sheet1[[#This Row],[Fecha ingreso]])</f>
        <v>2024</v>
      </c>
      <c r="H272" s="1" t="str">
        <f>TEXT(Sheet1[[#This Row],[Fecha ingreso]],"dddd")</f>
        <v>sábado</v>
      </c>
      <c r="I272" s="1">
        <v>45458</v>
      </c>
      <c r="J272" s="2">
        <f>DATEDIF(Sheet1[[#This Row],[Fecha ingreso]],Sheet1[[#This Row],[Fecha último pago]],"M")+1</f>
        <v>1</v>
      </c>
      <c r="K272" s="2">
        <f>Sheet1[[#This Row],[Ingresos mensuales]]*Sheet1[[#This Row],[Meses contratados]]</f>
        <v>25.91</v>
      </c>
      <c r="L272" t="s">
        <v>1815</v>
      </c>
      <c r="M272">
        <v>50</v>
      </c>
      <c r="N272" t="s">
        <v>1822</v>
      </c>
      <c r="O272" t="s">
        <v>1823</v>
      </c>
      <c r="P272" t="s">
        <v>1828</v>
      </c>
      <c r="Q272" cm="1">
        <f t="array" ref="Q272">_xlfn.IFS(P272="2 Years", 24,P272="1 Year",12, P272="6 Months",6, P272="1 Month",1)</f>
        <v>6</v>
      </c>
      <c r="R272" t="str" cm="1">
        <f t="array" ref="R272">_xlfn.IFS(Q272=1,"Mensual",Q272=6,"Semestral",Q272=12,"Anual",Q272=24,"Bienal")</f>
        <v>Semestral</v>
      </c>
      <c r="S272">
        <f>IFERROR(VLOOKUP(Sheet1[[#This Row],[ID usuario]],A273:$A$907,1,FALSE),0)</f>
        <v>0</v>
      </c>
    </row>
    <row r="273" spans="1:19" x14ac:dyDescent="0.25">
      <c r="A273" t="s">
        <v>271</v>
      </c>
      <c r="B273" t="s">
        <v>1176</v>
      </c>
      <c r="C273" t="s">
        <v>1811</v>
      </c>
      <c r="D273">
        <v>64.17</v>
      </c>
      <c r="E273" s="1">
        <v>45418</v>
      </c>
      <c r="F273" s="1" t="str">
        <f>TEXT(Sheet1[[#This Row],[Fecha ingreso]],"mmmm")</f>
        <v>mayo</v>
      </c>
      <c r="G273" s="2">
        <f>YEAR(Sheet1[[#This Row],[Fecha ingreso]])</f>
        <v>2024</v>
      </c>
      <c r="H273" s="1" t="str">
        <f>TEXT(Sheet1[[#This Row],[Fecha ingreso]],"dddd")</f>
        <v>lunes</v>
      </c>
      <c r="I273" s="1">
        <v>45428</v>
      </c>
      <c r="J273" s="2">
        <f>DATEDIF(Sheet1[[#This Row],[Fecha ingreso]],Sheet1[[#This Row],[Fecha último pago]],"M")+1</f>
        <v>1</v>
      </c>
      <c r="K273" s="2">
        <f>Sheet1[[#This Row],[Ingresos mensuales]]*Sheet1[[#This Row],[Meses contratados]]</f>
        <v>64.17</v>
      </c>
      <c r="L273" t="s">
        <v>1817</v>
      </c>
      <c r="M273">
        <v>31</v>
      </c>
      <c r="N273" t="s">
        <v>1821</v>
      </c>
      <c r="O273" t="s">
        <v>1824</v>
      </c>
      <c r="P273" t="s">
        <v>1828</v>
      </c>
      <c r="Q273" cm="1">
        <f t="array" ref="Q273">_xlfn.IFS(P273="2 Years", 24,P273="1 Year",12, P273="6 Months",6, P273="1 Month",1)</f>
        <v>6</v>
      </c>
      <c r="R273" t="str" cm="1">
        <f t="array" ref="R273">_xlfn.IFS(Q273=1,"Mensual",Q273=6,"Semestral",Q273=12,"Anual",Q273=24,"Bienal")</f>
        <v>Semestral</v>
      </c>
      <c r="S273">
        <f>IFERROR(VLOOKUP(Sheet1[[#This Row],[ID usuario]],A274:$A$907,1,FALSE),0)</f>
        <v>0</v>
      </c>
    </row>
    <row r="274" spans="1:19" x14ac:dyDescent="0.25">
      <c r="A274" t="s">
        <v>272</v>
      </c>
      <c r="B274" t="s">
        <v>1177</v>
      </c>
      <c r="C274" t="s">
        <v>1811</v>
      </c>
      <c r="D274">
        <v>15.59</v>
      </c>
      <c r="E274" s="1">
        <v>44428</v>
      </c>
      <c r="F274" s="1" t="str">
        <f>TEXT(Sheet1[[#This Row],[Fecha ingreso]],"mmmm")</f>
        <v>agosto</v>
      </c>
      <c r="G274" s="2">
        <f>YEAR(Sheet1[[#This Row],[Fecha ingreso]])</f>
        <v>2021</v>
      </c>
      <c r="H274" s="1" t="str">
        <f>TEXT(Sheet1[[#This Row],[Fecha ingreso]],"dddd")</f>
        <v>viernes</v>
      </c>
      <c r="I274" s="1">
        <v>45198</v>
      </c>
      <c r="J274" s="2">
        <f>DATEDIF(Sheet1[[#This Row],[Fecha ingreso]],Sheet1[[#This Row],[Fecha último pago]],"M")+1</f>
        <v>26</v>
      </c>
      <c r="K274" s="2">
        <f>Sheet1[[#This Row],[Ingresos mensuales]]*Sheet1[[#This Row],[Meses contratados]]</f>
        <v>405.34</v>
      </c>
      <c r="L274" t="s">
        <v>1818</v>
      </c>
      <c r="M274">
        <v>39</v>
      </c>
      <c r="N274" t="s">
        <v>1820</v>
      </c>
      <c r="O274" t="s">
        <v>1823</v>
      </c>
      <c r="P274" t="s">
        <v>1829</v>
      </c>
      <c r="Q274" cm="1">
        <f t="array" ref="Q274">_xlfn.IFS(P274="2 Years", 24,P274="1 Year",12, P274="6 Months",6, P274="1 Month",1)</f>
        <v>1</v>
      </c>
      <c r="R274" t="str" cm="1">
        <f t="array" ref="R274">_xlfn.IFS(Q274=1,"Mensual",Q274=6,"Semestral",Q274=12,"Anual",Q274=24,"Bienal")</f>
        <v>Mensual</v>
      </c>
      <c r="S274">
        <f>IFERROR(VLOOKUP(Sheet1[[#This Row],[ID usuario]],A275:$A$907,1,FALSE),0)</f>
        <v>0</v>
      </c>
    </row>
    <row r="275" spans="1:19" x14ac:dyDescent="0.25">
      <c r="A275" t="s">
        <v>273</v>
      </c>
      <c r="B275" t="s">
        <v>1178</v>
      </c>
      <c r="C275" t="s">
        <v>1811</v>
      </c>
      <c r="D275">
        <v>48.6</v>
      </c>
      <c r="E275" s="1">
        <v>44410</v>
      </c>
      <c r="F275" s="1" t="str">
        <f>TEXT(Sheet1[[#This Row],[Fecha ingreso]],"mmmm")</f>
        <v>agosto</v>
      </c>
      <c r="G275" s="2">
        <f>YEAR(Sheet1[[#This Row],[Fecha ingreso]])</f>
        <v>2021</v>
      </c>
      <c r="H275" s="1" t="str">
        <f>TEXT(Sheet1[[#This Row],[Fecha ingreso]],"dddd")</f>
        <v>lunes</v>
      </c>
      <c r="I275" s="1">
        <v>45294</v>
      </c>
      <c r="J275" s="2">
        <f>DATEDIF(Sheet1[[#This Row],[Fecha ingreso]],Sheet1[[#This Row],[Fecha último pago]],"M")+1</f>
        <v>30</v>
      </c>
      <c r="K275" s="2">
        <f>Sheet1[[#This Row],[Ingresos mensuales]]*Sheet1[[#This Row],[Meses contratados]]</f>
        <v>1458</v>
      </c>
      <c r="L275" t="s">
        <v>1813</v>
      </c>
      <c r="M275">
        <v>46</v>
      </c>
      <c r="N275" t="s">
        <v>1820</v>
      </c>
      <c r="O275" t="s">
        <v>1824</v>
      </c>
      <c r="P275" t="s">
        <v>1827</v>
      </c>
      <c r="Q275" cm="1">
        <f t="array" ref="Q275">_xlfn.IFS(P275="2 Years", 24,P275="1 Year",12, P275="6 Months",6, P275="1 Month",1)</f>
        <v>12</v>
      </c>
      <c r="R275" t="str" cm="1">
        <f t="array" ref="R275">_xlfn.IFS(Q275=1,"Mensual",Q275=6,"Semestral",Q275=12,"Anual",Q275=24,"Bienal")</f>
        <v>Anual</v>
      </c>
      <c r="S275">
        <f>IFERROR(VLOOKUP(Sheet1[[#This Row],[ID usuario]],A276:$A$907,1,FALSE),0)</f>
        <v>0</v>
      </c>
    </row>
    <row r="276" spans="1:19" x14ac:dyDescent="0.25">
      <c r="A276" t="s">
        <v>274</v>
      </c>
      <c r="B276" t="s">
        <v>1179</v>
      </c>
      <c r="C276" t="s">
        <v>1812</v>
      </c>
      <c r="D276">
        <v>35.619999999999997</v>
      </c>
      <c r="E276" s="1">
        <v>44898</v>
      </c>
      <c r="F276" s="1" t="str">
        <f>TEXT(Sheet1[[#This Row],[Fecha ingreso]],"mmmm")</f>
        <v>diciembre</v>
      </c>
      <c r="G276" s="2">
        <f>YEAR(Sheet1[[#This Row],[Fecha ingreso]])</f>
        <v>2022</v>
      </c>
      <c r="H276" s="1" t="str">
        <f>TEXT(Sheet1[[#This Row],[Fecha ingreso]],"dddd")</f>
        <v>sábado</v>
      </c>
      <c r="I276" s="1">
        <v>45184</v>
      </c>
      <c r="J276" s="2">
        <f>DATEDIF(Sheet1[[#This Row],[Fecha ingreso]],Sheet1[[#This Row],[Fecha último pago]],"M")+1</f>
        <v>10</v>
      </c>
      <c r="K276" s="2">
        <f>Sheet1[[#This Row],[Ingresos mensuales]]*Sheet1[[#This Row],[Meses contratados]]</f>
        <v>356.2</v>
      </c>
      <c r="L276" t="s">
        <v>1816</v>
      </c>
      <c r="M276">
        <v>41</v>
      </c>
      <c r="N276" t="s">
        <v>1821</v>
      </c>
      <c r="O276" t="s">
        <v>1825</v>
      </c>
      <c r="P276" t="s">
        <v>1827</v>
      </c>
      <c r="Q276" cm="1">
        <f t="array" ref="Q276">_xlfn.IFS(P276="2 Years", 24,P276="1 Year",12, P276="6 Months",6, P276="1 Month",1)</f>
        <v>12</v>
      </c>
      <c r="R276" t="str" cm="1">
        <f t="array" ref="R276">_xlfn.IFS(Q276=1,"Mensual",Q276=6,"Semestral",Q276=12,"Anual",Q276=24,"Bienal")</f>
        <v>Anual</v>
      </c>
      <c r="S276">
        <f>IFERROR(VLOOKUP(Sheet1[[#This Row],[ID usuario]],A277:$A$907,1,FALSE),0)</f>
        <v>0</v>
      </c>
    </row>
    <row r="277" spans="1:19" x14ac:dyDescent="0.25">
      <c r="A277" t="s">
        <v>275</v>
      </c>
      <c r="B277" t="s">
        <v>1180</v>
      </c>
      <c r="C277" t="s">
        <v>1810</v>
      </c>
      <c r="D277">
        <v>35.07</v>
      </c>
      <c r="E277" s="1">
        <v>44453</v>
      </c>
      <c r="F277" s="1" t="str">
        <f>TEXT(Sheet1[[#This Row],[Fecha ingreso]],"mmmm")</f>
        <v>septiembre</v>
      </c>
      <c r="G277" s="2">
        <f>YEAR(Sheet1[[#This Row],[Fecha ingreso]])</f>
        <v>2021</v>
      </c>
      <c r="H277" s="1" t="str">
        <f>TEXT(Sheet1[[#This Row],[Fecha ingreso]],"dddd")</f>
        <v>martes</v>
      </c>
      <c r="I277" s="1">
        <v>44985</v>
      </c>
      <c r="J277" s="2">
        <f>DATEDIF(Sheet1[[#This Row],[Fecha ingreso]],Sheet1[[#This Row],[Fecha último pago]],"M")+1</f>
        <v>18</v>
      </c>
      <c r="K277" s="2">
        <f>Sheet1[[#This Row],[Ingresos mensuales]]*Sheet1[[#This Row],[Meses contratados]]</f>
        <v>631.26</v>
      </c>
      <c r="L277" t="s">
        <v>1816</v>
      </c>
      <c r="M277">
        <v>66</v>
      </c>
      <c r="N277" t="s">
        <v>1820</v>
      </c>
      <c r="O277" t="s">
        <v>1824</v>
      </c>
      <c r="P277" t="s">
        <v>1828</v>
      </c>
      <c r="Q277" cm="1">
        <f t="array" ref="Q277">_xlfn.IFS(P277="2 Years", 24,P277="1 Year",12, P277="6 Months",6, P277="1 Month",1)</f>
        <v>6</v>
      </c>
      <c r="R277" t="str" cm="1">
        <f t="array" ref="R277">_xlfn.IFS(Q277=1,"Mensual",Q277=6,"Semestral",Q277=12,"Anual",Q277=24,"Bienal")</f>
        <v>Semestral</v>
      </c>
      <c r="S277">
        <f>IFERROR(VLOOKUP(Sheet1[[#This Row],[ID usuario]],A278:$A$907,1,FALSE),0)</f>
        <v>0</v>
      </c>
    </row>
    <row r="278" spans="1:19" x14ac:dyDescent="0.25">
      <c r="A278" t="s">
        <v>276</v>
      </c>
      <c r="B278" t="s">
        <v>1181</v>
      </c>
      <c r="C278" t="s">
        <v>1811</v>
      </c>
      <c r="D278">
        <v>50.85</v>
      </c>
      <c r="E278" s="1">
        <v>45275</v>
      </c>
      <c r="F278" s="1" t="str">
        <f>TEXT(Sheet1[[#This Row],[Fecha ingreso]],"mmmm")</f>
        <v>diciembre</v>
      </c>
      <c r="G278" s="2">
        <f>YEAR(Sheet1[[#This Row],[Fecha ingreso]])</f>
        <v>2023</v>
      </c>
      <c r="H278" s="1" t="str">
        <f>TEXT(Sheet1[[#This Row],[Fecha ingreso]],"dddd")</f>
        <v>viernes</v>
      </c>
      <c r="I278" s="1">
        <v>45372</v>
      </c>
      <c r="J278" s="2">
        <f>DATEDIF(Sheet1[[#This Row],[Fecha ingreso]],Sheet1[[#This Row],[Fecha último pago]],"M")+1</f>
        <v>4</v>
      </c>
      <c r="K278" s="2">
        <f>Sheet1[[#This Row],[Ingresos mensuales]]*Sheet1[[#This Row],[Meses contratados]]</f>
        <v>203.4</v>
      </c>
      <c r="L278" t="s">
        <v>1813</v>
      </c>
      <c r="M278">
        <v>23</v>
      </c>
      <c r="N278" t="s">
        <v>1822</v>
      </c>
      <c r="O278" t="s">
        <v>1823</v>
      </c>
      <c r="P278" t="s">
        <v>1826</v>
      </c>
      <c r="Q278" cm="1">
        <f t="array" ref="Q278">_xlfn.IFS(P278="2 Years", 24,P278="1 Year",12, P278="6 Months",6, P278="1 Month",1)</f>
        <v>24</v>
      </c>
      <c r="R278" t="str" cm="1">
        <f t="array" ref="R278">_xlfn.IFS(Q278=1,"Mensual",Q278=6,"Semestral",Q278=12,"Anual",Q278=24,"Bienal")</f>
        <v>Bienal</v>
      </c>
      <c r="S278">
        <f>IFERROR(VLOOKUP(Sheet1[[#This Row],[ID usuario]],A279:$A$907,1,FALSE),0)</f>
        <v>0</v>
      </c>
    </row>
    <row r="279" spans="1:19" x14ac:dyDescent="0.25">
      <c r="A279" t="s">
        <v>277</v>
      </c>
      <c r="B279" t="s">
        <v>1182</v>
      </c>
      <c r="C279" t="s">
        <v>1810</v>
      </c>
      <c r="D279">
        <v>74.33</v>
      </c>
      <c r="E279" s="1">
        <v>44547</v>
      </c>
      <c r="F279" s="1" t="str">
        <f>TEXT(Sheet1[[#This Row],[Fecha ingreso]],"mmmm")</f>
        <v>diciembre</v>
      </c>
      <c r="G279" s="2">
        <f>YEAR(Sheet1[[#This Row],[Fecha ingreso]])</f>
        <v>2021</v>
      </c>
      <c r="H279" s="1" t="str">
        <f>TEXT(Sheet1[[#This Row],[Fecha ingreso]],"dddd")</f>
        <v>viernes</v>
      </c>
      <c r="I279" s="1">
        <v>45309</v>
      </c>
      <c r="J279" s="2">
        <f>DATEDIF(Sheet1[[#This Row],[Fecha ingreso]],Sheet1[[#This Row],[Fecha último pago]],"M")+1</f>
        <v>26</v>
      </c>
      <c r="K279" s="2">
        <f>Sheet1[[#This Row],[Ingresos mensuales]]*Sheet1[[#This Row],[Meses contratados]]</f>
        <v>1932.58</v>
      </c>
      <c r="L279" t="s">
        <v>1814</v>
      </c>
      <c r="M279">
        <v>20</v>
      </c>
      <c r="N279" t="s">
        <v>1822</v>
      </c>
      <c r="O279" t="s">
        <v>1824</v>
      </c>
      <c r="P279" t="s">
        <v>1829</v>
      </c>
      <c r="Q279" cm="1">
        <f t="array" ref="Q279">_xlfn.IFS(P279="2 Years", 24,P279="1 Year",12, P279="6 Months",6, P279="1 Month",1)</f>
        <v>1</v>
      </c>
      <c r="R279" t="str" cm="1">
        <f t="array" ref="R279">_xlfn.IFS(Q279=1,"Mensual",Q279=6,"Semestral",Q279=12,"Anual",Q279=24,"Bienal")</f>
        <v>Mensual</v>
      </c>
      <c r="S279">
        <f>IFERROR(VLOOKUP(Sheet1[[#This Row],[ID usuario]],A280:$A$907,1,FALSE),0)</f>
        <v>0</v>
      </c>
    </row>
    <row r="280" spans="1:19" x14ac:dyDescent="0.25">
      <c r="A280" t="s">
        <v>278</v>
      </c>
      <c r="B280" t="s">
        <v>1183</v>
      </c>
      <c r="C280" t="s">
        <v>1811</v>
      </c>
      <c r="D280">
        <v>11.57</v>
      </c>
      <c r="E280" s="1">
        <v>45008</v>
      </c>
      <c r="F280" s="1" t="str">
        <f>TEXT(Sheet1[[#This Row],[Fecha ingreso]],"mmmm")</f>
        <v>marzo</v>
      </c>
      <c r="G280" s="2">
        <f>YEAR(Sheet1[[#This Row],[Fecha ingreso]])</f>
        <v>2023</v>
      </c>
      <c r="H280" s="1" t="str">
        <f>TEXT(Sheet1[[#This Row],[Fecha ingreso]],"dddd")</f>
        <v>jueves</v>
      </c>
      <c r="I280" s="1">
        <v>45149</v>
      </c>
      <c r="J280" s="2">
        <f>DATEDIF(Sheet1[[#This Row],[Fecha ingreso]],Sheet1[[#This Row],[Fecha último pago]],"M")+1</f>
        <v>5</v>
      </c>
      <c r="K280" s="2">
        <f>Sheet1[[#This Row],[Ingresos mensuales]]*Sheet1[[#This Row],[Meses contratados]]</f>
        <v>57.85</v>
      </c>
      <c r="L280" t="s">
        <v>1818</v>
      </c>
      <c r="M280">
        <v>18</v>
      </c>
      <c r="N280" t="s">
        <v>1820</v>
      </c>
      <c r="O280" t="s">
        <v>1823</v>
      </c>
      <c r="P280" t="s">
        <v>1827</v>
      </c>
      <c r="Q280" cm="1">
        <f t="array" ref="Q280">_xlfn.IFS(P280="2 Years", 24,P280="1 Year",12, P280="6 Months",6, P280="1 Month",1)</f>
        <v>12</v>
      </c>
      <c r="R280" t="str" cm="1">
        <f t="array" ref="R280">_xlfn.IFS(Q280=1,"Mensual",Q280=6,"Semestral",Q280=12,"Anual",Q280=24,"Bienal")</f>
        <v>Anual</v>
      </c>
      <c r="S280">
        <f>IFERROR(VLOOKUP(Sheet1[[#This Row],[ID usuario]],A281:$A$907,1,FALSE),0)</f>
        <v>0</v>
      </c>
    </row>
    <row r="281" spans="1:19" x14ac:dyDescent="0.25">
      <c r="A281" t="s">
        <v>279</v>
      </c>
      <c r="B281" t="s">
        <v>1184</v>
      </c>
      <c r="C281" t="s">
        <v>1811</v>
      </c>
      <c r="D281">
        <v>88.52</v>
      </c>
      <c r="E281" s="1">
        <v>45393</v>
      </c>
      <c r="F281" s="1" t="str">
        <f>TEXT(Sheet1[[#This Row],[Fecha ingreso]],"mmmm")</f>
        <v>abril</v>
      </c>
      <c r="G281" s="2">
        <f>YEAR(Sheet1[[#This Row],[Fecha ingreso]])</f>
        <v>2024</v>
      </c>
      <c r="H281" s="1" t="str">
        <f>TEXT(Sheet1[[#This Row],[Fecha ingreso]],"dddd")</f>
        <v>jueves</v>
      </c>
      <c r="I281" s="1">
        <v>45436</v>
      </c>
      <c r="J281" s="2">
        <f>DATEDIF(Sheet1[[#This Row],[Fecha ingreso]],Sheet1[[#This Row],[Fecha último pago]],"M")+1</f>
        <v>2</v>
      </c>
      <c r="K281" s="2">
        <f>Sheet1[[#This Row],[Ingresos mensuales]]*Sheet1[[#This Row],[Meses contratados]]</f>
        <v>177.04</v>
      </c>
      <c r="L281" t="s">
        <v>1815</v>
      </c>
      <c r="M281">
        <v>27</v>
      </c>
      <c r="N281" t="s">
        <v>1822</v>
      </c>
      <c r="O281" t="s">
        <v>1825</v>
      </c>
      <c r="P281" t="s">
        <v>1828</v>
      </c>
      <c r="Q281" cm="1">
        <f t="array" ref="Q281">_xlfn.IFS(P281="2 Years", 24,P281="1 Year",12, P281="6 Months",6, P281="1 Month",1)</f>
        <v>6</v>
      </c>
      <c r="R281" t="str" cm="1">
        <f t="array" ref="R281">_xlfn.IFS(Q281=1,"Mensual",Q281=6,"Semestral",Q281=12,"Anual",Q281=24,"Bienal")</f>
        <v>Semestral</v>
      </c>
      <c r="S281">
        <f>IFERROR(VLOOKUP(Sheet1[[#This Row],[ID usuario]],A282:$A$907,1,FALSE),0)</f>
        <v>0</v>
      </c>
    </row>
    <row r="282" spans="1:19" x14ac:dyDescent="0.25">
      <c r="A282" t="s">
        <v>280</v>
      </c>
      <c r="B282" t="s">
        <v>1185</v>
      </c>
      <c r="C282" t="s">
        <v>1812</v>
      </c>
      <c r="D282">
        <v>74.81</v>
      </c>
      <c r="E282" s="1">
        <v>44823</v>
      </c>
      <c r="F282" s="1" t="str">
        <f>TEXT(Sheet1[[#This Row],[Fecha ingreso]],"mmmm")</f>
        <v>septiembre</v>
      </c>
      <c r="G282" s="2">
        <f>YEAR(Sheet1[[#This Row],[Fecha ingreso]])</f>
        <v>2022</v>
      </c>
      <c r="H282" s="1" t="str">
        <f>TEXT(Sheet1[[#This Row],[Fecha ingreso]],"dddd")</f>
        <v>lunes</v>
      </c>
      <c r="I282" s="1">
        <v>45171</v>
      </c>
      <c r="J282" s="2">
        <f>DATEDIF(Sheet1[[#This Row],[Fecha ingreso]],Sheet1[[#This Row],[Fecha último pago]],"M")+1</f>
        <v>12</v>
      </c>
      <c r="K282" s="2">
        <f>Sheet1[[#This Row],[Ingresos mensuales]]*Sheet1[[#This Row],[Meses contratados]]</f>
        <v>897.72</v>
      </c>
      <c r="L282" t="s">
        <v>1818</v>
      </c>
      <c r="M282">
        <v>25</v>
      </c>
      <c r="N282" t="s">
        <v>1820</v>
      </c>
      <c r="O282" t="s">
        <v>1825</v>
      </c>
      <c r="P282" t="s">
        <v>1827</v>
      </c>
      <c r="Q282" cm="1">
        <f t="array" ref="Q282">_xlfn.IFS(P282="2 Years", 24,P282="1 Year",12, P282="6 Months",6, P282="1 Month",1)</f>
        <v>12</v>
      </c>
      <c r="R282" t="str" cm="1">
        <f t="array" ref="R282">_xlfn.IFS(Q282=1,"Mensual",Q282=6,"Semestral",Q282=12,"Anual",Q282=24,"Bienal")</f>
        <v>Anual</v>
      </c>
      <c r="S282">
        <f>IFERROR(VLOOKUP(Sheet1[[#This Row],[ID usuario]],A283:$A$907,1,FALSE),0)</f>
        <v>0</v>
      </c>
    </row>
    <row r="283" spans="1:19" x14ac:dyDescent="0.25">
      <c r="A283" t="s">
        <v>281</v>
      </c>
      <c r="B283" t="s">
        <v>1186</v>
      </c>
      <c r="C283" t="s">
        <v>1810</v>
      </c>
      <c r="D283">
        <v>21.77</v>
      </c>
      <c r="E283" s="1">
        <v>44709</v>
      </c>
      <c r="F283" s="1" t="str">
        <f>TEXT(Sheet1[[#This Row],[Fecha ingreso]],"mmmm")</f>
        <v>mayo</v>
      </c>
      <c r="G283" s="2">
        <f>YEAR(Sheet1[[#This Row],[Fecha ingreso]])</f>
        <v>2022</v>
      </c>
      <c r="H283" s="1" t="str">
        <f>TEXT(Sheet1[[#This Row],[Fecha ingreso]],"dddd")</f>
        <v>sábado</v>
      </c>
      <c r="I283" s="1">
        <v>44868</v>
      </c>
      <c r="J283" s="2">
        <f>DATEDIF(Sheet1[[#This Row],[Fecha ingreso]],Sheet1[[#This Row],[Fecha último pago]],"M")+1</f>
        <v>6</v>
      </c>
      <c r="K283" s="2">
        <f>Sheet1[[#This Row],[Ingresos mensuales]]*Sheet1[[#This Row],[Meses contratados]]</f>
        <v>130.62</v>
      </c>
      <c r="L283" t="s">
        <v>1818</v>
      </c>
      <c r="M283">
        <v>47</v>
      </c>
      <c r="N283" t="s">
        <v>1820</v>
      </c>
      <c r="O283" t="s">
        <v>1823</v>
      </c>
      <c r="P283" t="s">
        <v>1828</v>
      </c>
      <c r="Q283" cm="1">
        <f t="array" ref="Q283">_xlfn.IFS(P283="2 Years", 24,P283="1 Year",12, P283="6 Months",6, P283="1 Month",1)</f>
        <v>6</v>
      </c>
      <c r="R283" t="str" cm="1">
        <f t="array" ref="R283">_xlfn.IFS(Q283=1,"Mensual",Q283=6,"Semestral",Q283=12,"Anual",Q283=24,"Bienal")</f>
        <v>Semestral</v>
      </c>
      <c r="S283">
        <f>IFERROR(VLOOKUP(Sheet1[[#This Row],[ID usuario]],A284:$A$907,1,FALSE),0)</f>
        <v>0</v>
      </c>
    </row>
    <row r="284" spans="1:19" x14ac:dyDescent="0.25">
      <c r="A284" t="s">
        <v>282</v>
      </c>
      <c r="B284" t="s">
        <v>1187</v>
      </c>
      <c r="C284" t="s">
        <v>1812</v>
      </c>
      <c r="D284">
        <v>94.22</v>
      </c>
      <c r="E284" s="1">
        <v>44868</v>
      </c>
      <c r="F284" s="1" t="str">
        <f>TEXT(Sheet1[[#This Row],[Fecha ingreso]],"mmmm")</f>
        <v>noviembre</v>
      </c>
      <c r="G284" s="2">
        <f>YEAR(Sheet1[[#This Row],[Fecha ingreso]])</f>
        <v>2022</v>
      </c>
      <c r="H284" s="1" t="str">
        <f>TEXT(Sheet1[[#This Row],[Fecha ingreso]],"dddd")</f>
        <v>jueves</v>
      </c>
      <c r="I284" s="1">
        <v>44990</v>
      </c>
      <c r="J284" s="2">
        <f>DATEDIF(Sheet1[[#This Row],[Fecha ingreso]],Sheet1[[#This Row],[Fecha último pago]],"M")+1</f>
        <v>5</v>
      </c>
      <c r="K284" s="2">
        <f>Sheet1[[#This Row],[Ingresos mensuales]]*Sheet1[[#This Row],[Meses contratados]]</f>
        <v>471.1</v>
      </c>
      <c r="L284" t="s">
        <v>1818</v>
      </c>
      <c r="M284">
        <v>39</v>
      </c>
      <c r="N284" t="s">
        <v>1822</v>
      </c>
      <c r="O284" t="s">
        <v>1824</v>
      </c>
      <c r="P284" t="s">
        <v>1827</v>
      </c>
      <c r="Q284" cm="1">
        <f t="array" ref="Q284">_xlfn.IFS(P284="2 Years", 24,P284="1 Year",12, P284="6 Months",6, P284="1 Month",1)</f>
        <v>12</v>
      </c>
      <c r="R284" t="str" cm="1">
        <f t="array" ref="R284">_xlfn.IFS(Q284=1,"Mensual",Q284=6,"Semestral",Q284=12,"Anual",Q284=24,"Bienal")</f>
        <v>Anual</v>
      </c>
      <c r="S284">
        <f>IFERROR(VLOOKUP(Sheet1[[#This Row],[ID usuario]],A285:$A$907,1,FALSE),0)</f>
        <v>0</v>
      </c>
    </row>
    <row r="285" spans="1:19" x14ac:dyDescent="0.25">
      <c r="A285" t="s">
        <v>283</v>
      </c>
      <c r="B285" t="s">
        <v>1188</v>
      </c>
      <c r="C285" t="s">
        <v>1810</v>
      </c>
      <c r="D285">
        <v>53.1</v>
      </c>
      <c r="E285" s="1">
        <v>44457</v>
      </c>
      <c r="F285" s="1" t="str">
        <f>TEXT(Sheet1[[#This Row],[Fecha ingreso]],"mmmm")</f>
        <v>septiembre</v>
      </c>
      <c r="G285" s="2">
        <f>YEAR(Sheet1[[#This Row],[Fecha ingreso]])</f>
        <v>2021</v>
      </c>
      <c r="H285" s="1" t="str">
        <f>TEXT(Sheet1[[#This Row],[Fecha ingreso]],"dddd")</f>
        <v>sábado</v>
      </c>
      <c r="I285" s="1">
        <v>45386</v>
      </c>
      <c r="J285" s="2">
        <f>DATEDIF(Sheet1[[#This Row],[Fecha ingreso]],Sheet1[[#This Row],[Fecha último pago]],"M")+1</f>
        <v>31</v>
      </c>
      <c r="K285" s="2">
        <f>Sheet1[[#This Row],[Ingresos mensuales]]*Sheet1[[#This Row],[Meses contratados]]</f>
        <v>1646.1000000000001</v>
      </c>
      <c r="L285" t="s">
        <v>1815</v>
      </c>
      <c r="M285">
        <v>34</v>
      </c>
      <c r="N285" t="s">
        <v>1822</v>
      </c>
      <c r="O285" t="s">
        <v>1823</v>
      </c>
      <c r="P285" t="s">
        <v>1827</v>
      </c>
      <c r="Q285" cm="1">
        <f t="array" ref="Q285">_xlfn.IFS(P285="2 Years", 24,P285="1 Year",12, P285="6 Months",6, P285="1 Month",1)</f>
        <v>12</v>
      </c>
      <c r="R285" t="str" cm="1">
        <f t="array" ref="R285">_xlfn.IFS(Q285=1,"Mensual",Q285=6,"Semestral",Q285=12,"Anual",Q285=24,"Bienal")</f>
        <v>Anual</v>
      </c>
      <c r="S285">
        <f>IFERROR(VLOOKUP(Sheet1[[#This Row],[ID usuario]],A286:$A$907,1,FALSE),0)</f>
        <v>0</v>
      </c>
    </row>
    <row r="286" spans="1:19" x14ac:dyDescent="0.25">
      <c r="A286" t="s">
        <v>284</v>
      </c>
      <c r="B286" t="s">
        <v>1189</v>
      </c>
      <c r="C286" t="s">
        <v>1812</v>
      </c>
      <c r="D286">
        <v>99.98</v>
      </c>
      <c r="E286" s="1">
        <v>45017</v>
      </c>
      <c r="F286" s="1" t="str">
        <f>TEXT(Sheet1[[#This Row],[Fecha ingreso]],"mmmm")</f>
        <v>abril</v>
      </c>
      <c r="G286" s="2">
        <f>YEAR(Sheet1[[#This Row],[Fecha ingreso]])</f>
        <v>2023</v>
      </c>
      <c r="H286" s="1" t="str">
        <f>TEXT(Sheet1[[#This Row],[Fecha ingreso]],"dddd")</f>
        <v>sábado</v>
      </c>
      <c r="I286" s="1">
        <v>45381</v>
      </c>
      <c r="J286" s="2">
        <f>DATEDIF(Sheet1[[#This Row],[Fecha ingreso]],Sheet1[[#This Row],[Fecha último pago]],"M")+1</f>
        <v>12</v>
      </c>
      <c r="K286" s="2">
        <f>Sheet1[[#This Row],[Ingresos mensuales]]*Sheet1[[#This Row],[Meses contratados]]</f>
        <v>1199.76</v>
      </c>
      <c r="L286" t="s">
        <v>1815</v>
      </c>
      <c r="M286">
        <v>32</v>
      </c>
      <c r="N286" t="s">
        <v>1822</v>
      </c>
      <c r="O286" t="s">
        <v>1824</v>
      </c>
      <c r="P286" t="s">
        <v>1828</v>
      </c>
      <c r="Q286" cm="1">
        <f t="array" ref="Q286">_xlfn.IFS(P286="2 Years", 24,P286="1 Year",12, P286="6 Months",6, P286="1 Month",1)</f>
        <v>6</v>
      </c>
      <c r="R286" t="str" cm="1">
        <f t="array" ref="R286">_xlfn.IFS(Q286=1,"Mensual",Q286=6,"Semestral",Q286=12,"Anual",Q286=24,"Bienal")</f>
        <v>Semestral</v>
      </c>
      <c r="S286">
        <f>IFERROR(VLOOKUP(Sheet1[[#This Row],[ID usuario]],A287:$A$907,1,FALSE),0)</f>
        <v>0</v>
      </c>
    </row>
    <row r="287" spans="1:19" x14ac:dyDescent="0.25">
      <c r="A287" t="s">
        <v>285</v>
      </c>
      <c r="B287" t="s">
        <v>1190</v>
      </c>
      <c r="C287" t="s">
        <v>1810</v>
      </c>
      <c r="D287">
        <v>23.74</v>
      </c>
      <c r="E287" s="1">
        <v>45388</v>
      </c>
      <c r="F287" s="1" t="str">
        <f>TEXT(Sheet1[[#This Row],[Fecha ingreso]],"mmmm")</f>
        <v>abril</v>
      </c>
      <c r="G287" s="2">
        <f>YEAR(Sheet1[[#This Row],[Fecha ingreso]])</f>
        <v>2024</v>
      </c>
      <c r="H287" s="1" t="str">
        <f>TEXT(Sheet1[[#This Row],[Fecha ingreso]],"dddd")</f>
        <v>sábado</v>
      </c>
      <c r="I287" s="1">
        <v>45399</v>
      </c>
      <c r="J287" s="2">
        <f>DATEDIF(Sheet1[[#This Row],[Fecha ingreso]],Sheet1[[#This Row],[Fecha último pago]],"M")+1</f>
        <v>1</v>
      </c>
      <c r="K287" s="2">
        <f>Sheet1[[#This Row],[Ingresos mensuales]]*Sheet1[[#This Row],[Meses contratados]]</f>
        <v>23.74</v>
      </c>
      <c r="L287" t="s">
        <v>1818</v>
      </c>
      <c r="M287">
        <v>37</v>
      </c>
      <c r="N287" t="s">
        <v>1820</v>
      </c>
      <c r="O287" t="s">
        <v>1824</v>
      </c>
      <c r="P287" t="s">
        <v>1827</v>
      </c>
      <c r="Q287" cm="1">
        <f t="array" ref="Q287">_xlfn.IFS(P287="2 Years", 24,P287="1 Year",12, P287="6 Months",6, P287="1 Month",1)</f>
        <v>12</v>
      </c>
      <c r="R287" t="str" cm="1">
        <f t="array" ref="R287">_xlfn.IFS(Q287=1,"Mensual",Q287=6,"Semestral",Q287=12,"Anual",Q287=24,"Bienal")</f>
        <v>Anual</v>
      </c>
      <c r="S287">
        <f>IFERROR(VLOOKUP(Sheet1[[#This Row],[ID usuario]],A288:$A$907,1,FALSE),0)</f>
        <v>0</v>
      </c>
    </row>
    <row r="288" spans="1:19" x14ac:dyDescent="0.25">
      <c r="A288" t="s">
        <v>286</v>
      </c>
      <c r="B288" t="s">
        <v>1191</v>
      </c>
      <c r="C288" t="s">
        <v>1812</v>
      </c>
      <c r="D288">
        <v>55.82</v>
      </c>
      <c r="E288" s="1">
        <v>44745</v>
      </c>
      <c r="F288" s="1" t="str">
        <f>TEXT(Sheet1[[#This Row],[Fecha ingreso]],"mmmm")</f>
        <v>julio</v>
      </c>
      <c r="G288" s="2">
        <f>YEAR(Sheet1[[#This Row],[Fecha ingreso]])</f>
        <v>2022</v>
      </c>
      <c r="H288" s="1" t="str">
        <f>TEXT(Sheet1[[#This Row],[Fecha ingreso]],"dddd")</f>
        <v>domingo</v>
      </c>
      <c r="I288" s="1">
        <v>45453</v>
      </c>
      <c r="J288" s="2">
        <f>DATEDIF(Sheet1[[#This Row],[Fecha ingreso]],Sheet1[[#This Row],[Fecha último pago]],"M")+1</f>
        <v>24</v>
      </c>
      <c r="K288" s="2">
        <f>Sheet1[[#This Row],[Ingresos mensuales]]*Sheet1[[#This Row],[Meses contratados]]</f>
        <v>1339.68</v>
      </c>
      <c r="L288" t="s">
        <v>1815</v>
      </c>
      <c r="M288">
        <v>55</v>
      </c>
      <c r="N288" t="s">
        <v>1822</v>
      </c>
      <c r="O288" t="s">
        <v>1825</v>
      </c>
      <c r="P288" t="s">
        <v>1828</v>
      </c>
      <c r="Q288" cm="1">
        <f t="array" ref="Q288">_xlfn.IFS(P288="2 Years", 24,P288="1 Year",12, P288="6 Months",6, P288="1 Month",1)</f>
        <v>6</v>
      </c>
      <c r="R288" t="str" cm="1">
        <f t="array" ref="R288">_xlfn.IFS(Q288=1,"Mensual",Q288=6,"Semestral",Q288=12,"Anual",Q288=24,"Bienal")</f>
        <v>Semestral</v>
      </c>
      <c r="S288">
        <f>IFERROR(VLOOKUP(Sheet1[[#This Row],[ID usuario]],A289:$A$907,1,FALSE),0)</f>
        <v>0</v>
      </c>
    </row>
    <row r="289" spans="1:19" x14ac:dyDescent="0.25">
      <c r="A289" t="s">
        <v>287</v>
      </c>
      <c r="B289" t="s">
        <v>1192</v>
      </c>
      <c r="C289" t="s">
        <v>1810</v>
      </c>
      <c r="D289">
        <v>32.57</v>
      </c>
      <c r="E289" s="1">
        <v>45232</v>
      </c>
      <c r="F289" s="1" t="str">
        <f>TEXT(Sheet1[[#This Row],[Fecha ingreso]],"mmmm")</f>
        <v>noviembre</v>
      </c>
      <c r="G289" s="2">
        <f>YEAR(Sheet1[[#This Row],[Fecha ingreso]])</f>
        <v>2023</v>
      </c>
      <c r="H289" s="1" t="str">
        <f>TEXT(Sheet1[[#This Row],[Fecha ingreso]],"dddd")</f>
        <v>jueves</v>
      </c>
      <c r="I289" s="1">
        <v>45344</v>
      </c>
      <c r="J289" s="2">
        <f>DATEDIF(Sheet1[[#This Row],[Fecha ingreso]],Sheet1[[#This Row],[Fecha último pago]],"M")+1</f>
        <v>4</v>
      </c>
      <c r="K289" s="2">
        <f>Sheet1[[#This Row],[Ingresos mensuales]]*Sheet1[[#This Row],[Meses contratados]]</f>
        <v>130.28</v>
      </c>
      <c r="L289" t="s">
        <v>1817</v>
      </c>
      <c r="M289">
        <v>44</v>
      </c>
      <c r="N289" t="s">
        <v>1821</v>
      </c>
      <c r="O289" t="s">
        <v>1823</v>
      </c>
      <c r="P289" t="s">
        <v>1829</v>
      </c>
      <c r="Q289" cm="1">
        <f t="array" ref="Q289">_xlfn.IFS(P289="2 Years", 24,P289="1 Year",12, P289="6 Months",6, P289="1 Month",1)</f>
        <v>1</v>
      </c>
      <c r="R289" t="str" cm="1">
        <f t="array" ref="R289">_xlfn.IFS(Q289=1,"Mensual",Q289=6,"Semestral",Q289=12,"Anual",Q289=24,"Bienal")</f>
        <v>Mensual</v>
      </c>
      <c r="S289">
        <f>IFERROR(VLOOKUP(Sheet1[[#This Row],[ID usuario]],A290:$A$907,1,FALSE),0)</f>
        <v>0</v>
      </c>
    </row>
    <row r="290" spans="1:19" x14ac:dyDescent="0.25">
      <c r="A290" t="s">
        <v>288</v>
      </c>
      <c r="B290" t="s">
        <v>1193</v>
      </c>
      <c r="C290" t="s">
        <v>1810</v>
      </c>
      <c r="D290">
        <v>33.9</v>
      </c>
      <c r="E290" s="1">
        <v>44430</v>
      </c>
      <c r="F290" s="1" t="str">
        <f>TEXT(Sheet1[[#This Row],[Fecha ingreso]],"mmmm")</f>
        <v>agosto</v>
      </c>
      <c r="G290" s="2">
        <f>YEAR(Sheet1[[#This Row],[Fecha ingreso]])</f>
        <v>2021</v>
      </c>
      <c r="H290" s="1" t="str">
        <f>TEXT(Sheet1[[#This Row],[Fecha ingreso]],"dddd")</f>
        <v>domingo</v>
      </c>
      <c r="I290" s="1">
        <v>44476</v>
      </c>
      <c r="J290" s="2">
        <f>DATEDIF(Sheet1[[#This Row],[Fecha ingreso]],Sheet1[[#This Row],[Fecha último pago]],"M")+1</f>
        <v>2</v>
      </c>
      <c r="K290" s="2">
        <f>Sheet1[[#This Row],[Ingresos mensuales]]*Sheet1[[#This Row],[Meses contratados]]</f>
        <v>67.8</v>
      </c>
      <c r="L290" t="s">
        <v>1816</v>
      </c>
      <c r="M290">
        <v>30</v>
      </c>
      <c r="N290" t="s">
        <v>1820</v>
      </c>
      <c r="O290" t="s">
        <v>1824</v>
      </c>
      <c r="P290" t="s">
        <v>1827</v>
      </c>
      <c r="Q290" cm="1">
        <f t="array" ref="Q290">_xlfn.IFS(P290="2 Years", 24,P290="1 Year",12, P290="6 Months",6, P290="1 Month",1)</f>
        <v>12</v>
      </c>
      <c r="R290" t="str" cm="1">
        <f t="array" ref="R290">_xlfn.IFS(Q290=1,"Mensual",Q290=6,"Semestral",Q290=12,"Anual",Q290=24,"Bienal")</f>
        <v>Anual</v>
      </c>
      <c r="S290">
        <f>IFERROR(VLOOKUP(Sheet1[[#This Row],[ID usuario]],A291:$A$907,1,FALSE),0)</f>
        <v>0</v>
      </c>
    </row>
    <row r="291" spans="1:19" x14ac:dyDescent="0.25">
      <c r="A291" t="s">
        <v>289</v>
      </c>
      <c r="B291" t="s">
        <v>1194</v>
      </c>
      <c r="C291" t="s">
        <v>1810</v>
      </c>
      <c r="D291">
        <v>61.15</v>
      </c>
      <c r="E291" s="1">
        <v>44696</v>
      </c>
      <c r="F291" s="1" t="str">
        <f>TEXT(Sheet1[[#This Row],[Fecha ingreso]],"mmmm")</f>
        <v>mayo</v>
      </c>
      <c r="G291" s="2">
        <f>YEAR(Sheet1[[#This Row],[Fecha ingreso]])</f>
        <v>2022</v>
      </c>
      <c r="H291" s="1" t="str">
        <f>TEXT(Sheet1[[#This Row],[Fecha ingreso]],"dddd")</f>
        <v>domingo</v>
      </c>
      <c r="I291" s="1">
        <v>44737</v>
      </c>
      <c r="J291" s="2">
        <f>DATEDIF(Sheet1[[#This Row],[Fecha ingreso]],Sheet1[[#This Row],[Fecha último pago]],"M")+1</f>
        <v>2</v>
      </c>
      <c r="K291" s="2">
        <f>Sheet1[[#This Row],[Ingresos mensuales]]*Sheet1[[#This Row],[Meses contratados]]</f>
        <v>122.3</v>
      </c>
      <c r="L291" t="s">
        <v>1815</v>
      </c>
      <c r="M291">
        <v>33</v>
      </c>
      <c r="N291" t="s">
        <v>1820</v>
      </c>
      <c r="O291" t="s">
        <v>1824</v>
      </c>
      <c r="P291" t="s">
        <v>1826</v>
      </c>
      <c r="Q291" cm="1">
        <f t="array" ref="Q291">_xlfn.IFS(P291="2 Years", 24,P291="1 Year",12, P291="6 Months",6, P291="1 Month",1)</f>
        <v>24</v>
      </c>
      <c r="R291" t="str" cm="1">
        <f t="array" ref="R291">_xlfn.IFS(Q291=1,"Mensual",Q291=6,"Semestral",Q291=12,"Anual",Q291=24,"Bienal")</f>
        <v>Bienal</v>
      </c>
      <c r="S291">
        <f>IFERROR(VLOOKUP(Sheet1[[#This Row],[ID usuario]],A292:$A$907,1,FALSE),0)</f>
        <v>0</v>
      </c>
    </row>
    <row r="292" spans="1:19" x14ac:dyDescent="0.25">
      <c r="A292" t="s">
        <v>290</v>
      </c>
      <c r="B292" t="s">
        <v>1195</v>
      </c>
      <c r="C292" t="s">
        <v>1810</v>
      </c>
      <c r="D292">
        <v>92.56</v>
      </c>
      <c r="E292" s="1">
        <v>45249</v>
      </c>
      <c r="F292" s="1" t="str">
        <f>TEXT(Sheet1[[#This Row],[Fecha ingreso]],"mmmm")</f>
        <v>noviembre</v>
      </c>
      <c r="G292" s="2">
        <f>YEAR(Sheet1[[#This Row],[Fecha ingreso]])</f>
        <v>2023</v>
      </c>
      <c r="H292" s="1" t="str">
        <f>TEXT(Sheet1[[#This Row],[Fecha ingreso]],"dddd")</f>
        <v>domingo</v>
      </c>
      <c r="I292" s="1">
        <v>45298</v>
      </c>
      <c r="J292" s="2">
        <f>DATEDIF(Sheet1[[#This Row],[Fecha ingreso]],Sheet1[[#This Row],[Fecha último pago]],"M")+1</f>
        <v>2</v>
      </c>
      <c r="K292" s="2">
        <f>Sheet1[[#This Row],[Ingresos mensuales]]*Sheet1[[#This Row],[Meses contratados]]</f>
        <v>185.12</v>
      </c>
      <c r="L292" t="s">
        <v>1814</v>
      </c>
      <c r="M292">
        <v>37</v>
      </c>
      <c r="N292" t="s">
        <v>1821</v>
      </c>
      <c r="O292" t="s">
        <v>1824</v>
      </c>
      <c r="P292" t="s">
        <v>1829</v>
      </c>
      <c r="Q292" cm="1">
        <f t="array" ref="Q292">_xlfn.IFS(P292="2 Years", 24,P292="1 Year",12, P292="6 Months",6, P292="1 Month",1)</f>
        <v>1</v>
      </c>
      <c r="R292" t="str" cm="1">
        <f t="array" ref="R292">_xlfn.IFS(Q292=1,"Mensual",Q292=6,"Semestral",Q292=12,"Anual",Q292=24,"Bienal")</f>
        <v>Mensual</v>
      </c>
      <c r="S292">
        <f>IFERROR(VLOOKUP(Sheet1[[#This Row],[ID usuario]],A293:$A$907,1,FALSE),0)</f>
        <v>0</v>
      </c>
    </row>
    <row r="293" spans="1:19" x14ac:dyDescent="0.25">
      <c r="A293" t="s">
        <v>291</v>
      </c>
      <c r="B293" t="s">
        <v>1196</v>
      </c>
      <c r="C293" t="s">
        <v>1811</v>
      </c>
      <c r="D293">
        <v>81.5</v>
      </c>
      <c r="E293" s="1">
        <v>44688</v>
      </c>
      <c r="F293" s="1" t="str">
        <f>TEXT(Sheet1[[#This Row],[Fecha ingreso]],"mmmm")</f>
        <v>mayo</v>
      </c>
      <c r="G293" s="2">
        <f>YEAR(Sheet1[[#This Row],[Fecha ingreso]])</f>
        <v>2022</v>
      </c>
      <c r="H293" s="1" t="str">
        <f>TEXT(Sheet1[[#This Row],[Fecha ingreso]],"dddd")</f>
        <v>sábado</v>
      </c>
      <c r="I293" s="1">
        <v>44881</v>
      </c>
      <c r="J293" s="2">
        <f>DATEDIF(Sheet1[[#This Row],[Fecha ingreso]],Sheet1[[#This Row],[Fecha último pago]],"M")+1</f>
        <v>7</v>
      </c>
      <c r="K293" s="2">
        <f>Sheet1[[#This Row],[Ingresos mensuales]]*Sheet1[[#This Row],[Meses contratados]]</f>
        <v>570.5</v>
      </c>
      <c r="L293" t="s">
        <v>1815</v>
      </c>
      <c r="M293">
        <v>36</v>
      </c>
      <c r="N293" t="s">
        <v>1821</v>
      </c>
      <c r="O293" t="s">
        <v>1823</v>
      </c>
      <c r="P293" t="s">
        <v>1826</v>
      </c>
      <c r="Q293" cm="1">
        <f t="array" ref="Q293">_xlfn.IFS(P293="2 Years", 24,P293="1 Year",12, P293="6 Months",6, P293="1 Month",1)</f>
        <v>24</v>
      </c>
      <c r="R293" t="str" cm="1">
        <f t="array" ref="R293">_xlfn.IFS(Q293=1,"Mensual",Q293=6,"Semestral",Q293=12,"Anual",Q293=24,"Bienal")</f>
        <v>Bienal</v>
      </c>
      <c r="S293">
        <f>IFERROR(VLOOKUP(Sheet1[[#This Row],[ID usuario]],A294:$A$907,1,FALSE),0)</f>
        <v>0</v>
      </c>
    </row>
    <row r="294" spans="1:19" x14ac:dyDescent="0.25">
      <c r="A294" t="s">
        <v>292</v>
      </c>
      <c r="B294" t="s">
        <v>1197</v>
      </c>
      <c r="C294" t="s">
        <v>1812</v>
      </c>
      <c r="D294">
        <v>73.77</v>
      </c>
      <c r="E294" s="1">
        <v>44654</v>
      </c>
      <c r="F294" s="1" t="str">
        <f>TEXT(Sheet1[[#This Row],[Fecha ingreso]],"mmmm")</f>
        <v>abril</v>
      </c>
      <c r="G294" s="2">
        <f>YEAR(Sheet1[[#This Row],[Fecha ingreso]])</f>
        <v>2022</v>
      </c>
      <c r="H294" s="1" t="str">
        <f>TEXT(Sheet1[[#This Row],[Fecha ingreso]],"dddd")</f>
        <v>domingo</v>
      </c>
      <c r="I294" s="1">
        <v>45423</v>
      </c>
      <c r="J294" s="2">
        <f>DATEDIF(Sheet1[[#This Row],[Fecha ingreso]],Sheet1[[#This Row],[Fecha último pago]],"M")+1</f>
        <v>26</v>
      </c>
      <c r="K294" s="2">
        <f>Sheet1[[#This Row],[Ingresos mensuales]]*Sheet1[[#This Row],[Meses contratados]]</f>
        <v>1918.02</v>
      </c>
      <c r="L294" t="s">
        <v>1816</v>
      </c>
      <c r="M294">
        <v>60</v>
      </c>
      <c r="N294" t="s">
        <v>1820</v>
      </c>
      <c r="O294" t="s">
        <v>1823</v>
      </c>
      <c r="P294" t="s">
        <v>1828</v>
      </c>
      <c r="Q294" cm="1">
        <f t="array" ref="Q294">_xlfn.IFS(P294="2 Years", 24,P294="1 Year",12, P294="6 Months",6, P294="1 Month",1)</f>
        <v>6</v>
      </c>
      <c r="R294" t="str" cm="1">
        <f t="array" ref="R294">_xlfn.IFS(Q294=1,"Mensual",Q294=6,"Semestral",Q294=12,"Anual",Q294=24,"Bienal")</f>
        <v>Semestral</v>
      </c>
      <c r="S294">
        <f>IFERROR(VLOOKUP(Sheet1[[#This Row],[ID usuario]],A295:$A$907,1,FALSE),0)</f>
        <v>0</v>
      </c>
    </row>
    <row r="295" spans="1:19" x14ac:dyDescent="0.25">
      <c r="A295" t="s">
        <v>293</v>
      </c>
      <c r="B295" t="s">
        <v>1198</v>
      </c>
      <c r="C295" t="s">
        <v>1810</v>
      </c>
      <c r="D295">
        <v>58.12</v>
      </c>
      <c r="E295" s="1">
        <v>44838</v>
      </c>
      <c r="F295" s="1" t="str">
        <f>TEXT(Sheet1[[#This Row],[Fecha ingreso]],"mmmm")</f>
        <v>octubre</v>
      </c>
      <c r="G295" s="2">
        <f>YEAR(Sheet1[[#This Row],[Fecha ingreso]])</f>
        <v>2022</v>
      </c>
      <c r="H295" s="1" t="str">
        <f>TEXT(Sheet1[[#This Row],[Fecha ingreso]],"dddd")</f>
        <v>martes</v>
      </c>
      <c r="I295" s="1">
        <v>44838</v>
      </c>
      <c r="J295" s="2">
        <f>DATEDIF(Sheet1[[#This Row],[Fecha ingreso]],Sheet1[[#This Row],[Fecha último pago]],"M")+1</f>
        <v>1</v>
      </c>
      <c r="K295" s="2">
        <f>Sheet1[[#This Row],[Ingresos mensuales]]*Sheet1[[#This Row],[Meses contratados]]</f>
        <v>58.12</v>
      </c>
      <c r="L295" t="s">
        <v>1816</v>
      </c>
      <c r="M295">
        <v>20</v>
      </c>
      <c r="N295" t="s">
        <v>1821</v>
      </c>
      <c r="O295" t="s">
        <v>1824</v>
      </c>
      <c r="P295" t="s">
        <v>1826</v>
      </c>
      <c r="Q295" cm="1">
        <f t="array" ref="Q295">_xlfn.IFS(P295="2 Years", 24,P295="1 Year",12, P295="6 Months",6, P295="1 Month",1)</f>
        <v>24</v>
      </c>
      <c r="R295" t="str" cm="1">
        <f t="array" ref="R295">_xlfn.IFS(Q295=1,"Mensual",Q295=6,"Semestral",Q295=12,"Anual",Q295=24,"Bienal")</f>
        <v>Bienal</v>
      </c>
      <c r="S295">
        <f>IFERROR(VLOOKUP(Sheet1[[#This Row],[ID usuario]],A296:$A$907,1,FALSE),0)</f>
        <v>0</v>
      </c>
    </row>
    <row r="296" spans="1:19" x14ac:dyDescent="0.25">
      <c r="A296" t="s">
        <v>294</v>
      </c>
      <c r="B296" t="s">
        <v>1199</v>
      </c>
      <c r="C296" t="s">
        <v>1810</v>
      </c>
      <c r="D296">
        <v>92.62</v>
      </c>
      <c r="E296" s="1">
        <v>44445</v>
      </c>
      <c r="F296" s="1" t="str">
        <f>TEXT(Sheet1[[#This Row],[Fecha ingreso]],"mmmm")</f>
        <v>septiembre</v>
      </c>
      <c r="G296" s="2">
        <f>YEAR(Sheet1[[#This Row],[Fecha ingreso]])</f>
        <v>2021</v>
      </c>
      <c r="H296" s="1" t="str">
        <f>TEXT(Sheet1[[#This Row],[Fecha ingreso]],"dddd")</f>
        <v>lunes</v>
      </c>
      <c r="I296" s="1">
        <v>45409</v>
      </c>
      <c r="J296" s="2">
        <f>DATEDIF(Sheet1[[#This Row],[Fecha ingreso]],Sheet1[[#This Row],[Fecha último pago]],"M")+1</f>
        <v>32</v>
      </c>
      <c r="K296" s="2">
        <f>Sheet1[[#This Row],[Ingresos mensuales]]*Sheet1[[#This Row],[Meses contratados]]</f>
        <v>2963.84</v>
      </c>
      <c r="L296" t="s">
        <v>1815</v>
      </c>
      <c r="M296">
        <v>34</v>
      </c>
      <c r="N296" t="s">
        <v>1822</v>
      </c>
      <c r="O296" t="s">
        <v>1824</v>
      </c>
      <c r="P296" t="s">
        <v>1827</v>
      </c>
      <c r="Q296" cm="1">
        <f t="array" ref="Q296">_xlfn.IFS(P296="2 Years", 24,P296="1 Year",12, P296="6 Months",6, P296="1 Month",1)</f>
        <v>12</v>
      </c>
      <c r="R296" t="str" cm="1">
        <f t="array" ref="R296">_xlfn.IFS(Q296=1,"Mensual",Q296=6,"Semestral",Q296=12,"Anual",Q296=24,"Bienal")</f>
        <v>Anual</v>
      </c>
      <c r="S296">
        <f>IFERROR(VLOOKUP(Sheet1[[#This Row],[ID usuario]],A297:$A$907,1,FALSE),0)</f>
        <v>0</v>
      </c>
    </row>
    <row r="297" spans="1:19" x14ac:dyDescent="0.25">
      <c r="A297" t="s">
        <v>295</v>
      </c>
      <c r="B297" t="s">
        <v>1200</v>
      </c>
      <c r="C297" t="s">
        <v>1811</v>
      </c>
      <c r="D297">
        <v>51.77</v>
      </c>
      <c r="E297" s="1">
        <v>44521</v>
      </c>
      <c r="F297" s="1" t="str">
        <f>TEXT(Sheet1[[#This Row],[Fecha ingreso]],"mmmm")</f>
        <v>noviembre</v>
      </c>
      <c r="G297" s="2">
        <f>YEAR(Sheet1[[#This Row],[Fecha ingreso]])</f>
        <v>2021</v>
      </c>
      <c r="H297" s="1" t="str">
        <f>TEXT(Sheet1[[#This Row],[Fecha ingreso]],"dddd")</f>
        <v>domingo</v>
      </c>
      <c r="I297" s="1">
        <v>45196</v>
      </c>
      <c r="J297" s="2">
        <f>DATEDIF(Sheet1[[#This Row],[Fecha ingreso]],Sheet1[[#This Row],[Fecha último pago]],"M")+1</f>
        <v>23</v>
      </c>
      <c r="K297" s="2">
        <f>Sheet1[[#This Row],[Ingresos mensuales]]*Sheet1[[#This Row],[Meses contratados]]</f>
        <v>1190.71</v>
      </c>
      <c r="L297" t="s">
        <v>1816</v>
      </c>
      <c r="M297">
        <v>29</v>
      </c>
      <c r="N297" t="s">
        <v>1822</v>
      </c>
      <c r="O297" t="s">
        <v>1824</v>
      </c>
      <c r="P297" t="s">
        <v>1826</v>
      </c>
      <c r="Q297" cm="1">
        <f t="array" ref="Q297">_xlfn.IFS(P297="2 Years", 24,P297="1 Year",12, P297="6 Months",6, P297="1 Month",1)</f>
        <v>24</v>
      </c>
      <c r="R297" t="str" cm="1">
        <f t="array" ref="R297">_xlfn.IFS(Q297=1,"Mensual",Q297=6,"Semestral",Q297=12,"Anual",Q297=24,"Bienal")</f>
        <v>Bienal</v>
      </c>
      <c r="S297">
        <f>IFERROR(VLOOKUP(Sheet1[[#This Row],[ID usuario]],A298:$A$907,1,FALSE),0)</f>
        <v>0</v>
      </c>
    </row>
    <row r="298" spans="1:19" x14ac:dyDescent="0.25">
      <c r="A298" t="s">
        <v>296</v>
      </c>
      <c r="B298" t="s">
        <v>1201</v>
      </c>
      <c r="C298" t="s">
        <v>1812</v>
      </c>
      <c r="D298">
        <v>88.01</v>
      </c>
      <c r="E298" s="1">
        <v>44803</v>
      </c>
      <c r="F298" s="1" t="str">
        <f>TEXT(Sheet1[[#This Row],[Fecha ingreso]],"mmmm")</f>
        <v>agosto</v>
      </c>
      <c r="G298" s="2">
        <f>YEAR(Sheet1[[#This Row],[Fecha ingreso]])</f>
        <v>2022</v>
      </c>
      <c r="H298" s="1" t="str">
        <f>TEXT(Sheet1[[#This Row],[Fecha ingreso]],"dddd")</f>
        <v>martes</v>
      </c>
      <c r="I298" s="1">
        <v>45218</v>
      </c>
      <c r="J298" s="2">
        <f>DATEDIF(Sheet1[[#This Row],[Fecha ingreso]],Sheet1[[#This Row],[Fecha último pago]],"M")+1</f>
        <v>14</v>
      </c>
      <c r="K298" s="2">
        <f>Sheet1[[#This Row],[Ingresos mensuales]]*Sheet1[[#This Row],[Meses contratados]]</f>
        <v>1232.1400000000001</v>
      </c>
      <c r="L298" t="s">
        <v>1818</v>
      </c>
      <c r="M298">
        <v>53</v>
      </c>
      <c r="N298" t="s">
        <v>1820</v>
      </c>
      <c r="O298" t="s">
        <v>1825</v>
      </c>
      <c r="P298" t="s">
        <v>1826</v>
      </c>
      <c r="Q298" cm="1">
        <f t="array" ref="Q298">_xlfn.IFS(P298="2 Years", 24,P298="1 Year",12, P298="6 Months",6, P298="1 Month",1)</f>
        <v>24</v>
      </c>
      <c r="R298" t="str" cm="1">
        <f t="array" ref="R298">_xlfn.IFS(Q298=1,"Mensual",Q298=6,"Semestral",Q298=12,"Anual",Q298=24,"Bienal")</f>
        <v>Bienal</v>
      </c>
      <c r="S298">
        <f>IFERROR(VLOOKUP(Sheet1[[#This Row],[ID usuario]],A299:$A$907,1,FALSE),0)</f>
        <v>0</v>
      </c>
    </row>
    <row r="299" spans="1:19" x14ac:dyDescent="0.25">
      <c r="A299" t="s">
        <v>297</v>
      </c>
      <c r="B299" t="s">
        <v>1202</v>
      </c>
      <c r="C299" t="s">
        <v>1811</v>
      </c>
      <c r="D299">
        <v>84.23</v>
      </c>
      <c r="E299" s="1">
        <v>44978</v>
      </c>
      <c r="F299" s="1" t="str">
        <f>TEXT(Sheet1[[#This Row],[Fecha ingreso]],"mmmm")</f>
        <v>febrero</v>
      </c>
      <c r="G299" s="2">
        <f>YEAR(Sheet1[[#This Row],[Fecha ingreso]])</f>
        <v>2023</v>
      </c>
      <c r="H299" s="1" t="str">
        <f>TEXT(Sheet1[[#This Row],[Fecha ingreso]],"dddd")</f>
        <v>martes</v>
      </c>
      <c r="I299" s="1">
        <v>45167</v>
      </c>
      <c r="J299" s="2">
        <f>DATEDIF(Sheet1[[#This Row],[Fecha ingreso]],Sheet1[[#This Row],[Fecha último pago]],"M")+1</f>
        <v>7</v>
      </c>
      <c r="K299" s="2">
        <f>Sheet1[[#This Row],[Ingresos mensuales]]*Sheet1[[#This Row],[Meses contratados]]</f>
        <v>589.61</v>
      </c>
      <c r="L299" t="s">
        <v>1814</v>
      </c>
      <c r="M299">
        <v>27</v>
      </c>
      <c r="N299" t="s">
        <v>1820</v>
      </c>
      <c r="O299" t="s">
        <v>1825</v>
      </c>
      <c r="P299" t="s">
        <v>1827</v>
      </c>
      <c r="Q299" cm="1">
        <f t="array" ref="Q299">_xlfn.IFS(P299="2 Years", 24,P299="1 Year",12, P299="6 Months",6, P299="1 Month",1)</f>
        <v>12</v>
      </c>
      <c r="R299" t="str" cm="1">
        <f t="array" ref="R299">_xlfn.IFS(Q299=1,"Mensual",Q299=6,"Semestral",Q299=12,"Anual",Q299=24,"Bienal")</f>
        <v>Anual</v>
      </c>
      <c r="S299">
        <f>IFERROR(VLOOKUP(Sheet1[[#This Row],[ID usuario]],A300:$A$907,1,FALSE),0)</f>
        <v>0</v>
      </c>
    </row>
    <row r="300" spans="1:19" x14ac:dyDescent="0.25">
      <c r="A300" t="s">
        <v>298</v>
      </c>
      <c r="B300" t="s">
        <v>1203</v>
      </c>
      <c r="C300" t="s">
        <v>1810</v>
      </c>
      <c r="D300">
        <v>25.31</v>
      </c>
      <c r="E300" s="1">
        <v>44521</v>
      </c>
      <c r="F300" s="1" t="str">
        <f>TEXT(Sheet1[[#This Row],[Fecha ingreso]],"mmmm")</f>
        <v>noviembre</v>
      </c>
      <c r="G300" s="2">
        <f>YEAR(Sheet1[[#This Row],[Fecha ingreso]])</f>
        <v>2021</v>
      </c>
      <c r="H300" s="1" t="str">
        <f>TEXT(Sheet1[[#This Row],[Fecha ingreso]],"dddd")</f>
        <v>domingo</v>
      </c>
      <c r="I300" s="1">
        <v>44851</v>
      </c>
      <c r="J300" s="2">
        <f>DATEDIF(Sheet1[[#This Row],[Fecha ingreso]],Sheet1[[#This Row],[Fecha último pago]],"M")+1</f>
        <v>11</v>
      </c>
      <c r="K300" s="2">
        <f>Sheet1[[#This Row],[Ingresos mensuales]]*Sheet1[[#This Row],[Meses contratados]]</f>
        <v>278.40999999999997</v>
      </c>
      <c r="L300" t="s">
        <v>1819</v>
      </c>
      <c r="M300">
        <v>27</v>
      </c>
      <c r="N300" t="s">
        <v>1822</v>
      </c>
      <c r="O300" t="s">
        <v>1824</v>
      </c>
      <c r="P300" t="s">
        <v>1827</v>
      </c>
      <c r="Q300" cm="1">
        <f t="array" ref="Q300">_xlfn.IFS(P300="2 Years", 24,P300="1 Year",12, P300="6 Months",6, P300="1 Month",1)</f>
        <v>12</v>
      </c>
      <c r="R300" t="str" cm="1">
        <f t="array" ref="R300">_xlfn.IFS(Q300=1,"Mensual",Q300=6,"Semestral",Q300=12,"Anual",Q300=24,"Bienal")</f>
        <v>Anual</v>
      </c>
      <c r="S300">
        <f>IFERROR(VLOOKUP(Sheet1[[#This Row],[ID usuario]],A301:$A$907,1,FALSE),0)</f>
        <v>0</v>
      </c>
    </row>
    <row r="301" spans="1:19" x14ac:dyDescent="0.25">
      <c r="A301" t="s">
        <v>299</v>
      </c>
      <c r="B301" t="s">
        <v>1204</v>
      </c>
      <c r="C301" t="s">
        <v>1810</v>
      </c>
      <c r="D301">
        <v>78.27</v>
      </c>
      <c r="E301" s="1">
        <v>44468</v>
      </c>
      <c r="F301" s="1" t="str">
        <f>TEXT(Sheet1[[#This Row],[Fecha ingreso]],"mmmm")</f>
        <v>septiembre</v>
      </c>
      <c r="G301" s="2">
        <f>YEAR(Sheet1[[#This Row],[Fecha ingreso]])</f>
        <v>2021</v>
      </c>
      <c r="H301" s="1" t="str">
        <f>TEXT(Sheet1[[#This Row],[Fecha ingreso]],"dddd")</f>
        <v>miércoles</v>
      </c>
      <c r="I301" s="1">
        <v>44993</v>
      </c>
      <c r="J301" s="2">
        <f>DATEDIF(Sheet1[[#This Row],[Fecha ingreso]],Sheet1[[#This Row],[Fecha último pago]],"M")+1</f>
        <v>18</v>
      </c>
      <c r="K301" s="2">
        <f>Sheet1[[#This Row],[Ingresos mensuales]]*Sheet1[[#This Row],[Meses contratados]]</f>
        <v>1408.86</v>
      </c>
      <c r="L301" t="s">
        <v>1816</v>
      </c>
      <c r="M301">
        <v>48</v>
      </c>
      <c r="N301" t="s">
        <v>1820</v>
      </c>
      <c r="O301" t="s">
        <v>1824</v>
      </c>
      <c r="P301" t="s">
        <v>1829</v>
      </c>
      <c r="Q301" cm="1">
        <f t="array" ref="Q301">_xlfn.IFS(P301="2 Years", 24,P301="1 Year",12, P301="6 Months",6, P301="1 Month",1)</f>
        <v>1</v>
      </c>
      <c r="R301" t="str" cm="1">
        <f t="array" ref="R301">_xlfn.IFS(Q301=1,"Mensual",Q301=6,"Semestral",Q301=12,"Anual",Q301=24,"Bienal")</f>
        <v>Mensual</v>
      </c>
      <c r="S301">
        <f>IFERROR(VLOOKUP(Sheet1[[#This Row],[ID usuario]],A302:$A$907,1,FALSE),0)</f>
        <v>0</v>
      </c>
    </row>
    <row r="302" spans="1:19" x14ac:dyDescent="0.25">
      <c r="A302" t="s">
        <v>300</v>
      </c>
      <c r="B302" t="s">
        <v>1205</v>
      </c>
      <c r="C302" t="s">
        <v>1810</v>
      </c>
      <c r="D302">
        <v>6.16</v>
      </c>
      <c r="E302" s="1">
        <v>44770</v>
      </c>
      <c r="F302" s="1" t="str">
        <f>TEXT(Sheet1[[#This Row],[Fecha ingreso]],"mmmm")</f>
        <v>julio</v>
      </c>
      <c r="G302" s="2">
        <f>YEAR(Sheet1[[#This Row],[Fecha ingreso]])</f>
        <v>2022</v>
      </c>
      <c r="H302" s="1" t="str">
        <f>TEXT(Sheet1[[#This Row],[Fecha ingreso]],"dddd")</f>
        <v>jueves</v>
      </c>
      <c r="I302" s="1">
        <v>44803</v>
      </c>
      <c r="J302" s="2">
        <f>DATEDIF(Sheet1[[#This Row],[Fecha ingreso]],Sheet1[[#This Row],[Fecha último pago]],"M")+1</f>
        <v>2</v>
      </c>
      <c r="K302" s="2">
        <f>Sheet1[[#This Row],[Ingresos mensuales]]*Sheet1[[#This Row],[Meses contratados]]</f>
        <v>12.32</v>
      </c>
      <c r="L302" t="s">
        <v>1814</v>
      </c>
      <c r="M302">
        <v>40</v>
      </c>
      <c r="N302" t="s">
        <v>1822</v>
      </c>
      <c r="O302" t="s">
        <v>1825</v>
      </c>
      <c r="P302" t="s">
        <v>1827</v>
      </c>
      <c r="Q302" cm="1">
        <f t="array" ref="Q302">_xlfn.IFS(P302="2 Years", 24,P302="1 Year",12, P302="6 Months",6, P302="1 Month",1)</f>
        <v>12</v>
      </c>
      <c r="R302" t="str" cm="1">
        <f t="array" ref="R302">_xlfn.IFS(Q302=1,"Mensual",Q302=6,"Semestral",Q302=12,"Anual",Q302=24,"Bienal")</f>
        <v>Anual</v>
      </c>
      <c r="S302">
        <f>IFERROR(VLOOKUP(Sheet1[[#This Row],[ID usuario]],A303:$A$907,1,FALSE),0)</f>
        <v>0</v>
      </c>
    </row>
    <row r="303" spans="1:19" x14ac:dyDescent="0.25">
      <c r="A303" t="s">
        <v>301</v>
      </c>
      <c r="B303" t="s">
        <v>1206</v>
      </c>
      <c r="C303" t="s">
        <v>1810</v>
      </c>
      <c r="D303">
        <v>35.67</v>
      </c>
      <c r="E303" s="1">
        <v>45307</v>
      </c>
      <c r="F303" s="1" t="str">
        <f>TEXT(Sheet1[[#This Row],[Fecha ingreso]],"mmmm")</f>
        <v>enero</v>
      </c>
      <c r="G303" s="2">
        <f>YEAR(Sheet1[[#This Row],[Fecha ingreso]])</f>
        <v>2024</v>
      </c>
      <c r="H303" s="1" t="str">
        <f>TEXT(Sheet1[[#This Row],[Fecha ingreso]],"dddd")</f>
        <v>martes</v>
      </c>
      <c r="I303" s="1">
        <v>45373</v>
      </c>
      <c r="J303" s="2">
        <f>DATEDIF(Sheet1[[#This Row],[Fecha ingreso]],Sheet1[[#This Row],[Fecha último pago]],"M")+1</f>
        <v>3</v>
      </c>
      <c r="K303" s="2">
        <f>Sheet1[[#This Row],[Ingresos mensuales]]*Sheet1[[#This Row],[Meses contratados]]</f>
        <v>107.01</v>
      </c>
      <c r="L303" t="s">
        <v>1818</v>
      </c>
      <c r="M303">
        <v>60</v>
      </c>
      <c r="N303" t="s">
        <v>1821</v>
      </c>
      <c r="O303" t="s">
        <v>1824</v>
      </c>
      <c r="P303" t="s">
        <v>1827</v>
      </c>
      <c r="Q303" cm="1">
        <f t="array" ref="Q303">_xlfn.IFS(P303="2 Years", 24,P303="1 Year",12, P303="6 Months",6, P303="1 Month",1)</f>
        <v>12</v>
      </c>
      <c r="R303" t="str" cm="1">
        <f t="array" ref="R303">_xlfn.IFS(Q303=1,"Mensual",Q303=6,"Semestral",Q303=12,"Anual",Q303=24,"Bienal")</f>
        <v>Anual</v>
      </c>
      <c r="S303">
        <f>IFERROR(VLOOKUP(Sheet1[[#This Row],[ID usuario]],A304:$A$907,1,FALSE),0)</f>
        <v>0</v>
      </c>
    </row>
    <row r="304" spans="1:19" x14ac:dyDescent="0.25">
      <c r="A304" t="s">
        <v>302</v>
      </c>
      <c r="B304" t="s">
        <v>1207</v>
      </c>
      <c r="C304" t="s">
        <v>1810</v>
      </c>
      <c r="D304">
        <v>26.81</v>
      </c>
      <c r="E304" s="1">
        <v>45170</v>
      </c>
      <c r="F304" s="1" t="str">
        <f>TEXT(Sheet1[[#This Row],[Fecha ingreso]],"mmmm")</f>
        <v>septiembre</v>
      </c>
      <c r="G304" s="2">
        <f>YEAR(Sheet1[[#This Row],[Fecha ingreso]])</f>
        <v>2023</v>
      </c>
      <c r="H304" s="1" t="str">
        <f>TEXT(Sheet1[[#This Row],[Fecha ingreso]],"dddd")</f>
        <v>viernes</v>
      </c>
      <c r="I304" s="1">
        <v>45299</v>
      </c>
      <c r="J304" s="2">
        <f>DATEDIF(Sheet1[[#This Row],[Fecha ingreso]],Sheet1[[#This Row],[Fecha último pago]],"M")+1</f>
        <v>5</v>
      </c>
      <c r="K304" s="2">
        <f>Sheet1[[#This Row],[Ingresos mensuales]]*Sheet1[[#This Row],[Meses contratados]]</f>
        <v>134.04999999999998</v>
      </c>
      <c r="L304" t="s">
        <v>1814</v>
      </c>
      <c r="M304">
        <v>38</v>
      </c>
      <c r="N304" t="s">
        <v>1821</v>
      </c>
      <c r="O304" t="s">
        <v>1823</v>
      </c>
      <c r="P304" t="s">
        <v>1828</v>
      </c>
      <c r="Q304" cm="1">
        <f t="array" ref="Q304">_xlfn.IFS(P304="2 Years", 24,P304="1 Year",12, P304="6 Months",6, P304="1 Month",1)</f>
        <v>6</v>
      </c>
      <c r="R304" t="str" cm="1">
        <f t="array" ref="R304">_xlfn.IFS(Q304=1,"Mensual",Q304=6,"Semestral",Q304=12,"Anual",Q304=24,"Bienal")</f>
        <v>Semestral</v>
      </c>
      <c r="S304">
        <f>IFERROR(VLOOKUP(Sheet1[[#This Row],[ID usuario]],A305:$A$907,1,FALSE),0)</f>
        <v>0</v>
      </c>
    </row>
    <row r="305" spans="1:19" x14ac:dyDescent="0.25">
      <c r="A305" t="s">
        <v>303</v>
      </c>
      <c r="B305" t="s">
        <v>1208</v>
      </c>
      <c r="C305" t="s">
        <v>1811</v>
      </c>
      <c r="D305">
        <v>53.15</v>
      </c>
      <c r="E305" s="1">
        <v>45234</v>
      </c>
      <c r="F305" s="1" t="str">
        <f>TEXT(Sheet1[[#This Row],[Fecha ingreso]],"mmmm")</f>
        <v>noviembre</v>
      </c>
      <c r="G305" s="2">
        <f>YEAR(Sheet1[[#This Row],[Fecha ingreso]])</f>
        <v>2023</v>
      </c>
      <c r="H305" s="1" t="str">
        <f>TEXT(Sheet1[[#This Row],[Fecha ingreso]],"dddd")</f>
        <v>sábado</v>
      </c>
      <c r="I305" s="1">
        <v>45405</v>
      </c>
      <c r="J305" s="2">
        <f>DATEDIF(Sheet1[[#This Row],[Fecha ingreso]],Sheet1[[#This Row],[Fecha último pago]],"M")+1</f>
        <v>6</v>
      </c>
      <c r="K305" s="2">
        <f>Sheet1[[#This Row],[Ingresos mensuales]]*Sheet1[[#This Row],[Meses contratados]]</f>
        <v>318.89999999999998</v>
      </c>
      <c r="L305" t="s">
        <v>1815</v>
      </c>
      <c r="M305">
        <v>59</v>
      </c>
      <c r="N305" t="s">
        <v>1821</v>
      </c>
      <c r="O305" t="s">
        <v>1823</v>
      </c>
      <c r="P305" t="s">
        <v>1827</v>
      </c>
      <c r="Q305" cm="1">
        <f t="array" ref="Q305">_xlfn.IFS(P305="2 Years", 24,P305="1 Year",12, P305="6 Months",6, P305="1 Month",1)</f>
        <v>12</v>
      </c>
      <c r="R305" t="str" cm="1">
        <f t="array" ref="R305">_xlfn.IFS(Q305=1,"Mensual",Q305=6,"Semestral",Q305=12,"Anual",Q305=24,"Bienal")</f>
        <v>Anual</v>
      </c>
      <c r="S305">
        <f>IFERROR(VLOOKUP(Sheet1[[#This Row],[ID usuario]],A306:$A$907,1,FALSE),0)</f>
        <v>0</v>
      </c>
    </row>
    <row r="306" spans="1:19" x14ac:dyDescent="0.25">
      <c r="A306" t="s">
        <v>304</v>
      </c>
      <c r="B306" t="s">
        <v>1209</v>
      </c>
      <c r="C306" t="s">
        <v>1810</v>
      </c>
      <c r="D306">
        <v>75</v>
      </c>
      <c r="E306" s="1">
        <v>44667</v>
      </c>
      <c r="F306" s="1" t="str">
        <f>TEXT(Sheet1[[#This Row],[Fecha ingreso]],"mmmm")</f>
        <v>abril</v>
      </c>
      <c r="G306" s="2">
        <f>YEAR(Sheet1[[#This Row],[Fecha ingreso]])</f>
        <v>2022</v>
      </c>
      <c r="H306" s="1" t="str">
        <f>TEXT(Sheet1[[#This Row],[Fecha ingreso]],"dddd")</f>
        <v>sábado</v>
      </c>
      <c r="I306" s="1">
        <v>44724</v>
      </c>
      <c r="J306" s="2">
        <f>DATEDIF(Sheet1[[#This Row],[Fecha ingreso]],Sheet1[[#This Row],[Fecha último pago]],"M")+1</f>
        <v>2</v>
      </c>
      <c r="K306" s="2">
        <f>Sheet1[[#This Row],[Ingresos mensuales]]*Sheet1[[#This Row],[Meses contratados]]</f>
        <v>150</v>
      </c>
      <c r="L306" t="s">
        <v>1816</v>
      </c>
      <c r="M306">
        <v>37</v>
      </c>
      <c r="N306" t="s">
        <v>1820</v>
      </c>
      <c r="O306" t="s">
        <v>1825</v>
      </c>
      <c r="P306" t="s">
        <v>1827</v>
      </c>
      <c r="Q306" cm="1">
        <f t="array" ref="Q306">_xlfn.IFS(P306="2 Years", 24,P306="1 Year",12, P306="6 Months",6, P306="1 Month",1)</f>
        <v>12</v>
      </c>
      <c r="R306" t="str" cm="1">
        <f t="array" ref="R306">_xlfn.IFS(Q306=1,"Mensual",Q306=6,"Semestral",Q306=12,"Anual",Q306=24,"Bienal")</f>
        <v>Anual</v>
      </c>
      <c r="S306">
        <f>IFERROR(VLOOKUP(Sheet1[[#This Row],[ID usuario]],A307:$A$907,1,FALSE),0)</f>
        <v>0</v>
      </c>
    </row>
    <row r="307" spans="1:19" x14ac:dyDescent="0.25">
      <c r="A307" t="s">
        <v>305</v>
      </c>
      <c r="B307" t="s">
        <v>1210</v>
      </c>
      <c r="C307" t="s">
        <v>1812</v>
      </c>
      <c r="D307">
        <v>14.28</v>
      </c>
      <c r="E307" s="1">
        <v>44418</v>
      </c>
      <c r="F307" s="1" t="str">
        <f>TEXT(Sheet1[[#This Row],[Fecha ingreso]],"mmmm")</f>
        <v>agosto</v>
      </c>
      <c r="G307" s="2">
        <f>YEAR(Sheet1[[#This Row],[Fecha ingreso]])</f>
        <v>2021</v>
      </c>
      <c r="H307" s="1" t="str">
        <f>TEXT(Sheet1[[#This Row],[Fecha ingreso]],"dddd")</f>
        <v>martes</v>
      </c>
      <c r="I307" s="1">
        <v>45306</v>
      </c>
      <c r="J307" s="2">
        <f>DATEDIF(Sheet1[[#This Row],[Fecha ingreso]],Sheet1[[#This Row],[Fecha último pago]],"M")+1</f>
        <v>30</v>
      </c>
      <c r="K307" s="2">
        <f>Sheet1[[#This Row],[Ingresos mensuales]]*Sheet1[[#This Row],[Meses contratados]]</f>
        <v>428.4</v>
      </c>
      <c r="L307" t="s">
        <v>1818</v>
      </c>
      <c r="M307">
        <v>22</v>
      </c>
      <c r="N307" t="s">
        <v>1821</v>
      </c>
      <c r="O307" t="s">
        <v>1824</v>
      </c>
      <c r="P307" t="s">
        <v>1829</v>
      </c>
      <c r="Q307" cm="1">
        <f t="array" ref="Q307">_xlfn.IFS(P307="2 Years", 24,P307="1 Year",12, P307="6 Months",6, P307="1 Month",1)</f>
        <v>1</v>
      </c>
      <c r="R307" t="str" cm="1">
        <f t="array" ref="R307">_xlfn.IFS(Q307=1,"Mensual",Q307=6,"Semestral",Q307=12,"Anual",Q307=24,"Bienal")</f>
        <v>Mensual</v>
      </c>
      <c r="S307">
        <f>IFERROR(VLOOKUP(Sheet1[[#This Row],[ID usuario]],A308:$A$907,1,FALSE),0)</f>
        <v>0</v>
      </c>
    </row>
    <row r="308" spans="1:19" x14ac:dyDescent="0.25">
      <c r="A308" t="s">
        <v>306</v>
      </c>
      <c r="B308" t="s">
        <v>1211</v>
      </c>
      <c r="C308" t="s">
        <v>1812</v>
      </c>
      <c r="D308">
        <v>53.92</v>
      </c>
      <c r="E308" s="1">
        <v>44517</v>
      </c>
      <c r="F308" s="1" t="str">
        <f>TEXT(Sheet1[[#This Row],[Fecha ingreso]],"mmmm")</f>
        <v>noviembre</v>
      </c>
      <c r="G308" s="2">
        <f>YEAR(Sheet1[[#This Row],[Fecha ingreso]])</f>
        <v>2021</v>
      </c>
      <c r="H308" s="1" t="str">
        <f>TEXT(Sheet1[[#This Row],[Fecha ingreso]],"dddd")</f>
        <v>miércoles</v>
      </c>
      <c r="I308" s="1">
        <v>45375</v>
      </c>
      <c r="J308" s="2">
        <f>DATEDIF(Sheet1[[#This Row],[Fecha ingreso]],Sheet1[[#This Row],[Fecha último pago]],"M")+1</f>
        <v>29</v>
      </c>
      <c r="K308" s="2">
        <f>Sheet1[[#This Row],[Ingresos mensuales]]*Sheet1[[#This Row],[Meses contratados]]</f>
        <v>1563.68</v>
      </c>
      <c r="L308" t="s">
        <v>1818</v>
      </c>
      <c r="M308">
        <v>64</v>
      </c>
      <c r="N308" t="s">
        <v>1822</v>
      </c>
      <c r="O308" t="s">
        <v>1823</v>
      </c>
      <c r="P308" t="s">
        <v>1826</v>
      </c>
      <c r="Q308" cm="1">
        <f t="array" ref="Q308">_xlfn.IFS(P308="2 Years", 24,P308="1 Year",12, P308="6 Months",6, P308="1 Month",1)</f>
        <v>24</v>
      </c>
      <c r="R308" t="str" cm="1">
        <f t="array" ref="R308">_xlfn.IFS(Q308=1,"Mensual",Q308=6,"Semestral",Q308=12,"Anual",Q308=24,"Bienal")</f>
        <v>Bienal</v>
      </c>
      <c r="S308">
        <f>IFERROR(VLOOKUP(Sheet1[[#This Row],[ID usuario]],A309:$A$907,1,FALSE),0)</f>
        <v>0</v>
      </c>
    </row>
    <row r="309" spans="1:19" x14ac:dyDescent="0.25">
      <c r="A309" t="s">
        <v>307</v>
      </c>
      <c r="B309" t="s">
        <v>1212</v>
      </c>
      <c r="C309" t="s">
        <v>1812</v>
      </c>
      <c r="D309">
        <v>94.15</v>
      </c>
      <c r="E309" s="1">
        <v>45382</v>
      </c>
      <c r="F309" s="1" t="str">
        <f>TEXT(Sheet1[[#This Row],[Fecha ingreso]],"mmmm")</f>
        <v>marzo</v>
      </c>
      <c r="G309" s="2">
        <f>YEAR(Sheet1[[#This Row],[Fecha ingreso]])</f>
        <v>2024</v>
      </c>
      <c r="H309" s="1" t="str">
        <f>TEXT(Sheet1[[#This Row],[Fecha ingreso]],"dddd")</f>
        <v>domingo</v>
      </c>
      <c r="I309" s="1">
        <v>45445</v>
      </c>
      <c r="J309" s="2">
        <f>DATEDIF(Sheet1[[#This Row],[Fecha ingreso]],Sheet1[[#This Row],[Fecha último pago]],"M")+1</f>
        <v>3</v>
      </c>
      <c r="K309" s="2">
        <f>Sheet1[[#This Row],[Ingresos mensuales]]*Sheet1[[#This Row],[Meses contratados]]</f>
        <v>282.45000000000005</v>
      </c>
      <c r="L309" t="s">
        <v>1818</v>
      </c>
      <c r="M309">
        <v>33</v>
      </c>
      <c r="N309" t="s">
        <v>1822</v>
      </c>
      <c r="O309" t="s">
        <v>1824</v>
      </c>
      <c r="P309" t="s">
        <v>1826</v>
      </c>
      <c r="Q309" cm="1">
        <f t="array" ref="Q309">_xlfn.IFS(P309="2 Years", 24,P309="1 Year",12, P309="6 Months",6, P309="1 Month",1)</f>
        <v>24</v>
      </c>
      <c r="R309" t="str" cm="1">
        <f t="array" ref="R309">_xlfn.IFS(Q309=1,"Mensual",Q309=6,"Semestral",Q309=12,"Anual",Q309=24,"Bienal")</f>
        <v>Bienal</v>
      </c>
      <c r="S309">
        <f>IFERROR(VLOOKUP(Sheet1[[#This Row],[ID usuario]],A310:$A$907,1,FALSE),0)</f>
        <v>0</v>
      </c>
    </row>
    <row r="310" spans="1:19" x14ac:dyDescent="0.25">
      <c r="A310" t="s">
        <v>308</v>
      </c>
      <c r="B310" t="s">
        <v>1213</v>
      </c>
      <c r="C310" t="s">
        <v>1810</v>
      </c>
      <c r="D310">
        <v>26.72</v>
      </c>
      <c r="E310" s="1">
        <v>44708</v>
      </c>
      <c r="F310" s="1" t="str">
        <f>TEXT(Sheet1[[#This Row],[Fecha ingreso]],"mmmm")</f>
        <v>mayo</v>
      </c>
      <c r="G310" s="2">
        <f>YEAR(Sheet1[[#This Row],[Fecha ingreso]])</f>
        <v>2022</v>
      </c>
      <c r="H310" s="1" t="str">
        <f>TEXT(Sheet1[[#This Row],[Fecha ingreso]],"dddd")</f>
        <v>viernes</v>
      </c>
      <c r="I310" s="1">
        <v>45251</v>
      </c>
      <c r="J310" s="2">
        <f>DATEDIF(Sheet1[[#This Row],[Fecha ingreso]],Sheet1[[#This Row],[Fecha último pago]],"M")+1</f>
        <v>18</v>
      </c>
      <c r="K310" s="2">
        <f>Sheet1[[#This Row],[Ingresos mensuales]]*Sheet1[[#This Row],[Meses contratados]]</f>
        <v>480.96</v>
      </c>
      <c r="L310" t="s">
        <v>1817</v>
      </c>
      <c r="M310">
        <v>51</v>
      </c>
      <c r="N310" t="s">
        <v>1822</v>
      </c>
      <c r="O310" t="s">
        <v>1825</v>
      </c>
      <c r="P310" t="s">
        <v>1829</v>
      </c>
      <c r="Q310" cm="1">
        <f t="array" ref="Q310">_xlfn.IFS(P310="2 Years", 24,P310="1 Year",12, P310="6 Months",6, P310="1 Month",1)</f>
        <v>1</v>
      </c>
      <c r="R310" t="str" cm="1">
        <f t="array" ref="R310">_xlfn.IFS(Q310=1,"Mensual",Q310=6,"Semestral",Q310=12,"Anual",Q310=24,"Bienal")</f>
        <v>Mensual</v>
      </c>
      <c r="S310">
        <f>IFERROR(VLOOKUP(Sheet1[[#This Row],[ID usuario]],A311:$A$907,1,FALSE),0)</f>
        <v>0</v>
      </c>
    </row>
    <row r="311" spans="1:19" x14ac:dyDescent="0.25">
      <c r="A311" t="s">
        <v>309</v>
      </c>
      <c r="B311" t="s">
        <v>1214</v>
      </c>
      <c r="C311" t="s">
        <v>1810</v>
      </c>
      <c r="D311">
        <v>69.33</v>
      </c>
      <c r="E311" s="1">
        <v>45059</v>
      </c>
      <c r="F311" s="1" t="str">
        <f>TEXT(Sheet1[[#This Row],[Fecha ingreso]],"mmmm")</f>
        <v>mayo</v>
      </c>
      <c r="G311" s="2">
        <f>YEAR(Sheet1[[#This Row],[Fecha ingreso]])</f>
        <v>2023</v>
      </c>
      <c r="H311" s="1" t="str">
        <f>TEXT(Sheet1[[#This Row],[Fecha ingreso]],"dddd")</f>
        <v>sábado</v>
      </c>
      <c r="I311" s="1">
        <v>45379</v>
      </c>
      <c r="J311" s="2">
        <f>DATEDIF(Sheet1[[#This Row],[Fecha ingreso]],Sheet1[[#This Row],[Fecha último pago]],"M")+1</f>
        <v>11</v>
      </c>
      <c r="K311" s="2">
        <f>Sheet1[[#This Row],[Ingresos mensuales]]*Sheet1[[#This Row],[Meses contratados]]</f>
        <v>762.63</v>
      </c>
      <c r="L311" t="s">
        <v>1818</v>
      </c>
      <c r="M311">
        <v>18</v>
      </c>
      <c r="N311" t="s">
        <v>1822</v>
      </c>
      <c r="O311" t="s">
        <v>1824</v>
      </c>
      <c r="P311" t="s">
        <v>1826</v>
      </c>
      <c r="Q311" cm="1">
        <f t="array" ref="Q311">_xlfn.IFS(P311="2 Years", 24,P311="1 Year",12, P311="6 Months",6, P311="1 Month",1)</f>
        <v>24</v>
      </c>
      <c r="R311" t="str" cm="1">
        <f t="array" ref="R311">_xlfn.IFS(Q311=1,"Mensual",Q311=6,"Semestral",Q311=12,"Anual",Q311=24,"Bienal")</f>
        <v>Bienal</v>
      </c>
      <c r="S311">
        <f>IFERROR(VLOOKUP(Sheet1[[#This Row],[ID usuario]],A312:$A$907,1,FALSE),0)</f>
        <v>0</v>
      </c>
    </row>
    <row r="312" spans="1:19" x14ac:dyDescent="0.25">
      <c r="A312" t="s">
        <v>310</v>
      </c>
      <c r="B312" t="s">
        <v>1215</v>
      </c>
      <c r="C312" t="s">
        <v>1812</v>
      </c>
      <c r="D312">
        <v>61.32</v>
      </c>
      <c r="E312" s="1">
        <v>45307</v>
      </c>
      <c r="F312" s="1" t="str">
        <f>TEXT(Sheet1[[#This Row],[Fecha ingreso]],"mmmm")</f>
        <v>enero</v>
      </c>
      <c r="G312" s="2">
        <f>YEAR(Sheet1[[#This Row],[Fecha ingreso]])</f>
        <v>2024</v>
      </c>
      <c r="H312" s="1" t="str">
        <f>TEXT(Sheet1[[#This Row],[Fecha ingreso]],"dddd")</f>
        <v>martes</v>
      </c>
      <c r="I312" s="1">
        <v>45435</v>
      </c>
      <c r="J312" s="2">
        <f>DATEDIF(Sheet1[[#This Row],[Fecha ingreso]],Sheet1[[#This Row],[Fecha último pago]],"M")+1</f>
        <v>5</v>
      </c>
      <c r="K312" s="2">
        <f>Sheet1[[#This Row],[Ingresos mensuales]]*Sheet1[[#This Row],[Meses contratados]]</f>
        <v>306.60000000000002</v>
      </c>
      <c r="L312" t="s">
        <v>1813</v>
      </c>
      <c r="M312">
        <v>65</v>
      </c>
      <c r="N312" t="s">
        <v>1822</v>
      </c>
      <c r="O312" t="s">
        <v>1824</v>
      </c>
      <c r="P312" t="s">
        <v>1827</v>
      </c>
      <c r="Q312" cm="1">
        <f t="array" ref="Q312">_xlfn.IFS(P312="2 Years", 24,P312="1 Year",12, P312="6 Months",6, P312="1 Month",1)</f>
        <v>12</v>
      </c>
      <c r="R312" t="str" cm="1">
        <f t="array" ref="R312">_xlfn.IFS(Q312=1,"Mensual",Q312=6,"Semestral",Q312=12,"Anual",Q312=24,"Bienal")</f>
        <v>Anual</v>
      </c>
      <c r="S312">
        <f>IFERROR(VLOOKUP(Sheet1[[#This Row],[ID usuario]],A313:$A$907,1,FALSE),0)</f>
        <v>0</v>
      </c>
    </row>
    <row r="313" spans="1:19" x14ac:dyDescent="0.25">
      <c r="A313" t="s">
        <v>311</v>
      </c>
      <c r="B313" t="s">
        <v>1216</v>
      </c>
      <c r="C313" t="s">
        <v>1810</v>
      </c>
      <c r="D313">
        <v>5.96</v>
      </c>
      <c r="E313" s="1">
        <v>44497</v>
      </c>
      <c r="F313" s="1" t="str">
        <f>TEXT(Sheet1[[#This Row],[Fecha ingreso]],"mmmm")</f>
        <v>octubre</v>
      </c>
      <c r="G313" s="2">
        <f>YEAR(Sheet1[[#This Row],[Fecha ingreso]])</f>
        <v>2021</v>
      </c>
      <c r="H313" s="1" t="str">
        <f>TEXT(Sheet1[[#This Row],[Fecha ingreso]],"dddd")</f>
        <v>jueves</v>
      </c>
      <c r="I313" s="1">
        <v>44500</v>
      </c>
      <c r="J313" s="2">
        <f>DATEDIF(Sheet1[[#This Row],[Fecha ingreso]],Sheet1[[#This Row],[Fecha último pago]],"M")+1</f>
        <v>1</v>
      </c>
      <c r="K313" s="2">
        <f>Sheet1[[#This Row],[Ingresos mensuales]]*Sheet1[[#This Row],[Meses contratados]]</f>
        <v>5.96</v>
      </c>
      <c r="L313" t="s">
        <v>1813</v>
      </c>
      <c r="M313">
        <v>33</v>
      </c>
      <c r="N313" t="s">
        <v>1821</v>
      </c>
      <c r="O313" t="s">
        <v>1824</v>
      </c>
      <c r="P313" t="s">
        <v>1826</v>
      </c>
      <c r="Q313" cm="1">
        <f t="array" ref="Q313">_xlfn.IFS(P313="2 Years", 24,P313="1 Year",12, P313="6 Months",6, P313="1 Month",1)</f>
        <v>24</v>
      </c>
      <c r="R313" t="str" cm="1">
        <f t="array" ref="R313">_xlfn.IFS(Q313=1,"Mensual",Q313=6,"Semestral",Q313=12,"Anual",Q313=24,"Bienal")</f>
        <v>Bienal</v>
      </c>
      <c r="S313">
        <f>IFERROR(VLOOKUP(Sheet1[[#This Row],[ID usuario]],A314:$A$907,1,FALSE),0)</f>
        <v>0</v>
      </c>
    </row>
    <row r="314" spans="1:19" x14ac:dyDescent="0.25">
      <c r="A314" t="s">
        <v>312</v>
      </c>
      <c r="B314" t="s">
        <v>1217</v>
      </c>
      <c r="C314" t="s">
        <v>1812</v>
      </c>
      <c r="D314">
        <v>50.2</v>
      </c>
      <c r="E314" s="1">
        <v>45082</v>
      </c>
      <c r="F314" s="1" t="str">
        <f>TEXT(Sheet1[[#This Row],[Fecha ingreso]],"mmmm")</f>
        <v>junio</v>
      </c>
      <c r="G314" s="2">
        <f>YEAR(Sheet1[[#This Row],[Fecha ingreso]])</f>
        <v>2023</v>
      </c>
      <c r="H314" s="1" t="str">
        <f>TEXT(Sheet1[[#This Row],[Fecha ingreso]],"dddd")</f>
        <v>lunes</v>
      </c>
      <c r="I314" s="1">
        <v>45336</v>
      </c>
      <c r="J314" s="2">
        <f>DATEDIF(Sheet1[[#This Row],[Fecha ingreso]],Sheet1[[#This Row],[Fecha último pago]],"M")+1</f>
        <v>9</v>
      </c>
      <c r="K314" s="2">
        <f>Sheet1[[#This Row],[Ingresos mensuales]]*Sheet1[[#This Row],[Meses contratados]]</f>
        <v>451.8</v>
      </c>
      <c r="L314" t="s">
        <v>1815</v>
      </c>
      <c r="M314">
        <v>31</v>
      </c>
      <c r="N314" t="s">
        <v>1822</v>
      </c>
      <c r="O314" t="s">
        <v>1823</v>
      </c>
      <c r="P314" t="s">
        <v>1826</v>
      </c>
      <c r="Q314" cm="1">
        <f t="array" ref="Q314">_xlfn.IFS(P314="2 Years", 24,P314="1 Year",12, P314="6 Months",6, P314="1 Month",1)</f>
        <v>24</v>
      </c>
      <c r="R314" t="str" cm="1">
        <f t="array" ref="R314">_xlfn.IFS(Q314=1,"Mensual",Q314=6,"Semestral",Q314=12,"Anual",Q314=24,"Bienal")</f>
        <v>Bienal</v>
      </c>
      <c r="S314">
        <f>IFERROR(VLOOKUP(Sheet1[[#This Row],[ID usuario]],A315:$A$907,1,FALSE),0)</f>
        <v>0</v>
      </c>
    </row>
    <row r="315" spans="1:19" x14ac:dyDescent="0.25">
      <c r="A315" t="s">
        <v>313</v>
      </c>
      <c r="B315" t="s">
        <v>1218</v>
      </c>
      <c r="C315" t="s">
        <v>1812</v>
      </c>
      <c r="D315">
        <v>72.33</v>
      </c>
      <c r="E315" s="1">
        <v>45373</v>
      </c>
      <c r="F315" s="1" t="str">
        <f>TEXT(Sheet1[[#This Row],[Fecha ingreso]],"mmmm")</f>
        <v>marzo</v>
      </c>
      <c r="G315" s="2">
        <f>YEAR(Sheet1[[#This Row],[Fecha ingreso]])</f>
        <v>2024</v>
      </c>
      <c r="H315" s="1" t="str">
        <f>TEXT(Sheet1[[#This Row],[Fecha ingreso]],"dddd")</f>
        <v>viernes</v>
      </c>
      <c r="I315" s="1">
        <v>45402</v>
      </c>
      <c r="J315" s="2">
        <f>DATEDIF(Sheet1[[#This Row],[Fecha ingreso]],Sheet1[[#This Row],[Fecha último pago]],"M")+1</f>
        <v>1</v>
      </c>
      <c r="K315" s="2">
        <f>Sheet1[[#This Row],[Ingresos mensuales]]*Sheet1[[#This Row],[Meses contratados]]</f>
        <v>72.33</v>
      </c>
      <c r="L315" t="s">
        <v>1817</v>
      </c>
      <c r="M315">
        <v>27</v>
      </c>
      <c r="N315" t="s">
        <v>1821</v>
      </c>
      <c r="O315" t="s">
        <v>1823</v>
      </c>
      <c r="P315" t="s">
        <v>1829</v>
      </c>
      <c r="Q315" cm="1">
        <f t="array" ref="Q315">_xlfn.IFS(P315="2 Years", 24,P315="1 Year",12, P315="6 Months",6, P315="1 Month",1)</f>
        <v>1</v>
      </c>
      <c r="R315" t="str" cm="1">
        <f t="array" ref="R315">_xlfn.IFS(Q315=1,"Mensual",Q315=6,"Semestral",Q315=12,"Anual",Q315=24,"Bienal")</f>
        <v>Mensual</v>
      </c>
      <c r="S315">
        <f>IFERROR(VLOOKUP(Sheet1[[#This Row],[ID usuario]],A316:$A$907,1,FALSE),0)</f>
        <v>0</v>
      </c>
    </row>
    <row r="316" spans="1:19" x14ac:dyDescent="0.25">
      <c r="A316" t="s">
        <v>314</v>
      </c>
      <c r="B316" t="s">
        <v>1219</v>
      </c>
      <c r="C316" t="s">
        <v>1810</v>
      </c>
      <c r="D316">
        <v>9.18</v>
      </c>
      <c r="E316" s="1">
        <v>45255</v>
      </c>
      <c r="F316" s="1" t="str">
        <f>TEXT(Sheet1[[#This Row],[Fecha ingreso]],"mmmm")</f>
        <v>noviembre</v>
      </c>
      <c r="G316" s="2">
        <f>YEAR(Sheet1[[#This Row],[Fecha ingreso]])</f>
        <v>2023</v>
      </c>
      <c r="H316" s="1" t="str">
        <f>TEXT(Sheet1[[#This Row],[Fecha ingreso]],"dddd")</f>
        <v>sábado</v>
      </c>
      <c r="I316" s="1">
        <v>45318</v>
      </c>
      <c r="J316" s="2">
        <f>DATEDIF(Sheet1[[#This Row],[Fecha ingreso]],Sheet1[[#This Row],[Fecha último pago]],"M")+1</f>
        <v>3</v>
      </c>
      <c r="K316" s="2">
        <f>Sheet1[[#This Row],[Ingresos mensuales]]*Sheet1[[#This Row],[Meses contratados]]</f>
        <v>27.54</v>
      </c>
      <c r="L316" t="s">
        <v>1817</v>
      </c>
      <c r="M316">
        <v>67</v>
      </c>
      <c r="N316" t="s">
        <v>1822</v>
      </c>
      <c r="O316" t="s">
        <v>1825</v>
      </c>
      <c r="P316" t="s">
        <v>1826</v>
      </c>
      <c r="Q316" cm="1">
        <f t="array" ref="Q316">_xlfn.IFS(P316="2 Years", 24,P316="1 Year",12, P316="6 Months",6, P316="1 Month",1)</f>
        <v>24</v>
      </c>
      <c r="R316" t="str" cm="1">
        <f t="array" ref="R316">_xlfn.IFS(Q316=1,"Mensual",Q316=6,"Semestral",Q316=12,"Anual",Q316=24,"Bienal")</f>
        <v>Bienal</v>
      </c>
      <c r="S316">
        <f>IFERROR(VLOOKUP(Sheet1[[#This Row],[ID usuario]],A317:$A$907,1,FALSE),0)</f>
        <v>0</v>
      </c>
    </row>
    <row r="317" spans="1:19" x14ac:dyDescent="0.25">
      <c r="A317" t="s">
        <v>315</v>
      </c>
      <c r="B317" t="s">
        <v>1220</v>
      </c>
      <c r="C317" t="s">
        <v>1811</v>
      </c>
      <c r="D317">
        <v>54.41</v>
      </c>
      <c r="E317" s="1">
        <v>44939</v>
      </c>
      <c r="F317" s="1" t="str">
        <f>TEXT(Sheet1[[#This Row],[Fecha ingreso]],"mmmm")</f>
        <v>enero</v>
      </c>
      <c r="G317" s="2">
        <f>YEAR(Sheet1[[#This Row],[Fecha ingreso]])</f>
        <v>2023</v>
      </c>
      <c r="H317" s="1" t="str">
        <f>TEXT(Sheet1[[#This Row],[Fecha ingreso]],"dddd")</f>
        <v>viernes</v>
      </c>
      <c r="I317" s="1">
        <v>45141</v>
      </c>
      <c r="J317" s="2">
        <f>DATEDIF(Sheet1[[#This Row],[Fecha ingreso]],Sheet1[[#This Row],[Fecha último pago]],"M")+1</f>
        <v>7</v>
      </c>
      <c r="K317" s="2">
        <f>Sheet1[[#This Row],[Ingresos mensuales]]*Sheet1[[#This Row],[Meses contratados]]</f>
        <v>380.87</v>
      </c>
      <c r="L317" t="s">
        <v>1818</v>
      </c>
      <c r="M317">
        <v>28</v>
      </c>
      <c r="N317" t="s">
        <v>1821</v>
      </c>
      <c r="O317" t="s">
        <v>1824</v>
      </c>
      <c r="P317" t="s">
        <v>1826</v>
      </c>
      <c r="Q317" cm="1">
        <f t="array" ref="Q317">_xlfn.IFS(P317="2 Years", 24,P317="1 Year",12, P317="6 Months",6, P317="1 Month",1)</f>
        <v>24</v>
      </c>
      <c r="R317" t="str" cm="1">
        <f t="array" ref="R317">_xlfn.IFS(Q317=1,"Mensual",Q317=6,"Semestral",Q317=12,"Anual",Q317=24,"Bienal")</f>
        <v>Bienal</v>
      </c>
      <c r="S317">
        <f>IFERROR(VLOOKUP(Sheet1[[#This Row],[ID usuario]],A318:$A$907,1,FALSE),0)</f>
        <v>0</v>
      </c>
    </row>
    <row r="318" spans="1:19" x14ac:dyDescent="0.25">
      <c r="A318" t="s">
        <v>316</v>
      </c>
      <c r="B318" t="s">
        <v>1221</v>
      </c>
      <c r="C318" t="s">
        <v>1811</v>
      </c>
      <c r="D318">
        <v>7.91</v>
      </c>
      <c r="E318" s="1">
        <v>44412</v>
      </c>
      <c r="F318" s="1" t="str">
        <f>TEXT(Sheet1[[#This Row],[Fecha ingreso]],"mmmm")</f>
        <v>agosto</v>
      </c>
      <c r="G318" s="2">
        <f>YEAR(Sheet1[[#This Row],[Fecha ingreso]])</f>
        <v>2021</v>
      </c>
      <c r="H318" s="1" t="str">
        <f>TEXT(Sheet1[[#This Row],[Fecha ingreso]],"dddd")</f>
        <v>miércoles</v>
      </c>
      <c r="I318" s="1">
        <v>44550</v>
      </c>
      <c r="J318" s="2">
        <f>DATEDIF(Sheet1[[#This Row],[Fecha ingreso]],Sheet1[[#This Row],[Fecha último pago]],"M")+1</f>
        <v>5</v>
      </c>
      <c r="K318" s="2">
        <f>Sheet1[[#This Row],[Ingresos mensuales]]*Sheet1[[#This Row],[Meses contratados]]</f>
        <v>39.549999999999997</v>
      </c>
      <c r="L318" t="s">
        <v>1813</v>
      </c>
      <c r="M318">
        <v>67</v>
      </c>
      <c r="N318" t="s">
        <v>1820</v>
      </c>
      <c r="O318" t="s">
        <v>1825</v>
      </c>
      <c r="P318" t="s">
        <v>1827</v>
      </c>
      <c r="Q318" cm="1">
        <f t="array" ref="Q318">_xlfn.IFS(P318="2 Years", 24,P318="1 Year",12, P318="6 Months",6, P318="1 Month",1)</f>
        <v>12</v>
      </c>
      <c r="R318" t="str" cm="1">
        <f t="array" ref="R318">_xlfn.IFS(Q318=1,"Mensual",Q318=6,"Semestral",Q318=12,"Anual",Q318=24,"Bienal")</f>
        <v>Anual</v>
      </c>
      <c r="S318">
        <f>IFERROR(VLOOKUP(Sheet1[[#This Row],[ID usuario]],A319:$A$907,1,FALSE),0)</f>
        <v>0</v>
      </c>
    </row>
    <row r="319" spans="1:19" x14ac:dyDescent="0.25">
      <c r="A319" t="s">
        <v>317</v>
      </c>
      <c r="B319" t="s">
        <v>1222</v>
      </c>
      <c r="C319" t="s">
        <v>1810</v>
      </c>
      <c r="D319">
        <v>26.32</v>
      </c>
      <c r="E319" s="1">
        <v>44492</v>
      </c>
      <c r="F319" s="1" t="str">
        <f>TEXT(Sheet1[[#This Row],[Fecha ingreso]],"mmmm")</f>
        <v>octubre</v>
      </c>
      <c r="G319" s="2">
        <f>YEAR(Sheet1[[#This Row],[Fecha ingreso]])</f>
        <v>2021</v>
      </c>
      <c r="H319" s="1" t="str">
        <f>TEXT(Sheet1[[#This Row],[Fecha ingreso]],"dddd")</f>
        <v>sábado</v>
      </c>
      <c r="I319" s="1">
        <v>44887</v>
      </c>
      <c r="J319" s="2">
        <f>DATEDIF(Sheet1[[#This Row],[Fecha ingreso]],Sheet1[[#This Row],[Fecha último pago]],"M")+1</f>
        <v>13</v>
      </c>
      <c r="K319" s="2">
        <f>Sheet1[[#This Row],[Ingresos mensuales]]*Sheet1[[#This Row],[Meses contratados]]</f>
        <v>342.16</v>
      </c>
      <c r="L319" t="s">
        <v>1817</v>
      </c>
      <c r="M319">
        <v>57</v>
      </c>
      <c r="N319" t="s">
        <v>1821</v>
      </c>
      <c r="O319" t="s">
        <v>1823</v>
      </c>
      <c r="P319" t="s">
        <v>1827</v>
      </c>
      <c r="Q319" cm="1">
        <f t="array" ref="Q319">_xlfn.IFS(P319="2 Years", 24,P319="1 Year",12, P319="6 Months",6, P319="1 Month",1)</f>
        <v>12</v>
      </c>
      <c r="R319" t="str" cm="1">
        <f t="array" ref="R319">_xlfn.IFS(Q319=1,"Mensual",Q319=6,"Semestral",Q319=12,"Anual",Q319=24,"Bienal")</f>
        <v>Anual</v>
      </c>
      <c r="S319">
        <f>IFERROR(VLOOKUP(Sheet1[[#This Row],[ID usuario]],A320:$A$907,1,FALSE),0)</f>
        <v>0</v>
      </c>
    </row>
    <row r="320" spans="1:19" x14ac:dyDescent="0.25">
      <c r="A320" t="s">
        <v>318</v>
      </c>
      <c r="B320" t="s">
        <v>1223</v>
      </c>
      <c r="C320" t="s">
        <v>1810</v>
      </c>
      <c r="D320">
        <v>95.6</v>
      </c>
      <c r="E320" s="1">
        <v>45237</v>
      </c>
      <c r="F320" s="1" t="str">
        <f>TEXT(Sheet1[[#This Row],[Fecha ingreso]],"mmmm")</f>
        <v>noviembre</v>
      </c>
      <c r="G320" s="2">
        <f>YEAR(Sheet1[[#This Row],[Fecha ingreso]])</f>
        <v>2023</v>
      </c>
      <c r="H320" s="1" t="str">
        <f>TEXT(Sheet1[[#This Row],[Fecha ingreso]],"dddd")</f>
        <v>martes</v>
      </c>
      <c r="I320" s="1">
        <v>45330</v>
      </c>
      <c r="J320" s="2">
        <f>DATEDIF(Sheet1[[#This Row],[Fecha ingreso]],Sheet1[[#This Row],[Fecha último pago]],"M")+1</f>
        <v>4</v>
      </c>
      <c r="K320" s="2">
        <f>Sheet1[[#This Row],[Ingresos mensuales]]*Sheet1[[#This Row],[Meses contratados]]</f>
        <v>382.4</v>
      </c>
      <c r="L320" t="s">
        <v>1813</v>
      </c>
      <c r="M320">
        <v>52</v>
      </c>
      <c r="N320" t="s">
        <v>1821</v>
      </c>
      <c r="O320" t="s">
        <v>1823</v>
      </c>
      <c r="P320" t="s">
        <v>1827</v>
      </c>
      <c r="Q320" cm="1">
        <f t="array" ref="Q320">_xlfn.IFS(P320="2 Years", 24,P320="1 Year",12, P320="6 Months",6, P320="1 Month",1)</f>
        <v>12</v>
      </c>
      <c r="R320" t="str" cm="1">
        <f t="array" ref="R320">_xlfn.IFS(Q320=1,"Mensual",Q320=6,"Semestral",Q320=12,"Anual",Q320=24,"Bienal")</f>
        <v>Anual</v>
      </c>
      <c r="S320">
        <f>IFERROR(VLOOKUP(Sheet1[[#This Row],[ID usuario]],A321:$A$907,1,FALSE),0)</f>
        <v>0</v>
      </c>
    </row>
    <row r="321" spans="1:19" x14ac:dyDescent="0.25">
      <c r="A321" t="s">
        <v>319</v>
      </c>
      <c r="B321" t="s">
        <v>1224</v>
      </c>
      <c r="C321" t="s">
        <v>1811</v>
      </c>
      <c r="D321">
        <v>60.32</v>
      </c>
      <c r="E321" s="1">
        <v>44989</v>
      </c>
      <c r="F321" s="1" t="str">
        <f>TEXT(Sheet1[[#This Row],[Fecha ingreso]],"mmmm")</f>
        <v>marzo</v>
      </c>
      <c r="G321" s="2">
        <f>YEAR(Sheet1[[#This Row],[Fecha ingreso]])</f>
        <v>2023</v>
      </c>
      <c r="H321" s="1" t="str">
        <f>TEXT(Sheet1[[#This Row],[Fecha ingreso]],"dddd")</f>
        <v>sábado</v>
      </c>
      <c r="I321" s="1">
        <v>45214</v>
      </c>
      <c r="J321" s="2">
        <f>DATEDIF(Sheet1[[#This Row],[Fecha ingreso]],Sheet1[[#This Row],[Fecha último pago]],"M")+1</f>
        <v>8</v>
      </c>
      <c r="K321" s="2">
        <f>Sheet1[[#This Row],[Ingresos mensuales]]*Sheet1[[#This Row],[Meses contratados]]</f>
        <v>482.56</v>
      </c>
      <c r="L321" t="s">
        <v>1815</v>
      </c>
      <c r="M321">
        <v>57</v>
      </c>
      <c r="N321" t="s">
        <v>1820</v>
      </c>
      <c r="O321" t="s">
        <v>1823</v>
      </c>
      <c r="P321" t="s">
        <v>1826</v>
      </c>
      <c r="Q321" cm="1">
        <f t="array" ref="Q321">_xlfn.IFS(P321="2 Years", 24,P321="1 Year",12, P321="6 Months",6, P321="1 Month",1)</f>
        <v>24</v>
      </c>
      <c r="R321" t="str" cm="1">
        <f t="array" ref="R321">_xlfn.IFS(Q321=1,"Mensual",Q321=6,"Semestral",Q321=12,"Anual",Q321=24,"Bienal")</f>
        <v>Bienal</v>
      </c>
      <c r="S321">
        <f>IFERROR(VLOOKUP(Sheet1[[#This Row],[ID usuario]],A322:$A$907,1,FALSE),0)</f>
        <v>0</v>
      </c>
    </row>
    <row r="322" spans="1:19" x14ac:dyDescent="0.25">
      <c r="A322" t="s">
        <v>320</v>
      </c>
      <c r="B322" t="s">
        <v>1225</v>
      </c>
      <c r="C322" t="s">
        <v>1810</v>
      </c>
      <c r="D322">
        <v>15.21</v>
      </c>
      <c r="E322" s="1">
        <v>44447</v>
      </c>
      <c r="F322" s="1" t="str">
        <f>TEXT(Sheet1[[#This Row],[Fecha ingreso]],"mmmm")</f>
        <v>septiembre</v>
      </c>
      <c r="G322" s="2">
        <f>YEAR(Sheet1[[#This Row],[Fecha ingreso]])</f>
        <v>2021</v>
      </c>
      <c r="H322" s="1" t="str">
        <f>TEXT(Sheet1[[#This Row],[Fecha ingreso]],"dddd")</f>
        <v>miércoles</v>
      </c>
      <c r="I322" s="1">
        <v>44468</v>
      </c>
      <c r="J322" s="2">
        <f>DATEDIF(Sheet1[[#This Row],[Fecha ingreso]],Sheet1[[#This Row],[Fecha último pago]],"M")+1</f>
        <v>1</v>
      </c>
      <c r="K322" s="2">
        <f>Sheet1[[#This Row],[Ingresos mensuales]]*Sheet1[[#This Row],[Meses contratados]]</f>
        <v>15.21</v>
      </c>
      <c r="L322" t="s">
        <v>1818</v>
      </c>
      <c r="M322">
        <v>66</v>
      </c>
      <c r="N322" t="s">
        <v>1822</v>
      </c>
      <c r="O322" t="s">
        <v>1824</v>
      </c>
      <c r="P322" t="s">
        <v>1826</v>
      </c>
      <c r="Q322" cm="1">
        <f t="array" ref="Q322">_xlfn.IFS(P322="2 Years", 24,P322="1 Year",12, P322="6 Months",6, P322="1 Month",1)</f>
        <v>24</v>
      </c>
      <c r="R322" t="str" cm="1">
        <f t="array" ref="R322">_xlfn.IFS(Q322=1,"Mensual",Q322=6,"Semestral",Q322=12,"Anual",Q322=24,"Bienal")</f>
        <v>Bienal</v>
      </c>
      <c r="S322">
        <f>IFERROR(VLOOKUP(Sheet1[[#This Row],[ID usuario]],A323:$A$907,1,FALSE),0)</f>
        <v>0</v>
      </c>
    </row>
    <row r="323" spans="1:19" x14ac:dyDescent="0.25">
      <c r="A323" t="s">
        <v>321</v>
      </c>
      <c r="B323" t="s">
        <v>1226</v>
      </c>
      <c r="C323" t="s">
        <v>1810</v>
      </c>
      <c r="D323">
        <v>32.32</v>
      </c>
      <c r="E323" s="1">
        <v>45236</v>
      </c>
      <c r="F323" s="1" t="str">
        <f>TEXT(Sheet1[[#This Row],[Fecha ingreso]],"mmmm")</f>
        <v>noviembre</v>
      </c>
      <c r="G323" s="2">
        <f>YEAR(Sheet1[[#This Row],[Fecha ingreso]])</f>
        <v>2023</v>
      </c>
      <c r="H323" s="1" t="str">
        <f>TEXT(Sheet1[[#This Row],[Fecha ingreso]],"dddd")</f>
        <v>lunes</v>
      </c>
      <c r="I323" s="1">
        <v>45393</v>
      </c>
      <c r="J323" s="2">
        <f>DATEDIF(Sheet1[[#This Row],[Fecha ingreso]],Sheet1[[#This Row],[Fecha último pago]],"M")+1</f>
        <v>6</v>
      </c>
      <c r="K323" s="2">
        <f>Sheet1[[#This Row],[Ingresos mensuales]]*Sheet1[[#This Row],[Meses contratados]]</f>
        <v>193.92000000000002</v>
      </c>
      <c r="L323" t="s">
        <v>1813</v>
      </c>
      <c r="M323">
        <v>62</v>
      </c>
      <c r="N323" t="s">
        <v>1822</v>
      </c>
      <c r="O323" t="s">
        <v>1823</v>
      </c>
      <c r="P323" t="s">
        <v>1826</v>
      </c>
      <c r="Q323" cm="1">
        <f t="array" ref="Q323">_xlfn.IFS(P323="2 Years", 24,P323="1 Year",12, P323="6 Months",6, P323="1 Month",1)</f>
        <v>24</v>
      </c>
      <c r="R323" t="str" cm="1">
        <f t="array" ref="R323">_xlfn.IFS(Q323=1,"Mensual",Q323=6,"Semestral",Q323=12,"Anual",Q323=24,"Bienal")</f>
        <v>Bienal</v>
      </c>
      <c r="S323">
        <f>IFERROR(VLOOKUP(Sheet1[[#This Row],[ID usuario]],A324:$A$907,1,FALSE),0)</f>
        <v>0</v>
      </c>
    </row>
    <row r="324" spans="1:19" x14ac:dyDescent="0.25">
      <c r="A324" t="s">
        <v>322</v>
      </c>
      <c r="B324" t="s">
        <v>1227</v>
      </c>
      <c r="C324" t="s">
        <v>1811</v>
      </c>
      <c r="D324">
        <v>48.39</v>
      </c>
      <c r="E324" s="1">
        <v>45447</v>
      </c>
      <c r="F324" s="1" t="str">
        <f>TEXT(Sheet1[[#This Row],[Fecha ingreso]],"mmmm")</f>
        <v>junio</v>
      </c>
      <c r="G324" s="2">
        <f>YEAR(Sheet1[[#This Row],[Fecha ingreso]])</f>
        <v>2024</v>
      </c>
      <c r="H324" s="1" t="str">
        <f>TEXT(Sheet1[[#This Row],[Fecha ingreso]],"dddd")</f>
        <v>martes</v>
      </c>
      <c r="I324" s="1">
        <v>45457</v>
      </c>
      <c r="J324" s="2">
        <f>DATEDIF(Sheet1[[#This Row],[Fecha ingreso]],Sheet1[[#This Row],[Fecha último pago]],"M")+1</f>
        <v>1</v>
      </c>
      <c r="K324" s="2">
        <f>Sheet1[[#This Row],[Ingresos mensuales]]*Sheet1[[#This Row],[Meses contratados]]</f>
        <v>48.39</v>
      </c>
      <c r="L324" t="s">
        <v>1815</v>
      </c>
      <c r="M324">
        <v>62</v>
      </c>
      <c r="N324" t="s">
        <v>1822</v>
      </c>
      <c r="O324" t="s">
        <v>1825</v>
      </c>
      <c r="P324" t="s">
        <v>1826</v>
      </c>
      <c r="Q324" cm="1">
        <f t="array" ref="Q324">_xlfn.IFS(P324="2 Years", 24,P324="1 Year",12, P324="6 Months",6, P324="1 Month",1)</f>
        <v>24</v>
      </c>
      <c r="R324" t="str" cm="1">
        <f t="array" ref="R324">_xlfn.IFS(Q324=1,"Mensual",Q324=6,"Semestral",Q324=12,"Anual",Q324=24,"Bienal")</f>
        <v>Bienal</v>
      </c>
      <c r="S324">
        <f>IFERROR(VLOOKUP(Sheet1[[#This Row],[ID usuario]],A325:$A$907,1,FALSE),0)</f>
        <v>0</v>
      </c>
    </row>
    <row r="325" spans="1:19" x14ac:dyDescent="0.25">
      <c r="A325" t="s">
        <v>323</v>
      </c>
      <c r="B325" t="s">
        <v>1228</v>
      </c>
      <c r="C325" t="s">
        <v>1812</v>
      </c>
      <c r="D325">
        <v>6.99</v>
      </c>
      <c r="E325" s="1">
        <v>44380</v>
      </c>
      <c r="F325" s="1" t="str">
        <f>TEXT(Sheet1[[#This Row],[Fecha ingreso]],"mmmm")</f>
        <v>julio</v>
      </c>
      <c r="G325" s="2">
        <f>YEAR(Sheet1[[#This Row],[Fecha ingreso]])</f>
        <v>2021</v>
      </c>
      <c r="H325" s="1" t="str">
        <f>TEXT(Sheet1[[#This Row],[Fecha ingreso]],"dddd")</f>
        <v>sábado</v>
      </c>
      <c r="I325" s="1">
        <v>44516</v>
      </c>
      <c r="J325" s="2">
        <f>DATEDIF(Sheet1[[#This Row],[Fecha ingreso]],Sheet1[[#This Row],[Fecha último pago]],"M")+1</f>
        <v>5</v>
      </c>
      <c r="K325" s="2">
        <f>Sheet1[[#This Row],[Ingresos mensuales]]*Sheet1[[#This Row],[Meses contratados]]</f>
        <v>34.950000000000003</v>
      </c>
      <c r="L325" t="s">
        <v>1815</v>
      </c>
      <c r="M325">
        <v>60</v>
      </c>
      <c r="N325" t="s">
        <v>1822</v>
      </c>
      <c r="O325" t="s">
        <v>1823</v>
      </c>
      <c r="P325" t="s">
        <v>1827</v>
      </c>
      <c r="Q325" cm="1">
        <f t="array" ref="Q325">_xlfn.IFS(P325="2 Years", 24,P325="1 Year",12, P325="6 Months",6, P325="1 Month",1)</f>
        <v>12</v>
      </c>
      <c r="R325" t="str" cm="1">
        <f t="array" ref="R325">_xlfn.IFS(Q325=1,"Mensual",Q325=6,"Semestral",Q325=12,"Anual",Q325=24,"Bienal")</f>
        <v>Anual</v>
      </c>
      <c r="S325">
        <f>IFERROR(VLOOKUP(Sheet1[[#This Row],[ID usuario]],A326:$A$907,1,FALSE),0)</f>
        <v>0</v>
      </c>
    </row>
    <row r="326" spans="1:19" x14ac:dyDescent="0.25">
      <c r="A326" t="s">
        <v>324</v>
      </c>
      <c r="B326" t="s">
        <v>1229</v>
      </c>
      <c r="C326" t="s">
        <v>1812</v>
      </c>
      <c r="D326">
        <v>44.1</v>
      </c>
      <c r="E326" s="1">
        <v>45222</v>
      </c>
      <c r="F326" s="1" t="str">
        <f>TEXT(Sheet1[[#This Row],[Fecha ingreso]],"mmmm")</f>
        <v>octubre</v>
      </c>
      <c r="G326" s="2">
        <f>YEAR(Sheet1[[#This Row],[Fecha ingreso]])</f>
        <v>2023</v>
      </c>
      <c r="H326" s="1" t="str">
        <f>TEXT(Sheet1[[#This Row],[Fecha ingreso]],"dddd")</f>
        <v>lunes</v>
      </c>
      <c r="I326" s="1">
        <v>45447</v>
      </c>
      <c r="J326" s="2">
        <f>DATEDIF(Sheet1[[#This Row],[Fecha ingreso]],Sheet1[[#This Row],[Fecha último pago]],"M")+1</f>
        <v>8</v>
      </c>
      <c r="K326" s="2">
        <f>Sheet1[[#This Row],[Ingresos mensuales]]*Sheet1[[#This Row],[Meses contratados]]</f>
        <v>352.8</v>
      </c>
      <c r="L326" t="s">
        <v>1817</v>
      </c>
      <c r="M326">
        <v>19</v>
      </c>
      <c r="N326" t="s">
        <v>1821</v>
      </c>
      <c r="O326" t="s">
        <v>1824</v>
      </c>
      <c r="P326" t="s">
        <v>1827</v>
      </c>
      <c r="Q326" cm="1">
        <f t="array" ref="Q326">_xlfn.IFS(P326="2 Years", 24,P326="1 Year",12, P326="6 Months",6, P326="1 Month",1)</f>
        <v>12</v>
      </c>
      <c r="R326" t="str" cm="1">
        <f t="array" ref="R326">_xlfn.IFS(Q326=1,"Mensual",Q326=6,"Semestral",Q326=12,"Anual",Q326=24,"Bienal")</f>
        <v>Anual</v>
      </c>
      <c r="S326">
        <f>IFERROR(VLOOKUP(Sheet1[[#This Row],[ID usuario]],A327:$A$907,1,FALSE),0)</f>
        <v>0</v>
      </c>
    </row>
    <row r="327" spans="1:19" x14ac:dyDescent="0.25">
      <c r="A327" t="s">
        <v>325</v>
      </c>
      <c r="B327" t="s">
        <v>1230</v>
      </c>
      <c r="C327" t="s">
        <v>1810</v>
      </c>
      <c r="D327">
        <v>51.5</v>
      </c>
      <c r="E327" s="1">
        <v>45270</v>
      </c>
      <c r="F327" s="1" t="str">
        <f>TEXT(Sheet1[[#This Row],[Fecha ingreso]],"mmmm")</f>
        <v>diciembre</v>
      </c>
      <c r="G327" s="2">
        <f>YEAR(Sheet1[[#This Row],[Fecha ingreso]])</f>
        <v>2023</v>
      </c>
      <c r="H327" s="1" t="str">
        <f>TEXT(Sheet1[[#This Row],[Fecha ingreso]],"dddd")</f>
        <v>domingo</v>
      </c>
      <c r="I327" s="1">
        <v>45376</v>
      </c>
      <c r="J327" s="2">
        <f>DATEDIF(Sheet1[[#This Row],[Fecha ingreso]],Sheet1[[#This Row],[Fecha último pago]],"M")+1</f>
        <v>4</v>
      </c>
      <c r="K327" s="2">
        <f>Sheet1[[#This Row],[Ingresos mensuales]]*Sheet1[[#This Row],[Meses contratados]]</f>
        <v>206</v>
      </c>
      <c r="L327" t="s">
        <v>1817</v>
      </c>
      <c r="M327">
        <v>26</v>
      </c>
      <c r="N327" t="s">
        <v>1822</v>
      </c>
      <c r="O327" t="s">
        <v>1824</v>
      </c>
      <c r="P327" t="s">
        <v>1826</v>
      </c>
      <c r="Q327" cm="1">
        <f t="array" ref="Q327">_xlfn.IFS(P327="2 Years", 24,P327="1 Year",12, P327="6 Months",6, P327="1 Month",1)</f>
        <v>24</v>
      </c>
      <c r="R327" t="str" cm="1">
        <f t="array" ref="R327">_xlfn.IFS(Q327=1,"Mensual",Q327=6,"Semestral",Q327=12,"Anual",Q327=24,"Bienal")</f>
        <v>Bienal</v>
      </c>
      <c r="S327">
        <f>IFERROR(VLOOKUP(Sheet1[[#This Row],[ID usuario]],A328:$A$907,1,FALSE),0)</f>
        <v>0</v>
      </c>
    </row>
    <row r="328" spans="1:19" x14ac:dyDescent="0.25">
      <c r="A328" t="s">
        <v>326</v>
      </c>
      <c r="B328" t="s">
        <v>1231</v>
      </c>
      <c r="C328" t="s">
        <v>1812</v>
      </c>
      <c r="D328">
        <v>28.15</v>
      </c>
      <c r="E328" s="1">
        <v>44687</v>
      </c>
      <c r="F328" s="1" t="str">
        <f>TEXT(Sheet1[[#This Row],[Fecha ingreso]],"mmmm")</f>
        <v>mayo</v>
      </c>
      <c r="G328" s="2">
        <f>YEAR(Sheet1[[#This Row],[Fecha ingreso]])</f>
        <v>2022</v>
      </c>
      <c r="H328" s="1" t="str">
        <f>TEXT(Sheet1[[#This Row],[Fecha ingreso]],"dddd")</f>
        <v>viernes</v>
      </c>
      <c r="I328" s="1">
        <v>44783</v>
      </c>
      <c r="J328" s="2">
        <f>DATEDIF(Sheet1[[#This Row],[Fecha ingreso]],Sheet1[[#This Row],[Fecha último pago]],"M")+1</f>
        <v>4</v>
      </c>
      <c r="K328" s="2">
        <f>Sheet1[[#This Row],[Ingresos mensuales]]*Sheet1[[#This Row],[Meses contratados]]</f>
        <v>112.6</v>
      </c>
      <c r="L328" t="s">
        <v>1814</v>
      </c>
      <c r="M328">
        <v>18</v>
      </c>
      <c r="N328" t="s">
        <v>1821</v>
      </c>
      <c r="O328" t="s">
        <v>1824</v>
      </c>
      <c r="P328" t="s">
        <v>1829</v>
      </c>
      <c r="Q328" cm="1">
        <f t="array" ref="Q328">_xlfn.IFS(P328="2 Years", 24,P328="1 Year",12, P328="6 Months",6, P328="1 Month",1)</f>
        <v>1</v>
      </c>
      <c r="R328" t="str" cm="1">
        <f t="array" ref="R328">_xlfn.IFS(Q328=1,"Mensual",Q328=6,"Semestral",Q328=12,"Anual",Q328=24,"Bienal")</f>
        <v>Mensual</v>
      </c>
      <c r="S328">
        <f>IFERROR(VLOOKUP(Sheet1[[#This Row],[ID usuario]],A329:$A$907,1,FALSE),0)</f>
        <v>0</v>
      </c>
    </row>
    <row r="329" spans="1:19" x14ac:dyDescent="0.25">
      <c r="A329" t="s">
        <v>327</v>
      </c>
      <c r="B329" t="s">
        <v>1232</v>
      </c>
      <c r="C329" t="s">
        <v>1811</v>
      </c>
      <c r="D329">
        <v>60.92</v>
      </c>
      <c r="E329" s="1">
        <v>44593</v>
      </c>
      <c r="F329" s="1" t="str">
        <f>TEXT(Sheet1[[#This Row],[Fecha ingreso]],"mmmm")</f>
        <v>febrero</v>
      </c>
      <c r="G329" s="2">
        <f>YEAR(Sheet1[[#This Row],[Fecha ingreso]])</f>
        <v>2022</v>
      </c>
      <c r="H329" s="1" t="str">
        <f>TEXT(Sheet1[[#This Row],[Fecha ingreso]],"dddd")</f>
        <v>martes</v>
      </c>
      <c r="I329" s="1">
        <v>44761</v>
      </c>
      <c r="J329" s="2">
        <f>DATEDIF(Sheet1[[#This Row],[Fecha ingreso]],Sheet1[[#This Row],[Fecha último pago]],"M")+1</f>
        <v>6</v>
      </c>
      <c r="K329" s="2">
        <f>Sheet1[[#This Row],[Ingresos mensuales]]*Sheet1[[#This Row],[Meses contratados]]</f>
        <v>365.52</v>
      </c>
      <c r="L329" t="s">
        <v>1813</v>
      </c>
      <c r="M329">
        <v>29</v>
      </c>
      <c r="N329" t="s">
        <v>1821</v>
      </c>
      <c r="O329" t="s">
        <v>1824</v>
      </c>
      <c r="P329" t="s">
        <v>1828</v>
      </c>
      <c r="Q329" cm="1">
        <f t="array" ref="Q329">_xlfn.IFS(P329="2 Years", 24,P329="1 Year",12, P329="6 Months",6, P329="1 Month",1)</f>
        <v>6</v>
      </c>
      <c r="R329" t="str" cm="1">
        <f t="array" ref="R329">_xlfn.IFS(Q329=1,"Mensual",Q329=6,"Semestral",Q329=12,"Anual",Q329=24,"Bienal")</f>
        <v>Semestral</v>
      </c>
      <c r="S329">
        <f>IFERROR(VLOOKUP(Sheet1[[#This Row],[ID usuario]],A330:$A$907,1,FALSE),0)</f>
        <v>0</v>
      </c>
    </row>
    <row r="330" spans="1:19" x14ac:dyDescent="0.25">
      <c r="A330" t="s">
        <v>328</v>
      </c>
      <c r="B330" t="s">
        <v>1233</v>
      </c>
      <c r="C330" t="s">
        <v>1811</v>
      </c>
      <c r="D330">
        <v>76.56</v>
      </c>
      <c r="E330" s="1">
        <v>45350</v>
      </c>
      <c r="F330" s="1" t="str">
        <f>TEXT(Sheet1[[#This Row],[Fecha ingreso]],"mmmm")</f>
        <v>febrero</v>
      </c>
      <c r="G330" s="2">
        <f>YEAR(Sheet1[[#This Row],[Fecha ingreso]])</f>
        <v>2024</v>
      </c>
      <c r="H330" s="1" t="str">
        <f>TEXT(Sheet1[[#This Row],[Fecha ingreso]],"dddd")</f>
        <v>miércoles</v>
      </c>
      <c r="I330" s="1">
        <v>45421</v>
      </c>
      <c r="J330" s="2">
        <f>DATEDIF(Sheet1[[#This Row],[Fecha ingreso]],Sheet1[[#This Row],[Fecha último pago]],"M")+1</f>
        <v>3</v>
      </c>
      <c r="K330" s="2">
        <f>Sheet1[[#This Row],[Ingresos mensuales]]*Sheet1[[#This Row],[Meses contratados]]</f>
        <v>229.68</v>
      </c>
      <c r="L330" t="s">
        <v>1815</v>
      </c>
      <c r="M330">
        <v>44</v>
      </c>
      <c r="N330" t="s">
        <v>1821</v>
      </c>
      <c r="O330" t="s">
        <v>1823</v>
      </c>
      <c r="P330" t="s">
        <v>1827</v>
      </c>
      <c r="Q330" cm="1">
        <f t="array" ref="Q330">_xlfn.IFS(P330="2 Years", 24,P330="1 Year",12, P330="6 Months",6, P330="1 Month",1)</f>
        <v>12</v>
      </c>
      <c r="R330" t="str" cm="1">
        <f t="array" ref="R330">_xlfn.IFS(Q330=1,"Mensual",Q330=6,"Semestral",Q330=12,"Anual",Q330=24,"Bienal")</f>
        <v>Anual</v>
      </c>
      <c r="S330">
        <f>IFERROR(VLOOKUP(Sheet1[[#This Row],[ID usuario]],A331:$A$907,1,FALSE),0)</f>
        <v>0</v>
      </c>
    </row>
    <row r="331" spans="1:19" x14ac:dyDescent="0.25">
      <c r="A331" t="s">
        <v>329</v>
      </c>
      <c r="B331" t="s">
        <v>1234</v>
      </c>
      <c r="C331" t="s">
        <v>1812</v>
      </c>
      <c r="D331">
        <v>27.4</v>
      </c>
      <c r="E331" s="1">
        <v>45215</v>
      </c>
      <c r="F331" s="1" t="str">
        <f>TEXT(Sheet1[[#This Row],[Fecha ingreso]],"mmmm")</f>
        <v>octubre</v>
      </c>
      <c r="G331" s="2">
        <f>YEAR(Sheet1[[#This Row],[Fecha ingreso]])</f>
        <v>2023</v>
      </c>
      <c r="H331" s="1" t="str">
        <f>TEXT(Sheet1[[#This Row],[Fecha ingreso]],"dddd")</f>
        <v>lunes</v>
      </c>
      <c r="I331" s="1">
        <v>45247</v>
      </c>
      <c r="J331" s="2">
        <f>DATEDIF(Sheet1[[#This Row],[Fecha ingreso]],Sheet1[[#This Row],[Fecha último pago]],"M")+1</f>
        <v>2</v>
      </c>
      <c r="K331" s="2">
        <f>Sheet1[[#This Row],[Ingresos mensuales]]*Sheet1[[#This Row],[Meses contratados]]</f>
        <v>54.8</v>
      </c>
      <c r="L331" t="s">
        <v>1818</v>
      </c>
      <c r="M331">
        <v>48</v>
      </c>
      <c r="N331" t="s">
        <v>1820</v>
      </c>
      <c r="O331" t="s">
        <v>1823</v>
      </c>
      <c r="P331" t="s">
        <v>1827</v>
      </c>
      <c r="Q331" cm="1">
        <f t="array" ref="Q331">_xlfn.IFS(P331="2 Years", 24,P331="1 Year",12, P331="6 Months",6, P331="1 Month",1)</f>
        <v>12</v>
      </c>
      <c r="R331" t="str" cm="1">
        <f t="array" ref="R331">_xlfn.IFS(Q331=1,"Mensual",Q331=6,"Semestral",Q331=12,"Anual",Q331=24,"Bienal")</f>
        <v>Anual</v>
      </c>
      <c r="S331">
        <f>IFERROR(VLOOKUP(Sheet1[[#This Row],[ID usuario]],A332:$A$907,1,FALSE),0)</f>
        <v>0</v>
      </c>
    </row>
    <row r="332" spans="1:19" x14ac:dyDescent="0.25">
      <c r="A332" t="s">
        <v>330</v>
      </c>
      <c r="B332" t="s">
        <v>1235</v>
      </c>
      <c r="C332" t="s">
        <v>1812</v>
      </c>
      <c r="D332">
        <v>65.760000000000005</v>
      </c>
      <c r="E332" s="1">
        <v>44822</v>
      </c>
      <c r="F332" s="1" t="str">
        <f>TEXT(Sheet1[[#This Row],[Fecha ingreso]],"mmmm")</f>
        <v>septiembre</v>
      </c>
      <c r="G332" s="2">
        <f>YEAR(Sheet1[[#This Row],[Fecha ingreso]])</f>
        <v>2022</v>
      </c>
      <c r="H332" s="1" t="str">
        <f>TEXT(Sheet1[[#This Row],[Fecha ingreso]],"dddd")</f>
        <v>domingo</v>
      </c>
      <c r="I332" s="1">
        <v>45221</v>
      </c>
      <c r="J332" s="2">
        <f>DATEDIF(Sheet1[[#This Row],[Fecha ingreso]],Sheet1[[#This Row],[Fecha último pago]],"M")+1</f>
        <v>14</v>
      </c>
      <c r="K332" s="2">
        <f>Sheet1[[#This Row],[Ingresos mensuales]]*Sheet1[[#This Row],[Meses contratados]]</f>
        <v>920.6400000000001</v>
      </c>
      <c r="L332" t="s">
        <v>1815</v>
      </c>
      <c r="M332">
        <v>60</v>
      </c>
      <c r="N332" t="s">
        <v>1822</v>
      </c>
      <c r="O332" t="s">
        <v>1824</v>
      </c>
      <c r="P332" t="s">
        <v>1827</v>
      </c>
      <c r="Q332" cm="1">
        <f t="array" ref="Q332">_xlfn.IFS(P332="2 Years", 24,P332="1 Year",12, P332="6 Months",6, P332="1 Month",1)</f>
        <v>12</v>
      </c>
      <c r="R332" t="str" cm="1">
        <f t="array" ref="R332">_xlfn.IFS(Q332=1,"Mensual",Q332=6,"Semestral",Q332=12,"Anual",Q332=24,"Bienal")</f>
        <v>Anual</v>
      </c>
      <c r="S332">
        <f>IFERROR(VLOOKUP(Sheet1[[#This Row],[ID usuario]],A333:$A$907,1,FALSE),0)</f>
        <v>0</v>
      </c>
    </row>
    <row r="333" spans="1:19" x14ac:dyDescent="0.25">
      <c r="A333" t="s">
        <v>331</v>
      </c>
      <c r="B333" t="s">
        <v>1236</v>
      </c>
      <c r="C333" t="s">
        <v>1812</v>
      </c>
      <c r="D333">
        <v>95.11</v>
      </c>
      <c r="E333" s="1">
        <v>44659</v>
      </c>
      <c r="F333" s="1" t="str">
        <f>TEXT(Sheet1[[#This Row],[Fecha ingreso]],"mmmm")</f>
        <v>abril</v>
      </c>
      <c r="G333" s="2">
        <f>YEAR(Sheet1[[#This Row],[Fecha ingreso]])</f>
        <v>2022</v>
      </c>
      <c r="H333" s="1" t="str">
        <f>TEXT(Sheet1[[#This Row],[Fecha ingreso]],"dddd")</f>
        <v>viernes</v>
      </c>
      <c r="I333" s="1">
        <v>44812</v>
      </c>
      <c r="J333" s="2">
        <f>DATEDIF(Sheet1[[#This Row],[Fecha ingreso]],Sheet1[[#This Row],[Fecha último pago]],"M")+1</f>
        <v>6</v>
      </c>
      <c r="K333" s="2">
        <f>Sheet1[[#This Row],[Ingresos mensuales]]*Sheet1[[#This Row],[Meses contratados]]</f>
        <v>570.66</v>
      </c>
      <c r="L333" t="s">
        <v>1813</v>
      </c>
      <c r="M333">
        <v>37</v>
      </c>
      <c r="N333" t="s">
        <v>1821</v>
      </c>
      <c r="O333" t="s">
        <v>1823</v>
      </c>
      <c r="P333" t="s">
        <v>1826</v>
      </c>
      <c r="Q333" cm="1">
        <f t="array" ref="Q333">_xlfn.IFS(P333="2 Years", 24,P333="1 Year",12, P333="6 Months",6, P333="1 Month",1)</f>
        <v>24</v>
      </c>
      <c r="R333" t="str" cm="1">
        <f t="array" ref="R333">_xlfn.IFS(Q333=1,"Mensual",Q333=6,"Semestral",Q333=12,"Anual",Q333=24,"Bienal")</f>
        <v>Bienal</v>
      </c>
      <c r="S333">
        <f>IFERROR(VLOOKUP(Sheet1[[#This Row],[ID usuario]],A334:$A$907,1,FALSE),0)</f>
        <v>0</v>
      </c>
    </row>
    <row r="334" spans="1:19" x14ac:dyDescent="0.25">
      <c r="A334" t="s">
        <v>332</v>
      </c>
      <c r="B334" t="s">
        <v>1237</v>
      </c>
      <c r="C334" t="s">
        <v>1811</v>
      </c>
      <c r="D334">
        <v>78.94</v>
      </c>
      <c r="E334" s="1">
        <v>45201</v>
      </c>
      <c r="F334" s="1" t="str">
        <f>TEXT(Sheet1[[#This Row],[Fecha ingreso]],"mmmm")</f>
        <v>octubre</v>
      </c>
      <c r="G334" s="2">
        <f>YEAR(Sheet1[[#This Row],[Fecha ingreso]])</f>
        <v>2023</v>
      </c>
      <c r="H334" s="1" t="str">
        <f>TEXT(Sheet1[[#This Row],[Fecha ingreso]],"dddd")</f>
        <v>lunes</v>
      </c>
      <c r="I334" s="1">
        <v>45213</v>
      </c>
      <c r="J334" s="2">
        <f>DATEDIF(Sheet1[[#This Row],[Fecha ingreso]],Sheet1[[#This Row],[Fecha último pago]],"M")+1</f>
        <v>1</v>
      </c>
      <c r="K334" s="2">
        <f>Sheet1[[#This Row],[Ingresos mensuales]]*Sheet1[[#This Row],[Meses contratados]]</f>
        <v>78.94</v>
      </c>
      <c r="L334" t="s">
        <v>1815</v>
      </c>
      <c r="M334">
        <v>39</v>
      </c>
      <c r="N334" t="s">
        <v>1822</v>
      </c>
      <c r="O334" t="s">
        <v>1823</v>
      </c>
      <c r="P334" t="s">
        <v>1829</v>
      </c>
      <c r="Q334" cm="1">
        <f t="array" ref="Q334">_xlfn.IFS(P334="2 Years", 24,P334="1 Year",12, P334="6 Months",6, P334="1 Month",1)</f>
        <v>1</v>
      </c>
      <c r="R334" t="str" cm="1">
        <f t="array" ref="R334">_xlfn.IFS(Q334=1,"Mensual",Q334=6,"Semestral",Q334=12,"Anual",Q334=24,"Bienal")</f>
        <v>Mensual</v>
      </c>
      <c r="S334">
        <f>IFERROR(VLOOKUP(Sheet1[[#This Row],[ID usuario]],A335:$A$907,1,FALSE),0)</f>
        <v>0</v>
      </c>
    </row>
    <row r="335" spans="1:19" x14ac:dyDescent="0.25">
      <c r="A335" t="s">
        <v>333</v>
      </c>
      <c r="B335" t="s">
        <v>1238</v>
      </c>
      <c r="C335" t="s">
        <v>1812</v>
      </c>
      <c r="D335">
        <v>85.59</v>
      </c>
      <c r="E335" s="1">
        <v>44676</v>
      </c>
      <c r="F335" s="1" t="str">
        <f>TEXT(Sheet1[[#This Row],[Fecha ingreso]],"mmmm")</f>
        <v>abril</v>
      </c>
      <c r="G335" s="2">
        <f>YEAR(Sheet1[[#This Row],[Fecha ingreso]])</f>
        <v>2022</v>
      </c>
      <c r="H335" s="1" t="str">
        <f>TEXT(Sheet1[[#This Row],[Fecha ingreso]],"dddd")</f>
        <v>lunes</v>
      </c>
      <c r="I335" s="1">
        <v>44677</v>
      </c>
      <c r="J335" s="2">
        <f>DATEDIF(Sheet1[[#This Row],[Fecha ingreso]],Sheet1[[#This Row],[Fecha último pago]],"M")+1</f>
        <v>1</v>
      </c>
      <c r="K335" s="2">
        <f>Sheet1[[#This Row],[Ingresos mensuales]]*Sheet1[[#This Row],[Meses contratados]]</f>
        <v>85.59</v>
      </c>
      <c r="L335" t="s">
        <v>1817</v>
      </c>
      <c r="M335">
        <v>65</v>
      </c>
      <c r="N335" t="s">
        <v>1820</v>
      </c>
      <c r="O335" t="s">
        <v>1824</v>
      </c>
      <c r="P335" t="s">
        <v>1827</v>
      </c>
      <c r="Q335" cm="1">
        <f t="array" ref="Q335">_xlfn.IFS(P335="2 Years", 24,P335="1 Year",12, P335="6 Months",6, P335="1 Month",1)</f>
        <v>12</v>
      </c>
      <c r="R335" t="str" cm="1">
        <f t="array" ref="R335">_xlfn.IFS(Q335=1,"Mensual",Q335=6,"Semestral",Q335=12,"Anual",Q335=24,"Bienal")</f>
        <v>Anual</v>
      </c>
      <c r="S335">
        <f>IFERROR(VLOOKUP(Sheet1[[#This Row],[ID usuario]],A336:$A$907,1,FALSE),0)</f>
        <v>0</v>
      </c>
    </row>
    <row r="336" spans="1:19" x14ac:dyDescent="0.25">
      <c r="A336" t="s">
        <v>334</v>
      </c>
      <c r="B336" t="s">
        <v>1239</v>
      </c>
      <c r="C336" t="s">
        <v>1810</v>
      </c>
      <c r="D336">
        <v>51.59</v>
      </c>
      <c r="E336" s="1">
        <v>44742</v>
      </c>
      <c r="F336" s="1" t="str">
        <f>TEXT(Sheet1[[#This Row],[Fecha ingreso]],"mmmm")</f>
        <v>junio</v>
      </c>
      <c r="G336" s="2">
        <f>YEAR(Sheet1[[#This Row],[Fecha ingreso]])</f>
        <v>2022</v>
      </c>
      <c r="H336" s="1" t="str">
        <f>TEXT(Sheet1[[#This Row],[Fecha ingreso]],"dddd")</f>
        <v>jueves</v>
      </c>
      <c r="I336" s="1">
        <v>45238</v>
      </c>
      <c r="J336" s="2">
        <f>DATEDIF(Sheet1[[#This Row],[Fecha ingreso]],Sheet1[[#This Row],[Fecha último pago]],"M")+1</f>
        <v>17</v>
      </c>
      <c r="K336" s="2">
        <f>Sheet1[[#This Row],[Ingresos mensuales]]*Sheet1[[#This Row],[Meses contratados]]</f>
        <v>877.03000000000009</v>
      </c>
      <c r="L336" t="s">
        <v>1817</v>
      </c>
      <c r="M336">
        <v>19</v>
      </c>
      <c r="N336" t="s">
        <v>1820</v>
      </c>
      <c r="O336" t="s">
        <v>1823</v>
      </c>
      <c r="P336" t="s">
        <v>1828</v>
      </c>
      <c r="Q336" cm="1">
        <f t="array" ref="Q336">_xlfn.IFS(P336="2 Years", 24,P336="1 Year",12, P336="6 Months",6, P336="1 Month",1)</f>
        <v>6</v>
      </c>
      <c r="R336" t="str" cm="1">
        <f t="array" ref="R336">_xlfn.IFS(Q336=1,"Mensual",Q336=6,"Semestral",Q336=12,"Anual",Q336=24,"Bienal")</f>
        <v>Semestral</v>
      </c>
      <c r="S336">
        <f>IFERROR(VLOOKUP(Sheet1[[#This Row],[ID usuario]],A337:$A$907,1,FALSE),0)</f>
        <v>0</v>
      </c>
    </row>
    <row r="337" spans="1:19" x14ac:dyDescent="0.25">
      <c r="A337" t="s">
        <v>335</v>
      </c>
      <c r="B337" t="s">
        <v>1240</v>
      </c>
      <c r="C337" t="s">
        <v>1810</v>
      </c>
      <c r="D337">
        <v>22.61</v>
      </c>
      <c r="E337" s="1">
        <v>44402</v>
      </c>
      <c r="F337" s="1" t="str">
        <f>TEXT(Sheet1[[#This Row],[Fecha ingreso]],"mmmm")</f>
        <v>julio</v>
      </c>
      <c r="G337" s="2">
        <f>YEAR(Sheet1[[#This Row],[Fecha ingreso]])</f>
        <v>2021</v>
      </c>
      <c r="H337" s="1" t="str">
        <f>TEXT(Sheet1[[#This Row],[Fecha ingreso]],"dddd")</f>
        <v>domingo</v>
      </c>
      <c r="I337" s="1">
        <v>44773</v>
      </c>
      <c r="J337" s="2">
        <f>DATEDIF(Sheet1[[#This Row],[Fecha ingreso]],Sheet1[[#This Row],[Fecha último pago]],"M")+1</f>
        <v>13</v>
      </c>
      <c r="K337" s="2">
        <f>Sheet1[[#This Row],[Ingresos mensuales]]*Sheet1[[#This Row],[Meses contratados]]</f>
        <v>293.93</v>
      </c>
      <c r="L337" t="s">
        <v>1815</v>
      </c>
      <c r="M337">
        <v>36</v>
      </c>
      <c r="N337" t="s">
        <v>1820</v>
      </c>
      <c r="O337" t="s">
        <v>1823</v>
      </c>
      <c r="P337" t="s">
        <v>1826</v>
      </c>
      <c r="Q337" cm="1">
        <f t="array" ref="Q337">_xlfn.IFS(P337="2 Years", 24,P337="1 Year",12, P337="6 Months",6, P337="1 Month",1)</f>
        <v>24</v>
      </c>
      <c r="R337" t="str" cm="1">
        <f t="array" ref="R337">_xlfn.IFS(Q337=1,"Mensual",Q337=6,"Semestral",Q337=12,"Anual",Q337=24,"Bienal")</f>
        <v>Bienal</v>
      </c>
      <c r="S337">
        <f>IFERROR(VLOOKUP(Sheet1[[#This Row],[ID usuario]],A338:$A$907,1,FALSE),0)</f>
        <v>0</v>
      </c>
    </row>
    <row r="338" spans="1:19" x14ac:dyDescent="0.25">
      <c r="A338" t="s">
        <v>336</v>
      </c>
      <c r="B338" t="s">
        <v>1241</v>
      </c>
      <c r="C338" t="s">
        <v>1812</v>
      </c>
      <c r="D338">
        <v>99.6</v>
      </c>
      <c r="E338" s="1">
        <v>45036</v>
      </c>
      <c r="F338" s="1" t="str">
        <f>TEXT(Sheet1[[#This Row],[Fecha ingreso]],"mmmm")</f>
        <v>abril</v>
      </c>
      <c r="G338" s="2">
        <f>YEAR(Sheet1[[#This Row],[Fecha ingreso]])</f>
        <v>2023</v>
      </c>
      <c r="H338" s="1" t="str">
        <f>TEXT(Sheet1[[#This Row],[Fecha ingreso]],"dddd")</f>
        <v>jueves</v>
      </c>
      <c r="I338" s="1">
        <v>45290</v>
      </c>
      <c r="J338" s="2">
        <f>DATEDIF(Sheet1[[#This Row],[Fecha ingreso]],Sheet1[[#This Row],[Fecha último pago]],"M")+1</f>
        <v>9</v>
      </c>
      <c r="K338" s="2">
        <f>Sheet1[[#This Row],[Ingresos mensuales]]*Sheet1[[#This Row],[Meses contratados]]</f>
        <v>896.4</v>
      </c>
      <c r="L338" t="s">
        <v>1816</v>
      </c>
      <c r="M338">
        <v>46</v>
      </c>
      <c r="N338" t="s">
        <v>1821</v>
      </c>
      <c r="O338" t="s">
        <v>1824</v>
      </c>
      <c r="P338" t="s">
        <v>1826</v>
      </c>
      <c r="Q338" cm="1">
        <f t="array" ref="Q338">_xlfn.IFS(P338="2 Years", 24,P338="1 Year",12, P338="6 Months",6, P338="1 Month",1)</f>
        <v>24</v>
      </c>
      <c r="R338" t="str" cm="1">
        <f t="array" ref="R338">_xlfn.IFS(Q338=1,"Mensual",Q338=6,"Semestral",Q338=12,"Anual",Q338=24,"Bienal")</f>
        <v>Bienal</v>
      </c>
      <c r="S338">
        <f>IFERROR(VLOOKUP(Sheet1[[#This Row],[ID usuario]],A339:$A$907,1,FALSE),0)</f>
        <v>0</v>
      </c>
    </row>
    <row r="339" spans="1:19" x14ac:dyDescent="0.25">
      <c r="A339" t="s">
        <v>337</v>
      </c>
      <c r="B339" t="s">
        <v>1242</v>
      </c>
      <c r="C339" t="s">
        <v>1811</v>
      </c>
      <c r="D339">
        <v>17.29</v>
      </c>
      <c r="E339" s="1">
        <v>44869</v>
      </c>
      <c r="F339" s="1" t="str">
        <f>TEXT(Sheet1[[#This Row],[Fecha ingreso]],"mmmm")</f>
        <v>noviembre</v>
      </c>
      <c r="G339" s="2">
        <f>YEAR(Sheet1[[#This Row],[Fecha ingreso]])</f>
        <v>2022</v>
      </c>
      <c r="H339" s="1" t="str">
        <f>TEXT(Sheet1[[#This Row],[Fecha ingreso]],"dddd")</f>
        <v>viernes</v>
      </c>
      <c r="I339" s="1">
        <v>44947</v>
      </c>
      <c r="J339" s="2">
        <f>DATEDIF(Sheet1[[#This Row],[Fecha ingreso]],Sheet1[[#This Row],[Fecha último pago]],"M")+1</f>
        <v>3</v>
      </c>
      <c r="K339" s="2">
        <f>Sheet1[[#This Row],[Ingresos mensuales]]*Sheet1[[#This Row],[Meses contratados]]</f>
        <v>51.87</v>
      </c>
      <c r="L339" t="s">
        <v>1814</v>
      </c>
      <c r="M339">
        <v>29</v>
      </c>
      <c r="N339" t="s">
        <v>1820</v>
      </c>
      <c r="O339" t="s">
        <v>1825</v>
      </c>
      <c r="P339" t="s">
        <v>1828</v>
      </c>
      <c r="Q339" cm="1">
        <f t="array" ref="Q339">_xlfn.IFS(P339="2 Years", 24,P339="1 Year",12, P339="6 Months",6, P339="1 Month",1)</f>
        <v>6</v>
      </c>
      <c r="R339" t="str" cm="1">
        <f t="array" ref="R339">_xlfn.IFS(Q339=1,"Mensual",Q339=6,"Semestral",Q339=12,"Anual",Q339=24,"Bienal")</f>
        <v>Semestral</v>
      </c>
      <c r="S339">
        <f>IFERROR(VLOOKUP(Sheet1[[#This Row],[ID usuario]],A340:$A$907,1,FALSE),0)</f>
        <v>0</v>
      </c>
    </row>
    <row r="340" spans="1:19" x14ac:dyDescent="0.25">
      <c r="A340" t="s">
        <v>338</v>
      </c>
      <c r="B340" t="s">
        <v>1243</v>
      </c>
      <c r="C340" t="s">
        <v>1811</v>
      </c>
      <c r="D340">
        <v>49.79</v>
      </c>
      <c r="E340" s="1">
        <v>44659</v>
      </c>
      <c r="F340" s="1" t="str">
        <f>TEXT(Sheet1[[#This Row],[Fecha ingreso]],"mmmm")</f>
        <v>abril</v>
      </c>
      <c r="G340" s="2">
        <f>YEAR(Sheet1[[#This Row],[Fecha ingreso]])</f>
        <v>2022</v>
      </c>
      <c r="H340" s="1" t="str">
        <f>TEXT(Sheet1[[#This Row],[Fecha ingreso]],"dddd")</f>
        <v>viernes</v>
      </c>
      <c r="I340" s="1">
        <v>44929</v>
      </c>
      <c r="J340" s="2">
        <f>DATEDIF(Sheet1[[#This Row],[Fecha ingreso]],Sheet1[[#This Row],[Fecha último pago]],"M")+1</f>
        <v>9</v>
      </c>
      <c r="K340" s="2">
        <f>Sheet1[[#This Row],[Ingresos mensuales]]*Sheet1[[#This Row],[Meses contratados]]</f>
        <v>448.11</v>
      </c>
      <c r="L340" t="s">
        <v>1814</v>
      </c>
      <c r="M340">
        <v>67</v>
      </c>
      <c r="N340" t="s">
        <v>1820</v>
      </c>
      <c r="O340" t="s">
        <v>1825</v>
      </c>
      <c r="P340" t="s">
        <v>1827</v>
      </c>
      <c r="Q340" cm="1">
        <f t="array" ref="Q340">_xlfn.IFS(P340="2 Years", 24,P340="1 Year",12, P340="6 Months",6, P340="1 Month",1)</f>
        <v>12</v>
      </c>
      <c r="R340" t="str" cm="1">
        <f t="array" ref="R340">_xlfn.IFS(Q340=1,"Mensual",Q340=6,"Semestral",Q340=12,"Anual",Q340=24,"Bienal")</f>
        <v>Anual</v>
      </c>
      <c r="S340">
        <f>IFERROR(VLOOKUP(Sheet1[[#This Row],[ID usuario]],A341:$A$907,1,FALSE),0)</f>
        <v>0</v>
      </c>
    </row>
    <row r="341" spans="1:19" x14ac:dyDescent="0.25">
      <c r="A341" t="s">
        <v>339</v>
      </c>
      <c r="B341" t="s">
        <v>1244</v>
      </c>
      <c r="C341" t="s">
        <v>1812</v>
      </c>
      <c r="D341">
        <v>11.47</v>
      </c>
      <c r="E341" s="1">
        <v>44796</v>
      </c>
      <c r="F341" s="1" t="str">
        <f>TEXT(Sheet1[[#This Row],[Fecha ingreso]],"mmmm")</f>
        <v>agosto</v>
      </c>
      <c r="G341" s="2">
        <f>YEAR(Sheet1[[#This Row],[Fecha ingreso]])</f>
        <v>2022</v>
      </c>
      <c r="H341" s="1" t="str">
        <f>TEXT(Sheet1[[#This Row],[Fecha ingreso]],"dddd")</f>
        <v>martes</v>
      </c>
      <c r="I341" s="1">
        <v>44827</v>
      </c>
      <c r="J341" s="2">
        <f>DATEDIF(Sheet1[[#This Row],[Fecha ingreso]],Sheet1[[#This Row],[Fecha último pago]],"M")+1</f>
        <v>2</v>
      </c>
      <c r="K341" s="2">
        <f>Sheet1[[#This Row],[Ingresos mensuales]]*Sheet1[[#This Row],[Meses contratados]]</f>
        <v>22.94</v>
      </c>
      <c r="L341" t="s">
        <v>1817</v>
      </c>
      <c r="M341">
        <v>57</v>
      </c>
      <c r="N341" t="s">
        <v>1822</v>
      </c>
      <c r="O341" t="s">
        <v>1825</v>
      </c>
      <c r="P341" t="s">
        <v>1827</v>
      </c>
      <c r="Q341" cm="1">
        <f t="array" ref="Q341">_xlfn.IFS(P341="2 Years", 24,P341="1 Year",12, P341="6 Months",6, P341="1 Month",1)</f>
        <v>12</v>
      </c>
      <c r="R341" t="str" cm="1">
        <f t="array" ref="R341">_xlfn.IFS(Q341=1,"Mensual",Q341=6,"Semestral",Q341=12,"Anual",Q341=24,"Bienal")</f>
        <v>Anual</v>
      </c>
      <c r="S341">
        <f>IFERROR(VLOOKUP(Sheet1[[#This Row],[ID usuario]],A342:$A$907,1,FALSE),0)</f>
        <v>0</v>
      </c>
    </row>
    <row r="342" spans="1:19" x14ac:dyDescent="0.25">
      <c r="A342" t="s">
        <v>340</v>
      </c>
      <c r="B342" t="s">
        <v>1245</v>
      </c>
      <c r="C342" t="s">
        <v>1812</v>
      </c>
      <c r="D342">
        <v>94.67</v>
      </c>
      <c r="E342" s="1">
        <v>44472</v>
      </c>
      <c r="F342" s="1" t="str">
        <f>TEXT(Sheet1[[#This Row],[Fecha ingreso]],"mmmm")</f>
        <v>octubre</v>
      </c>
      <c r="G342" s="2">
        <f>YEAR(Sheet1[[#This Row],[Fecha ingreso]])</f>
        <v>2021</v>
      </c>
      <c r="H342" s="1" t="str">
        <f>TEXT(Sheet1[[#This Row],[Fecha ingreso]],"dddd")</f>
        <v>domingo</v>
      </c>
      <c r="I342" s="1">
        <v>45054</v>
      </c>
      <c r="J342" s="2">
        <f>DATEDIF(Sheet1[[#This Row],[Fecha ingreso]],Sheet1[[#This Row],[Fecha último pago]],"M")+1</f>
        <v>20</v>
      </c>
      <c r="K342" s="2">
        <f>Sheet1[[#This Row],[Ingresos mensuales]]*Sheet1[[#This Row],[Meses contratados]]</f>
        <v>1893.4</v>
      </c>
      <c r="L342" t="s">
        <v>1814</v>
      </c>
      <c r="M342">
        <v>27</v>
      </c>
      <c r="N342" t="s">
        <v>1822</v>
      </c>
      <c r="O342" t="s">
        <v>1825</v>
      </c>
      <c r="P342" t="s">
        <v>1827</v>
      </c>
      <c r="Q342" cm="1">
        <f t="array" ref="Q342">_xlfn.IFS(P342="2 Years", 24,P342="1 Year",12, P342="6 Months",6, P342="1 Month",1)</f>
        <v>12</v>
      </c>
      <c r="R342" t="str" cm="1">
        <f t="array" ref="R342">_xlfn.IFS(Q342=1,"Mensual",Q342=6,"Semestral",Q342=12,"Anual",Q342=24,"Bienal")</f>
        <v>Anual</v>
      </c>
      <c r="S342">
        <f>IFERROR(VLOOKUP(Sheet1[[#This Row],[ID usuario]],A343:$A$907,1,FALSE),0)</f>
        <v>0</v>
      </c>
    </row>
    <row r="343" spans="1:19" x14ac:dyDescent="0.25">
      <c r="A343" t="s">
        <v>341</v>
      </c>
      <c r="B343" t="s">
        <v>1246</v>
      </c>
      <c r="C343" t="s">
        <v>1811</v>
      </c>
      <c r="D343">
        <v>96.67</v>
      </c>
      <c r="E343" s="1">
        <v>45261</v>
      </c>
      <c r="F343" s="1" t="str">
        <f>TEXT(Sheet1[[#This Row],[Fecha ingreso]],"mmmm")</f>
        <v>diciembre</v>
      </c>
      <c r="G343" s="2">
        <f>YEAR(Sheet1[[#This Row],[Fecha ingreso]])</f>
        <v>2023</v>
      </c>
      <c r="H343" s="1" t="str">
        <f>TEXT(Sheet1[[#This Row],[Fecha ingreso]],"dddd")</f>
        <v>viernes</v>
      </c>
      <c r="I343" s="1">
        <v>45337</v>
      </c>
      <c r="J343" s="2">
        <f>DATEDIF(Sheet1[[#This Row],[Fecha ingreso]],Sheet1[[#This Row],[Fecha último pago]],"M")+1</f>
        <v>3</v>
      </c>
      <c r="K343" s="2">
        <f>Sheet1[[#This Row],[Ingresos mensuales]]*Sheet1[[#This Row],[Meses contratados]]</f>
        <v>290.01</v>
      </c>
      <c r="L343" t="s">
        <v>1815</v>
      </c>
      <c r="M343">
        <v>42</v>
      </c>
      <c r="N343" t="s">
        <v>1822</v>
      </c>
      <c r="O343" t="s">
        <v>1825</v>
      </c>
      <c r="P343" t="s">
        <v>1828</v>
      </c>
      <c r="Q343" cm="1">
        <f t="array" ref="Q343">_xlfn.IFS(P343="2 Years", 24,P343="1 Year",12, P343="6 Months",6, P343="1 Month",1)</f>
        <v>6</v>
      </c>
      <c r="R343" t="str" cm="1">
        <f t="array" ref="R343">_xlfn.IFS(Q343=1,"Mensual",Q343=6,"Semestral",Q343=12,"Anual",Q343=24,"Bienal")</f>
        <v>Semestral</v>
      </c>
      <c r="S343">
        <f>IFERROR(VLOOKUP(Sheet1[[#This Row],[ID usuario]],A344:$A$907,1,FALSE),0)</f>
        <v>0</v>
      </c>
    </row>
    <row r="344" spans="1:19" x14ac:dyDescent="0.25">
      <c r="A344" t="s">
        <v>342</v>
      </c>
      <c r="B344" t="s">
        <v>1247</v>
      </c>
      <c r="C344" t="s">
        <v>1810</v>
      </c>
      <c r="D344">
        <v>73.34</v>
      </c>
      <c r="E344" s="1">
        <v>44848</v>
      </c>
      <c r="F344" s="1" t="str">
        <f>TEXT(Sheet1[[#This Row],[Fecha ingreso]],"mmmm")</f>
        <v>octubre</v>
      </c>
      <c r="G344" s="2">
        <f>YEAR(Sheet1[[#This Row],[Fecha ingreso]])</f>
        <v>2022</v>
      </c>
      <c r="H344" s="1" t="str">
        <f>TEXT(Sheet1[[#This Row],[Fecha ingreso]],"dddd")</f>
        <v>viernes</v>
      </c>
      <c r="I344" s="1">
        <v>45423</v>
      </c>
      <c r="J344" s="2">
        <f>DATEDIF(Sheet1[[#This Row],[Fecha ingreso]],Sheet1[[#This Row],[Fecha último pago]],"M")+1</f>
        <v>19</v>
      </c>
      <c r="K344" s="2">
        <f>Sheet1[[#This Row],[Ingresos mensuales]]*Sheet1[[#This Row],[Meses contratados]]</f>
        <v>1393.46</v>
      </c>
      <c r="L344" t="s">
        <v>1813</v>
      </c>
      <c r="M344">
        <v>22</v>
      </c>
      <c r="N344" t="s">
        <v>1822</v>
      </c>
      <c r="O344" t="s">
        <v>1823</v>
      </c>
      <c r="P344" t="s">
        <v>1829</v>
      </c>
      <c r="Q344" cm="1">
        <f t="array" ref="Q344">_xlfn.IFS(P344="2 Years", 24,P344="1 Year",12, P344="6 Months",6, P344="1 Month",1)</f>
        <v>1</v>
      </c>
      <c r="R344" t="str" cm="1">
        <f t="array" ref="R344">_xlfn.IFS(Q344=1,"Mensual",Q344=6,"Semestral",Q344=12,"Anual",Q344=24,"Bienal")</f>
        <v>Mensual</v>
      </c>
      <c r="S344">
        <f>IFERROR(VLOOKUP(Sheet1[[#This Row],[ID usuario]],A345:$A$907,1,FALSE),0)</f>
        <v>0</v>
      </c>
    </row>
    <row r="345" spans="1:19" x14ac:dyDescent="0.25">
      <c r="A345" t="s">
        <v>343</v>
      </c>
      <c r="B345" t="s">
        <v>1248</v>
      </c>
      <c r="C345" t="s">
        <v>1812</v>
      </c>
      <c r="D345">
        <v>38.25</v>
      </c>
      <c r="E345" s="1">
        <v>44556</v>
      </c>
      <c r="F345" s="1" t="str">
        <f>TEXT(Sheet1[[#This Row],[Fecha ingreso]],"mmmm")</f>
        <v>diciembre</v>
      </c>
      <c r="G345" s="2">
        <f>YEAR(Sheet1[[#This Row],[Fecha ingreso]])</f>
        <v>2021</v>
      </c>
      <c r="H345" s="1" t="str">
        <f>TEXT(Sheet1[[#This Row],[Fecha ingreso]],"dddd")</f>
        <v>domingo</v>
      </c>
      <c r="I345" s="1">
        <v>45410</v>
      </c>
      <c r="J345" s="2">
        <f>DATEDIF(Sheet1[[#This Row],[Fecha ingreso]],Sheet1[[#This Row],[Fecha último pago]],"M")+1</f>
        <v>29</v>
      </c>
      <c r="K345" s="2">
        <f>Sheet1[[#This Row],[Ingresos mensuales]]*Sheet1[[#This Row],[Meses contratados]]</f>
        <v>1109.25</v>
      </c>
      <c r="L345" t="s">
        <v>1817</v>
      </c>
      <c r="M345">
        <v>44</v>
      </c>
      <c r="N345" t="s">
        <v>1820</v>
      </c>
      <c r="O345" t="s">
        <v>1823</v>
      </c>
      <c r="P345" t="s">
        <v>1829</v>
      </c>
      <c r="Q345" cm="1">
        <f t="array" ref="Q345">_xlfn.IFS(P345="2 Years", 24,P345="1 Year",12, P345="6 Months",6, P345="1 Month",1)</f>
        <v>1</v>
      </c>
      <c r="R345" t="str" cm="1">
        <f t="array" ref="R345">_xlfn.IFS(Q345=1,"Mensual",Q345=6,"Semestral",Q345=12,"Anual",Q345=24,"Bienal")</f>
        <v>Mensual</v>
      </c>
      <c r="S345">
        <f>IFERROR(VLOOKUP(Sheet1[[#This Row],[ID usuario]],A346:$A$907,1,FALSE),0)</f>
        <v>0</v>
      </c>
    </row>
    <row r="346" spans="1:19" x14ac:dyDescent="0.25">
      <c r="A346" t="s">
        <v>344</v>
      </c>
      <c r="B346" t="s">
        <v>1249</v>
      </c>
      <c r="C346" t="s">
        <v>1810</v>
      </c>
      <c r="D346">
        <v>29.17</v>
      </c>
      <c r="E346" s="1">
        <v>44756</v>
      </c>
      <c r="F346" s="1" t="str">
        <f>TEXT(Sheet1[[#This Row],[Fecha ingreso]],"mmmm")</f>
        <v>julio</v>
      </c>
      <c r="G346" s="2">
        <f>YEAR(Sheet1[[#This Row],[Fecha ingreso]])</f>
        <v>2022</v>
      </c>
      <c r="H346" s="1" t="str">
        <f>TEXT(Sheet1[[#This Row],[Fecha ingreso]],"dddd")</f>
        <v>jueves</v>
      </c>
      <c r="I346" s="1">
        <v>44889</v>
      </c>
      <c r="J346" s="2">
        <f>DATEDIF(Sheet1[[#This Row],[Fecha ingreso]],Sheet1[[#This Row],[Fecha último pago]],"M")+1</f>
        <v>5</v>
      </c>
      <c r="K346" s="2">
        <f>Sheet1[[#This Row],[Ingresos mensuales]]*Sheet1[[#This Row],[Meses contratados]]</f>
        <v>145.85000000000002</v>
      </c>
      <c r="L346" t="s">
        <v>1818</v>
      </c>
      <c r="M346">
        <v>61</v>
      </c>
      <c r="N346" t="s">
        <v>1820</v>
      </c>
      <c r="O346" t="s">
        <v>1823</v>
      </c>
      <c r="P346" t="s">
        <v>1829</v>
      </c>
      <c r="Q346" cm="1">
        <f t="array" ref="Q346">_xlfn.IFS(P346="2 Years", 24,P346="1 Year",12, P346="6 Months",6, P346="1 Month",1)</f>
        <v>1</v>
      </c>
      <c r="R346" t="str" cm="1">
        <f t="array" ref="R346">_xlfn.IFS(Q346=1,"Mensual",Q346=6,"Semestral",Q346=12,"Anual",Q346=24,"Bienal")</f>
        <v>Mensual</v>
      </c>
      <c r="S346">
        <f>IFERROR(VLOOKUP(Sheet1[[#This Row],[ID usuario]],A347:$A$907,1,FALSE),0)</f>
        <v>0</v>
      </c>
    </row>
    <row r="347" spans="1:19" x14ac:dyDescent="0.25">
      <c r="A347" t="s">
        <v>345</v>
      </c>
      <c r="B347" t="s">
        <v>1250</v>
      </c>
      <c r="C347" t="s">
        <v>1812</v>
      </c>
      <c r="D347">
        <v>30.2</v>
      </c>
      <c r="E347" s="1">
        <v>45057</v>
      </c>
      <c r="F347" s="1" t="str">
        <f>TEXT(Sheet1[[#This Row],[Fecha ingreso]],"mmmm")</f>
        <v>mayo</v>
      </c>
      <c r="G347" s="2">
        <f>YEAR(Sheet1[[#This Row],[Fecha ingreso]])</f>
        <v>2023</v>
      </c>
      <c r="H347" s="1" t="str">
        <f>TEXT(Sheet1[[#This Row],[Fecha ingreso]],"dddd")</f>
        <v>jueves</v>
      </c>
      <c r="I347" s="1">
        <v>45179</v>
      </c>
      <c r="J347" s="2">
        <f>DATEDIF(Sheet1[[#This Row],[Fecha ingreso]],Sheet1[[#This Row],[Fecha último pago]],"M")+1</f>
        <v>4</v>
      </c>
      <c r="K347" s="2">
        <f>Sheet1[[#This Row],[Ingresos mensuales]]*Sheet1[[#This Row],[Meses contratados]]</f>
        <v>120.8</v>
      </c>
      <c r="L347" t="s">
        <v>1816</v>
      </c>
      <c r="M347">
        <v>39</v>
      </c>
      <c r="N347" t="s">
        <v>1821</v>
      </c>
      <c r="O347" t="s">
        <v>1825</v>
      </c>
      <c r="P347" t="s">
        <v>1828</v>
      </c>
      <c r="Q347" cm="1">
        <f t="array" ref="Q347">_xlfn.IFS(P347="2 Years", 24,P347="1 Year",12, P347="6 Months",6, P347="1 Month",1)</f>
        <v>6</v>
      </c>
      <c r="R347" t="str" cm="1">
        <f t="array" ref="R347">_xlfn.IFS(Q347=1,"Mensual",Q347=6,"Semestral",Q347=12,"Anual",Q347=24,"Bienal")</f>
        <v>Semestral</v>
      </c>
      <c r="S347">
        <f>IFERROR(VLOOKUP(Sheet1[[#This Row],[ID usuario]],A348:$A$907,1,FALSE),0)</f>
        <v>0</v>
      </c>
    </row>
    <row r="348" spans="1:19" x14ac:dyDescent="0.25">
      <c r="A348" t="s">
        <v>346</v>
      </c>
      <c r="B348" t="s">
        <v>1251</v>
      </c>
      <c r="C348" t="s">
        <v>1810</v>
      </c>
      <c r="D348">
        <v>17.09</v>
      </c>
      <c r="E348" s="1">
        <v>45402</v>
      </c>
      <c r="F348" s="1" t="str">
        <f>TEXT(Sheet1[[#This Row],[Fecha ingreso]],"mmmm")</f>
        <v>abril</v>
      </c>
      <c r="G348" s="2">
        <f>YEAR(Sheet1[[#This Row],[Fecha ingreso]])</f>
        <v>2024</v>
      </c>
      <c r="H348" s="1" t="str">
        <f>TEXT(Sheet1[[#This Row],[Fecha ingreso]],"dddd")</f>
        <v>sábado</v>
      </c>
      <c r="I348" s="1">
        <v>45434</v>
      </c>
      <c r="J348" s="2">
        <f>DATEDIF(Sheet1[[#This Row],[Fecha ingreso]],Sheet1[[#This Row],[Fecha último pago]],"M")+1</f>
        <v>2</v>
      </c>
      <c r="K348" s="2">
        <f>Sheet1[[#This Row],[Ingresos mensuales]]*Sheet1[[#This Row],[Meses contratados]]</f>
        <v>34.18</v>
      </c>
      <c r="L348" t="s">
        <v>1814</v>
      </c>
      <c r="M348">
        <v>32</v>
      </c>
      <c r="N348" t="s">
        <v>1820</v>
      </c>
      <c r="O348" t="s">
        <v>1823</v>
      </c>
      <c r="P348" t="s">
        <v>1828</v>
      </c>
      <c r="Q348" cm="1">
        <f t="array" ref="Q348">_xlfn.IFS(P348="2 Years", 24,P348="1 Year",12, P348="6 Months",6, P348="1 Month",1)</f>
        <v>6</v>
      </c>
      <c r="R348" t="str" cm="1">
        <f t="array" ref="R348">_xlfn.IFS(Q348=1,"Mensual",Q348=6,"Semestral",Q348=12,"Anual",Q348=24,"Bienal")</f>
        <v>Semestral</v>
      </c>
      <c r="S348">
        <f>IFERROR(VLOOKUP(Sheet1[[#This Row],[ID usuario]],A349:$A$907,1,FALSE),0)</f>
        <v>0</v>
      </c>
    </row>
    <row r="349" spans="1:19" x14ac:dyDescent="0.25">
      <c r="A349" t="s">
        <v>347</v>
      </c>
      <c r="B349" t="s">
        <v>1252</v>
      </c>
      <c r="C349" t="s">
        <v>1812</v>
      </c>
      <c r="D349">
        <v>54.95</v>
      </c>
      <c r="E349" s="1">
        <v>45320</v>
      </c>
      <c r="F349" s="1" t="str">
        <f>TEXT(Sheet1[[#This Row],[Fecha ingreso]],"mmmm")</f>
        <v>enero</v>
      </c>
      <c r="G349" s="2">
        <f>YEAR(Sheet1[[#This Row],[Fecha ingreso]])</f>
        <v>2024</v>
      </c>
      <c r="H349" s="1" t="str">
        <f>TEXT(Sheet1[[#This Row],[Fecha ingreso]],"dddd")</f>
        <v>lunes</v>
      </c>
      <c r="I349" s="1">
        <v>45459</v>
      </c>
      <c r="J349" s="2">
        <f>DATEDIF(Sheet1[[#This Row],[Fecha ingreso]],Sheet1[[#This Row],[Fecha último pago]],"M")+1</f>
        <v>5</v>
      </c>
      <c r="K349" s="2">
        <f>Sheet1[[#This Row],[Ingresos mensuales]]*Sheet1[[#This Row],[Meses contratados]]</f>
        <v>274.75</v>
      </c>
      <c r="L349" t="s">
        <v>1814</v>
      </c>
      <c r="M349">
        <v>47</v>
      </c>
      <c r="N349" t="s">
        <v>1822</v>
      </c>
      <c r="O349" t="s">
        <v>1825</v>
      </c>
      <c r="P349" t="s">
        <v>1829</v>
      </c>
      <c r="Q349" cm="1">
        <f t="array" ref="Q349">_xlfn.IFS(P349="2 Years", 24,P349="1 Year",12, P349="6 Months",6, P349="1 Month",1)</f>
        <v>1</v>
      </c>
      <c r="R349" t="str" cm="1">
        <f t="array" ref="R349">_xlfn.IFS(Q349=1,"Mensual",Q349=6,"Semestral",Q349=12,"Anual",Q349=24,"Bienal")</f>
        <v>Mensual</v>
      </c>
      <c r="S349">
        <f>IFERROR(VLOOKUP(Sheet1[[#This Row],[ID usuario]],A350:$A$907,1,FALSE),0)</f>
        <v>0</v>
      </c>
    </row>
    <row r="350" spans="1:19" x14ac:dyDescent="0.25">
      <c r="A350" t="s">
        <v>348</v>
      </c>
      <c r="B350" t="s">
        <v>1253</v>
      </c>
      <c r="C350" t="s">
        <v>1811</v>
      </c>
      <c r="D350">
        <v>18.47</v>
      </c>
      <c r="E350" s="1">
        <v>45450</v>
      </c>
      <c r="F350" s="1" t="str">
        <f>TEXT(Sheet1[[#This Row],[Fecha ingreso]],"mmmm")</f>
        <v>junio</v>
      </c>
      <c r="G350" s="2">
        <f>YEAR(Sheet1[[#This Row],[Fecha ingreso]])</f>
        <v>2024</v>
      </c>
      <c r="H350" s="1" t="str">
        <f>TEXT(Sheet1[[#This Row],[Fecha ingreso]],"dddd")</f>
        <v>viernes</v>
      </c>
      <c r="I350" s="1">
        <v>45451</v>
      </c>
      <c r="J350" s="2">
        <f>DATEDIF(Sheet1[[#This Row],[Fecha ingreso]],Sheet1[[#This Row],[Fecha último pago]],"M")+1</f>
        <v>1</v>
      </c>
      <c r="K350" s="2">
        <f>Sheet1[[#This Row],[Ingresos mensuales]]*Sheet1[[#This Row],[Meses contratados]]</f>
        <v>18.47</v>
      </c>
      <c r="L350" t="s">
        <v>1818</v>
      </c>
      <c r="M350">
        <v>19</v>
      </c>
      <c r="N350" t="s">
        <v>1821</v>
      </c>
      <c r="O350" t="s">
        <v>1823</v>
      </c>
      <c r="P350" t="s">
        <v>1827</v>
      </c>
      <c r="Q350" cm="1">
        <f t="array" ref="Q350">_xlfn.IFS(P350="2 Years", 24,P350="1 Year",12, P350="6 Months",6, P350="1 Month",1)</f>
        <v>12</v>
      </c>
      <c r="R350" t="str" cm="1">
        <f t="array" ref="R350">_xlfn.IFS(Q350=1,"Mensual",Q350=6,"Semestral",Q350=12,"Anual",Q350=24,"Bienal")</f>
        <v>Anual</v>
      </c>
      <c r="S350">
        <f>IFERROR(VLOOKUP(Sheet1[[#This Row],[ID usuario]],A351:$A$907,1,FALSE),0)</f>
        <v>0</v>
      </c>
    </row>
    <row r="351" spans="1:19" x14ac:dyDescent="0.25">
      <c r="A351" t="s">
        <v>349</v>
      </c>
      <c r="B351" t="s">
        <v>1254</v>
      </c>
      <c r="C351" t="s">
        <v>1812</v>
      </c>
      <c r="D351">
        <v>35.090000000000003</v>
      </c>
      <c r="E351" s="1">
        <v>45384</v>
      </c>
      <c r="F351" s="1" t="str">
        <f>TEXT(Sheet1[[#This Row],[Fecha ingreso]],"mmmm")</f>
        <v>abril</v>
      </c>
      <c r="G351" s="2">
        <f>YEAR(Sheet1[[#This Row],[Fecha ingreso]])</f>
        <v>2024</v>
      </c>
      <c r="H351" s="1" t="str">
        <f>TEXT(Sheet1[[#This Row],[Fecha ingreso]],"dddd")</f>
        <v>martes</v>
      </c>
      <c r="I351" s="1">
        <v>45438</v>
      </c>
      <c r="J351" s="2">
        <f>DATEDIF(Sheet1[[#This Row],[Fecha ingreso]],Sheet1[[#This Row],[Fecha último pago]],"M")+1</f>
        <v>2</v>
      </c>
      <c r="K351" s="2">
        <f>Sheet1[[#This Row],[Ingresos mensuales]]*Sheet1[[#This Row],[Meses contratados]]</f>
        <v>70.180000000000007</v>
      </c>
      <c r="L351" t="s">
        <v>1816</v>
      </c>
      <c r="M351">
        <v>32</v>
      </c>
      <c r="N351" t="s">
        <v>1821</v>
      </c>
      <c r="O351" t="s">
        <v>1823</v>
      </c>
      <c r="P351" t="s">
        <v>1827</v>
      </c>
      <c r="Q351" cm="1">
        <f t="array" ref="Q351">_xlfn.IFS(P351="2 Years", 24,P351="1 Year",12, P351="6 Months",6, P351="1 Month",1)</f>
        <v>12</v>
      </c>
      <c r="R351" t="str" cm="1">
        <f t="array" ref="R351">_xlfn.IFS(Q351=1,"Mensual",Q351=6,"Semestral",Q351=12,"Anual",Q351=24,"Bienal")</f>
        <v>Anual</v>
      </c>
      <c r="S351">
        <f>IFERROR(VLOOKUP(Sheet1[[#This Row],[ID usuario]],A352:$A$907,1,FALSE),0)</f>
        <v>0</v>
      </c>
    </row>
    <row r="352" spans="1:19" x14ac:dyDescent="0.25">
      <c r="A352" t="s">
        <v>350</v>
      </c>
      <c r="B352" t="s">
        <v>1255</v>
      </c>
      <c r="C352" t="s">
        <v>1811</v>
      </c>
      <c r="D352">
        <v>64.540000000000006</v>
      </c>
      <c r="E352" s="1">
        <v>45136</v>
      </c>
      <c r="F352" s="1" t="str">
        <f>TEXT(Sheet1[[#This Row],[Fecha ingreso]],"mmmm")</f>
        <v>julio</v>
      </c>
      <c r="G352" s="2">
        <f>YEAR(Sheet1[[#This Row],[Fecha ingreso]])</f>
        <v>2023</v>
      </c>
      <c r="H352" s="1" t="str">
        <f>TEXT(Sheet1[[#This Row],[Fecha ingreso]],"dddd")</f>
        <v>sábado</v>
      </c>
      <c r="I352" s="1">
        <v>45189</v>
      </c>
      <c r="J352" s="2">
        <f>DATEDIF(Sheet1[[#This Row],[Fecha ingreso]],Sheet1[[#This Row],[Fecha último pago]],"M")+1</f>
        <v>2</v>
      </c>
      <c r="K352" s="2">
        <f>Sheet1[[#This Row],[Ingresos mensuales]]*Sheet1[[#This Row],[Meses contratados]]</f>
        <v>129.08000000000001</v>
      </c>
      <c r="L352" t="s">
        <v>1818</v>
      </c>
      <c r="M352">
        <v>18</v>
      </c>
      <c r="N352" t="s">
        <v>1820</v>
      </c>
      <c r="O352" t="s">
        <v>1824</v>
      </c>
      <c r="P352" t="s">
        <v>1829</v>
      </c>
      <c r="Q352" cm="1">
        <f t="array" ref="Q352">_xlfn.IFS(P352="2 Years", 24,P352="1 Year",12, P352="6 Months",6, P352="1 Month",1)</f>
        <v>1</v>
      </c>
      <c r="R352" t="str" cm="1">
        <f t="array" ref="R352">_xlfn.IFS(Q352=1,"Mensual",Q352=6,"Semestral",Q352=12,"Anual",Q352=24,"Bienal")</f>
        <v>Mensual</v>
      </c>
      <c r="S352">
        <f>IFERROR(VLOOKUP(Sheet1[[#This Row],[ID usuario]],A353:$A$907,1,FALSE),0)</f>
        <v>0</v>
      </c>
    </row>
    <row r="353" spans="1:19" x14ac:dyDescent="0.25">
      <c r="A353" t="s">
        <v>351</v>
      </c>
      <c r="B353" t="s">
        <v>1256</v>
      </c>
      <c r="C353" t="s">
        <v>1810</v>
      </c>
      <c r="D353">
        <v>74.12</v>
      </c>
      <c r="E353" s="1">
        <v>44718</v>
      </c>
      <c r="F353" s="1" t="str">
        <f>TEXT(Sheet1[[#This Row],[Fecha ingreso]],"mmmm")</f>
        <v>junio</v>
      </c>
      <c r="G353" s="2">
        <f>YEAR(Sheet1[[#This Row],[Fecha ingreso]])</f>
        <v>2022</v>
      </c>
      <c r="H353" s="1" t="str">
        <f>TEXT(Sheet1[[#This Row],[Fecha ingreso]],"dddd")</f>
        <v>lunes</v>
      </c>
      <c r="I353" s="1">
        <v>45452</v>
      </c>
      <c r="J353" s="2">
        <f>DATEDIF(Sheet1[[#This Row],[Fecha ingreso]],Sheet1[[#This Row],[Fecha último pago]],"M")+1</f>
        <v>25</v>
      </c>
      <c r="K353" s="2">
        <f>Sheet1[[#This Row],[Ingresos mensuales]]*Sheet1[[#This Row],[Meses contratados]]</f>
        <v>1853</v>
      </c>
      <c r="L353" t="s">
        <v>1816</v>
      </c>
      <c r="M353">
        <v>33</v>
      </c>
      <c r="N353" t="s">
        <v>1820</v>
      </c>
      <c r="O353" t="s">
        <v>1823</v>
      </c>
      <c r="P353" t="s">
        <v>1829</v>
      </c>
      <c r="Q353" cm="1">
        <f t="array" ref="Q353">_xlfn.IFS(P353="2 Years", 24,P353="1 Year",12, P353="6 Months",6, P353="1 Month",1)</f>
        <v>1</v>
      </c>
      <c r="R353" t="str" cm="1">
        <f t="array" ref="R353">_xlfn.IFS(Q353=1,"Mensual",Q353=6,"Semestral",Q353=12,"Anual",Q353=24,"Bienal")</f>
        <v>Mensual</v>
      </c>
      <c r="S353">
        <f>IFERROR(VLOOKUP(Sheet1[[#This Row],[ID usuario]],A354:$A$907,1,FALSE),0)</f>
        <v>0</v>
      </c>
    </row>
    <row r="354" spans="1:19" x14ac:dyDescent="0.25">
      <c r="A354" t="s">
        <v>352</v>
      </c>
      <c r="B354" t="s">
        <v>1257</v>
      </c>
      <c r="C354" t="s">
        <v>1811</v>
      </c>
      <c r="D354">
        <v>7.31</v>
      </c>
      <c r="E354" s="1">
        <v>44604</v>
      </c>
      <c r="F354" s="1" t="str">
        <f>TEXT(Sheet1[[#This Row],[Fecha ingreso]],"mmmm")</f>
        <v>febrero</v>
      </c>
      <c r="G354" s="2">
        <f>YEAR(Sheet1[[#This Row],[Fecha ingreso]])</f>
        <v>2022</v>
      </c>
      <c r="H354" s="1" t="str">
        <f>TEXT(Sheet1[[#This Row],[Fecha ingreso]],"dddd")</f>
        <v>sábado</v>
      </c>
      <c r="I354" s="1">
        <v>44804</v>
      </c>
      <c r="J354" s="2">
        <f>DATEDIF(Sheet1[[#This Row],[Fecha ingreso]],Sheet1[[#This Row],[Fecha último pago]],"M")+1</f>
        <v>7</v>
      </c>
      <c r="K354" s="2">
        <f>Sheet1[[#This Row],[Ingresos mensuales]]*Sheet1[[#This Row],[Meses contratados]]</f>
        <v>51.169999999999995</v>
      </c>
      <c r="L354" t="s">
        <v>1815</v>
      </c>
      <c r="M354">
        <v>51</v>
      </c>
      <c r="N354" t="s">
        <v>1821</v>
      </c>
      <c r="O354" t="s">
        <v>1825</v>
      </c>
      <c r="P354" t="s">
        <v>1828</v>
      </c>
      <c r="Q354" cm="1">
        <f t="array" ref="Q354">_xlfn.IFS(P354="2 Years", 24,P354="1 Year",12, P354="6 Months",6, P354="1 Month",1)</f>
        <v>6</v>
      </c>
      <c r="R354" t="str" cm="1">
        <f t="array" ref="R354">_xlfn.IFS(Q354=1,"Mensual",Q354=6,"Semestral",Q354=12,"Anual",Q354=24,"Bienal")</f>
        <v>Semestral</v>
      </c>
      <c r="S354">
        <f>IFERROR(VLOOKUP(Sheet1[[#This Row],[ID usuario]],A355:$A$907,1,FALSE),0)</f>
        <v>0</v>
      </c>
    </row>
    <row r="355" spans="1:19" x14ac:dyDescent="0.25">
      <c r="A355" t="s">
        <v>353</v>
      </c>
      <c r="B355" t="s">
        <v>1258</v>
      </c>
      <c r="C355" t="s">
        <v>1811</v>
      </c>
      <c r="D355">
        <v>45.86</v>
      </c>
      <c r="E355" s="1">
        <v>45329</v>
      </c>
      <c r="F355" s="1" t="str">
        <f>TEXT(Sheet1[[#This Row],[Fecha ingreso]],"mmmm")</f>
        <v>febrero</v>
      </c>
      <c r="G355" s="2">
        <f>YEAR(Sheet1[[#This Row],[Fecha ingreso]])</f>
        <v>2024</v>
      </c>
      <c r="H355" s="1" t="str">
        <f>TEXT(Sheet1[[#This Row],[Fecha ingreso]],"dddd")</f>
        <v>miércoles</v>
      </c>
      <c r="I355" s="1">
        <v>45427</v>
      </c>
      <c r="J355" s="2">
        <f>DATEDIF(Sheet1[[#This Row],[Fecha ingreso]],Sheet1[[#This Row],[Fecha último pago]],"M")+1</f>
        <v>4</v>
      </c>
      <c r="K355" s="2">
        <f>Sheet1[[#This Row],[Ingresos mensuales]]*Sheet1[[#This Row],[Meses contratados]]</f>
        <v>183.44</v>
      </c>
      <c r="L355" t="s">
        <v>1816</v>
      </c>
      <c r="M355">
        <v>50</v>
      </c>
      <c r="N355" t="s">
        <v>1821</v>
      </c>
      <c r="O355" t="s">
        <v>1824</v>
      </c>
      <c r="P355" t="s">
        <v>1828</v>
      </c>
      <c r="Q355" cm="1">
        <f t="array" ref="Q355">_xlfn.IFS(P355="2 Years", 24,P355="1 Year",12, P355="6 Months",6, P355="1 Month",1)</f>
        <v>6</v>
      </c>
      <c r="R355" t="str" cm="1">
        <f t="array" ref="R355">_xlfn.IFS(Q355=1,"Mensual",Q355=6,"Semestral",Q355=12,"Anual",Q355=24,"Bienal")</f>
        <v>Semestral</v>
      </c>
      <c r="S355">
        <f>IFERROR(VLOOKUP(Sheet1[[#This Row],[ID usuario]],A356:$A$907,1,FALSE),0)</f>
        <v>0</v>
      </c>
    </row>
    <row r="356" spans="1:19" x14ac:dyDescent="0.25">
      <c r="A356" t="s">
        <v>354</v>
      </c>
      <c r="B356" t="s">
        <v>1259</v>
      </c>
      <c r="C356" t="s">
        <v>1812</v>
      </c>
      <c r="D356">
        <v>66.95</v>
      </c>
      <c r="E356" s="1">
        <v>44396</v>
      </c>
      <c r="F356" s="1" t="str">
        <f>TEXT(Sheet1[[#This Row],[Fecha ingreso]],"mmmm")</f>
        <v>julio</v>
      </c>
      <c r="G356" s="2">
        <f>YEAR(Sheet1[[#This Row],[Fecha ingreso]])</f>
        <v>2021</v>
      </c>
      <c r="H356" s="1" t="str">
        <f>TEXT(Sheet1[[#This Row],[Fecha ingreso]],"dddd")</f>
        <v>lunes</v>
      </c>
      <c r="I356" s="1">
        <v>44585</v>
      </c>
      <c r="J356" s="2">
        <f>DATEDIF(Sheet1[[#This Row],[Fecha ingreso]],Sheet1[[#This Row],[Fecha último pago]],"M")+1</f>
        <v>7</v>
      </c>
      <c r="K356" s="2">
        <f>Sheet1[[#This Row],[Ingresos mensuales]]*Sheet1[[#This Row],[Meses contratados]]</f>
        <v>468.65000000000003</v>
      </c>
      <c r="L356" t="s">
        <v>1815</v>
      </c>
      <c r="M356">
        <v>69</v>
      </c>
      <c r="N356" t="s">
        <v>1821</v>
      </c>
      <c r="O356" t="s">
        <v>1824</v>
      </c>
      <c r="P356" t="s">
        <v>1826</v>
      </c>
      <c r="Q356" cm="1">
        <f t="array" ref="Q356">_xlfn.IFS(P356="2 Years", 24,P356="1 Year",12, P356="6 Months",6, P356="1 Month",1)</f>
        <v>24</v>
      </c>
      <c r="R356" t="str" cm="1">
        <f t="array" ref="R356">_xlfn.IFS(Q356=1,"Mensual",Q356=6,"Semestral",Q356=12,"Anual",Q356=24,"Bienal")</f>
        <v>Bienal</v>
      </c>
      <c r="S356">
        <f>IFERROR(VLOOKUP(Sheet1[[#This Row],[ID usuario]],A357:$A$907,1,FALSE),0)</f>
        <v>0</v>
      </c>
    </row>
    <row r="357" spans="1:19" x14ac:dyDescent="0.25">
      <c r="A357" t="s">
        <v>355</v>
      </c>
      <c r="B357" t="s">
        <v>1260</v>
      </c>
      <c r="C357" t="s">
        <v>1812</v>
      </c>
      <c r="D357">
        <v>86.06</v>
      </c>
      <c r="E357" s="1">
        <v>45238</v>
      </c>
      <c r="F357" s="1" t="str">
        <f>TEXT(Sheet1[[#This Row],[Fecha ingreso]],"mmmm")</f>
        <v>noviembre</v>
      </c>
      <c r="G357" s="2">
        <f>YEAR(Sheet1[[#This Row],[Fecha ingreso]])</f>
        <v>2023</v>
      </c>
      <c r="H357" s="1" t="str">
        <f>TEXT(Sheet1[[#This Row],[Fecha ingreso]],"dddd")</f>
        <v>miércoles</v>
      </c>
      <c r="I357" s="1">
        <v>45328</v>
      </c>
      <c r="J357" s="2">
        <f>DATEDIF(Sheet1[[#This Row],[Fecha ingreso]],Sheet1[[#This Row],[Fecha último pago]],"M")+1</f>
        <v>3</v>
      </c>
      <c r="K357" s="2">
        <f>Sheet1[[#This Row],[Ingresos mensuales]]*Sheet1[[#This Row],[Meses contratados]]</f>
        <v>258.18</v>
      </c>
      <c r="L357" t="s">
        <v>1814</v>
      </c>
      <c r="M357">
        <v>55</v>
      </c>
      <c r="N357" t="s">
        <v>1820</v>
      </c>
      <c r="O357" t="s">
        <v>1823</v>
      </c>
      <c r="P357" t="s">
        <v>1828</v>
      </c>
      <c r="Q357" cm="1">
        <f t="array" ref="Q357">_xlfn.IFS(P357="2 Years", 24,P357="1 Year",12, P357="6 Months",6, P357="1 Month",1)</f>
        <v>6</v>
      </c>
      <c r="R357" t="str" cm="1">
        <f t="array" ref="R357">_xlfn.IFS(Q357=1,"Mensual",Q357=6,"Semestral",Q357=12,"Anual",Q357=24,"Bienal")</f>
        <v>Semestral</v>
      </c>
      <c r="S357">
        <f>IFERROR(VLOOKUP(Sheet1[[#This Row],[ID usuario]],A358:$A$907,1,FALSE),0)</f>
        <v>0</v>
      </c>
    </row>
    <row r="358" spans="1:19" x14ac:dyDescent="0.25">
      <c r="A358" t="s">
        <v>356</v>
      </c>
      <c r="B358" t="s">
        <v>1261</v>
      </c>
      <c r="C358" t="s">
        <v>1811</v>
      </c>
      <c r="D358">
        <v>97.07</v>
      </c>
      <c r="E358" s="1">
        <v>44524</v>
      </c>
      <c r="F358" s="1" t="str">
        <f>TEXT(Sheet1[[#This Row],[Fecha ingreso]],"mmmm")</f>
        <v>noviembre</v>
      </c>
      <c r="G358" s="2">
        <f>YEAR(Sheet1[[#This Row],[Fecha ingreso]])</f>
        <v>2021</v>
      </c>
      <c r="H358" s="1" t="str">
        <f>TEXT(Sheet1[[#This Row],[Fecha ingreso]],"dddd")</f>
        <v>miércoles</v>
      </c>
      <c r="I358" s="1">
        <v>44641</v>
      </c>
      <c r="J358" s="2">
        <f>DATEDIF(Sheet1[[#This Row],[Fecha ingreso]],Sheet1[[#This Row],[Fecha último pago]],"M")+1</f>
        <v>4</v>
      </c>
      <c r="K358" s="2">
        <f>Sheet1[[#This Row],[Ingresos mensuales]]*Sheet1[[#This Row],[Meses contratados]]</f>
        <v>388.28</v>
      </c>
      <c r="L358" t="s">
        <v>1813</v>
      </c>
      <c r="M358">
        <v>48</v>
      </c>
      <c r="N358" t="s">
        <v>1821</v>
      </c>
      <c r="O358" t="s">
        <v>1824</v>
      </c>
      <c r="P358" t="s">
        <v>1829</v>
      </c>
      <c r="Q358" cm="1">
        <f t="array" ref="Q358">_xlfn.IFS(P358="2 Years", 24,P358="1 Year",12, P358="6 Months",6, P358="1 Month",1)</f>
        <v>1</v>
      </c>
      <c r="R358" t="str" cm="1">
        <f t="array" ref="R358">_xlfn.IFS(Q358=1,"Mensual",Q358=6,"Semestral",Q358=12,"Anual",Q358=24,"Bienal")</f>
        <v>Mensual</v>
      </c>
      <c r="S358">
        <f>IFERROR(VLOOKUP(Sheet1[[#This Row],[ID usuario]],A359:$A$907,1,FALSE),0)</f>
        <v>0</v>
      </c>
    </row>
    <row r="359" spans="1:19" x14ac:dyDescent="0.25">
      <c r="A359" t="s">
        <v>357</v>
      </c>
      <c r="B359" t="s">
        <v>1262</v>
      </c>
      <c r="C359" t="s">
        <v>1810</v>
      </c>
      <c r="D359">
        <v>6.28</v>
      </c>
      <c r="E359" s="1">
        <v>44419</v>
      </c>
      <c r="F359" s="1" t="str">
        <f>TEXT(Sheet1[[#This Row],[Fecha ingreso]],"mmmm")</f>
        <v>agosto</v>
      </c>
      <c r="G359" s="2">
        <f>YEAR(Sheet1[[#This Row],[Fecha ingreso]])</f>
        <v>2021</v>
      </c>
      <c r="H359" s="1" t="str">
        <f>TEXT(Sheet1[[#This Row],[Fecha ingreso]],"dddd")</f>
        <v>miércoles</v>
      </c>
      <c r="I359" s="1">
        <v>45023</v>
      </c>
      <c r="J359" s="2">
        <f>DATEDIF(Sheet1[[#This Row],[Fecha ingreso]],Sheet1[[#This Row],[Fecha último pago]],"M")+1</f>
        <v>20</v>
      </c>
      <c r="K359" s="2">
        <f>Sheet1[[#This Row],[Ingresos mensuales]]*Sheet1[[#This Row],[Meses contratados]]</f>
        <v>125.60000000000001</v>
      </c>
      <c r="L359" t="s">
        <v>1816</v>
      </c>
      <c r="M359">
        <v>65</v>
      </c>
      <c r="N359" t="s">
        <v>1821</v>
      </c>
      <c r="O359" t="s">
        <v>1823</v>
      </c>
      <c r="P359" t="s">
        <v>1827</v>
      </c>
      <c r="Q359" cm="1">
        <f t="array" ref="Q359">_xlfn.IFS(P359="2 Years", 24,P359="1 Year",12, P359="6 Months",6, P359="1 Month",1)</f>
        <v>12</v>
      </c>
      <c r="R359" t="str" cm="1">
        <f t="array" ref="R359">_xlfn.IFS(Q359=1,"Mensual",Q359=6,"Semestral",Q359=12,"Anual",Q359=24,"Bienal")</f>
        <v>Anual</v>
      </c>
      <c r="S359">
        <f>IFERROR(VLOOKUP(Sheet1[[#This Row],[ID usuario]],A360:$A$907,1,FALSE),0)</f>
        <v>0</v>
      </c>
    </row>
    <row r="360" spans="1:19" x14ac:dyDescent="0.25">
      <c r="A360" t="s">
        <v>358</v>
      </c>
      <c r="B360" t="s">
        <v>1263</v>
      </c>
      <c r="C360" t="s">
        <v>1810</v>
      </c>
      <c r="D360">
        <v>50.96</v>
      </c>
      <c r="E360" s="1">
        <v>44908</v>
      </c>
      <c r="F360" s="1" t="str">
        <f>TEXT(Sheet1[[#This Row],[Fecha ingreso]],"mmmm")</f>
        <v>diciembre</v>
      </c>
      <c r="G360" s="2">
        <f>YEAR(Sheet1[[#This Row],[Fecha ingreso]])</f>
        <v>2022</v>
      </c>
      <c r="H360" s="1" t="str">
        <f>TEXT(Sheet1[[#This Row],[Fecha ingreso]],"dddd")</f>
        <v>martes</v>
      </c>
      <c r="I360" s="1">
        <v>45031</v>
      </c>
      <c r="J360" s="2">
        <f>DATEDIF(Sheet1[[#This Row],[Fecha ingreso]],Sheet1[[#This Row],[Fecha último pago]],"M")+1</f>
        <v>5</v>
      </c>
      <c r="K360" s="2">
        <f>Sheet1[[#This Row],[Ingresos mensuales]]*Sheet1[[#This Row],[Meses contratados]]</f>
        <v>254.8</v>
      </c>
      <c r="L360" t="s">
        <v>1815</v>
      </c>
      <c r="M360">
        <v>68</v>
      </c>
      <c r="N360" t="s">
        <v>1820</v>
      </c>
      <c r="O360" t="s">
        <v>1824</v>
      </c>
      <c r="P360" t="s">
        <v>1826</v>
      </c>
      <c r="Q360" cm="1">
        <f t="array" ref="Q360">_xlfn.IFS(P360="2 Years", 24,P360="1 Year",12, P360="6 Months",6, P360="1 Month",1)</f>
        <v>24</v>
      </c>
      <c r="R360" t="str" cm="1">
        <f t="array" ref="R360">_xlfn.IFS(Q360=1,"Mensual",Q360=6,"Semestral",Q360=12,"Anual",Q360=24,"Bienal")</f>
        <v>Bienal</v>
      </c>
      <c r="S360">
        <f>IFERROR(VLOOKUP(Sheet1[[#This Row],[ID usuario]],A361:$A$907,1,FALSE),0)</f>
        <v>0</v>
      </c>
    </row>
    <row r="361" spans="1:19" x14ac:dyDescent="0.25">
      <c r="A361" t="s">
        <v>359</v>
      </c>
      <c r="B361" t="s">
        <v>1264</v>
      </c>
      <c r="C361" t="s">
        <v>1812</v>
      </c>
      <c r="D361">
        <v>29.33</v>
      </c>
      <c r="E361" s="1">
        <v>44548</v>
      </c>
      <c r="F361" s="1" t="str">
        <f>TEXT(Sheet1[[#This Row],[Fecha ingreso]],"mmmm")</f>
        <v>diciembre</v>
      </c>
      <c r="G361" s="2">
        <f>YEAR(Sheet1[[#This Row],[Fecha ingreso]])</f>
        <v>2021</v>
      </c>
      <c r="H361" s="1" t="str">
        <f>TEXT(Sheet1[[#This Row],[Fecha ingreso]],"dddd")</f>
        <v>sábado</v>
      </c>
      <c r="I361" s="1">
        <v>44890</v>
      </c>
      <c r="J361" s="2">
        <f>DATEDIF(Sheet1[[#This Row],[Fecha ingreso]],Sheet1[[#This Row],[Fecha último pago]],"M")+1</f>
        <v>12</v>
      </c>
      <c r="K361" s="2">
        <f>Sheet1[[#This Row],[Ingresos mensuales]]*Sheet1[[#This Row],[Meses contratados]]</f>
        <v>351.96</v>
      </c>
      <c r="L361" t="s">
        <v>1815</v>
      </c>
      <c r="M361">
        <v>27</v>
      </c>
      <c r="N361" t="s">
        <v>1820</v>
      </c>
      <c r="O361" t="s">
        <v>1825</v>
      </c>
      <c r="P361" t="s">
        <v>1828</v>
      </c>
      <c r="Q361" cm="1">
        <f t="array" ref="Q361">_xlfn.IFS(P361="2 Years", 24,P361="1 Year",12, P361="6 Months",6, P361="1 Month",1)</f>
        <v>6</v>
      </c>
      <c r="R361" t="str" cm="1">
        <f t="array" ref="R361">_xlfn.IFS(Q361=1,"Mensual",Q361=6,"Semestral",Q361=12,"Anual",Q361=24,"Bienal")</f>
        <v>Semestral</v>
      </c>
      <c r="S361">
        <f>IFERROR(VLOOKUP(Sheet1[[#This Row],[ID usuario]],A362:$A$907,1,FALSE),0)</f>
        <v>0</v>
      </c>
    </row>
    <row r="362" spans="1:19" x14ac:dyDescent="0.25">
      <c r="A362" t="s">
        <v>360</v>
      </c>
      <c r="B362" t="s">
        <v>1265</v>
      </c>
      <c r="C362" t="s">
        <v>1810</v>
      </c>
      <c r="D362">
        <v>83.25</v>
      </c>
      <c r="E362" s="1">
        <v>44999</v>
      </c>
      <c r="F362" s="1" t="str">
        <f>TEXT(Sheet1[[#This Row],[Fecha ingreso]],"mmmm")</f>
        <v>marzo</v>
      </c>
      <c r="G362" s="2">
        <f>YEAR(Sheet1[[#This Row],[Fecha ingreso]])</f>
        <v>2023</v>
      </c>
      <c r="H362" s="1" t="str">
        <f>TEXT(Sheet1[[#This Row],[Fecha ingreso]],"dddd")</f>
        <v>martes</v>
      </c>
      <c r="I362" s="1">
        <v>45440</v>
      </c>
      <c r="J362" s="2">
        <f>DATEDIF(Sheet1[[#This Row],[Fecha ingreso]],Sheet1[[#This Row],[Fecha último pago]],"M")+1</f>
        <v>15</v>
      </c>
      <c r="K362" s="2">
        <f>Sheet1[[#This Row],[Ingresos mensuales]]*Sheet1[[#This Row],[Meses contratados]]</f>
        <v>1248.75</v>
      </c>
      <c r="L362" t="s">
        <v>1815</v>
      </c>
      <c r="M362">
        <v>25</v>
      </c>
      <c r="N362" t="s">
        <v>1820</v>
      </c>
      <c r="O362" t="s">
        <v>1823</v>
      </c>
      <c r="P362" t="s">
        <v>1827</v>
      </c>
      <c r="Q362" cm="1">
        <f t="array" ref="Q362">_xlfn.IFS(P362="2 Years", 24,P362="1 Year",12, P362="6 Months",6, P362="1 Month",1)</f>
        <v>12</v>
      </c>
      <c r="R362" t="str" cm="1">
        <f t="array" ref="R362">_xlfn.IFS(Q362=1,"Mensual",Q362=6,"Semestral",Q362=12,"Anual",Q362=24,"Bienal")</f>
        <v>Anual</v>
      </c>
      <c r="S362">
        <f>IFERROR(VLOOKUP(Sheet1[[#This Row],[ID usuario]],A363:$A$907,1,FALSE),0)</f>
        <v>0</v>
      </c>
    </row>
    <row r="363" spans="1:19" x14ac:dyDescent="0.25">
      <c r="A363" t="s">
        <v>361</v>
      </c>
      <c r="B363" t="s">
        <v>1266</v>
      </c>
      <c r="C363" t="s">
        <v>1811</v>
      </c>
      <c r="D363">
        <v>27.11</v>
      </c>
      <c r="E363" s="1">
        <v>45035</v>
      </c>
      <c r="F363" s="1" t="str">
        <f>TEXT(Sheet1[[#This Row],[Fecha ingreso]],"mmmm")</f>
        <v>abril</v>
      </c>
      <c r="G363" s="2">
        <f>YEAR(Sheet1[[#This Row],[Fecha ingreso]])</f>
        <v>2023</v>
      </c>
      <c r="H363" s="1" t="str">
        <f>TEXT(Sheet1[[#This Row],[Fecha ingreso]],"dddd")</f>
        <v>miércoles</v>
      </c>
      <c r="I363" s="1">
        <v>45188</v>
      </c>
      <c r="J363" s="2">
        <f>DATEDIF(Sheet1[[#This Row],[Fecha ingreso]],Sheet1[[#This Row],[Fecha último pago]],"M")+1</f>
        <v>6</v>
      </c>
      <c r="K363" s="2">
        <f>Sheet1[[#This Row],[Ingresos mensuales]]*Sheet1[[#This Row],[Meses contratados]]</f>
        <v>162.66</v>
      </c>
      <c r="L363" t="s">
        <v>1817</v>
      </c>
      <c r="M363">
        <v>48</v>
      </c>
      <c r="N363" t="s">
        <v>1820</v>
      </c>
      <c r="O363" t="s">
        <v>1823</v>
      </c>
      <c r="P363" t="s">
        <v>1827</v>
      </c>
      <c r="Q363" cm="1">
        <f t="array" ref="Q363">_xlfn.IFS(P363="2 Years", 24,P363="1 Year",12, P363="6 Months",6, P363="1 Month",1)</f>
        <v>12</v>
      </c>
      <c r="R363" t="str" cm="1">
        <f t="array" ref="R363">_xlfn.IFS(Q363=1,"Mensual",Q363=6,"Semestral",Q363=12,"Anual",Q363=24,"Bienal")</f>
        <v>Anual</v>
      </c>
      <c r="S363">
        <f>IFERROR(VLOOKUP(Sheet1[[#This Row],[ID usuario]],A364:$A$907,1,FALSE),0)</f>
        <v>0</v>
      </c>
    </row>
    <row r="364" spans="1:19" x14ac:dyDescent="0.25">
      <c r="A364" t="s">
        <v>362</v>
      </c>
      <c r="B364" t="s">
        <v>1267</v>
      </c>
      <c r="C364" t="s">
        <v>1810</v>
      </c>
      <c r="D364">
        <v>34.51</v>
      </c>
      <c r="E364" s="1">
        <v>45125</v>
      </c>
      <c r="F364" s="1" t="str">
        <f>TEXT(Sheet1[[#This Row],[Fecha ingreso]],"mmmm")</f>
        <v>julio</v>
      </c>
      <c r="G364" s="2">
        <f>YEAR(Sheet1[[#This Row],[Fecha ingreso]])</f>
        <v>2023</v>
      </c>
      <c r="H364" s="1" t="str">
        <f>TEXT(Sheet1[[#This Row],[Fecha ingreso]],"dddd")</f>
        <v>martes</v>
      </c>
      <c r="I364" s="1">
        <v>45171</v>
      </c>
      <c r="J364" s="2">
        <f>DATEDIF(Sheet1[[#This Row],[Fecha ingreso]],Sheet1[[#This Row],[Fecha último pago]],"M")+1</f>
        <v>2</v>
      </c>
      <c r="K364" s="2">
        <f>Sheet1[[#This Row],[Ingresos mensuales]]*Sheet1[[#This Row],[Meses contratados]]</f>
        <v>69.02</v>
      </c>
      <c r="L364" t="s">
        <v>1815</v>
      </c>
      <c r="M364">
        <v>39</v>
      </c>
      <c r="N364" t="s">
        <v>1821</v>
      </c>
      <c r="O364" t="s">
        <v>1823</v>
      </c>
      <c r="P364" t="s">
        <v>1826</v>
      </c>
      <c r="Q364" cm="1">
        <f t="array" ref="Q364">_xlfn.IFS(P364="2 Years", 24,P364="1 Year",12, P364="6 Months",6, P364="1 Month",1)</f>
        <v>24</v>
      </c>
      <c r="R364" t="str" cm="1">
        <f t="array" ref="R364">_xlfn.IFS(Q364=1,"Mensual",Q364=6,"Semestral",Q364=12,"Anual",Q364=24,"Bienal")</f>
        <v>Bienal</v>
      </c>
      <c r="S364">
        <f>IFERROR(VLOOKUP(Sheet1[[#This Row],[ID usuario]],A365:$A$907,1,FALSE),0)</f>
        <v>0</v>
      </c>
    </row>
    <row r="365" spans="1:19" x14ac:dyDescent="0.25">
      <c r="A365" t="s">
        <v>363</v>
      </c>
      <c r="B365" t="s">
        <v>1268</v>
      </c>
      <c r="C365" t="s">
        <v>1812</v>
      </c>
      <c r="D365">
        <v>80.17</v>
      </c>
      <c r="E365" s="1">
        <v>45167</v>
      </c>
      <c r="F365" s="1" t="str">
        <f>TEXT(Sheet1[[#This Row],[Fecha ingreso]],"mmmm")</f>
        <v>agosto</v>
      </c>
      <c r="G365" s="2">
        <f>YEAR(Sheet1[[#This Row],[Fecha ingreso]])</f>
        <v>2023</v>
      </c>
      <c r="H365" s="1" t="str">
        <f>TEXT(Sheet1[[#This Row],[Fecha ingreso]],"dddd")</f>
        <v>martes</v>
      </c>
      <c r="I365" s="1">
        <v>45237</v>
      </c>
      <c r="J365" s="2">
        <f>DATEDIF(Sheet1[[#This Row],[Fecha ingreso]],Sheet1[[#This Row],[Fecha último pago]],"M")+1</f>
        <v>3</v>
      </c>
      <c r="K365" s="2">
        <f>Sheet1[[#This Row],[Ingresos mensuales]]*Sheet1[[#This Row],[Meses contratados]]</f>
        <v>240.51</v>
      </c>
      <c r="L365" t="s">
        <v>1819</v>
      </c>
      <c r="M365">
        <v>48</v>
      </c>
      <c r="N365" t="s">
        <v>1822</v>
      </c>
      <c r="O365" t="s">
        <v>1825</v>
      </c>
      <c r="P365" t="s">
        <v>1827</v>
      </c>
      <c r="Q365" cm="1">
        <f t="array" ref="Q365">_xlfn.IFS(P365="2 Years", 24,P365="1 Year",12, P365="6 Months",6, P365="1 Month",1)</f>
        <v>12</v>
      </c>
      <c r="R365" t="str" cm="1">
        <f t="array" ref="R365">_xlfn.IFS(Q365=1,"Mensual",Q365=6,"Semestral",Q365=12,"Anual",Q365=24,"Bienal")</f>
        <v>Anual</v>
      </c>
      <c r="S365">
        <f>IFERROR(VLOOKUP(Sheet1[[#This Row],[ID usuario]],A366:$A$907,1,FALSE),0)</f>
        <v>0</v>
      </c>
    </row>
    <row r="366" spans="1:19" x14ac:dyDescent="0.25">
      <c r="A366" t="s">
        <v>364</v>
      </c>
      <c r="B366" t="s">
        <v>1269</v>
      </c>
      <c r="C366" t="s">
        <v>1811</v>
      </c>
      <c r="D366">
        <v>72.94</v>
      </c>
      <c r="E366" s="1">
        <v>44816</v>
      </c>
      <c r="F366" s="1" t="str">
        <f>TEXT(Sheet1[[#This Row],[Fecha ingreso]],"mmmm")</f>
        <v>septiembre</v>
      </c>
      <c r="G366" s="2">
        <f>YEAR(Sheet1[[#This Row],[Fecha ingreso]])</f>
        <v>2022</v>
      </c>
      <c r="H366" s="1" t="str">
        <f>TEXT(Sheet1[[#This Row],[Fecha ingreso]],"dddd")</f>
        <v>lunes</v>
      </c>
      <c r="I366" s="1">
        <v>45390</v>
      </c>
      <c r="J366" s="2">
        <f>DATEDIF(Sheet1[[#This Row],[Fecha ingreso]],Sheet1[[#This Row],[Fecha último pago]],"M")+1</f>
        <v>19</v>
      </c>
      <c r="K366" s="2">
        <f>Sheet1[[#This Row],[Ingresos mensuales]]*Sheet1[[#This Row],[Meses contratados]]</f>
        <v>1385.86</v>
      </c>
      <c r="L366" t="s">
        <v>1814</v>
      </c>
      <c r="M366">
        <v>59</v>
      </c>
      <c r="N366" t="s">
        <v>1821</v>
      </c>
      <c r="O366" t="s">
        <v>1825</v>
      </c>
      <c r="P366" t="s">
        <v>1826</v>
      </c>
      <c r="Q366" cm="1">
        <f t="array" ref="Q366">_xlfn.IFS(P366="2 Years", 24,P366="1 Year",12, P366="6 Months",6, P366="1 Month",1)</f>
        <v>24</v>
      </c>
      <c r="R366" t="str" cm="1">
        <f t="array" ref="R366">_xlfn.IFS(Q366=1,"Mensual",Q366=6,"Semestral",Q366=12,"Anual",Q366=24,"Bienal")</f>
        <v>Bienal</v>
      </c>
      <c r="S366">
        <f>IFERROR(VLOOKUP(Sheet1[[#This Row],[ID usuario]],A367:$A$907,1,FALSE),0)</f>
        <v>0</v>
      </c>
    </row>
    <row r="367" spans="1:19" x14ac:dyDescent="0.25">
      <c r="A367" t="s">
        <v>365</v>
      </c>
      <c r="B367" t="s">
        <v>1270</v>
      </c>
      <c r="C367" t="s">
        <v>1810</v>
      </c>
      <c r="D367">
        <v>58.01</v>
      </c>
      <c r="E367" s="1">
        <v>44660</v>
      </c>
      <c r="F367" s="1" t="str">
        <f>TEXT(Sheet1[[#This Row],[Fecha ingreso]],"mmmm")</f>
        <v>abril</v>
      </c>
      <c r="G367" s="2">
        <f>YEAR(Sheet1[[#This Row],[Fecha ingreso]])</f>
        <v>2022</v>
      </c>
      <c r="H367" s="1" t="str">
        <f>TEXT(Sheet1[[#This Row],[Fecha ingreso]],"dddd")</f>
        <v>sábado</v>
      </c>
      <c r="I367" s="1">
        <v>45049</v>
      </c>
      <c r="J367" s="2">
        <f>DATEDIF(Sheet1[[#This Row],[Fecha ingreso]],Sheet1[[#This Row],[Fecha último pago]],"M")+1</f>
        <v>13</v>
      </c>
      <c r="K367" s="2">
        <f>Sheet1[[#This Row],[Ingresos mensuales]]*Sheet1[[#This Row],[Meses contratados]]</f>
        <v>754.13</v>
      </c>
      <c r="L367" t="s">
        <v>1818</v>
      </c>
      <c r="M367">
        <v>26</v>
      </c>
      <c r="N367" t="s">
        <v>1821</v>
      </c>
      <c r="O367" t="s">
        <v>1823</v>
      </c>
      <c r="P367" t="s">
        <v>1826</v>
      </c>
      <c r="Q367" cm="1">
        <f t="array" ref="Q367">_xlfn.IFS(P367="2 Years", 24,P367="1 Year",12, P367="6 Months",6, P367="1 Month",1)</f>
        <v>24</v>
      </c>
      <c r="R367" t="str" cm="1">
        <f t="array" ref="R367">_xlfn.IFS(Q367=1,"Mensual",Q367=6,"Semestral",Q367=12,"Anual",Q367=24,"Bienal")</f>
        <v>Bienal</v>
      </c>
      <c r="S367">
        <f>IFERROR(VLOOKUP(Sheet1[[#This Row],[ID usuario]],A368:$A$907,1,FALSE),0)</f>
        <v>0</v>
      </c>
    </row>
    <row r="368" spans="1:19" x14ac:dyDescent="0.25">
      <c r="A368" t="s">
        <v>366</v>
      </c>
      <c r="B368" t="s">
        <v>1271</v>
      </c>
      <c r="C368" t="s">
        <v>1812</v>
      </c>
      <c r="D368">
        <v>44.77</v>
      </c>
      <c r="E368" s="1">
        <v>44408</v>
      </c>
      <c r="F368" s="1" t="str">
        <f>TEXT(Sheet1[[#This Row],[Fecha ingreso]],"mmmm")</f>
        <v>julio</v>
      </c>
      <c r="G368" s="2">
        <f>YEAR(Sheet1[[#This Row],[Fecha ingreso]])</f>
        <v>2021</v>
      </c>
      <c r="H368" s="1" t="str">
        <f>TEXT(Sheet1[[#This Row],[Fecha ingreso]],"dddd")</f>
        <v>sábado</v>
      </c>
      <c r="I368" s="1">
        <v>45266</v>
      </c>
      <c r="J368" s="2">
        <f>DATEDIF(Sheet1[[#This Row],[Fecha ingreso]],Sheet1[[#This Row],[Fecha último pago]],"M")+1</f>
        <v>29</v>
      </c>
      <c r="K368" s="2">
        <f>Sheet1[[#This Row],[Ingresos mensuales]]*Sheet1[[#This Row],[Meses contratados]]</f>
        <v>1298.3300000000002</v>
      </c>
      <c r="L368" t="s">
        <v>1815</v>
      </c>
      <c r="M368">
        <v>63</v>
      </c>
      <c r="N368" t="s">
        <v>1820</v>
      </c>
      <c r="O368" t="s">
        <v>1825</v>
      </c>
      <c r="P368" t="s">
        <v>1829</v>
      </c>
      <c r="Q368" cm="1">
        <f t="array" ref="Q368">_xlfn.IFS(P368="2 Years", 24,P368="1 Year",12, P368="6 Months",6, P368="1 Month",1)</f>
        <v>1</v>
      </c>
      <c r="R368" t="str" cm="1">
        <f t="array" ref="R368">_xlfn.IFS(Q368=1,"Mensual",Q368=6,"Semestral",Q368=12,"Anual",Q368=24,"Bienal")</f>
        <v>Mensual</v>
      </c>
      <c r="S368">
        <f>IFERROR(VLOOKUP(Sheet1[[#This Row],[ID usuario]],A369:$A$907,1,FALSE),0)</f>
        <v>0</v>
      </c>
    </row>
    <row r="369" spans="1:19" x14ac:dyDescent="0.25">
      <c r="A369" t="s">
        <v>367</v>
      </c>
      <c r="B369" t="s">
        <v>1272</v>
      </c>
      <c r="C369" t="s">
        <v>1810</v>
      </c>
      <c r="D369">
        <v>5.5</v>
      </c>
      <c r="E369" s="1">
        <v>44635</v>
      </c>
      <c r="F369" s="1" t="str">
        <f>TEXT(Sheet1[[#This Row],[Fecha ingreso]],"mmmm")</f>
        <v>marzo</v>
      </c>
      <c r="G369" s="2">
        <f>YEAR(Sheet1[[#This Row],[Fecha ingreso]])</f>
        <v>2022</v>
      </c>
      <c r="H369" s="1" t="str">
        <f>TEXT(Sheet1[[#This Row],[Fecha ingreso]],"dddd")</f>
        <v>martes</v>
      </c>
      <c r="I369" s="1">
        <v>45146</v>
      </c>
      <c r="J369" s="2">
        <f>DATEDIF(Sheet1[[#This Row],[Fecha ingreso]],Sheet1[[#This Row],[Fecha último pago]],"M")+1</f>
        <v>17</v>
      </c>
      <c r="K369" s="2">
        <f>Sheet1[[#This Row],[Ingresos mensuales]]*Sheet1[[#This Row],[Meses contratados]]</f>
        <v>93.5</v>
      </c>
      <c r="L369" t="s">
        <v>1813</v>
      </c>
      <c r="M369">
        <v>39</v>
      </c>
      <c r="N369" t="s">
        <v>1822</v>
      </c>
      <c r="O369" t="s">
        <v>1823</v>
      </c>
      <c r="P369" t="s">
        <v>1828</v>
      </c>
      <c r="Q369" cm="1">
        <f t="array" ref="Q369">_xlfn.IFS(P369="2 Years", 24,P369="1 Year",12, P369="6 Months",6, P369="1 Month",1)</f>
        <v>6</v>
      </c>
      <c r="R369" t="str" cm="1">
        <f t="array" ref="R369">_xlfn.IFS(Q369=1,"Mensual",Q369=6,"Semestral",Q369=12,"Anual",Q369=24,"Bienal")</f>
        <v>Semestral</v>
      </c>
      <c r="S369">
        <f>IFERROR(VLOOKUP(Sheet1[[#This Row],[ID usuario]],A370:$A$907,1,FALSE),0)</f>
        <v>0</v>
      </c>
    </row>
    <row r="370" spans="1:19" x14ac:dyDescent="0.25">
      <c r="A370" t="s">
        <v>368</v>
      </c>
      <c r="B370" t="s">
        <v>1273</v>
      </c>
      <c r="C370" t="s">
        <v>1810</v>
      </c>
      <c r="D370">
        <v>6.08</v>
      </c>
      <c r="E370" s="1">
        <v>45311</v>
      </c>
      <c r="F370" s="1" t="str">
        <f>TEXT(Sheet1[[#This Row],[Fecha ingreso]],"mmmm")</f>
        <v>enero</v>
      </c>
      <c r="G370" s="2">
        <f>YEAR(Sheet1[[#This Row],[Fecha ingreso]])</f>
        <v>2024</v>
      </c>
      <c r="H370" s="1" t="str">
        <f>TEXT(Sheet1[[#This Row],[Fecha ingreso]],"dddd")</f>
        <v>sábado</v>
      </c>
      <c r="I370" s="1">
        <v>45354</v>
      </c>
      <c r="J370" s="2">
        <f>DATEDIF(Sheet1[[#This Row],[Fecha ingreso]],Sheet1[[#This Row],[Fecha último pago]],"M")+1</f>
        <v>2</v>
      </c>
      <c r="K370" s="2">
        <f>Sheet1[[#This Row],[Ingresos mensuales]]*Sheet1[[#This Row],[Meses contratados]]</f>
        <v>12.16</v>
      </c>
      <c r="L370" t="s">
        <v>1818</v>
      </c>
      <c r="M370">
        <v>26</v>
      </c>
      <c r="N370" t="s">
        <v>1821</v>
      </c>
      <c r="O370" t="s">
        <v>1823</v>
      </c>
      <c r="P370" t="s">
        <v>1826</v>
      </c>
      <c r="Q370" cm="1">
        <f t="array" ref="Q370">_xlfn.IFS(P370="2 Years", 24,P370="1 Year",12, P370="6 Months",6, P370="1 Month",1)</f>
        <v>24</v>
      </c>
      <c r="R370" t="str" cm="1">
        <f t="array" ref="R370">_xlfn.IFS(Q370=1,"Mensual",Q370=6,"Semestral",Q370=12,"Anual",Q370=24,"Bienal")</f>
        <v>Bienal</v>
      </c>
      <c r="S370">
        <f>IFERROR(VLOOKUP(Sheet1[[#This Row],[ID usuario]],A371:$A$907,1,FALSE),0)</f>
        <v>0</v>
      </c>
    </row>
    <row r="371" spans="1:19" x14ac:dyDescent="0.25">
      <c r="A371" t="s">
        <v>369</v>
      </c>
      <c r="B371" t="s">
        <v>1274</v>
      </c>
      <c r="C371" t="s">
        <v>1810</v>
      </c>
      <c r="D371">
        <v>53.57</v>
      </c>
      <c r="E371" s="1">
        <v>45213</v>
      </c>
      <c r="F371" s="1" t="str">
        <f>TEXT(Sheet1[[#This Row],[Fecha ingreso]],"mmmm")</f>
        <v>octubre</v>
      </c>
      <c r="G371" s="2">
        <f>YEAR(Sheet1[[#This Row],[Fecha ingreso]])</f>
        <v>2023</v>
      </c>
      <c r="H371" s="1" t="str">
        <f>TEXT(Sheet1[[#This Row],[Fecha ingreso]],"dddd")</f>
        <v>sábado</v>
      </c>
      <c r="I371" s="1">
        <v>45259</v>
      </c>
      <c r="J371" s="2">
        <f>DATEDIF(Sheet1[[#This Row],[Fecha ingreso]],Sheet1[[#This Row],[Fecha último pago]],"M")+1</f>
        <v>2</v>
      </c>
      <c r="K371" s="2">
        <f>Sheet1[[#This Row],[Ingresos mensuales]]*Sheet1[[#This Row],[Meses contratados]]</f>
        <v>107.14</v>
      </c>
      <c r="L371" t="s">
        <v>1813</v>
      </c>
      <c r="M371">
        <v>63</v>
      </c>
      <c r="N371" t="s">
        <v>1820</v>
      </c>
      <c r="O371" t="s">
        <v>1825</v>
      </c>
      <c r="P371" t="s">
        <v>1826</v>
      </c>
      <c r="Q371" cm="1">
        <f t="array" ref="Q371">_xlfn.IFS(P371="2 Years", 24,P371="1 Year",12, P371="6 Months",6, P371="1 Month",1)</f>
        <v>24</v>
      </c>
      <c r="R371" t="str" cm="1">
        <f t="array" ref="R371">_xlfn.IFS(Q371=1,"Mensual",Q371=6,"Semestral",Q371=12,"Anual",Q371=24,"Bienal")</f>
        <v>Bienal</v>
      </c>
      <c r="S371">
        <f>IFERROR(VLOOKUP(Sheet1[[#This Row],[ID usuario]],A372:$A$907,1,FALSE),0)</f>
        <v>0</v>
      </c>
    </row>
    <row r="372" spans="1:19" x14ac:dyDescent="0.25">
      <c r="A372" t="s">
        <v>370</v>
      </c>
      <c r="B372" t="s">
        <v>1275</v>
      </c>
      <c r="C372" t="s">
        <v>1812</v>
      </c>
      <c r="D372">
        <v>12.91</v>
      </c>
      <c r="E372" s="1">
        <v>44410</v>
      </c>
      <c r="F372" s="1" t="str">
        <f>TEXT(Sheet1[[#This Row],[Fecha ingreso]],"mmmm")</f>
        <v>agosto</v>
      </c>
      <c r="G372" s="2">
        <f>YEAR(Sheet1[[#This Row],[Fecha ingreso]])</f>
        <v>2021</v>
      </c>
      <c r="H372" s="1" t="str">
        <f>TEXT(Sheet1[[#This Row],[Fecha ingreso]],"dddd")</f>
        <v>lunes</v>
      </c>
      <c r="I372" s="1">
        <v>45332</v>
      </c>
      <c r="J372" s="2">
        <f>DATEDIF(Sheet1[[#This Row],[Fecha ingreso]],Sheet1[[#This Row],[Fecha último pago]],"M")+1</f>
        <v>31</v>
      </c>
      <c r="K372" s="2">
        <f>Sheet1[[#This Row],[Ingresos mensuales]]*Sheet1[[#This Row],[Meses contratados]]</f>
        <v>400.21</v>
      </c>
      <c r="L372" t="s">
        <v>1815</v>
      </c>
      <c r="M372">
        <v>67</v>
      </c>
      <c r="N372" t="s">
        <v>1821</v>
      </c>
      <c r="O372" t="s">
        <v>1824</v>
      </c>
      <c r="P372" t="s">
        <v>1828</v>
      </c>
      <c r="Q372" cm="1">
        <f t="array" ref="Q372">_xlfn.IFS(P372="2 Years", 24,P372="1 Year",12, P372="6 Months",6, P372="1 Month",1)</f>
        <v>6</v>
      </c>
      <c r="R372" t="str" cm="1">
        <f t="array" ref="R372">_xlfn.IFS(Q372=1,"Mensual",Q372=6,"Semestral",Q372=12,"Anual",Q372=24,"Bienal")</f>
        <v>Semestral</v>
      </c>
      <c r="S372">
        <f>IFERROR(VLOOKUP(Sheet1[[#This Row],[ID usuario]],A373:$A$907,1,FALSE),0)</f>
        <v>0</v>
      </c>
    </row>
    <row r="373" spans="1:19" x14ac:dyDescent="0.25">
      <c r="A373" t="s">
        <v>371</v>
      </c>
      <c r="B373" t="s">
        <v>1276</v>
      </c>
      <c r="C373" t="s">
        <v>1811</v>
      </c>
      <c r="D373">
        <v>9.85</v>
      </c>
      <c r="E373" s="1">
        <v>44701</v>
      </c>
      <c r="F373" s="1" t="str">
        <f>TEXT(Sheet1[[#This Row],[Fecha ingreso]],"mmmm")</f>
        <v>mayo</v>
      </c>
      <c r="G373" s="2">
        <f>YEAR(Sheet1[[#This Row],[Fecha ingreso]])</f>
        <v>2022</v>
      </c>
      <c r="H373" s="1" t="str">
        <f>TEXT(Sheet1[[#This Row],[Fecha ingreso]],"dddd")</f>
        <v>viernes</v>
      </c>
      <c r="I373" s="1">
        <v>45075</v>
      </c>
      <c r="J373" s="2">
        <f>DATEDIF(Sheet1[[#This Row],[Fecha ingreso]],Sheet1[[#This Row],[Fecha último pago]],"M")+1</f>
        <v>13</v>
      </c>
      <c r="K373" s="2">
        <f>Sheet1[[#This Row],[Ingresos mensuales]]*Sheet1[[#This Row],[Meses contratados]]</f>
        <v>128.04999999999998</v>
      </c>
      <c r="L373" t="s">
        <v>1815</v>
      </c>
      <c r="M373">
        <v>18</v>
      </c>
      <c r="N373" t="s">
        <v>1820</v>
      </c>
      <c r="O373" t="s">
        <v>1824</v>
      </c>
      <c r="P373" t="s">
        <v>1828</v>
      </c>
      <c r="Q373" cm="1">
        <f t="array" ref="Q373">_xlfn.IFS(P373="2 Years", 24,P373="1 Year",12, P373="6 Months",6, P373="1 Month",1)</f>
        <v>6</v>
      </c>
      <c r="R373" t="str" cm="1">
        <f t="array" ref="R373">_xlfn.IFS(Q373=1,"Mensual",Q373=6,"Semestral",Q373=12,"Anual",Q373=24,"Bienal")</f>
        <v>Semestral</v>
      </c>
      <c r="S373">
        <f>IFERROR(VLOOKUP(Sheet1[[#This Row],[ID usuario]],A374:$A$907,1,FALSE),0)</f>
        <v>0</v>
      </c>
    </row>
    <row r="374" spans="1:19" x14ac:dyDescent="0.25">
      <c r="A374" t="s">
        <v>372</v>
      </c>
      <c r="B374" t="s">
        <v>1277</v>
      </c>
      <c r="C374" t="s">
        <v>1810</v>
      </c>
      <c r="D374">
        <v>96.72</v>
      </c>
      <c r="E374" s="1">
        <v>45121</v>
      </c>
      <c r="F374" s="1" t="str">
        <f>TEXT(Sheet1[[#This Row],[Fecha ingreso]],"mmmm")</f>
        <v>julio</v>
      </c>
      <c r="G374" s="2">
        <f>YEAR(Sheet1[[#This Row],[Fecha ingreso]])</f>
        <v>2023</v>
      </c>
      <c r="H374" s="1" t="str">
        <f>TEXT(Sheet1[[#This Row],[Fecha ingreso]],"dddd")</f>
        <v>viernes</v>
      </c>
      <c r="I374" s="1">
        <v>45339</v>
      </c>
      <c r="J374" s="2">
        <f>DATEDIF(Sheet1[[#This Row],[Fecha ingreso]],Sheet1[[#This Row],[Fecha último pago]],"M")+1</f>
        <v>8</v>
      </c>
      <c r="K374" s="2">
        <f>Sheet1[[#This Row],[Ingresos mensuales]]*Sheet1[[#This Row],[Meses contratados]]</f>
        <v>773.76</v>
      </c>
      <c r="L374" t="s">
        <v>1816</v>
      </c>
      <c r="M374">
        <v>45</v>
      </c>
      <c r="N374" t="s">
        <v>1821</v>
      </c>
      <c r="O374" t="s">
        <v>1823</v>
      </c>
      <c r="P374" t="s">
        <v>1827</v>
      </c>
      <c r="Q374" cm="1">
        <f t="array" ref="Q374">_xlfn.IFS(P374="2 Years", 24,P374="1 Year",12, P374="6 Months",6, P374="1 Month",1)</f>
        <v>12</v>
      </c>
      <c r="R374" t="str" cm="1">
        <f t="array" ref="R374">_xlfn.IFS(Q374=1,"Mensual",Q374=6,"Semestral",Q374=12,"Anual",Q374=24,"Bienal")</f>
        <v>Anual</v>
      </c>
      <c r="S374">
        <f>IFERROR(VLOOKUP(Sheet1[[#This Row],[ID usuario]],A375:$A$907,1,FALSE),0)</f>
        <v>0</v>
      </c>
    </row>
    <row r="375" spans="1:19" x14ac:dyDescent="0.25">
      <c r="A375" t="s">
        <v>373</v>
      </c>
      <c r="B375" t="s">
        <v>1278</v>
      </c>
      <c r="C375" t="s">
        <v>1810</v>
      </c>
      <c r="D375">
        <v>86.61</v>
      </c>
      <c r="E375" s="1">
        <v>44444</v>
      </c>
      <c r="F375" s="1" t="str">
        <f>TEXT(Sheet1[[#This Row],[Fecha ingreso]],"mmmm")</f>
        <v>septiembre</v>
      </c>
      <c r="G375" s="2">
        <f>YEAR(Sheet1[[#This Row],[Fecha ingreso]])</f>
        <v>2021</v>
      </c>
      <c r="H375" s="1" t="str">
        <f>TEXT(Sheet1[[#This Row],[Fecha ingreso]],"dddd")</f>
        <v>domingo</v>
      </c>
      <c r="I375" s="1">
        <v>45086</v>
      </c>
      <c r="J375" s="2">
        <f>DATEDIF(Sheet1[[#This Row],[Fecha ingreso]],Sheet1[[#This Row],[Fecha último pago]],"M")+1</f>
        <v>22</v>
      </c>
      <c r="K375" s="2">
        <f>Sheet1[[#This Row],[Ingresos mensuales]]*Sheet1[[#This Row],[Meses contratados]]</f>
        <v>1905.42</v>
      </c>
      <c r="L375" t="s">
        <v>1816</v>
      </c>
      <c r="M375">
        <v>68</v>
      </c>
      <c r="N375" t="s">
        <v>1820</v>
      </c>
      <c r="O375" t="s">
        <v>1825</v>
      </c>
      <c r="P375" t="s">
        <v>1827</v>
      </c>
      <c r="Q375" cm="1">
        <f t="array" ref="Q375">_xlfn.IFS(P375="2 Years", 24,P375="1 Year",12, P375="6 Months",6, P375="1 Month",1)</f>
        <v>12</v>
      </c>
      <c r="R375" t="str" cm="1">
        <f t="array" ref="R375">_xlfn.IFS(Q375=1,"Mensual",Q375=6,"Semestral",Q375=12,"Anual",Q375=24,"Bienal")</f>
        <v>Anual</v>
      </c>
      <c r="S375">
        <f>IFERROR(VLOOKUP(Sheet1[[#This Row],[ID usuario]],A376:$A$907,1,FALSE),0)</f>
        <v>0</v>
      </c>
    </row>
    <row r="376" spans="1:19" x14ac:dyDescent="0.25">
      <c r="A376" t="s">
        <v>374</v>
      </c>
      <c r="B376" t="s">
        <v>1279</v>
      </c>
      <c r="C376" t="s">
        <v>1810</v>
      </c>
      <c r="D376">
        <v>19.440000000000001</v>
      </c>
      <c r="E376" s="1">
        <v>44873</v>
      </c>
      <c r="F376" s="1" t="str">
        <f>TEXT(Sheet1[[#This Row],[Fecha ingreso]],"mmmm")</f>
        <v>noviembre</v>
      </c>
      <c r="G376" s="2">
        <f>YEAR(Sheet1[[#This Row],[Fecha ingreso]])</f>
        <v>2022</v>
      </c>
      <c r="H376" s="1" t="str">
        <f>TEXT(Sheet1[[#This Row],[Fecha ingreso]],"dddd")</f>
        <v>martes</v>
      </c>
      <c r="I376" s="1">
        <v>45234</v>
      </c>
      <c r="J376" s="2">
        <f>DATEDIF(Sheet1[[#This Row],[Fecha ingreso]],Sheet1[[#This Row],[Fecha último pago]],"M")+1</f>
        <v>12</v>
      </c>
      <c r="K376" s="2">
        <f>Sheet1[[#This Row],[Ingresos mensuales]]*Sheet1[[#This Row],[Meses contratados]]</f>
        <v>233.28000000000003</v>
      </c>
      <c r="L376" t="s">
        <v>1813</v>
      </c>
      <c r="M376">
        <v>66</v>
      </c>
      <c r="N376" t="s">
        <v>1821</v>
      </c>
      <c r="O376" t="s">
        <v>1823</v>
      </c>
      <c r="P376" t="s">
        <v>1827</v>
      </c>
      <c r="Q376" cm="1">
        <f t="array" ref="Q376">_xlfn.IFS(P376="2 Years", 24,P376="1 Year",12, P376="6 Months",6, P376="1 Month",1)</f>
        <v>12</v>
      </c>
      <c r="R376" t="str" cm="1">
        <f t="array" ref="R376">_xlfn.IFS(Q376=1,"Mensual",Q376=6,"Semestral",Q376=12,"Anual",Q376=24,"Bienal")</f>
        <v>Anual</v>
      </c>
      <c r="S376">
        <f>IFERROR(VLOOKUP(Sheet1[[#This Row],[ID usuario]],A377:$A$907,1,FALSE),0)</f>
        <v>0</v>
      </c>
    </row>
    <row r="377" spans="1:19" x14ac:dyDescent="0.25">
      <c r="A377" t="s">
        <v>375</v>
      </c>
      <c r="B377" t="s">
        <v>1280</v>
      </c>
      <c r="C377" t="s">
        <v>1810</v>
      </c>
      <c r="D377">
        <v>5.0599999999999996</v>
      </c>
      <c r="E377" s="1">
        <v>45449</v>
      </c>
      <c r="F377" s="1" t="str">
        <f>TEXT(Sheet1[[#This Row],[Fecha ingreso]],"mmmm")</f>
        <v>junio</v>
      </c>
      <c r="G377" s="2">
        <f>YEAR(Sheet1[[#This Row],[Fecha ingreso]])</f>
        <v>2024</v>
      </c>
      <c r="H377" s="1" t="str">
        <f>TEXT(Sheet1[[#This Row],[Fecha ingreso]],"dddd")</f>
        <v>jueves</v>
      </c>
      <c r="I377" s="1">
        <v>45450</v>
      </c>
      <c r="J377" s="2">
        <f>DATEDIF(Sheet1[[#This Row],[Fecha ingreso]],Sheet1[[#This Row],[Fecha último pago]],"M")+1</f>
        <v>1</v>
      </c>
      <c r="K377" s="2">
        <f>Sheet1[[#This Row],[Ingresos mensuales]]*Sheet1[[#This Row],[Meses contratados]]</f>
        <v>5.0599999999999996</v>
      </c>
      <c r="L377" t="s">
        <v>1813</v>
      </c>
      <c r="M377">
        <v>43</v>
      </c>
      <c r="N377" t="s">
        <v>1820</v>
      </c>
      <c r="O377" t="s">
        <v>1823</v>
      </c>
      <c r="P377" t="s">
        <v>1829</v>
      </c>
      <c r="Q377" cm="1">
        <f t="array" ref="Q377">_xlfn.IFS(P377="2 Years", 24,P377="1 Year",12, P377="6 Months",6, P377="1 Month",1)</f>
        <v>1</v>
      </c>
      <c r="R377" t="str" cm="1">
        <f t="array" ref="R377">_xlfn.IFS(Q377=1,"Mensual",Q377=6,"Semestral",Q377=12,"Anual",Q377=24,"Bienal")</f>
        <v>Mensual</v>
      </c>
      <c r="S377">
        <f>IFERROR(VLOOKUP(Sheet1[[#This Row],[ID usuario]],A378:$A$907,1,FALSE),0)</f>
        <v>0</v>
      </c>
    </row>
    <row r="378" spans="1:19" x14ac:dyDescent="0.25">
      <c r="A378" t="s">
        <v>376</v>
      </c>
      <c r="B378" t="s">
        <v>1281</v>
      </c>
      <c r="C378" t="s">
        <v>1811</v>
      </c>
      <c r="D378">
        <v>94.46</v>
      </c>
      <c r="E378" s="1">
        <v>45316</v>
      </c>
      <c r="F378" s="1" t="str">
        <f>TEXT(Sheet1[[#This Row],[Fecha ingreso]],"mmmm")</f>
        <v>enero</v>
      </c>
      <c r="G378" s="2">
        <f>YEAR(Sheet1[[#This Row],[Fecha ingreso]])</f>
        <v>2024</v>
      </c>
      <c r="H378" s="1" t="str">
        <f>TEXT(Sheet1[[#This Row],[Fecha ingreso]],"dddd")</f>
        <v>jueves</v>
      </c>
      <c r="I378" s="1">
        <v>45448</v>
      </c>
      <c r="J378" s="2">
        <f>DATEDIF(Sheet1[[#This Row],[Fecha ingreso]],Sheet1[[#This Row],[Fecha último pago]],"M")+1</f>
        <v>5</v>
      </c>
      <c r="K378" s="2">
        <f>Sheet1[[#This Row],[Ingresos mensuales]]*Sheet1[[#This Row],[Meses contratados]]</f>
        <v>472.29999999999995</v>
      </c>
      <c r="L378" t="s">
        <v>1816</v>
      </c>
      <c r="M378">
        <v>47</v>
      </c>
      <c r="N378" t="s">
        <v>1822</v>
      </c>
      <c r="O378" t="s">
        <v>1823</v>
      </c>
      <c r="P378" t="s">
        <v>1829</v>
      </c>
      <c r="Q378" cm="1">
        <f t="array" ref="Q378">_xlfn.IFS(P378="2 Years", 24,P378="1 Year",12, P378="6 Months",6, P378="1 Month",1)</f>
        <v>1</v>
      </c>
      <c r="R378" t="str" cm="1">
        <f t="array" ref="R378">_xlfn.IFS(Q378=1,"Mensual",Q378=6,"Semestral",Q378=12,"Anual",Q378=24,"Bienal")</f>
        <v>Mensual</v>
      </c>
      <c r="S378">
        <f>IFERROR(VLOOKUP(Sheet1[[#This Row],[ID usuario]],A379:$A$907,1,FALSE),0)</f>
        <v>0</v>
      </c>
    </row>
    <row r="379" spans="1:19" x14ac:dyDescent="0.25">
      <c r="A379" t="s">
        <v>377</v>
      </c>
      <c r="B379" t="s">
        <v>1282</v>
      </c>
      <c r="C379" t="s">
        <v>1812</v>
      </c>
      <c r="D379">
        <v>31.44</v>
      </c>
      <c r="E379" s="1">
        <v>45460</v>
      </c>
      <c r="F379" s="1" t="str">
        <f>TEXT(Sheet1[[#This Row],[Fecha ingreso]],"mmmm")</f>
        <v>junio</v>
      </c>
      <c r="G379" s="2">
        <f>YEAR(Sheet1[[#This Row],[Fecha ingreso]])</f>
        <v>2024</v>
      </c>
      <c r="H379" s="1" t="str">
        <f>TEXT(Sheet1[[#This Row],[Fecha ingreso]],"dddd")</f>
        <v>lunes</v>
      </c>
      <c r="I379" s="1">
        <v>45460</v>
      </c>
      <c r="J379" s="2">
        <f>DATEDIF(Sheet1[[#This Row],[Fecha ingreso]],Sheet1[[#This Row],[Fecha último pago]],"M")+1</f>
        <v>1</v>
      </c>
      <c r="K379" s="2">
        <f>Sheet1[[#This Row],[Ingresos mensuales]]*Sheet1[[#This Row],[Meses contratados]]</f>
        <v>31.44</v>
      </c>
      <c r="L379" t="s">
        <v>1815</v>
      </c>
      <c r="M379">
        <v>25</v>
      </c>
      <c r="N379" t="s">
        <v>1821</v>
      </c>
      <c r="O379" t="s">
        <v>1824</v>
      </c>
      <c r="P379" t="s">
        <v>1829</v>
      </c>
      <c r="Q379" cm="1">
        <f t="array" ref="Q379">_xlfn.IFS(P379="2 Years", 24,P379="1 Year",12, P379="6 Months",6, P379="1 Month",1)</f>
        <v>1</v>
      </c>
      <c r="R379" t="str" cm="1">
        <f t="array" ref="R379">_xlfn.IFS(Q379=1,"Mensual",Q379=6,"Semestral",Q379=12,"Anual",Q379=24,"Bienal")</f>
        <v>Mensual</v>
      </c>
      <c r="S379">
        <f>IFERROR(VLOOKUP(Sheet1[[#This Row],[ID usuario]],A380:$A$907,1,FALSE),0)</f>
        <v>0</v>
      </c>
    </row>
    <row r="380" spans="1:19" x14ac:dyDescent="0.25">
      <c r="A380" t="s">
        <v>378</v>
      </c>
      <c r="B380" t="s">
        <v>1283</v>
      </c>
      <c r="C380" t="s">
        <v>1812</v>
      </c>
      <c r="D380">
        <v>22.66</v>
      </c>
      <c r="E380" s="1">
        <v>45157</v>
      </c>
      <c r="F380" s="1" t="str">
        <f>TEXT(Sheet1[[#This Row],[Fecha ingreso]],"mmmm")</f>
        <v>agosto</v>
      </c>
      <c r="G380" s="2">
        <f>YEAR(Sheet1[[#This Row],[Fecha ingreso]])</f>
        <v>2023</v>
      </c>
      <c r="H380" s="1" t="str">
        <f>TEXT(Sheet1[[#This Row],[Fecha ingreso]],"dddd")</f>
        <v>sábado</v>
      </c>
      <c r="I380" s="1">
        <v>45297</v>
      </c>
      <c r="J380" s="2">
        <f>DATEDIF(Sheet1[[#This Row],[Fecha ingreso]],Sheet1[[#This Row],[Fecha último pago]],"M")+1</f>
        <v>5</v>
      </c>
      <c r="K380" s="2">
        <f>Sheet1[[#This Row],[Ingresos mensuales]]*Sheet1[[#This Row],[Meses contratados]]</f>
        <v>113.3</v>
      </c>
      <c r="L380" t="s">
        <v>1819</v>
      </c>
      <c r="M380">
        <v>44</v>
      </c>
      <c r="N380" t="s">
        <v>1822</v>
      </c>
      <c r="O380" t="s">
        <v>1824</v>
      </c>
      <c r="P380" t="s">
        <v>1829</v>
      </c>
      <c r="Q380" cm="1">
        <f t="array" ref="Q380">_xlfn.IFS(P380="2 Years", 24,P380="1 Year",12, P380="6 Months",6, P380="1 Month",1)</f>
        <v>1</v>
      </c>
      <c r="R380" t="str" cm="1">
        <f t="array" ref="R380">_xlfn.IFS(Q380=1,"Mensual",Q380=6,"Semestral",Q380=12,"Anual",Q380=24,"Bienal")</f>
        <v>Mensual</v>
      </c>
      <c r="S380">
        <f>IFERROR(VLOOKUP(Sheet1[[#This Row],[ID usuario]],A381:$A$907,1,FALSE),0)</f>
        <v>0</v>
      </c>
    </row>
    <row r="381" spans="1:19" x14ac:dyDescent="0.25">
      <c r="A381" t="s">
        <v>379</v>
      </c>
      <c r="B381" t="s">
        <v>1284</v>
      </c>
      <c r="C381" t="s">
        <v>1811</v>
      </c>
      <c r="D381">
        <v>70.69</v>
      </c>
      <c r="E381" s="1">
        <v>44882</v>
      </c>
      <c r="F381" s="1" t="str">
        <f>TEXT(Sheet1[[#This Row],[Fecha ingreso]],"mmmm")</f>
        <v>noviembre</v>
      </c>
      <c r="G381" s="2">
        <f>YEAR(Sheet1[[#This Row],[Fecha ingreso]])</f>
        <v>2022</v>
      </c>
      <c r="H381" s="1" t="str">
        <f>TEXT(Sheet1[[#This Row],[Fecha ingreso]],"dddd")</f>
        <v>jueves</v>
      </c>
      <c r="I381" s="1">
        <v>44940</v>
      </c>
      <c r="J381" s="2">
        <f>DATEDIF(Sheet1[[#This Row],[Fecha ingreso]],Sheet1[[#This Row],[Fecha último pago]],"M")+1</f>
        <v>2</v>
      </c>
      <c r="K381" s="2">
        <f>Sheet1[[#This Row],[Ingresos mensuales]]*Sheet1[[#This Row],[Meses contratados]]</f>
        <v>141.38</v>
      </c>
      <c r="L381" t="s">
        <v>1815</v>
      </c>
      <c r="M381">
        <v>49</v>
      </c>
      <c r="N381" t="s">
        <v>1820</v>
      </c>
      <c r="O381" t="s">
        <v>1823</v>
      </c>
      <c r="P381" t="s">
        <v>1828</v>
      </c>
      <c r="Q381" cm="1">
        <f t="array" ref="Q381">_xlfn.IFS(P381="2 Years", 24,P381="1 Year",12, P381="6 Months",6, P381="1 Month",1)</f>
        <v>6</v>
      </c>
      <c r="R381" t="str" cm="1">
        <f t="array" ref="R381">_xlfn.IFS(Q381=1,"Mensual",Q381=6,"Semestral",Q381=12,"Anual",Q381=24,"Bienal")</f>
        <v>Semestral</v>
      </c>
      <c r="S381">
        <f>IFERROR(VLOOKUP(Sheet1[[#This Row],[ID usuario]],A382:$A$907,1,FALSE),0)</f>
        <v>0</v>
      </c>
    </row>
    <row r="382" spans="1:19" x14ac:dyDescent="0.25">
      <c r="A382" t="s">
        <v>380</v>
      </c>
      <c r="B382" t="s">
        <v>1285</v>
      </c>
      <c r="C382" t="s">
        <v>1810</v>
      </c>
      <c r="D382">
        <v>15.35</v>
      </c>
      <c r="E382" s="1">
        <v>44581</v>
      </c>
      <c r="F382" s="1" t="str">
        <f>TEXT(Sheet1[[#This Row],[Fecha ingreso]],"mmmm")</f>
        <v>enero</v>
      </c>
      <c r="G382" s="2">
        <f>YEAR(Sheet1[[#This Row],[Fecha ingreso]])</f>
        <v>2022</v>
      </c>
      <c r="H382" s="1" t="str">
        <f>TEXT(Sheet1[[#This Row],[Fecha ingreso]],"dddd")</f>
        <v>jueves</v>
      </c>
      <c r="I382" s="1">
        <v>44934</v>
      </c>
      <c r="J382" s="2">
        <f>DATEDIF(Sheet1[[#This Row],[Fecha ingreso]],Sheet1[[#This Row],[Fecha último pago]],"M")+1</f>
        <v>12</v>
      </c>
      <c r="K382" s="2">
        <f>Sheet1[[#This Row],[Ingresos mensuales]]*Sheet1[[#This Row],[Meses contratados]]</f>
        <v>184.2</v>
      </c>
      <c r="L382" t="s">
        <v>1817</v>
      </c>
      <c r="M382">
        <v>32</v>
      </c>
      <c r="N382" t="s">
        <v>1820</v>
      </c>
      <c r="O382" t="s">
        <v>1825</v>
      </c>
      <c r="P382" t="s">
        <v>1826</v>
      </c>
      <c r="Q382" cm="1">
        <f t="array" ref="Q382">_xlfn.IFS(P382="2 Years", 24,P382="1 Year",12, P382="6 Months",6, P382="1 Month",1)</f>
        <v>24</v>
      </c>
      <c r="R382" t="str" cm="1">
        <f t="array" ref="R382">_xlfn.IFS(Q382=1,"Mensual",Q382=6,"Semestral",Q382=12,"Anual",Q382=24,"Bienal")</f>
        <v>Bienal</v>
      </c>
      <c r="S382">
        <f>IFERROR(VLOOKUP(Sheet1[[#This Row],[ID usuario]],A383:$A$907,1,FALSE),0)</f>
        <v>0</v>
      </c>
    </row>
    <row r="383" spans="1:19" x14ac:dyDescent="0.25">
      <c r="A383" t="s">
        <v>381</v>
      </c>
      <c r="B383" t="s">
        <v>1286</v>
      </c>
      <c r="C383" t="s">
        <v>1811</v>
      </c>
      <c r="D383">
        <v>30.14</v>
      </c>
      <c r="E383" s="1">
        <v>45022</v>
      </c>
      <c r="F383" s="1" t="str">
        <f>TEXT(Sheet1[[#This Row],[Fecha ingreso]],"mmmm")</f>
        <v>abril</v>
      </c>
      <c r="G383" s="2">
        <f>YEAR(Sheet1[[#This Row],[Fecha ingreso]])</f>
        <v>2023</v>
      </c>
      <c r="H383" s="1" t="str">
        <f>TEXT(Sheet1[[#This Row],[Fecha ingreso]],"dddd")</f>
        <v>jueves</v>
      </c>
      <c r="I383" s="1">
        <v>45060</v>
      </c>
      <c r="J383" s="2">
        <f>DATEDIF(Sheet1[[#This Row],[Fecha ingreso]],Sheet1[[#This Row],[Fecha último pago]],"M")+1</f>
        <v>2</v>
      </c>
      <c r="K383" s="2">
        <f>Sheet1[[#This Row],[Ingresos mensuales]]*Sheet1[[#This Row],[Meses contratados]]</f>
        <v>60.28</v>
      </c>
      <c r="L383" t="s">
        <v>1813</v>
      </c>
      <c r="M383">
        <v>37</v>
      </c>
      <c r="N383" t="s">
        <v>1822</v>
      </c>
      <c r="O383" t="s">
        <v>1824</v>
      </c>
      <c r="P383" t="s">
        <v>1827</v>
      </c>
      <c r="Q383" cm="1">
        <f t="array" ref="Q383">_xlfn.IFS(P383="2 Years", 24,P383="1 Year",12, P383="6 Months",6, P383="1 Month",1)</f>
        <v>12</v>
      </c>
      <c r="R383" t="str" cm="1">
        <f t="array" ref="R383">_xlfn.IFS(Q383=1,"Mensual",Q383=6,"Semestral",Q383=12,"Anual",Q383=24,"Bienal")</f>
        <v>Anual</v>
      </c>
      <c r="S383">
        <f>IFERROR(VLOOKUP(Sheet1[[#This Row],[ID usuario]],A384:$A$907,1,FALSE),0)</f>
        <v>0</v>
      </c>
    </row>
    <row r="384" spans="1:19" x14ac:dyDescent="0.25">
      <c r="A384" t="s">
        <v>382</v>
      </c>
      <c r="B384" t="s">
        <v>1287</v>
      </c>
      <c r="C384" t="s">
        <v>1811</v>
      </c>
      <c r="D384">
        <v>97.63</v>
      </c>
      <c r="E384" s="1">
        <v>44373</v>
      </c>
      <c r="F384" s="1" t="str">
        <f>TEXT(Sheet1[[#This Row],[Fecha ingreso]],"mmmm")</f>
        <v>junio</v>
      </c>
      <c r="G384" s="2">
        <f>YEAR(Sheet1[[#This Row],[Fecha ingreso]])</f>
        <v>2021</v>
      </c>
      <c r="H384" s="1" t="str">
        <f>TEXT(Sheet1[[#This Row],[Fecha ingreso]],"dddd")</f>
        <v>sábado</v>
      </c>
      <c r="I384" s="1">
        <v>44702</v>
      </c>
      <c r="J384" s="2">
        <f>DATEDIF(Sheet1[[#This Row],[Fecha ingreso]],Sheet1[[#This Row],[Fecha último pago]],"M")+1</f>
        <v>11</v>
      </c>
      <c r="K384" s="2">
        <f>Sheet1[[#This Row],[Ingresos mensuales]]*Sheet1[[#This Row],[Meses contratados]]</f>
        <v>1073.9299999999998</v>
      </c>
      <c r="L384" t="s">
        <v>1814</v>
      </c>
      <c r="M384">
        <v>26</v>
      </c>
      <c r="N384" t="s">
        <v>1820</v>
      </c>
      <c r="O384" t="s">
        <v>1825</v>
      </c>
      <c r="P384" t="s">
        <v>1827</v>
      </c>
      <c r="Q384" cm="1">
        <f t="array" ref="Q384">_xlfn.IFS(P384="2 Years", 24,P384="1 Year",12, P384="6 Months",6, P384="1 Month",1)</f>
        <v>12</v>
      </c>
      <c r="R384" t="str" cm="1">
        <f t="array" ref="R384">_xlfn.IFS(Q384=1,"Mensual",Q384=6,"Semestral",Q384=12,"Anual",Q384=24,"Bienal")</f>
        <v>Anual</v>
      </c>
      <c r="S384">
        <f>IFERROR(VLOOKUP(Sheet1[[#This Row],[ID usuario]],A385:$A$907,1,FALSE),0)</f>
        <v>0</v>
      </c>
    </row>
    <row r="385" spans="1:19" x14ac:dyDescent="0.25">
      <c r="A385" t="s">
        <v>383</v>
      </c>
      <c r="B385" t="s">
        <v>1288</v>
      </c>
      <c r="C385" t="s">
        <v>1811</v>
      </c>
      <c r="D385">
        <v>65.75</v>
      </c>
      <c r="E385" s="1">
        <v>45079</v>
      </c>
      <c r="F385" s="1" t="str">
        <f>TEXT(Sheet1[[#This Row],[Fecha ingreso]],"mmmm")</f>
        <v>junio</v>
      </c>
      <c r="G385" s="2">
        <f>YEAR(Sheet1[[#This Row],[Fecha ingreso]])</f>
        <v>2023</v>
      </c>
      <c r="H385" s="1" t="str">
        <f>TEXT(Sheet1[[#This Row],[Fecha ingreso]],"dddd")</f>
        <v>viernes</v>
      </c>
      <c r="I385" s="1">
        <v>45308</v>
      </c>
      <c r="J385" s="2">
        <f>DATEDIF(Sheet1[[#This Row],[Fecha ingreso]],Sheet1[[#This Row],[Fecha último pago]],"M")+1</f>
        <v>8</v>
      </c>
      <c r="K385" s="2">
        <f>Sheet1[[#This Row],[Ingresos mensuales]]*Sheet1[[#This Row],[Meses contratados]]</f>
        <v>526</v>
      </c>
      <c r="L385" t="s">
        <v>1818</v>
      </c>
      <c r="M385">
        <v>57</v>
      </c>
      <c r="N385" t="s">
        <v>1820</v>
      </c>
      <c r="O385" t="s">
        <v>1825</v>
      </c>
      <c r="P385" t="s">
        <v>1826</v>
      </c>
      <c r="Q385" cm="1">
        <f t="array" ref="Q385">_xlfn.IFS(P385="2 Years", 24,P385="1 Year",12, P385="6 Months",6, P385="1 Month",1)</f>
        <v>24</v>
      </c>
      <c r="R385" t="str" cm="1">
        <f t="array" ref="R385">_xlfn.IFS(Q385=1,"Mensual",Q385=6,"Semestral",Q385=12,"Anual",Q385=24,"Bienal")</f>
        <v>Bienal</v>
      </c>
      <c r="S385">
        <f>IFERROR(VLOOKUP(Sheet1[[#This Row],[ID usuario]],A386:$A$907,1,FALSE),0)</f>
        <v>0</v>
      </c>
    </row>
    <row r="386" spans="1:19" x14ac:dyDescent="0.25">
      <c r="A386" t="s">
        <v>384</v>
      </c>
      <c r="B386" t="s">
        <v>1289</v>
      </c>
      <c r="C386" t="s">
        <v>1811</v>
      </c>
      <c r="D386">
        <v>54.46</v>
      </c>
      <c r="E386" s="1">
        <v>44749</v>
      </c>
      <c r="F386" s="1" t="str">
        <f>TEXT(Sheet1[[#This Row],[Fecha ingreso]],"mmmm")</f>
        <v>julio</v>
      </c>
      <c r="G386" s="2">
        <f>YEAR(Sheet1[[#This Row],[Fecha ingreso]])</f>
        <v>2022</v>
      </c>
      <c r="H386" s="1" t="str">
        <f>TEXT(Sheet1[[#This Row],[Fecha ingreso]],"dddd")</f>
        <v>jueves</v>
      </c>
      <c r="I386" s="1">
        <v>45154</v>
      </c>
      <c r="J386" s="2">
        <f>DATEDIF(Sheet1[[#This Row],[Fecha ingreso]],Sheet1[[#This Row],[Fecha último pago]],"M")+1</f>
        <v>14</v>
      </c>
      <c r="K386" s="2">
        <f>Sheet1[[#This Row],[Ingresos mensuales]]*Sheet1[[#This Row],[Meses contratados]]</f>
        <v>762.44</v>
      </c>
      <c r="L386" t="s">
        <v>1815</v>
      </c>
      <c r="M386">
        <v>47</v>
      </c>
      <c r="N386" t="s">
        <v>1820</v>
      </c>
      <c r="O386" t="s">
        <v>1825</v>
      </c>
      <c r="P386" t="s">
        <v>1828</v>
      </c>
      <c r="Q386" cm="1">
        <f t="array" ref="Q386">_xlfn.IFS(P386="2 Years", 24,P386="1 Year",12, P386="6 Months",6, P386="1 Month",1)</f>
        <v>6</v>
      </c>
      <c r="R386" t="str" cm="1">
        <f t="array" ref="R386">_xlfn.IFS(Q386=1,"Mensual",Q386=6,"Semestral",Q386=12,"Anual",Q386=24,"Bienal")</f>
        <v>Semestral</v>
      </c>
      <c r="S386">
        <f>IFERROR(VLOOKUP(Sheet1[[#This Row],[ID usuario]],A387:$A$907,1,FALSE),0)</f>
        <v>0</v>
      </c>
    </row>
    <row r="387" spans="1:19" x14ac:dyDescent="0.25">
      <c r="A387" t="s">
        <v>385</v>
      </c>
      <c r="B387" t="s">
        <v>1290</v>
      </c>
      <c r="C387" t="s">
        <v>1811</v>
      </c>
      <c r="D387">
        <v>42.8</v>
      </c>
      <c r="E387" s="1">
        <v>45458</v>
      </c>
      <c r="F387" s="1" t="str">
        <f>TEXT(Sheet1[[#This Row],[Fecha ingreso]],"mmmm")</f>
        <v>junio</v>
      </c>
      <c r="G387" s="2">
        <f>YEAR(Sheet1[[#This Row],[Fecha ingreso]])</f>
        <v>2024</v>
      </c>
      <c r="H387" s="1" t="str">
        <f>TEXT(Sheet1[[#This Row],[Fecha ingreso]],"dddd")</f>
        <v>sábado</v>
      </c>
      <c r="I387" s="1">
        <v>45460</v>
      </c>
      <c r="J387" s="2">
        <f>DATEDIF(Sheet1[[#This Row],[Fecha ingreso]],Sheet1[[#This Row],[Fecha último pago]],"M")+1</f>
        <v>1</v>
      </c>
      <c r="K387" s="2">
        <f>Sheet1[[#This Row],[Ingresos mensuales]]*Sheet1[[#This Row],[Meses contratados]]</f>
        <v>42.8</v>
      </c>
      <c r="L387" t="s">
        <v>1813</v>
      </c>
      <c r="M387">
        <v>41</v>
      </c>
      <c r="N387" t="s">
        <v>1822</v>
      </c>
      <c r="O387" t="s">
        <v>1823</v>
      </c>
      <c r="P387" t="s">
        <v>1826</v>
      </c>
      <c r="Q387" cm="1">
        <f t="array" ref="Q387">_xlfn.IFS(P387="2 Years", 24,P387="1 Year",12, P387="6 Months",6, P387="1 Month",1)</f>
        <v>24</v>
      </c>
      <c r="R387" t="str" cm="1">
        <f t="array" ref="R387">_xlfn.IFS(Q387=1,"Mensual",Q387=6,"Semestral",Q387=12,"Anual",Q387=24,"Bienal")</f>
        <v>Bienal</v>
      </c>
      <c r="S387">
        <f>IFERROR(VLOOKUP(Sheet1[[#This Row],[ID usuario]],A388:$A$907,1,FALSE),0)</f>
        <v>0</v>
      </c>
    </row>
    <row r="388" spans="1:19" x14ac:dyDescent="0.25">
      <c r="A388" t="s">
        <v>386</v>
      </c>
      <c r="B388" t="s">
        <v>1291</v>
      </c>
      <c r="C388" t="s">
        <v>1812</v>
      </c>
      <c r="D388">
        <v>18.39</v>
      </c>
      <c r="E388" s="1">
        <v>45241</v>
      </c>
      <c r="F388" s="1" t="str">
        <f>TEXT(Sheet1[[#This Row],[Fecha ingreso]],"mmmm")</f>
        <v>noviembre</v>
      </c>
      <c r="G388" s="2">
        <f>YEAR(Sheet1[[#This Row],[Fecha ingreso]])</f>
        <v>2023</v>
      </c>
      <c r="H388" s="1" t="str">
        <f>TEXT(Sheet1[[#This Row],[Fecha ingreso]],"dddd")</f>
        <v>sábado</v>
      </c>
      <c r="I388" s="1">
        <v>45358</v>
      </c>
      <c r="J388" s="2">
        <f>DATEDIF(Sheet1[[#This Row],[Fecha ingreso]],Sheet1[[#This Row],[Fecha último pago]],"M")+1</f>
        <v>4</v>
      </c>
      <c r="K388" s="2">
        <f>Sheet1[[#This Row],[Ingresos mensuales]]*Sheet1[[#This Row],[Meses contratados]]</f>
        <v>73.56</v>
      </c>
      <c r="L388" t="s">
        <v>1818</v>
      </c>
      <c r="M388">
        <v>58</v>
      </c>
      <c r="N388" t="s">
        <v>1821</v>
      </c>
      <c r="O388" t="s">
        <v>1825</v>
      </c>
      <c r="P388" t="s">
        <v>1826</v>
      </c>
      <c r="Q388" cm="1">
        <f t="array" ref="Q388">_xlfn.IFS(P388="2 Years", 24,P388="1 Year",12, P388="6 Months",6, P388="1 Month",1)</f>
        <v>24</v>
      </c>
      <c r="R388" t="str" cm="1">
        <f t="array" ref="R388">_xlfn.IFS(Q388=1,"Mensual",Q388=6,"Semestral",Q388=12,"Anual",Q388=24,"Bienal")</f>
        <v>Bienal</v>
      </c>
      <c r="S388">
        <f>IFERROR(VLOOKUP(Sheet1[[#This Row],[ID usuario]],A389:$A$907,1,FALSE),0)</f>
        <v>0</v>
      </c>
    </row>
    <row r="389" spans="1:19" x14ac:dyDescent="0.25">
      <c r="A389" t="s">
        <v>387</v>
      </c>
      <c r="B389" t="s">
        <v>1292</v>
      </c>
      <c r="C389" t="s">
        <v>1812</v>
      </c>
      <c r="D389">
        <v>96.9</v>
      </c>
      <c r="E389" s="1">
        <v>44772</v>
      </c>
      <c r="F389" s="1" t="str">
        <f>TEXT(Sheet1[[#This Row],[Fecha ingreso]],"mmmm")</f>
        <v>julio</v>
      </c>
      <c r="G389" s="2">
        <f>YEAR(Sheet1[[#This Row],[Fecha ingreso]])</f>
        <v>2022</v>
      </c>
      <c r="H389" s="1" t="str">
        <f>TEXT(Sheet1[[#This Row],[Fecha ingreso]],"dddd")</f>
        <v>sábado</v>
      </c>
      <c r="I389" s="1">
        <v>45367</v>
      </c>
      <c r="J389" s="2">
        <f>DATEDIF(Sheet1[[#This Row],[Fecha ingreso]],Sheet1[[#This Row],[Fecha último pago]],"M")+1</f>
        <v>20</v>
      </c>
      <c r="K389" s="2">
        <f>Sheet1[[#This Row],[Ingresos mensuales]]*Sheet1[[#This Row],[Meses contratados]]</f>
        <v>1938</v>
      </c>
      <c r="L389" t="s">
        <v>1815</v>
      </c>
      <c r="M389">
        <v>19</v>
      </c>
      <c r="N389" t="s">
        <v>1821</v>
      </c>
      <c r="O389" t="s">
        <v>1823</v>
      </c>
      <c r="P389" t="s">
        <v>1826</v>
      </c>
      <c r="Q389" cm="1">
        <f t="array" ref="Q389">_xlfn.IFS(P389="2 Years", 24,P389="1 Year",12, P389="6 Months",6, P389="1 Month",1)</f>
        <v>24</v>
      </c>
      <c r="R389" t="str" cm="1">
        <f t="array" ref="R389">_xlfn.IFS(Q389=1,"Mensual",Q389=6,"Semestral",Q389=12,"Anual",Q389=24,"Bienal")</f>
        <v>Bienal</v>
      </c>
      <c r="S389">
        <f>IFERROR(VLOOKUP(Sheet1[[#This Row],[ID usuario]],A390:$A$907,1,FALSE),0)</f>
        <v>0</v>
      </c>
    </row>
    <row r="390" spans="1:19" x14ac:dyDescent="0.25">
      <c r="A390" t="s">
        <v>388</v>
      </c>
      <c r="B390" t="s">
        <v>1293</v>
      </c>
      <c r="C390" t="s">
        <v>1811</v>
      </c>
      <c r="D390">
        <v>86.81</v>
      </c>
      <c r="E390" s="1">
        <v>44742</v>
      </c>
      <c r="F390" s="1" t="str">
        <f>TEXT(Sheet1[[#This Row],[Fecha ingreso]],"mmmm")</f>
        <v>junio</v>
      </c>
      <c r="G390" s="2">
        <f>YEAR(Sheet1[[#This Row],[Fecha ingreso]])</f>
        <v>2022</v>
      </c>
      <c r="H390" s="1" t="str">
        <f>TEXT(Sheet1[[#This Row],[Fecha ingreso]],"dddd")</f>
        <v>jueves</v>
      </c>
      <c r="I390" s="1">
        <v>44847</v>
      </c>
      <c r="J390" s="2">
        <f>DATEDIF(Sheet1[[#This Row],[Fecha ingreso]],Sheet1[[#This Row],[Fecha último pago]],"M")+1</f>
        <v>4</v>
      </c>
      <c r="K390" s="2">
        <f>Sheet1[[#This Row],[Ingresos mensuales]]*Sheet1[[#This Row],[Meses contratados]]</f>
        <v>347.24</v>
      </c>
      <c r="L390" t="s">
        <v>1814</v>
      </c>
      <c r="M390">
        <v>43</v>
      </c>
      <c r="N390" t="s">
        <v>1820</v>
      </c>
      <c r="O390" t="s">
        <v>1823</v>
      </c>
      <c r="P390" t="s">
        <v>1827</v>
      </c>
      <c r="Q390" cm="1">
        <f t="array" ref="Q390">_xlfn.IFS(P390="2 Years", 24,P390="1 Year",12, P390="6 Months",6, P390="1 Month",1)</f>
        <v>12</v>
      </c>
      <c r="R390" t="str" cm="1">
        <f t="array" ref="R390">_xlfn.IFS(Q390=1,"Mensual",Q390=6,"Semestral",Q390=12,"Anual",Q390=24,"Bienal")</f>
        <v>Anual</v>
      </c>
      <c r="S390">
        <f>IFERROR(VLOOKUP(Sheet1[[#This Row],[ID usuario]],A391:$A$907,1,FALSE),0)</f>
        <v>0</v>
      </c>
    </row>
    <row r="391" spans="1:19" x14ac:dyDescent="0.25">
      <c r="A391" t="s">
        <v>389</v>
      </c>
      <c r="B391" t="s">
        <v>1294</v>
      </c>
      <c r="C391" t="s">
        <v>1811</v>
      </c>
      <c r="D391">
        <v>63.68</v>
      </c>
      <c r="E391" s="1">
        <v>44774</v>
      </c>
      <c r="F391" s="1" t="str">
        <f>TEXT(Sheet1[[#This Row],[Fecha ingreso]],"mmmm")</f>
        <v>agosto</v>
      </c>
      <c r="G391" s="2">
        <f>YEAR(Sheet1[[#This Row],[Fecha ingreso]])</f>
        <v>2022</v>
      </c>
      <c r="H391" s="1" t="str">
        <f>TEXT(Sheet1[[#This Row],[Fecha ingreso]],"dddd")</f>
        <v>lunes</v>
      </c>
      <c r="I391" s="1">
        <v>45143</v>
      </c>
      <c r="J391" s="2">
        <f>DATEDIF(Sheet1[[#This Row],[Fecha ingreso]],Sheet1[[#This Row],[Fecha último pago]],"M")+1</f>
        <v>13</v>
      </c>
      <c r="K391" s="2">
        <f>Sheet1[[#This Row],[Ingresos mensuales]]*Sheet1[[#This Row],[Meses contratados]]</f>
        <v>827.84</v>
      </c>
      <c r="L391" t="s">
        <v>1818</v>
      </c>
      <c r="M391">
        <v>42</v>
      </c>
      <c r="N391" t="s">
        <v>1820</v>
      </c>
      <c r="O391" t="s">
        <v>1823</v>
      </c>
      <c r="P391" t="s">
        <v>1826</v>
      </c>
      <c r="Q391" cm="1">
        <f t="array" ref="Q391">_xlfn.IFS(P391="2 Years", 24,P391="1 Year",12, P391="6 Months",6, P391="1 Month",1)</f>
        <v>24</v>
      </c>
      <c r="R391" t="str" cm="1">
        <f t="array" ref="R391">_xlfn.IFS(Q391=1,"Mensual",Q391=6,"Semestral",Q391=12,"Anual",Q391=24,"Bienal")</f>
        <v>Bienal</v>
      </c>
      <c r="S391">
        <f>IFERROR(VLOOKUP(Sheet1[[#This Row],[ID usuario]],A392:$A$907,1,FALSE),0)</f>
        <v>0</v>
      </c>
    </row>
    <row r="392" spans="1:19" x14ac:dyDescent="0.25">
      <c r="A392" t="s">
        <v>390</v>
      </c>
      <c r="B392" t="s">
        <v>1295</v>
      </c>
      <c r="C392" t="s">
        <v>1811</v>
      </c>
      <c r="D392">
        <v>9.08</v>
      </c>
      <c r="E392" s="1">
        <v>44800</v>
      </c>
      <c r="F392" s="1" t="str">
        <f>TEXT(Sheet1[[#This Row],[Fecha ingreso]],"mmmm")</f>
        <v>agosto</v>
      </c>
      <c r="G392" s="2">
        <f>YEAR(Sheet1[[#This Row],[Fecha ingreso]])</f>
        <v>2022</v>
      </c>
      <c r="H392" s="1" t="str">
        <f>TEXT(Sheet1[[#This Row],[Fecha ingreso]],"dddd")</f>
        <v>sábado</v>
      </c>
      <c r="I392" s="1">
        <v>44907</v>
      </c>
      <c r="J392" s="2">
        <f>DATEDIF(Sheet1[[#This Row],[Fecha ingreso]],Sheet1[[#This Row],[Fecha último pago]],"M")+1</f>
        <v>4</v>
      </c>
      <c r="K392" s="2">
        <f>Sheet1[[#This Row],[Ingresos mensuales]]*Sheet1[[#This Row],[Meses contratados]]</f>
        <v>36.32</v>
      </c>
      <c r="L392" t="s">
        <v>1817</v>
      </c>
      <c r="M392">
        <v>48</v>
      </c>
      <c r="N392" t="s">
        <v>1822</v>
      </c>
      <c r="O392" t="s">
        <v>1825</v>
      </c>
      <c r="P392" t="s">
        <v>1827</v>
      </c>
      <c r="Q392" cm="1">
        <f t="array" ref="Q392">_xlfn.IFS(P392="2 Years", 24,P392="1 Year",12, P392="6 Months",6, P392="1 Month",1)</f>
        <v>12</v>
      </c>
      <c r="R392" t="str" cm="1">
        <f t="array" ref="R392">_xlfn.IFS(Q392=1,"Mensual",Q392=6,"Semestral",Q392=12,"Anual",Q392=24,"Bienal")</f>
        <v>Anual</v>
      </c>
      <c r="S392">
        <f>IFERROR(VLOOKUP(Sheet1[[#This Row],[ID usuario]],A393:$A$907,1,FALSE),0)</f>
        <v>0</v>
      </c>
    </row>
    <row r="393" spans="1:19" x14ac:dyDescent="0.25">
      <c r="A393" t="s">
        <v>391</v>
      </c>
      <c r="B393" t="s">
        <v>1296</v>
      </c>
      <c r="C393" t="s">
        <v>1812</v>
      </c>
      <c r="D393">
        <v>71.58</v>
      </c>
      <c r="E393" s="1">
        <v>45024</v>
      </c>
      <c r="F393" s="1" t="str">
        <f>TEXT(Sheet1[[#This Row],[Fecha ingreso]],"mmmm")</f>
        <v>abril</v>
      </c>
      <c r="G393" s="2">
        <f>YEAR(Sheet1[[#This Row],[Fecha ingreso]])</f>
        <v>2023</v>
      </c>
      <c r="H393" s="1" t="str">
        <f>TEXT(Sheet1[[#This Row],[Fecha ingreso]],"dddd")</f>
        <v>sábado</v>
      </c>
      <c r="I393" s="1">
        <v>45154</v>
      </c>
      <c r="J393" s="2">
        <f>DATEDIF(Sheet1[[#This Row],[Fecha ingreso]],Sheet1[[#This Row],[Fecha último pago]],"M")+1</f>
        <v>5</v>
      </c>
      <c r="K393" s="2">
        <f>Sheet1[[#This Row],[Ingresos mensuales]]*Sheet1[[#This Row],[Meses contratados]]</f>
        <v>357.9</v>
      </c>
      <c r="L393" t="s">
        <v>1817</v>
      </c>
      <c r="M393">
        <v>59</v>
      </c>
      <c r="N393" t="s">
        <v>1822</v>
      </c>
      <c r="O393" t="s">
        <v>1825</v>
      </c>
      <c r="P393" t="s">
        <v>1829</v>
      </c>
      <c r="Q393" cm="1">
        <f t="array" ref="Q393">_xlfn.IFS(P393="2 Years", 24,P393="1 Year",12, P393="6 Months",6, P393="1 Month",1)</f>
        <v>1</v>
      </c>
      <c r="R393" t="str" cm="1">
        <f t="array" ref="R393">_xlfn.IFS(Q393=1,"Mensual",Q393=6,"Semestral",Q393=12,"Anual",Q393=24,"Bienal")</f>
        <v>Mensual</v>
      </c>
      <c r="S393">
        <f>IFERROR(VLOOKUP(Sheet1[[#This Row],[ID usuario]],A394:$A$907,1,FALSE),0)</f>
        <v>0</v>
      </c>
    </row>
    <row r="394" spans="1:19" x14ac:dyDescent="0.25">
      <c r="A394" t="s">
        <v>392</v>
      </c>
      <c r="B394" t="s">
        <v>1297</v>
      </c>
      <c r="C394" t="s">
        <v>1810</v>
      </c>
      <c r="D394">
        <v>91.76</v>
      </c>
      <c r="E394" s="1">
        <v>44478</v>
      </c>
      <c r="F394" s="1" t="str">
        <f>TEXT(Sheet1[[#This Row],[Fecha ingreso]],"mmmm")</f>
        <v>octubre</v>
      </c>
      <c r="G394" s="2">
        <f>YEAR(Sheet1[[#This Row],[Fecha ingreso]])</f>
        <v>2021</v>
      </c>
      <c r="H394" s="1" t="str">
        <f>TEXT(Sheet1[[#This Row],[Fecha ingreso]],"dddd")</f>
        <v>sábado</v>
      </c>
      <c r="I394" s="1">
        <v>44577</v>
      </c>
      <c r="J394" s="2">
        <f>DATEDIF(Sheet1[[#This Row],[Fecha ingreso]],Sheet1[[#This Row],[Fecha último pago]],"M")+1</f>
        <v>4</v>
      </c>
      <c r="K394" s="2">
        <f>Sheet1[[#This Row],[Ingresos mensuales]]*Sheet1[[#This Row],[Meses contratados]]</f>
        <v>367.04</v>
      </c>
      <c r="L394" t="s">
        <v>1818</v>
      </c>
      <c r="M394">
        <v>34</v>
      </c>
      <c r="N394" t="s">
        <v>1822</v>
      </c>
      <c r="O394" t="s">
        <v>1823</v>
      </c>
      <c r="P394" t="s">
        <v>1829</v>
      </c>
      <c r="Q394" cm="1">
        <f t="array" ref="Q394">_xlfn.IFS(P394="2 Years", 24,P394="1 Year",12, P394="6 Months",6, P394="1 Month",1)</f>
        <v>1</v>
      </c>
      <c r="R394" t="str" cm="1">
        <f t="array" ref="R394">_xlfn.IFS(Q394=1,"Mensual",Q394=6,"Semestral",Q394=12,"Anual",Q394=24,"Bienal")</f>
        <v>Mensual</v>
      </c>
      <c r="S394">
        <f>IFERROR(VLOOKUP(Sheet1[[#This Row],[ID usuario]],A395:$A$907,1,FALSE),0)</f>
        <v>0</v>
      </c>
    </row>
    <row r="395" spans="1:19" x14ac:dyDescent="0.25">
      <c r="A395" t="s">
        <v>393</v>
      </c>
      <c r="B395" t="s">
        <v>1298</v>
      </c>
      <c r="C395" t="s">
        <v>1810</v>
      </c>
      <c r="D395">
        <v>54.83</v>
      </c>
      <c r="E395" s="1">
        <v>45339</v>
      </c>
      <c r="F395" s="1" t="str">
        <f>TEXT(Sheet1[[#This Row],[Fecha ingreso]],"mmmm")</f>
        <v>febrero</v>
      </c>
      <c r="G395" s="2">
        <f>YEAR(Sheet1[[#This Row],[Fecha ingreso]])</f>
        <v>2024</v>
      </c>
      <c r="H395" s="1" t="str">
        <f>TEXT(Sheet1[[#This Row],[Fecha ingreso]],"dddd")</f>
        <v>sábado</v>
      </c>
      <c r="I395" s="1">
        <v>45425</v>
      </c>
      <c r="J395" s="2">
        <f>DATEDIF(Sheet1[[#This Row],[Fecha ingreso]],Sheet1[[#This Row],[Fecha último pago]],"M")+1</f>
        <v>3</v>
      </c>
      <c r="K395" s="2">
        <f>Sheet1[[#This Row],[Ingresos mensuales]]*Sheet1[[#This Row],[Meses contratados]]</f>
        <v>164.49</v>
      </c>
      <c r="L395" t="s">
        <v>1817</v>
      </c>
      <c r="M395">
        <v>29</v>
      </c>
      <c r="N395" t="s">
        <v>1822</v>
      </c>
      <c r="O395" t="s">
        <v>1824</v>
      </c>
      <c r="P395" t="s">
        <v>1828</v>
      </c>
      <c r="Q395" cm="1">
        <f t="array" ref="Q395">_xlfn.IFS(P395="2 Years", 24,P395="1 Year",12, P395="6 Months",6, P395="1 Month",1)</f>
        <v>6</v>
      </c>
      <c r="R395" t="str" cm="1">
        <f t="array" ref="R395">_xlfn.IFS(Q395=1,"Mensual",Q395=6,"Semestral",Q395=12,"Anual",Q395=24,"Bienal")</f>
        <v>Semestral</v>
      </c>
      <c r="S395">
        <f>IFERROR(VLOOKUP(Sheet1[[#This Row],[ID usuario]],A396:$A$907,1,FALSE),0)</f>
        <v>0</v>
      </c>
    </row>
    <row r="396" spans="1:19" x14ac:dyDescent="0.25">
      <c r="A396" t="s">
        <v>394</v>
      </c>
      <c r="B396" t="s">
        <v>1299</v>
      </c>
      <c r="C396" t="s">
        <v>1810</v>
      </c>
      <c r="D396">
        <v>38.65</v>
      </c>
      <c r="E396" s="1">
        <v>45160</v>
      </c>
      <c r="F396" s="1" t="str">
        <f>TEXT(Sheet1[[#This Row],[Fecha ingreso]],"mmmm")</f>
        <v>agosto</v>
      </c>
      <c r="G396" s="2">
        <f>YEAR(Sheet1[[#This Row],[Fecha ingreso]])</f>
        <v>2023</v>
      </c>
      <c r="H396" s="1" t="str">
        <f>TEXT(Sheet1[[#This Row],[Fecha ingreso]],"dddd")</f>
        <v>martes</v>
      </c>
      <c r="I396" s="1">
        <v>45335</v>
      </c>
      <c r="J396" s="2">
        <f>DATEDIF(Sheet1[[#This Row],[Fecha ingreso]],Sheet1[[#This Row],[Fecha último pago]],"M")+1</f>
        <v>6</v>
      </c>
      <c r="K396" s="2">
        <f>Sheet1[[#This Row],[Ingresos mensuales]]*Sheet1[[#This Row],[Meses contratados]]</f>
        <v>231.89999999999998</v>
      </c>
      <c r="L396" t="s">
        <v>1818</v>
      </c>
      <c r="M396">
        <v>57</v>
      </c>
      <c r="N396" t="s">
        <v>1820</v>
      </c>
      <c r="O396" t="s">
        <v>1823</v>
      </c>
      <c r="P396" t="s">
        <v>1827</v>
      </c>
      <c r="Q396" cm="1">
        <f t="array" ref="Q396">_xlfn.IFS(P396="2 Years", 24,P396="1 Year",12, P396="6 Months",6, P396="1 Month",1)</f>
        <v>12</v>
      </c>
      <c r="R396" t="str" cm="1">
        <f t="array" ref="R396">_xlfn.IFS(Q396=1,"Mensual",Q396=6,"Semestral",Q396=12,"Anual",Q396=24,"Bienal")</f>
        <v>Anual</v>
      </c>
      <c r="S396">
        <f>IFERROR(VLOOKUP(Sheet1[[#This Row],[ID usuario]],A397:$A$907,1,FALSE),0)</f>
        <v>0</v>
      </c>
    </row>
    <row r="397" spans="1:19" x14ac:dyDescent="0.25">
      <c r="A397" t="s">
        <v>395</v>
      </c>
      <c r="B397" t="s">
        <v>1300</v>
      </c>
      <c r="C397" t="s">
        <v>1811</v>
      </c>
      <c r="D397">
        <v>16.43</v>
      </c>
      <c r="E397" s="1">
        <v>44367</v>
      </c>
      <c r="F397" s="1" t="str">
        <f>TEXT(Sheet1[[#This Row],[Fecha ingreso]],"mmmm")</f>
        <v>junio</v>
      </c>
      <c r="G397" s="2">
        <f>YEAR(Sheet1[[#This Row],[Fecha ingreso]])</f>
        <v>2021</v>
      </c>
      <c r="H397" s="1" t="str">
        <f>TEXT(Sheet1[[#This Row],[Fecha ingreso]],"dddd")</f>
        <v>domingo</v>
      </c>
      <c r="I397" s="1">
        <v>45221</v>
      </c>
      <c r="J397" s="2">
        <f>DATEDIF(Sheet1[[#This Row],[Fecha ingreso]],Sheet1[[#This Row],[Fecha último pago]],"M")+1</f>
        <v>29</v>
      </c>
      <c r="K397" s="2">
        <f>Sheet1[[#This Row],[Ingresos mensuales]]*Sheet1[[#This Row],[Meses contratados]]</f>
        <v>476.46999999999997</v>
      </c>
      <c r="L397" t="s">
        <v>1814</v>
      </c>
      <c r="M397">
        <v>25</v>
      </c>
      <c r="N397" t="s">
        <v>1822</v>
      </c>
      <c r="O397" t="s">
        <v>1825</v>
      </c>
      <c r="P397" t="s">
        <v>1826</v>
      </c>
      <c r="Q397" cm="1">
        <f t="array" ref="Q397">_xlfn.IFS(P397="2 Years", 24,P397="1 Year",12, P397="6 Months",6, P397="1 Month",1)</f>
        <v>24</v>
      </c>
      <c r="R397" t="str" cm="1">
        <f t="array" ref="R397">_xlfn.IFS(Q397=1,"Mensual",Q397=6,"Semestral",Q397=12,"Anual",Q397=24,"Bienal")</f>
        <v>Bienal</v>
      </c>
      <c r="S397">
        <f>IFERROR(VLOOKUP(Sheet1[[#This Row],[ID usuario]],A398:$A$907,1,FALSE),0)</f>
        <v>0</v>
      </c>
    </row>
    <row r="398" spans="1:19" x14ac:dyDescent="0.25">
      <c r="A398" t="s">
        <v>396</v>
      </c>
      <c r="B398" t="s">
        <v>1301</v>
      </c>
      <c r="C398" t="s">
        <v>1810</v>
      </c>
      <c r="D398">
        <v>76.72</v>
      </c>
      <c r="E398" s="1">
        <v>45212</v>
      </c>
      <c r="F398" s="1" t="str">
        <f>TEXT(Sheet1[[#This Row],[Fecha ingreso]],"mmmm")</f>
        <v>octubre</v>
      </c>
      <c r="G398" s="2">
        <f>YEAR(Sheet1[[#This Row],[Fecha ingreso]])</f>
        <v>2023</v>
      </c>
      <c r="H398" s="1" t="str">
        <f>TEXT(Sheet1[[#This Row],[Fecha ingreso]],"dddd")</f>
        <v>viernes</v>
      </c>
      <c r="I398" s="1">
        <v>45333</v>
      </c>
      <c r="J398" s="2">
        <f>DATEDIF(Sheet1[[#This Row],[Fecha ingreso]],Sheet1[[#This Row],[Fecha último pago]],"M")+1</f>
        <v>4</v>
      </c>
      <c r="K398" s="2">
        <f>Sheet1[[#This Row],[Ingresos mensuales]]*Sheet1[[#This Row],[Meses contratados]]</f>
        <v>306.88</v>
      </c>
      <c r="L398" t="s">
        <v>1817</v>
      </c>
      <c r="M398">
        <v>56</v>
      </c>
      <c r="N398" t="s">
        <v>1822</v>
      </c>
      <c r="O398" t="s">
        <v>1824</v>
      </c>
      <c r="P398" t="s">
        <v>1827</v>
      </c>
      <c r="Q398" cm="1">
        <f t="array" ref="Q398">_xlfn.IFS(P398="2 Years", 24,P398="1 Year",12, P398="6 Months",6, P398="1 Month",1)</f>
        <v>12</v>
      </c>
      <c r="R398" t="str" cm="1">
        <f t="array" ref="R398">_xlfn.IFS(Q398=1,"Mensual",Q398=6,"Semestral",Q398=12,"Anual",Q398=24,"Bienal")</f>
        <v>Anual</v>
      </c>
      <c r="S398">
        <f>IFERROR(VLOOKUP(Sheet1[[#This Row],[ID usuario]],A399:$A$907,1,FALSE),0)</f>
        <v>0</v>
      </c>
    </row>
    <row r="399" spans="1:19" x14ac:dyDescent="0.25">
      <c r="A399" t="s">
        <v>397</v>
      </c>
      <c r="B399" t="s">
        <v>1302</v>
      </c>
      <c r="C399" t="s">
        <v>1811</v>
      </c>
      <c r="D399">
        <v>89.08</v>
      </c>
      <c r="E399" s="1">
        <v>44926</v>
      </c>
      <c r="F399" s="1" t="str">
        <f>TEXT(Sheet1[[#This Row],[Fecha ingreso]],"mmmm")</f>
        <v>diciembre</v>
      </c>
      <c r="G399" s="2">
        <f>YEAR(Sheet1[[#This Row],[Fecha ingreso]])</f>
        <v>2022</v>
      </c>
      <c r="H399" s="1" t="str">
        <f>TEXT(Sheet1[[#This Row],[Fecha ingreso]],"dddd")</f>
        <v>sábado</v>
      </c>
      <c r="I399" s="1">
        <v>45345</v>
      </c>
      <c r="J399" s="2">
        <f>DATEDIF(Sheet1[[#This Row],[Fecha ingreso]],Sheet1[[#This Row],[Fecha último pago]],"M")+1</f>
        <v>14</v>
      </c>
      <c r="K399" s="2">
        <f>Sheet1[[#This Row],[Ingresos mensuales]]*Sheet1[[#This Row],[Meses contratados]]</f>
        <v>1247.1199999999999</v>
      </c>
      <c r="L399" t="s">
        <v>1813</v>
      </c>
      <c r="M399">
        <v>39</v>
      </c>
      <c r="N399" t="s">
        <v>1822</v>
      </c>
      <c r="O399" t="s">
        <v>1824</v>
      </c>
      <c r="P399" t="s">
        <v>1829</v>
      </c>
      <c r="Q399" cm="1">
        <f t="array" ref="Q399">_xlfn.IFS(P399="2 Years", 24,P399="1 Year",12, P399="6 Months",6, P399="1 Month",1)</f>
        <v>1</v>
      </c>
      <c r="R399" t="str" cm="1">
        <f t="array" ref="R399">_xlfn.IFS(Q399=1,"Mensual",Q399=6,"Semestral",Q399=12,"Anual",Q399=24,"Bienal")</f>
        <v>Mensual</v>
      </c>
      <c r="S399">
        <f>IFERROR(VLOOKUP(Sheet1[[#This Row],[ID usuario]],A400:$A$907,1,FALSE),0)</f>
        <v>0</v>
      </c>
    </row>
    <row r="400" spans="1:19" x14ac:dyDescent="0.25">
      <c r="A400" t="s">
        <v>398</v>
      </c>
      <c r="B400" t="s">
        <v>1303</v>
      </c>
      <c r="C400" t="s">
        <v>1810</v>
      </c>
      <c r="D400">
        <v>14.52</v>
      </c>
      <c r="E400" s="1">
        <v>45056</v>
      </c>
      <c r="F400" s="1" t="str">
        <f>TEXT(Sheet1[[#This Row],[Fecha ingreso]],"mmmm")</f>
        <v>mayo</v>
      </c>
      <c r="G400" s="2">
        <f>YEAR(Sheet1[[#This Row],[Fecha ingreso]])</f>
        <v>2023</v>
      </c>
      <c r="H400" s="1" t="str">
        <f>TEXT(Sheet1[[#This Row],[Fecha ingreso]],"dddd")</f>
        <v>miércoles</v>
      </c>
      <c r="I400" s="1">
        <v>45334</v>
      </c>
      <c r="J400" s="2">
        <f>DATEDIF(Sheet1[[#This Row],[Fecha ingreso]],Sheet1[[#This Row],[Fecha último pago]],"M")+1</f>
        <v>10</v>
      </c>
      <c r="K400" s="2">
        <f>Sheet1[[#This Row],[Ingresos mensuales]]*Sheet1[[#This Row],[Meses contratados]]</f>
        <v>145.19999999999999</v>
      </c>
      <c r="L400" t="s">
        <v>1815</v>
      </c>
      <c r="M400">
        <v>42</v>
      </c>
      <c r="N400" t="s">
        <v>1821</v>
      </c>
      <c r="O400" t="s">
        <v>1824</v>
      </c>
      <c r="P400" t="s">
        <v>1829</v>
      </c>
      <c r="Q400" cm="1">
        <f t="array" ref="Q400">_xlfn.IFS(P400="2 Years", 24,P400="1 Year",12, P400="6 Months",6, P400="1 Month",1)</f>
        <v>1</v>
      </c>
      <c r="R400" t="str" cm="1">
        <f t="array" ref="R400">_xlfn.IFS(Q400=1,"Mensual",Q400=6,"Semestral",Q400=12,"Anual",Q400=24,"Bienal")</f>
        <v>Mensual</v>
      </c>
      <c r="S400">
        <f>IFERROR(VLOOKUP(Sheet1[[#This Row],[ID usuario]],A401:$A$907,1,FALSE),0)</f>
        <v>0</v>
      </c>
    </row>
    <row r="401" spans="1:19" x14ac:dyDescent="0.25">
      <c r="A401" t="s">
        <v>399</v>
      </c>
      <c r="B401" t="s">
        <v>1304</v>
      </c>
      <c r="C401" t="s">
        <v>1812</v>
      </c>
      <c r="D401">
        <v>6.62</v>
      </c>
      <c r="E401" s="1">
        <v>45207</v>
      </c>
      <c r="F401" s="1" t="str">
        <f>TEXT(Sheet1[[#This Row],[Fecha ingreso]],"mmmm")</f>
        <v>octubre</v>
      </c>
      <c r="G401" s="2">
        <f>YEAR(Sheet1[[#This Row],[Fecha ingreso]])</f>
        <v>2023</v>
      </c>
      <c r="H401" s="1" t="str">
        <f>TEXT(Sheet1[[#This Row],[Fecha ingreso]],"dddd")</f>
        <v>domingo</v>
      </c>
      <c r="I401" s="1">
        <v>45265</v>
      </c>
      <c r="J401" s="2">
        <f>DATEDIF(Sheet1[[#This Row],[Fecha ingreso]],Sheet1[[#This Row],[Fecha último pago]],"M")+1</f>
        <v>2</v>
      </c>
      <c r="K401" s="2">
        <f>Sheet1[[#This Row],[Ingresos mensuales]]*Sheet1[[#This Row],[Meses contratados]]</f>
        <v>13.24</v>
      </c>
      <c r="L401" t="s">
        <v>1813</v>
      </c>
      <c r="M401">
        <v>61</v>
      </c>
      <c r="N401" t="s">
        <v>1822</v>
      </c>
      <c r="O401" t="s">
        <v>1824</v>
      </c>
      <c r="P401" t="s">
        <v>1828</v>
      </c>
      <c r="Q401" cm="1">
        <f t="array" ref="Q401">_xlfn.IFS(P401="2 Years", 24,P401="1 Year",12, P401="6 Months",6, P401="1 Month",1)</f>
        <v>6</v>
      </c>
      <c r="R401" t="str" cm="1">
        <f t="array" ref="R401">_xlfn.IFS(Q401=1,"Mensual",Q401=6,"Semestral",Q401=12,"Anual",Q401=24,"Bienal")</f>
        <v>Semestral</v>
      </c>
      <c r="S401">
        <f>IFERROR(VLOOKUP(Sheet1[[#This Row],[ID usuario]],A402:$A$907,1,FALSE),0)</f>
        <v>0</v>
      </c>
    </row>
    <row r="402" spans="1:19" x14ac:dyDescent="0.25">
      <c r="A402" t="s">
        <v>400</v>
      </c>
      <c r="B402" t="s">
        <v>1305</v>
      </c>
      <c r="C402" t="s">
        <v>1811</v>
      </c>
      <c r="D402">
        <v>96.87</v>
      </c>
      <c r="E402" s="1">
        <v>44452</v>
      </c>
      <c r="F402" s="1" t="str">
        <f>TEXT(Sheet1[[#This Row],[Fecha ingreso]],"mmmm")</f>
        <v>septiembre</v>
      </c>
      <c r="G402" s="2">
        <f>YEAR(Sheet1[[#This Row],[Fecha ingreso]])</f>
        <v>2021</v>
      </c>
      <c r="H402" s="1" t="str">
        <f>TEXT(Sheet1[[#This Row],[Fecha ingreso]],"dddd")</f>
        <v>lunes</v>
      </c>
      <c r="I402" s="1">
        <v>44718</v>
      </c>
      <c r="J402" s="2">
        <f>DATEDIF(Sheet1[[#This Row],[Fecha ingreso]],Sheet1[[#This Row],[Fecha último pago]],"M")+1</f>
        <v>9</v>
      </c>
      <c r="K402" s="2">
        <f>Sheet1[[#This Row],[Ingresos mensuales]]*Sheet1[[#This Row],[Meses contratados]]</f>
        <v>871.83</v>
      </c>
      <c r="L402" t="s">
        <v>1814</v>
      </c>
      <c r="M402">
        <v>54</v>
      </c>
      <c r="N402" t="s">
        <v>1820</v>
      </c>
      <c r="O402" t="s">
        <v>1824</v>
      </c>
      <c r="P402" t="s">
        <v>1826</v>
      </c>
      <c r="Q402" cm="1">
        <f t="array" ref="Q402">_xlfn.IFS(P402="2 Years", 24,P402="1 Year",12, P402="6 Months",6, P402="1 Month",1)</f>
        <v>24</v>
      </c>
      <c r="R402" t="str" cm="1">
        <f t="array" ref="R402">_xlfn.IFS(Q402=1,"Mensual",Q402=6,"Semestral",Q402=12,"Anual",Q402=24,"Bienal")</f>
        <v>Bienal</v>
      </c>
      <c r="S402">
        <f>IFERROR(VLOOKUP(Sheet1[[#This Row],[ID usuario]],A403:$A$907,1,FALSE),0)</f>
        <v>0</v>
      </c>
    </row>
    <row r="403" spans="1:19" x14ac:dyDescent="0.25">
      <c r="A403" t="s">
        <v>401</v>
      </c>
      <c r="B403" t="s">
        <v>1306</v>
      </c>
      <c r="C403" t="s">
        <v>1810</v>
      </c>
      <c r="D403">
        <v>63.43</v>
      </c>
      <c r="E403" s="1">
        <v>45407</v>
      </c>
      <c r="F403" s="1" t="str">
        <f>TEXT(Sheet1[[#This Row],[Fecha ingreso]],"mmmm")</f>
        <v>abril</v>
      </c>
      <c r="G403" s="2">
        <f>YEAR(Sheet1[[#This Row],[Fecha ingreso]])</f>
        <v>2024</v>
      </c>
      <c r="H403" s="1" t="str">
        <f>TEXT(Sheet1[[#This Row],[Fecha ingreso]],"dddd")</f>
        <v>jueves</v>
      </c>
      <c r="I403" s="1">
        <v>45416</v>
      </c>
      <c r="J403" s="2">
        <f>DATEDIF(Sheet1[[#This Row],[Fecha ingreso]],Sheet1[[#This Row],[Fecha último pago]],"M")+1</f>
        <v>1</v>
      </c>
      <c r="K403" s="2">
        <f>Sheet1[[#This Row],[Ingresos mensuales]]*Sheet1[[#This Row],[Meses contratados]]</f>
        <v>63.43</v>
      </c>
      <c r="L403" t="s">
        <v>1816</v>
      </c>
      <c r="M403">
        <v>50</v>
      </c>
      <c r="N403" t="s">
        <v>1822</v>
      </c>
      <c r="O403" t="s">
        <v>1825</v>
      </c>
      <c r="P403" t="s">
        <v>1829</v>
      </c>
      <c r="Q403" cm="1">
        <f t="array" ref="Q403">_xlfn.IFS(P403="2 Years", 24,P403="1 Year",12, P403="6 Months",6, P403="1 Month",1)</f>
        <v>1</v>
      </c>
      <c r="R403" t="str" cm="1">
        <f t="array" ref="R403">_xlfn.IFS(Q403=1,"Mensual",Q403=6,"Semestral",Q403=12,"Anual",Q403=24,"Bienal")</f>
        <v>Mensual</v>
      </c>
      <c r="S403">
        <f>IFERROR(VLOOKUP(Sheet1[[#This Row],[ID usuario]],A404:$A$907,1,FALSE),0)</f>
        <v>0</v>
      </c>
    </row>
    <row r="404" spans="1:19" x14ac:dyDescent="0.25">
      <c r="A404" t="s">
        <v>402</v>
      </c>
      <c r="B404" t="s">
        <v>1307</v>
      </c>
      <c r="C404" t="s">
        <v>1810</v>
      </c>
      <c r="D404">
        <v>57.48</v>
      </c>
      <c r="E404" s="1">
        <v>44819</v>
      </c>
      <c r="F404" s="1" t="str">
        <f>TEXT(Sheet1[[#This Row],[Fecha ingreso]],"mmmm")</f>
        <v>septiembre</v>
      </c>
      <c r="G404" s="2">
        <f>YEAR(Sheet1[[#This Row],[Fecha ingreso]])</f>
        <v>2022</v>
      </c>
      <c r="H404" s="1" t="str">
        <f>TEXT(Sheet1[[#This Row],[Fecha ingreso]],"dddd")</f>
        <v>jueves</v>
      </c>
      <c r="I404" s="1">
        <v>45013</v>
      </c>
      <c r="J404" s="2">
        <f>DATEDIF(Sheet1[[#This Row],[Fecha ingreso]],Sheet1[[#This Row],[Fecha último pago]],"M")+1</f>
        <v>7</v>
      </c>
      <c r="K404" s="2">
        <f>Sheet1[[#This Row],[Ingresos mensuales]]*Sheet1[[#This Row],[Meses contratados]]</f>
        <v>402.35999999999996</v>
      </c>
      <c r="L404" t="s">
        <v>1814</v>
      </c>
      <c r="M404">
        <v>27</v>
      </c>
      <c r="N404" t="s">
        <v>1821</v>
      </c>
      <c r="O404" t="s">
        <v>1823</v>
      </c>
      <c r="P404" t="s">
        <v>1827</v>
      </c>
      <c r="Q404" cm="1">
        <f t="array" ref="Q404">_xlfn.IFS(P404="2 Years", 24,P404="1 Year",12, P404="6 Months",6, P404="1 Month",1)</f>
        <v>12</v>
      </c>
      <c r="R404" t="str" cm="1">
        <f t="array" ref="R404">_xlfn.IFS(Q404=1,"Mensual",Q404=6,"Semestral",Q404=12,"Anual",Q404=24,"Bienal")</f>
        <v>Anual</v>
      </c>
      <c r="S404">
        <f>IFERROR(VLOOKUP(Sheet1[[#This Row],[ID usuario]],A405:$A$907,1,FALSE),0)</f>
        <v>0</v>
      </c>
    </row>
    <row r="405" spans="1:19" x14ac:dyDescent="0.25">
      <c r="A405" t="s">
        <v>403</v>
      </c>
      <c r="B405" t="s">
        <v>1308</v>
      </c>
      <c r="C405" t="s">
        <v>1810</v>
      </c>
      <c r="D405">
        <v>33.119999999999997</v>
      </c>
      <c r="E405" s="1">
        <v>44977</v>
      </c>
      <c r="F405" s="1" t="str">
        <f>TEXT(Sheet1[[#This Row],[Fecha ingreso]],"mmmm")</f>
        <v>febrero</v>
      </c>
      <c r="G405" s="2">
        <f>YEAR(Sheet1[[#This Row],[Fecha ingreso]])</f>
        <v>2023</v>
      </c>
      <c r="H405" s="1" t="str">
        <f>TEXT(Sheet1[[#This Row],[Fecha ingreso]],"dddd")</f>
        <v>lunes</v>
      </c>
      <c r="I405" s="1">
        <v>45048</v>
      </c>
      <c r="J405" s="2">
        <f>DATEDIF(Sheet1[[#This Row],[Fecha ingreso]],Sheet1[[#This Row],[Fecha último pago]],"M")+1</f>
        <v>3</v>
      </c>
      <c r="K405" s="2">
        <f>Sheet1[[#This Row],[Ingresos mensuales]]*Sheet1[[#This Row],[Meses contratados]]</f>
        <v>99.359999999999985</v>
      </c>
      <c r="L405" t="s">
        <v>1813</v>
      </c>
      <c r="M405">
        <v>67</v>
      </c>
      <c r="N405" t="s">
        <v>1821</v>
      </c>
      <c r="O405" t="s">
        <v>1824</v>
      </c>
      <c r="P405" t="s">
        <v>1828</v>
      </c>
      <c r="Q405" cm="1">
        <f t="array" ref="Q405">_xlfn.IFS(P405="2 Years", 24,P405="1 Year",12, P405="6 Months",6, P405="1 Month",1)</f>
        <v>6</v>
      </c>
      <c r="R405" t="str" cm="1">
        <f t="array" ref="R405">_xlfn.IFS(Q405=1,"Mensual",Q405=6,"Semestral",Q405=12,"Anual",Q405=24,"Bienal")</f>
        <v>Semestral</v>
      </c>
      <c r="S405">
        <f>IFERROR(VLOOKUP(Sheet1[[#This Row],[ID usuario]],A406:$A$907,1,FALSE),0)</f>
        <v>0</v>
      </c>
    </row>
    <row r="406" spans="1:19" x14ac:dyDescent="0.25">
      <c r="A406" t="s">
        <v>404</v>
      </c>
      <c r="B406" t="s">
        <v>1309</v>
      </c>
      <c r="C406" t="s">
        <v>1810</v>
      </c>
      <c r="D406">
        <v>93.28</v>
      </c>
      <c r="E406" s="1">
        <v>45117</v>
      </c>
      <c r="F406" s="1" t="str">
        <f>TEXT(Sheet1[[#This Row],[Fecha ingreso]],"mmmm")</f>
        <v>julio</v>
      </c>
      <c r="G406" s="2">
        <f>YEAR(Sheet1[[#This Row],[Fecha ingreso]])</f>
        <v>2023</v>
      </c>
      <c r="H406" s="1" t="str">
        <f>TEXT(Sheet1[[#This Row],[Fecha ingreso]],"dddd")</f>
        <v>lunes</v>
      </c>
      <c r="I406" s="1">
        <v>45158</v>
      </c>
      <c r="J406" s="2">
        <f>DATEDIF(Sheet1[[#This Row],[Fecha ingreso]],Sheet1[[#This Row],[Fecha último pago]],"M")+1</f>
        <v>2</v>
      </c>
      <c r="K406" s="2">
        <f>Sheet1[[#This Row],[Ingresos mensuales]]*Sheet1[[#This Row],[Meses contratados]]</f>
        <v>186.56</v>
      </c>
      <c r="L406" t="s">
        <v>1813</v>
      </c>
      <c r="M406">
        <v>58</v>
      </c>
      <c r="N406" t="s">
        <v>1820</v>
      </c>
      <c r="O406" t="s">
        <v>1824</v>
      </c>
      <c r="P406" t="s">
        <v>1827</v>
      </c>
      <c r="Q406" cm="1">
        <f t="array" ref="Q406">_xlfn.IFS(P406="2 Years", 24,P406="1 Year",12, P406="6 Months",6, P406="1 Month",1)</f>
        <v>12</v>
      </c>
      <c r="R406" t="str" cm="1">
        <f t="array" ref="R406">_xlfn.IFS(Q406=1,"Mensual",Q406=6,"Semestral",Q406=12,"Anual",Q406=24,"Bienal")</f>
        <v>Anual</v>
      </c>
      <c r="S406">
        <f>IFERROR(VLOOKUP(Sheet1[[#This Row],[ID usuario]],A407:$A$907,1,FALSE),0)</f>
        <v>0</v>
      </c>
    </row>
    <row r="407" spans="1:19" x14ac:dyDescent="0.25">
      <c r="A407" t="s">
        <v>405</v>
      </c>
      <c r="B407" t="s">
        <v>1310</v>
      </c>
      <c r="C407" t="s">
        <v>1810</v>
      </c>
      <c r="D407">
        <v>30.26</v>
      </c>
      <c r="E407" s="1">
        <v>44462</v>
      </c>
      <c r="F407" s="1" t="str">
        <f>TEXT(Sheet1[[#This Row],[Fecha ingreso]],"mmmm")</f>
        <v>septiembre</v>
      </c>
      <c r="G407" s="2">
        <f>YEAR(Sheet1[[#This Row],[Fecha ingreso]])</f>
        <v>2021</v>
      </c>
      <c r="H407" s="1" t="str">
        <f>TEXT(Sheet1[[#This Row],[Fecha ingreso]],"dddd")</f>
        <v>jueves</v>
      </c>
      <c r="I407" s="1">
        <v>45059</v>
      </c>
      <c r="J407" s="2">
        <f>DATEDIF(Sheet1[[#This Row],[Fecha ingreso]],Sheet1[[#This Row],[Fecha último pago]],"M")+1</f>
        <v>20</v>
      </c>
      <c r="K407" s="2">
        <f>Sheet1[[#This Row],[Ingresos mensuales]]*Sheet1[[#This Row],[Meses contratados]]</f>
        <v>605.20000000000005</v>
      </c>
      <c r="L407" t="s">
        <v>1817</v>
      </c>
      <c r="M407">
        <v>34</v>
      </c>
      <c r="N407" t="s">
        <v>1822</v>
      </c>
      <c r="O407" t="s">
        <v>1825</v>
      </c>
      <c r="P407" t="s">
        <v>1826</v>
      </c>
      <c r="Q407" cm="1">
        <f t="array" ref="Q407">_xlfn.IFS(P407="2 Years", 24,P407="1 Year",12, P407="6 Months",6, P407="1 Month",1)</f>
        <v>24</v>
      </c>
      <c r="R407" t="str" cm="1">
        <f t="array" ref="R407">_xlfn.IFS(Q407=1,"Mensual",Q407=6,"Semestral",Q407=12,"Anual",Q407=24,"Bienal")</f>
        <v>Bienal</v>
      </c>
      <c r="S407">
        <f>IFERROR(VLOOKUP(Sheet1[[#This Row],[ID usuario]],A408:$A$907,1,FALSE),0)</f>
        <v>0</v>
      </c>
    </row>
    <row r="408" spans="1:19" x14ac:dyDescent="0.25">
      <c r="A408" t="s">
        <v>406</v>
      </c>
      <c r="B408" t="s">
        <v>1311</v>
      </c>
      <c r="C408" t="s">
        <v>1812</v>
      </c>
      <c r="D408">
        <v>83.67</v>
      </c>
      <c r="E408" s="1">
        <v>45239</v>
      </c>
      <c r="F408" s="1" t="str">
        <f>TEXT(Sheet1[[#This Row],[Fecha ingreso]],"mmmm")</f>
        <v>noviembre</v>
      </c>
      <c r="G408" s="2">
        <f>YEAR(Sheet1[[#This Row],[Fecha ingreso]])</f>
        <v>2023</v>
      </c>
      <c r="H408" s="1" t="str">
        <f>TEXT(Sheet1[[#This Row],[Fecha ingreso]],"dddd")</f>
        <v>jueves</v>
      </c>
      <c r="I408" s="1">
        <v>45260</v>
      </c>
      <c r="J408" s="2">
        <f>DATEDIF(Sheet1[[#This Row],[Fecha ingreso]],Sheet1[[#This Row],[Fecha último pago]],"M")+1</f>
        <v>1</v>
      </c>
      <c r="K408" s="2">
        <f>Sheet1[[#This Row],[Ingresos mensuales]]*Sheet1[[#This Row],[Meses contratados]]</f>
        <v>83.67</v>
      </c>
      <c r="L408" t="s">
        <v>1818</v>
      </c>
      <c r="M408">
        <v>53</v>
      </c>
      <c r="N408" t="s">
        <v>1821</v>
      </c>
      <c r="O408" t="s">
        <v>1825</v>
      </c>
      <c r="P408" t="s">
        <v>1826</v>
      </c>
      <c r="Q408" cm="1">
        <f t="array" ref="Q408">_xlfn.IFS(P408="2 Years", 24,P408="1 Year",12, P408="6 Months",6, P408="1 Month",1)</f>
        <v>24</v>
      </c>
      <c r="R408" t="str" cm="1">
        <f t="array" ref="R408">_xlfn.IFS(Q408=1,"Mensual",Q408=6,"Semestral",Q408=12,"Anual",Q408=24,"Bienal")</f>
        <v>Bienal</v>
      </c>
      <c r="S408">
        <f>IFERROR(VLOOKUP(Sheet1[[#This Row],[ID usuario]],A409:$A$907,1,FALSE),0)</f>
        <v>0</v>
      </c>
    </row>
    <row r="409" spans="1:19" x14ac:dyDescent="0.25">
      <c r="A409" t="s">
        <v>407</v>
      </c>
      <c r="B409" t="s">
        <v>1312</v>
      </c>
      <c r="C409" t="s">
        <v>1810</v>
      </c>
      <c r="D409">
        <v>79.42</v>
      </c>
      <c r="E409" s="1">
        <v>45357</v>
      </c>
      <c r="F409" s="1" t="str">
        <f>TEXT(Sheet1[[#This Row],[Fecha ingreso]],"mmmm")</f>
        <v>marzo</v>
      </c>
      <c r="G409" s="2">
        <f>YEAR(Sheet1[[#This Row],[Fecha ingreso]])</f>
        <v>2024</v>
      </c>
      <c r="H409" s="1" t="str">
        <f>TEXT(Sheet1[[#This Row],[Fecha ingreso]],"dddd")</f>
        <v>miércoles</v>
      </c>
      <c r="I409" s="1">
        <v>45368</v>
      </c>
      <c r="J409" s="2">
        <f>DATEDIF(Sheet1[[#This Row],[Fecha ingreso]],Sheet1[[#This Row],[Fecha último pago]],"M")+1</f>
        <v>1</v>
      </c>
      <c r="K409" s="2">
        <f>Sheet1[[#This Row],[Ingresos mensuales]]*Sheet1[[#This Row],[Meses contratados]]</f>
        <v>79.42</v>
      </c>
      <c r="L409" t="s">
        <v>1816</v>
      </c>
      <c r="M409">
        <v>57</v>
      </c>
      <c r="N409" t="s">
        <v>1822</v>
      </c>
      <c r="O409" t="s">
        <v>1824</v>
      </c>
      <c r="P409" t="s">
        <v>1827</v>
      </c>
      <c r="Q409" cm="1">
        <f t="array" ref="Q409">_xlfn.IFS(P409="2 Years", 24,P409="1 Year",12, P409="6 Months",6, P409="1 Month",1)</f>
        <v>12</v>
      </c>
      <c r="R409" t="str" cm="1">
        <f t="array" ref="R409">_xlfn.IFS(Q409=1,"Mensual",Q409=6,"Semestral",Q409=12,"Anual",Q409=24,"Bienal")</f>
        <v>Anual</v>
      </c>
      <c r="S409">
        <f>IFERROR(VLOOKUP(Sheet1[[#This Row],[ID usuario]],A410:$A$907,1,FALSE),0)</f>
        <v>0</v>
      </c>
    </row>
    <row r="410" spans="1:19" x14ac:dyDescent="0.25">
      <c r="A410" t="s">
        <v>408</v>
      </c>
      <c r="B410" t="s">
        <v>1313</v>
      </c>
      <c r="C410" t="s">
        <v>1812</v>
      </c>
      <c r="D410">
        <v>54.3</v>
      </c>
      <c r="E410" s="1">
        <v>45172</v>
      </c>
      <c r="F410" s="1" t="str">
        <f>TEXT(Sheet1[[#This Row],[Fecha ingreso]],"mmmm")</f>
        <v>septiembre</v>
      </c>
      <c r="G410" s="2">
        <f>YEAR(Sheet1[[#This Row],[Fecha ingreso]])</f>
        <v>2023</v>
      </c>
      <c r="H410" s="1" t="str">
        <f>TEXT(Sheet1[[#This Row],[Fecha ingreso]],"dddd")</f>
        <v>domingo</v>
      </c>
      <c r="I410" s="1">
        <v>45286</v>
      </c>
      <c r="J410" s="2">
        <f>DATEDIF(Sheet1[[#This Row],[Fecha ingreso]],Sheet1[[#This Row],[Fecha último pago]],"M")+1</f>
        <v>4</v>
      </c>
      <c r="K410" s="2">
        <f>Sheet1[[#This Row],[Ingresos mensuales]]*Sheet1[[#This Row],[Meses contratados]]</f>
        <v>217.2</v>
      </c>
      <c r="L410" t="s">
        <v>1814</v>
      </c>
      <c r="M410">
        <v>55</v>
      </c>
      <c r="N410" t="s">
        <v>1821</v>
      </c>
      <c r="O410" t="s">
        <v>1824</v>
      </c>
      <c r="P410" t="s">
        <v>1827</v>
      </c>
      <c r="Q410" cm="1">
        <f t="array" ref="Q410">_xlfn.IFS(P410="2 Years", 24,P410="1 Year",12, P410="6 Months",6, P410="1 Month",1)</f>
        <v>12</v>
      </c>
      <c r="R410" t="str" cm="1">
        <f t="array" ref="R410">_xlfn.IFS(Q410=1,"Mensual",Q410=6,"Semestral",Q410=12,"Anual",Q410=24,"Bienal")</f>
        <v>Anual</v>
      </c>
      <c r="S410">
        <f>IFERROR(VLOOKUP(Sheet1[[#This Row],[ID usuario]],A411:$A$907,1,FALSE),0)</f>
        <v>0</v>
      </c>
    </row>
    <row r="411" spans="1:19" x14ac:dyDescent="0.25">
      <c r="A411" t="s">
        <v>409</v>
      </c>
      <c r="B411" t="s">
        <v>1314</v>
      </c>
      <c r="C411" t="s">
        <v>1810</v>
      </c>
      <c r="D411">
        <v>11.28</v>
      </c>
      <c r="E411" s="1">
        <v>45302</v>
      </c>
      <c r="F411" s="1" t="str">
        <f>TEXT(Sheet1[[#This Row],[Fecha ingreso]],"mmmm")</f>
        <v>enero</v>
      </c>
      <c r="G411" s="2">
        <f>YEAR(Sheet1[[#This Row],[Fecha ingreso]])</f>
        <v>2024</v>
      </c>
      <c r="H411" s="1" t="str">
        <f>TEXT(Sheet1[[#This Row],[Fecha ingreso]],"dddd")</f>
        <v>jueves</v>
      </c>
      <c r="I411" s="1">
        <v>45311</v>
      </c>
      <c r="J411" s="2">
        <f>DATEDIF(Sheet1[[#This Row],[Fecha ingreso]],Sheet1[[#This Row],[Fecha último pago]],"M")+1</f>
        <v>1</v>
      </c>
      <c r="K411" s="2">
        <f>Sheet1[[#This Row],[Ingresos mensuales]]*Sheet1[[#This Row],[Meses contratados]]</f>
        <v>11.28</v>
      </c>
      <c r="L411" t="s">
        <v>1816</v>
      </c>
      <c r="M411">
        <v>21</v>
      </c>
      <c r="N411" t="s">
        <v>1821</v>
      </c>
      <c r="O411" t="s">
        <v>1824</v>
      </c>
      <c r="P411" t="s">
        <v>1826</v>
      </c>
      <c r="Q411" cm="1">
        <f t="array" ref="Q411">_xlfn.IFS(P411="2 Years", 24,P411="1 Year",12, P411="6 Months",6, P411="1 Month",1)</f>
        <v>24</v>
      </c>
      <c r="R411" t="str" cm="1">
        <f t="array" ref="R411">_xlfn.IFS(Q411=1,"Mensual",Q411=6,"Semestral",Q411=12,"Anual",Q411=24,"Bienal")</f>
        <v>Bienal</v>
      </c>
      <c r="S411">
        <f>IFERROR(VLOOKUP(Sheet1[[#This Row],[ID usuario]],A412:$A$907,1,FALSE),0)</f>
        <v>0</v>
      </c>
    </row>
    <row r="412" spans="1:19" x14ac:dyDescent="0.25">
      <c r="A412" t="s">
        <v>410</v>
      </c>
      <c r="B412" t="s">
        <v>1315</v>
      </c>
      <c r="C412" t="s">
        <v>1812</v>
      </c>
      <c r="D412">
        <v>49.88</v>
      </c>
      <c r="E412" s="1">
        <v>44852</v>
      </c>
      <c r="F412" s="1" t="str">
        <f>TEXT(Sheet1[[#This Row],[Fecha ingreso]],"mmmm")</f>
        <v>octubre</v>
      </c>
      <c r="G412" s="2">
        <f>YEAR(Sheet1[[#This Row],[Fecha ingreso]])</f>
        <v>2022</v>
      </c>
      <c r="H412" s="1" t="str">
        <f>TEXT(Sheet1[[#This Row],[Fecha ingreso]],"dddd")</f>
        <v>martes</v>
      </c>
      <c r="I412" s="1">
        <v>45154</v>
      </c>
      <c r="J412" s="2">
        <f>DATEDIF(Sheet1[[#This Row],[Fecha ingreso]],Sheet1[[#This Row],[Fecha último pago]],"M")+1</f>
        <v>10</v>
      </c>
      <c r="K412" s="2">
        <f>Sheet1[[#This Row],[Ingresos mensuales]]*Sheet1[[#This Row],[Meses contratados]]</f>
        <v>498.8</v>
      </c>
      <c r="L412" t="s">
        <v>1817</v>
      </c>
      <c r="M412">
        <v>58</v>
      </c>
      <c r="N412" t="s">
        <v>1821</v>
      </c>
      <c r="O412" t="s">
        <v>1823</v>
      </c>
      <c r="P412" t="s">
        <v>1828</v>
      </c>
      <c r="Q412" cm="1">
        <f t="array" ref="Q412">_xlfn.IFS(P412="2 Years", 24,P412="1 Year",12, P412="6 Months",6, P412="1 Month",1)</f>
        <v>6</v>
      </c>
      <c r="R412" t="str" cm="1">
        <f t="array" ref="R412">_xlfn.IFS(Q412=1,"Mensual",Q412=6,"Semestral",Q412=12,"Anual",Q412=24,"Bienal")</f>
        <v>Semestral</v>
      </c>
      <c r="S412">
        <f>IFERROR(VLOOKUP(Sheet1[[#This Row],[ID usuario]],A413:$A$907,1,FALSE),0)</f>
        <v>0</v>
      </c>
    </row>
    <row r="413" spans="1:19" x14ac:dyDescent="0.25">
      <c r="A413" t="s">
        <v>411</v>
      </c>
      <c r="B413" t="s">
        <v>1316</v>
      </c>
      <c r="C413" t="s">
        <v>1811</v>
      </c>
      <c r="D413">
        <v>46.63</v>
      </c>
      <c r="E413" s="1">
        <v>45375</v>
      </c>
      <c r="F413" s="1" t="str">
        <f>TEXT(Sheet1[[#This Row],[Fecha ingreso]],"mmmm")</f>
        <v>marzo</v>
      </c>
      <c r="G413" s="2">
        <f>YEAR(Sheet1[[#This Row],[Fecha ingreso]])</f>
        <v>2024</v>
      </c>
      <c r="H413" s="1" t="str">
        <f>TEXT(Sheet1[[#This Row],[Fecha ingreso]],"dddd")</f>
        <v>domingo</v>
      </c>
      <c r="I413" s="1">
        <v>45425</v>
      </c>
      <c r="J413" s="2">
        <f>DATEDIF(Sheet1[[#This Row],[Fecha ingreso]],Sheet1[[#This Row],[Fecha último pago]],"M")+1</f>
        <v>2</v>
      </c>
      <c r="K413" s="2">
        <f>Sheet1[[#This Row],[Ingresos mensuales]]*Sheet1[[#This Row],[Meses contratados]]</f>
        <v>93.26</v>
      </c>
      <c r="L413" t="s">
        <v>1813</v>
      </c>
      <c r="M413">
        <v>53</v>
      </c>
      <c r="N413" t="s">
        <v>1820</v>
      </c>
      <c r="O413" t="s">
        <v>1824</v>
      </c>
      <c r="P413" t="s">
        <v>1828</v>
      </c>
      <c r="Q413" cm="1">
        <f t="array" ref="Q413">_xlfn.IFS(P413="2 Years", 24,P413="1 Year",12, P413="6 Months",6, P413="1 Month",1)</f>
        <v>6</v>
      </c>
      <c r="R413" t="str" cm="1">
        <f t="array" ref="R413">_xlfn.IFS(Q413=1,"Mensual",Q413=6,"Semestral",Q413=12,"Anual",Q413=24,"Bienal")</f>
        <v>Semestral</v>
      </c>
      <c r="S413">
        <f>IFERROR(VLOOKUP(Sheet1[[#This Row],[ID usuario]],A414:$A$907,1,FALSE),0)</f>
        <v>0</v>
      </c>
    </row>
    <row r="414" spans="1:19" x14ac:dyDescent="0.25">
      <c r="A414" t="s">
        <v>412</v>
      </c>
      <c r="B414" t="s">
        <v>1317</v>
      </c>
      <c r="C414" t="s">
        <v>1810</v>
      </c>
      <c r="D414">
        <v>24.27</v>
      </c>
      <c r="E414" s="1">
        <v>45280</v>
      </c>
      <c r="F414" s="1" t="str">
        <f>TEXT(Sheet1[[#This Row],[Fecha ingreso]],"mmmm")</f>
        <v>diciembre</v>
      </c>
      <c r="G414" s="2">
        <f>YEAR(Sheet1[[#This Row],[Fecha ingreso]])</f>
        <v>2023</v>
      </c>
      <c r="H414" s="1" t="str">
        <f>TEXT(Sheet1[[#This Row],[Fecha ingreso]],"dddd")</f>
        <v>miércoles</v>
      </c>
      <c r="I414" s="1">
        <v>45326</v>
      </c>
      <c r="J414" s="2">
        <f>DATEDIF(Sheet1[[#This Row],[Fecha ingreso]],Sheet1[[#This Row],[Fecha último pago]],"M")+1</f>
        <v>2</v>
      </c>
      <c r="K414" s="2">
        <f>Sheet1[[#This Row],[Ingresos mensuales]]*Sheet1[[#This Row],[Meses contratados]]</f>
        <v>48.54</v>
      </c>
      <c r="L414" t="s">
        <v>1817</v>
      </c>
      <c r="M414">
        <v>19</v>
      </c>
      <c r="N414" t="s">
        <v>1820</v>
      </c>
      <c r="O414" t="s">
        <v>1823</v>
      </c>
      <c r="P414" t="s">
        <v>1826</v>
      </c>
      <c r="Q414" cm="1">
        <f t="array" ref="Q414">_xlfn.IFS(P414="2 Years", 24,P414="1 Year",12, P414="6 Months",6, P414="1 Month",1)</f>
        <v>24</v>
      </c>
      <c r="R414" t="str" cm="1">
        <f t="array" ref="R414">_xlfn.IFS(Q414=1,"Mensual",Q414=6,"Semestral",Q414=12,"Anual",Q414=24,"Bienal")</f>
        <v>Bienal</v>
      </c>
      <c r="S414">
        <f>IFERROR(VLOOKUP(Sheet1[[#This Row],[ID usuario]],A415:$A$907,1,FALSE),0)</f>
        <v>0</v>
      </c>
    </row>
    <row r="415" spans="1:19" x14ac:dyDescent="0.25">
      <c r="A415" t="s">
        <v>413</v>
      </c>
      <c r="B415" t="s">
        <v>1318</v>
      </c>
      <c r="C415" t="s">
        <v>1810</v>
      </c>
      <c r="D415">
        <v>45.24</v>
      </c>
      <c r="E415" s="1">
        <v>45333</v>
      </c>
      <c r="F415" s="1" t="str">
        <f>TEXT(Sheet1[[#This Row],[Fecha ingreso]],"mmmm")</f>
        <v>febrero</v>
      </c>
      <c r="G415" s="2">
        <f>YEAR(Sheet1[[#This Row],[Fecha ingreso]])</f>
        <v>2024</v>
      </c>
      <c r="H415" s="1" t="str">
        <f>TEXT(Sheet1[[#This Row],[Fecha ingreso]],"dddd")</f>
        <v>domingo</v>
      </c>
      <c r="I415" s="1">
        <v>45346</v>
      </c>
      <c r="J415" s="2">
        <f>DATEDIF(Sheet1[[#This Row],[Fecha ingreso]],Sheet1[[#This Row],[Fecha último pago]],"M")+1</f>
        <v>1</v>
      </c>
      <c r="K415" s="2">
        <f>Sheet1[[#This Row],[Ingresos mensuales]]*Sheet1[[#This Row],[Meses contratados]]</f>
        <v>45.24</v>
      </c>
      <c r="L415" t="s">
        <v>1818</v>
      </c>
      <c r="M415">
        <v>21</v>
      </c>
      <c r="N415" t="s">
        <v>1820</v>
      </c>
      <c r="O415" t="s">
        <v>1823</v>
      </c>
      <c r="P415" t="s">
        <v>1827</v>
      </c>
      <c r="Q415" cm="1">
        <f t="array" ref="Q415">_xlfn.IFS(P415="2 Years", 24,P415="1 Year",12, P415="6 Months",6, P415="1 Month",1)</f>
        <v>12</v>
      </c>
      <c r="R415" t="str" cm="1">
        <f t="array" ref="R415">_xlfn.IFS(Q415=1,"Mensual",Q415=6,"Semestral",Q415=12,"Anual",Q415=24,"Bienal")</f>
        <v>Anual</v>
      </c>
      <c r="S415">
        <f>IFERROR(VLOOKUP(Sheet1[[#This Row],[ID usuario]],A416:$A$907,1,FALSE),0)</f>
        <v>0</v>
      </c>
    </row>
    <row r="416" spans="1:19" x14ac:dyDescent="0.25">
      <c r="A416" t="s">
        <v>414</v>
      </c>
      <c r="B416" t="s">
        <v>1319</v>
      </c>
      <c r="C416" t="s">
        <v>1812</v>
      </c>
      <c r="D416">
        <v>38.99</v>
      </c>
      <c r="E416" s="1">
        <v>44410</v>
      </c>
      <c r="F416" s="1" t="str">
        <f>TEXT(Sheet1[[#This Row],[Fecha ingreso]],"mmmm")</f>
        <v>agosto</v>
      </c>
      <c r="G416" s="2">
        <f>YEAR(Sheet1[[#This Row],[Fecha ingreso]])</f>
        <v>2021</v>
      </c>
      <c r="H416" s="1" t="str">
        <f>TEXT(Sheet1[[#This Row],[Fecha ingreso]],"dddd")</f>
        <v>lunes</v>
      </c>
      <c r="I416" s="1">
        <v>45095</v>
      </c>
      <c r="J416" s="2">
        <f>DATEDIF(Sheet1[[#This Row],[Fecha ingreso]],Sheet1[[#This Row],[Fecha último pago]],"M")+1</f>
        <v>23</v>
      </c>
      <c r="K416" s="2">
        <f>Sheet1[[#This Row],[Ingresos mensuales]]*Sheet1[[#This Row],[Meses contratados]]</f>
        <v>896.7700000000001</v>
      </c>
      <c r="L416" t="s">
        <v>1817</v>
      </c>
      <c r="M416">
        <v>29</v>
      </c>
      <c r="N416" t="s">
        <v>1820</v>
      </c>
      <c r="O416" t="s">
        <v>1824</v>
      </c>
      <c r="P416" t="s">
        <v>1827</v>
      </c>
      <c r="Q416" cm="1">
        <f t="array" ref="Q416">_xlfn.IFS(P416="2 Years", 24,P416="1 Year",12, P416="6 Months",6, P416="1 Month",1)</f>
        <v>12</v>
      </c>
      <c r="R416" t="str" cm="1">
        <f t="array" ref="R416">_xlfn.IFS(Q416=1,"Mensual",Q416=6,"Semestral",Q416=12,"Anual",Q416=24,"Bienal")</f>
        <v>Anual</v>
      </c>
      <c r="S416">
        <f>IFERROR(VLOOKUP(Sheet1[[#This Row],[ID usuario]],A417:$A$907,1,FALSE),0)</f>
        <v>0</v>
      </c>
    </row>
    <row r="417" spans="1:19" x14ac:dyDescent="0.25">
      <c r="A417" t="s">
        <v>415</v>
      </c>
      <c r="B417" t="s">
        <v>1320</v>
      </c>
      <c r="C417" t="s">
        <v>1811</v>
      </c>
      <c r="D417">
        <v>20.55</v>
      </c>
      <c r="E417" s="1">
        <v>44906</v>
      </c>
      <c r="F417" s="1" t="str">
        <f>TEXT(Sheet1[[#This Row],[Fecha ingreso]],"mmmm")</f>
        <v>diciembre</v>
      </c>
      <c r="G417" s="2">
        <f>YEAR(Sheet1[[#This Row],[Fecha ingreso]])</f>
        <v>2022</v>
      </c>
      <c r="H417" s="1" t="str">
        <f>TEXT(Sheet1[[#This Row],[Fecha ingreso]],"dddd")</f>
        <v>domingo</v>
      </c>
      <c r="I417" s="1">
        <v>45115</v>
      </c>
      <c r="J417" s="2">
        <f>DATEDIF(Sheet1[[#This Row],[Fecha ingreso]],Sheet1[[#This Row],[Fecha último pago]],"M")+1</f>
        <v>7</v>
      </c>
      <c r="K417" s="2">
        <f>Sheet1[[#This Row],[Ingresos mensuales]]*Sheet1[[#This Row],[Meses contratados]]</f>
        <v>143.85</v>
      </c>
      <c r="L417" t="s">
        <v>1813</v>
      </c>
      <c r="M417">
        <v>21</v>
      </c>
      <c r="N417" t="s">
        <v>1821</v>
      </c>
      <c r="O417" t="s">
        <v>1824</v>
      </c>
      <c r="P417" t="s">
        <v>1828</v>
      </c>
      <c r="Q417" cm="1">
        <f t="array" ref="Q417">_xlfn.IFS(P417="2 Years", 24,P417="1 Year",12, P417="6 Months",6, P417="1 Month",1)</f>
        <v>6</v>
      </c>
      <c r="R417" t="str" cm="1">
        <f t="array" ref="R417">_xlfn.IFS(Q417=1,"Mensual",Q417=6,"Semestral",Q417=12,"Anual",Q417=24,"Bienal")</f>
        <v>Semestral</v>
      </c>
      <c r="S417">
        <f>IFERROR(VLOOKUP(Sheet1[[#This Row],[ID usuario]],A418:$A$907,1,FALSE),0)</f>
        <v>0</v>
      </c>
    </row>
    <row r="418" spans="1:19" x14ac:dyDescent="0.25">
      <c r="A418" t="s">
        <v>416</v>
      </c>
      <c r="B418" t="s">
        <v>1321</v>
      </c>
      <c r="C418" t="s">
        <v>1812</v>
      </c>
      <c r="D418">
        <v>46.93</v>
      </c>
      <c r="E418" s="1">
        <v>44844</v>
      </c>
      <c r="F418" s="1" t="str">
        <f>TEXT(Sheet1[[#This Row],[Fecha ingreso]],"mmmm")</f>
        <v>octubre</v>
      </c>
      <c r="G418" s="2">
        <f>YEAR(Sheet1[[#This Row],[Fecha ingreso]])</f>
        <v>2022</v>
      </c>
      <c r="H418" s="1" t="str">
        <f>TEXT(Sheet1[[#This Row],[Fecha ingreso]],"dddd")</f>
        <v>lunes</v>
      </c>
      <c r="I418" s="1">
        <v>45231</v>
      </c>
      <c r="J418" s="2">
        <f>DATEDIF(Sheet1[[#This Row],[Fecha ingreso]],Sheet1[[#This Row],[Fecha último pago]],"M")+1</f>
        <v>13</v>
      </c>
      <c r="K418" s="2">
        <f>Sheet1[[#This Row],[Ingresos mensuales]]*Sheet1[[#This Row],[Meses contratados]]</f>
        <v>610.09</v>
      </c>
      <c r="L418" t="s">
        <v>1817</v>
      </c>
      <c r="M418">
        <v>64</v>
      </c>
      <c r="N418" t="s">
        <v>1821</v>
      </c>
      <c r="O418" t="s">
        <v>1825</v>
      </c>
      <c r="P418" t="s">
        <v>1826</v>
      </c>
      <c r="Q418" cm="1">
        <f t="array" ref="Q418">_xlfn.IFS(P418="2 Years", 24,P418="1 Year",12, P418="6 Months",6, P418="1 Month",1)</f>
        <v>24</v>
      </c>
      <c r="R418" t="str" cm="1">
        <f t="array" ref="R418">_xlfn.IFS(Q418=1,"Mensual",Q418=6,"Semestral",Q418=12,"Anual",Q418=24,"Bienal")</f>
        <v>Bienal</v>
      </c>
      <c r="S418">
        <f>IFERROR(VLOOKUP(Sheet1[[#This Row],[ID usuario]],A419:$A$907,1,FALSE),0)</f>
        <v>0</v>
      </c>
    </row>
    <row r="419" spans="1:19" x14ac:dyDescent="0.25">
      <c r="A419" t="s">
        <v>417</v>
      </c>
      <c r="B419" t="s">
        <v>1322</v>
      </c>
      <c r="C419" t="s">
        <v>1811</v>
      </c>
      <c r="D419">
        <v>54.6</v>
      </c>
      <c r="E419" s="1">
        <v>45305</v>
      </c>
      <c r="F419" s="1" t="str">
        <f>TEXT(Sheet1[[#This Row],[Fecha ingreso]],"mmmm")</f>
        <v>enero</v>
      </c>
      <c r="G419" s="2">
        <f>YEAR(Sheet1[[#This Row],[Fecha ingreso]])</f>
        <v>2024</v>
      </c>
      <c r="H419" s="1" t="str">
        <f>TEXT(Sheet1[[#This Row],[Fecha ingreso]],"dddd")</f>
        <v>domingo</v>
      </c>
      <c r="I419" s="1">
        <v>45453</v>
      </c>
      <c r="J419" s="2">
        <f>DATEDIF(Sheet1[[#This Row],[Fecha ingreso]],Sheet1[[#This Row],[Fecha último pago]],"M")+1</f>
        <v>5</v>
      </c>
      <c r="K419" s="2">
        <f>Sheet1[[#This Row],[Ingresos mensuales]]*Sheet1[[#This Row],[Meses contratados]]</f>
        <v>273</v>
      </c>
      <c r="L419" t="s">
        <v>1814</v>
      </c>
      <c r="M419">
        <v>50</v>
      </c>
      <c r="N419" t="s">
        <v>1822</v>
      </c>
      <c r="O419" t="s">
        <v>1823</v>
      </c>
      <c r="P419" t="s">
        <v>1827</v>
      </c>
      <c r="Q419" cm="1">
        <f t="array" ref="Q419">_xlfn.IFS(P419="2 Years", 24,P419="1 Year",12, P419="6 Months",6, P419="1 Month",1)</f>
        <v>12</v>
      </c>
      <c r="R419" t="str" cm="1">
        <f t="array" ref="R419">_xlfn.IFS(Q419=1,"Mensual",Q419=6,"Semestral",Q419=12,"Anual",Q419=24,"Bienal")</f>
        <v>Anual</v>
      </c>
      <c r="S419">
        <f>IFERROR(VLOOKUP(Sheet1[[#This Row],[ID usuario]],A420:$A$907,1,FALSE),0)</f>
        <v>0</v>
      </c>
    </row>
    <row r="420" spans="1:19" x14ac:dyDescent="0.25">
      <c r="A420" t="s">
        <v>418</v>
      </c>
      <c r="B420" t="s">
        <v>1323</v>
      </c>
      <c r="C420" t="s">
        <v>1810</v>
      </c>
      <c r="D420">
        <v>8.34</v>
      </c>
      <c r="E420" s="1">
        <v>44530</v>
      </c>
      <c r="F420" s="1" t="str">
        <f>TEXT(Sheet1[[#This Row],[Fecha ingreso]],"mmmm")</f>
        <v>noviembre</v>
      </c>
      <c r="G420" s="2">
        <f>YEAR(Sheet1[[#This Row],[Fecha ingreso]])</f>
        <v>2021</v>
      </c>
      <c r="H420" s="1" t="str">
        <f>TEXT(Sheet1[[#This Row],[Fecha ingreso]],"dddd")</f>
        <v>martes</v>
      </c>
      <c r="I420" s="1">
        <v>44818</v>
      </c>
      <c r="J420" s="2">
        <f>DATEDIF(Sheet1[[#This Row],[Fecha ingreso]],Sheet1[[#This Row],[Fecha último pago]],"M")+1</f>
        <v>10</v>
      </c>
      <c r="K420" s="2">
        <f>Sheet1[[#This Row],[Ingresos mensuales]]*Sheet1[[#This Row],[Meses contratados]]</f>
        <v>83.4</v>
      </c>
      <c r="L420" t="s">
        <v>1814</v>
      </c>
      <c r="M420">
        <v>57</v>
      </c>
      <c r="N420" t="s">
        <v>1821</v>
      </c>
      <c r="O420" t="s">
        <v>1824</v>
      </c>
      <c r="P420" t="s">
        <v>1828</v>
      </c>
      <c r="Q420" cm="1">
        <f t="array" ref="Q420">_xlfn.IFS(P420="2 Years", 24,P420="1 Year",12, P420="6 Months",6, P420="1 Month",1)</f>
        <v>6</v>
      </c>
      <c r="R420" t="str" cm="1">
        <f t="array" ref="R420">_xlfn.IFS(Q420=1,"Mensual",Q420=6,"Semestral",Q420=12,"Anual",Q420=24,"Bienal")</f>
        <v>Semestral</v>
      </c>
      <c r="S420">
        <f>IFERROR(VLOOKUP(Sheet1[[#This Row],[ID usuario]],A421:$A$907,1,FALSE),0)</f>
        <v>0</v>
      </c>
    </row>
    <row r="421" spans="1:19" x14ac:dyDescent="0.25">
      <c r="A421" t="s">
        <v>419</v>
      </c>
      <c r="B421" t="s">
        <v>1324</v>
      </c>
      <c r="C421" t="s">
        <v>1810</v>
      </c>
      <c r="D421">
        <v>91.09</v>
      </c>
      <c r="E421" s="1">
        <v>44685</v>
      </c>
      <c r="F421" s="1" t="str">
        <f>TEXT(Sheet1[[#This Row],[Fecha ingreso]],"mmmm")</f>
        <v>mayo</v>
      </c>
      <c r="G421" s="2">
        <f>YEAR(Sheet1[[#This Row],[Fecha ingreso]])</f>
        <v>2022</v>
      </c>
      <c r="H421" s="1" t="str">
        <f>TEXT(Sheet1[[#This Row],[Fecha ingreso]],"dddd")</f>
        <v>miércoles</v>
      </c>
      <c r="I421" s="1">
        <v>45436</v>
      </c>
      <c r="J421" s="2">
        <f>DATEDIF(Sheet1[[#This Row],[Fecha ingreso]],Sheet1[[#This Row],[Fecha último pago]],"M")+1</f>
        <v>25</v>
      </c>
      <c r="K421" s="2">
        <f>Sheet1[[#This Row],[Ingresos mensuales]]*Sheet1[[#This Row],[Meses contratados]]</f>
        <v>2277.25</v>
      </c>
      <c r="L421" t="s">
        <v>1818</v>
      </c>
      <c r="M421">
        <v>68</v>
      </c>
      <c r="N421" t="s">
        <v>1821</v>
      </c>
      <c r="O421" t="s">
        <v>1824</v>
      </c>
      <c r="P421" t="s">
        <v>1829</v>
      </c>
      <c r="Q421" cm="1">
        <f t="array" ref="Q421">_xlfn.IFS(P421="2 Years", 24,P421="1 Year",12, P421="6 Months",6, P421="1 Month",1)</f>
        <v>1</v>
      </c>
      <c r="R421" t="str" cm="1">
        <f t="array" ref="R421">_xlfn.IFS(Q421=1,"Mensual",Q421=6,"Semestral",Q421=12,"Anual",Q421=24,"Bienal")</f>
        <v>Mensual</v>
      </c>
      <c r="S421">
        <f>IFERROR(VLOOKUP(Sheet1[[#This Row],[ID usuario]],A422:$A$907,1,FALSE),0)</f>
        <v>0</v>
      </c>
    </row>
    <row r="422" spans="1:19" x14ac:dyDescent="0.25">
      <c r="A422" t="s">
        <v>420</v>
      </c>
      <c r="B422" t="s">
        <v>1325</v>
      </c>
      <c r="C422" t="s">
        <v>1812</v>
      </c>
      <c r="D422">
        <v>82.55</v>
      </c>
      <c r="E422" s="1">
        <v>44424</v>
      </c>
      <c r="F422" s="1" t="str">
        <f>TEXT(Sheet1[[#This Row],[Fecha ingreso]],"mmmm")</f>
        <v>agosto</v>
      </c>
      <c r="G422" s="2">
        <f>YEAR(Sheet1[[#This Row],[Fecha ingreso]])</f>
        <v>2021</v>
      </c>
      <c r="H422" s="1" t="str">
        <f>TEXT(Sheet1[[#This Row],[Fecha ingreso]],"dddd")</f>
        <v>lunes</v>
      </c>
      <c r="I422" s="1">
        <v>44523</v>
      </c>
      <c r="J422" s="2">
        <f>DATEDIF(Sheet1[[#This Row],[Fecha ingreso]],Sheet1[[#This Row],[Fecha último pago]],"M")+1</f>
        <v>4</v>
      </c>
      <c r="K422" s="2">
        <f>Sheet1[[#This Row],[Ingresos mensuales]]*Sheet1[[#This Row],[Meses contratados]]</f>
        <v>330.2</v>
      </c>
      <c r="L422" t="s">
        <v>1818</v>
      </c>
      <c r="M422">
        <v>18</v>
      </c>
      <c r="N422" t="s">
        <v>1821</v>
      </c>
      <c r="O422" t="s">
        <v>1824</v>
      </c>
      <c r="P422" t="s">
        <v>1826</v>
      </c>
      <c r="Q422" cm="1">
        <f t="array" ref="Q422">_xlfn.IFS(P422="2 Years", 24,P422="1 Year",12, P422="6 Months",6, P422="1 Month",1)</f>
        <v>24</v>
      </c>
      <c r="R422" t="str" cm="1">
        <f t="array" ref="R422">_xlfn.IFS(Q422=1,"Mensual",Q422=6,"Semestral",Q422=12,"Anual",Q422=24,"Bienal")</f>
        <v>Bienal</v>
      </c>
      <c r="S422">
        <f>IFERROR(VLOOKUP(Sheet1[[#This Row],[ID usuario]],A423:$A$907,1,FALSE),0)</f>
        <v>0</v>
      </c>
    </row>
    <row r="423" spans="1:19" x14ac:dyDescent="0.25">
      <c r="A423" t="s">
        <v>421</v>
      </c>
      <c r="B423" t="s">
        <v>1326</v>
      </c>
      <c r="C423" t="s">
        <v>1811</v>
      </c>
      <c r="D423">
        <v>57.5</v>
      </c>
      <c r="E423" s="1">
        <v>44418</v>
      </c>
      <c r="F423" s="1" t="str">
        <f>TEXT(Sheet1[[#This Row],[Fecha ingreso]],"mmmm")</f>
        <v>agosto</v>
      </c>
      <c r="G423" s="2">
        <f>YEAR(Sheet1[[#This Row],[Fecha ingreso]])</f>
        <v>2021</v>
      </c>
      <c r="H423" s="1" t="str">
        <f>TEXT(Sheet1[[#This Row],[Fecha ingreso]],"dddd")</f>
        <v>martes</v>
      </c>
      <c r="I423" s="1">
        <v>44945</v>
      </c>
      <c r="J423" s="2">
        <f>DATEDIF(Sheet1[[#This Row],[Fecha ingreso]],Sheet1[[#This Row],[Fecha último pago]],"M")+1</f>
        <v>18</v>
      </c>
      <c r="K423" s="2">
        <f>Sheet1[[#This Row],[Ingresos mensuales]]*Sheet1[[#This Row],[Meses contratados]]</f>
        <v>1035</v>
      </c>
      <c r="L423" t="s">
        <v>1817</v>
      </c>
      <c r="M423">
        <v>65</v>
      </c>
      <c r="N423" t="s">
        <v>1821</v>
      </c>
      <c r="O423" t="s">
        <v>1824</v>
      </c>
      <c r="P423" t="s">
        <v>1828</v>
      </c>
      <c r="Q423" cm="1">
        <f t="array" ref="Q423">_xlfn.IFS(P423="2 Years", 24,P423="1 Year",12, P423="6 Months",6, P423="1 Month",1)</f>
        <v>6</v>
      </c>
      <c r="R423" t="str" cm="1">
        <f t="array" ref="R423">_xlfn.IFS(Q423=1,"Mensual",Q423=6,"Semestral",Q423=12,"Anual",Q423=24,"Bienal")</f>
        <v>Semestral</v>
      </c>
      <c r="S423">
        <f>IFERROR(VLOOKUP(Sheet1[[#This Row],[ID usuario]],A424:$A$907,1,FALSE),0)</f>
        <v>0</v>
      </c>
    </row>
    <row r="424" spans="1:19" x14ac:dyDescent="0.25">
      <c r="A424" t="s">
        <v>422</v>
      </c>
      <c r="B424" t="s">
        <v>1327</v>
      </c>
      <c r="C424" t="s">
        <v>1811</v>
      </c>
      <c r="D424">
        <v>85.92</v>
      </c>
      <c r="E424" s="1">
        <v>45315</v>
      </c>
      <c r="F424" s="1" t="str">
        <f>TEXT(Sheet1[[#This Row],[Fecha ingreso]],"mmmm")</f>
        <v>enero</v>
      </c>
      <c r="G424" s="2">
        <f>YEAR(Sheet1[[#This Row],[Fecha ingreso]])</f>
        <v>2024</v>
      </c>
      <c r="H424" s="1" t="str">
        <f>TEXT(Sheet1[[#This Row],[Fecha ingreso]],"dddd")</f>
        <v>miércoles</v>
      </c>
      <c r="I424" s="1">
        <v>45367</v>
      </c>
      <c r="J424" s="2">
        <f>DATEDIF(Sheet1[[#This Row],[Fecha ingreso]],Sheet1[[#This Row],[Fecha último pago]],"M")+1</f>
        <v>2</v>
      </c>
      <c r="K424" s="2">
        <f>Sheet1[[#This Row],[Ingresos mensuales]]*Sheet1[[#This Row],[Meses contratados]]</f>
        <v>171.84</v>
      </c>
      <c r="L424" t="s">
        <v>1814</v>
      </c>
      <c r="M424">
        <v>41</v>
      </c>
      <c r="N424" t="s">
        <v>1821</v>
      </c>
      <c r="O424" t="s">
        <v>1825</v>
      </c>
      <c r="P424" t="s">
        <v>1829</v>
      </c>
      <c r="Q424" cm="1">
        <f t="array" ref="Q424">_xlfn.IFS(P424="2 Years", 24,P424="1 Year",12, P424="6 Months",6, P424="1 Month",1)</f>
        <v>1</v>
      </c>
      <c r="R424" t="str" cm="1">
        <f t="array" ref="R424">_xlfn.IFS(Q424=1,"Mensual",Q424=6,"Semestral",Q424=12,"Anual",Q424=24,"Bienal")</f>
        <v>Mensual</v>
      </c>
      <c r="S424">
        <f>IFERROR(VLOOKUP(Sheet1[[#This Row],[ID usuario]],A425:$A$907,1,FALSE),0)</f>
        <v>0</v>
      </c>
    </row>
    <row r="425" spans="1:19" x14ac:dyDescent="0.25">
      <c r="A425" t="s">
        <v>423</v>
      </c>
      <c r="B425" t="s">
        <v>1328</v>
      </c>
      <c r="C425" t="s">
        <v>1810</v>
      </c>
      <c r="D425">
        <v>96.43</v>
      </c>
      <c r="E425" s="1">
        <v>44891</v>
      </c>
      <c r="F425" s="1" t="str">
        <f>TEXT(Sheet1[[#This Row],[Fecha ingreso]],"mmmm")</f>
        <v>noviembre</v>
      </c>
      <c r="G425" s="2">
        <f>YEAR(Sheet1[[#This Row],[Fecha ingreso]])</f>
        <v>2022</v>
      </c>
      <c r="H425" s="1" t="str">
        <f>TEXT(Sheet1[[#This Row],[Fecha ingreso]],"dddd")</f>
        <v>sábado</v>
      </c>
      <c r="I425" s="1">
        <v>45444</v>
      </c>
      <c r="J425" s="2">
        <f>DATEDIF(Sheet1[[#This Row],[Fecha ingreso]],Sheet1[[#This Row],[Fecha último pago]],"M")+1</f>
        <v>19</v>
      </c>
      <c r="K425" s="2">
        <f>Sheet1[[#This Row],[Ingresos mensuales]]*Sheet1[[#This Row],[Meses contratados]]</f>
        <v>1832.17</v>
      </c>
      <c r="L425" t="s">
        <v>1814</v>
      </c>
      <c r="M425">
        <v>25</v>
      </c>
      <c r="N425" t="s">
        <v>1820</v>
      </c>
      <c r="O425" t="s">
        <v>1824</v>
      </c>
      <c r="P425" t="s">
        <v>1829</v>
      </c>
      <c r="Q425" cm="1">
        <f t="array" ref="Q425">_xlfn.IFS(P425="2 Years", 24,P425="1 Year",12, P425="6 Months",6, P425="1 Month",1)</f>
        <v>1</v>
      </c>
      <c r="R425" t="str" cm="1">
        <f t="array" ref="R425">_xlfn.IFS(Q425=1,"Mensual",Q425=6,"Semestral",Q425=12,"Anual",Q425=24,"Bienal")</f>
        <v>Mensual</v>
      </c>
      <c r="S425">
        <f>IFERROR(VLOOKUP(Sheet1[[#This Row],[ID usuario]],A426:$A$907,1,FALSE),0)</f>
        <v>0</v>
      </c>
    </row>
    <row r="426" spans="1:19" x14ac:dyDescent="0.25">
      <c r="A426" t="s">
        <v>424</v>
      </c>
      <c r="B426" t="s">
        <v>1329</v>
      </c>
      <c r="C426" t="s">
        <v>1810</v>
      </c>
      <c r="D426">
        <v>15.5</v>
      </c>
      <c r="E426" s="1">
        <v>45159</v>
      </c>
      <c r="F426" s="1" t="str">
        <f>TEXT(Sheet1[[#This Row],[Fecha ingreso]],"mmmm")</f>
        <v>agosto</v>
      </c>
      <c r="G426" s="2">
        <f>YEAR(Sheet1[[#This Row],[Fecha ingreso]])</f>
        <v>2023</v>
      </c>
      <c r="H426" s="1" t="str">
        <f>TEXT(Sheet1[[#This Row],[Fecha ingreso]],"dddd")</f>
        <v>lunes</v>
      </c>
      <c r="I426" s="1">
        <v>45284</v>
      </c>
      <c r="J426" s="2">
        <f>DATEDIF(Sheet1[[#This Row],[Fecha ingreso]],Sheet1[[#This Row],[Fecha último pago]],"M")+1</f>
        <v>5</v>
      </c>
      <c r="K426" s="2">
        <f>Sheet1[[#This Row],[Ingresos mensuales]]*Sheet1[[#This Row],[Meses contratados]]</f>
        <v>77.5</v>
      </c>
      <c r="L426" t="s">
        <v>1817</v>
      </c>
      <c r="M426">
        <v>19</v>
      </c>
      <c r="N426" t="s">
        <v>1820</v>
      </c>
      <c r="O426" t="s">
        <v>1825</v>
      </c>
      <c r="P426" t="s">
        <v>1828</v>
      </c>
      <c r="Q426" cm="1">
        <f t="array" ref="Q426">_xlfn.IFS(P426="2 Years", 24,P426="1 Year",12, P426="6 Months",6, P426="1 Month",1)</f>
        <v>6</v>
      </c>
      <c r="R426" t="str" cm="1">
        <f t="array" ref="R426">_xlfn.IFS(Q426=1,"Mensual",Q426=6,"Semestral",Q426=12,"Anual",Q426=24,"Bienal")</f>
        <v>Semestral</v>
      </c>
      <c r="S426">
        <f>IFERROR(VLOOKUP(Sheet1[[#This Row],[ID usuario]],A427:$A$907,1,FALSE),0)</f>
        <v>0</v>
      </c>
    </row>
    <row r="427" spans="1:19" x14ac:dyDescent="0.25">
      <c r="A427" t="s">
        <v>425</v>
      </c>
      <c r="B427" t="s">
        <v>1330</v>
      </c>
      <c r="C427" t="s">
        <v>1812</v>
      </c>
      <c r="D427">
        <v>64.930000000000007</v>
      </c>
      <c r="E427" s="1">
        <v>44815</v>
      </c>
      <c r="F427" s="1" t="str">
        <f>TEXT(Sheet1[[#This Row],[Fecha ingreso]],"mmmm")</f>
        <v>septiembre</v>
      </c>
      <c r="G427" s="2">
        <f>YEAR(Sheet1[[#This Row],[Fecha ingreso]])</f>
        <v>2022</v>
      </c>
      <c r="H427" s="1" t="str">
        <f>TEXT(Sheet1[[#This Row],[Fecha ingreso]],"dddd")</f>
        <v>domingo</v>
      </c>
      <c r="I427" s="1">
        <v>44921</v>
      </c>
      <c r="J427" s="2">
        <f>DATEDIF(Sheet1[[#This Row],[Fecha ingreso]],Sheet1[[#This Row],[Fecha último pago]],"M")+1</f>
        <v>4</v>
      </c>
      <c r="K427" s="2">
        <f>Sheet1[[#This Row],[Ingresos mensuales]]*Sheet1[[#This Row],[Meses contratados]]</f>
        <v>259.72000000000003</v>
      </c>
      <c r="L427" t="s">
        <v>1816</v>
      </c>
      <c r="M427">
        <v>52</v>
      </c>
      <c r="N427" t="s">
        <v>1821</v>
      </c>
      <c r="O427" t="s">
        <v>1824</v>
      </c>
      <c r="P427" t="s">
        <v>1829</v>
      </c>
      <c r="Q427" cm="1">
        <f t="array" ref="Q427">_xlfn.IFS(P427="2 Years", 24,P427="1 Year",12, P427="6 Months",6, P427="1 Month",1)</f>
        <v>1</v>
      </c>
      <c r="R427" t="str" cm="1">
        <f t="array" ref="R427">_xlfn.IFS(Q427=1,"Mensual",Q427=6,"Semestral",Q427=12,"Anual",Q427=24,"Bienal")</f>
        <v>Mensual</v>
      </c>
      <c r="S427">
        <f>IFERROR(VLOOKUP(Sheet1[[#This Row],[ID usuario]],A428:$A$907,1,FALSE),0)</f>
        <v>0</v>
      </c>
    </row>
    <row r="428" spans="1:19" x14ac:dyDescent="0.25">
      <c r="A428" t="s">
        <v>426</v>
      </c>
      <c r="B428" t="s">
        <v>1331</v>
      </c>
      <c r="C428" t="s">
        <v>1810</v>
      </c>
      <c r="D428">
        <v>99.81</v>
      </c>
      <c r="E428" s="1">
        <v>44861</v>
      </c>
      <c r="F428" s="1" t="str">
        <f>TEXT(Sheet1[[#This Row],[Fecha ingreso]],"mmmm")</f>
        <v>octubre</v>
      </c>
      <c r="G428" s="2">
        <f>YEAR(Sheet1[[#This Row],[Fecha ingreso]])</f>
        <v>2022</v>
      </c>
      <c r="H428" s="1" t="str">
        <f>TEXT(Sheet1[[#This Row],[Fecha ingreso]],"dddd")</f>
        <v>jueves</v>
      </c>
      <c r="I428" s="1">
        <v>45300</v>
      </c>
      <c r="J428" s="2">
        <f>DATEDIF(Sheet1[[#This Row],[Fecha ingreso]],Sheet1[[#This Row],[Fecha último pago]],"M")+1</f>
        <v>15</v>
      </c>
      <c r="K428" s="2">
        <f>Sheet1[[#This Row],[Ingresos mensuales]]*Sheet1[[#This Row],[Meses contratados]]</f>
        <v>1497.15</v>
      </c>
      <c r="L428" t="s">
        <v>1814</v>
      </c>
      <c r="M428">
        <v>31</v>
      </c>
      <c r="N428" t="s">
        <v>1822</v>
      </c>
      <c r="O428" t="s">
        <v>1824</v>
      </c>
      <c r="P428" t="s">
        <v>1826</v>
      </c>
      <c r="Q428" cm="1">
        <f t="array" ref="Q428">_xlfn.IFS(P428="2 Years", 24,P428="1 Year",12, P428="6 Months",6, P428="1 Month",1)</f>
        <v>24</v>
      </c>
      <c r="R428" t="str" cm="1">
        <f t="array" ref="R428">_xlfn.IFS(Q428=1,"Mensual",Q428=6,"Semestral",Q428=12,"Anual",Q428=24,"Bienal")</f>
        <v>Bienal</v>
      </c>
      <c r="S428">
        <f>IFERROR(VLOOKUP(Sheet1[[#This Row],[ID usuario]],A429:$A$907,1,FALSE),0)</f>
        <v>0</v>
      </c>
    </row>
    <row r="429" spans="1:19" x14ac:dyDescent="0.25">
      <c r="A429" t="s">
        <v>427</v>
      </c>
      <c r="B429" t="s">
        <v>1332</v>
      </c>
      <c r="C429" t="s">
        <v>1811</v>
      </c>
      <c r="D429">
        <v>98.85</v>
      </c>
      <c r="E429" s="1">
        <v>44676</v>
      </c>
      <c r="F429" s="1" t="str">
        <f>TEXT(Sheet1[[#This Row],[Fecha ingreso]],"mmmm")</f>
        <v>abril</v>
      </c>
      <c r="G429" s="2">
        <f>YEAR(Sheet1[[#This Row],[Fecha ingreso]])</f>
        <v>2022</v>
      </c>
      <c r="H429" s="1" t="str">
        <f>TEXT(Sheet1[[#This Row],[Fecha ingreso]],"dddd")</f>
        <v>lunes</v>
      </c>
      <c r="I429" s="1">
        <v>44830</v>
      </c>
      <c r="J429" s="2">
        <f>DATEDIF(Sheet1[[#This Row],[Fecha ingreso]],Sheet1[[#This Row],[Fecha último pago]],"M")+1</f>
        <v>6</v>
      </c>
      <c r="K429" s="2">
        <f>Sheet1[[#This Row],[Ingresos mensuales]]*Sheet1[[#This Row],[Meses contratados]]</f>
        <v>593.09999999999991</v>
      </c>
      <c r="L429" t="s">
        <v>1815</v>
      </c>
      <c r="M429">
        <v>48</v>
      </c>
      <c r="N429" t="s">
        <v>1822</v>
      </c>
      <c r="O429" t="s">
        <v>1823</v>
      </c>
      <c r="P429" t="s">
        <v>1827</v>
      </c>
      <c r="Q429" cm="1">
        <f t="array" ref="Q429">_xlfn.IFS(P429="2 Years", 24,P429="1 Year",12, P429="6 Months",6, P429="1 Month",1)</f>
        <v>12</v>
      </c>
      <c r="R429" t="str" cm="1">
        <f t="array" ref="R429">_xlfn.IFS(Q429=1,"Mensual",Q429=6,"Semestral",Q429=12,"Anual",Q429=24,"Bienal")</f>
        <v>Anual</v>
      </c>
      <c r="S429">
        <f>IFERROR(VLOOKUP(Sheet1[[#This Row],[ID usuario]],A430:$A$907,1,FALSE),0)</f>
        <v>0</v>
      </c>
    </row>
    <row r="430" spans="1:19" x14ac:dyDescent="0.25">
      <c r="A430" t="s">
        <v>428</v>
      </c>
      <c r="B430" t="s">
        <v>1333</v>
      </c>
      <c r="C430" t="s">
        <v>1812</v>
      </c>
      <c r="D430">
        <v>62.32</v>
      </c>
      <c r="E430" s="1">
        <v>44538</v>
      </c>
      <c r="F430" s="1" t="str">
        <f>TEXT(Sheet1[[#This Row],[Fecha ingreso]],"mmmm")</f>
        <v>diciembre</v>
      </c>
      <c r="G430" s="2">
        <f>YEAR(Sheet1[[#This Row],[Fecha ingreso]])</f>
        <v>2021</v>
      </c>
      <c r="H430" s="1" t="str">
        <f>TEXT(Sheet1[[#This Row],[Fecha ingreso]],"dddd")</f>
        <v>miércoles</v>
      </c>
      <c r="I430" s="1">
        <v>45267</v>
      </c>
      <c r="J430" s="2">
        <f>DATEDIF(Sheet1[[#This Row],[Fecha ingreso]],Sheet1[[#This Row],[Fecha último pago]],"M")+1</f>
        <v>24</v>
      </c>
      <c r="K430" s="2">
        <f>Sheet1[[#This Row],[Ingresos mensuales]]*Sheet1[[#This Row],[Meses contratados]]</f>
        <v>1495.68</v>
      </c>
      <c r="L430" t="s">
        <v>1813</v>
      </c>
      <c r="M430">
        <v>39</v>
      </c>
      <c r="N430" t="s">
        <v>1822</v>
      </c>
      <c r="O430" t="s">
        <v>1824</v>
      </c>
      <c r="P430" t="s">
        <v>1828</v>
      </c>
      <c r="Q430" cm="1">
        <f t="array" ref="Q430">_xlfn.IFS(P430="2 Years", 24,P430="1 Year",12, P430="6 Months",6, P430="1 Month",1)</f>
        <v>6</v>
      </c>
      <c r="R430" t="str" cm="1">
        <f t="array" ref="R430">_xlfn.IFS(Q430=1,"Mensual",Q430=6,"Semestral",Q430=12,"Anual",Q430=24,"Bienal")</f>
        <v>Semestral</v>
      </c>
      <c r="S430">
        <f>IFERROR(VLOOKUP(Sheet1[[#This Row],[ID usuario]],A431:$A$907,1,FALSE),0)</f>
        <v>0</v>
      </c>
    </row>
    <row r="431" spans="1:19" x14ac:dyDescent="0.25">
      <c r="A431" t="s">
        <v>429</v>
      </c>
      <c r="B431" t="s">
        <v>1334</v>
      </c>
      <c r="C431" t="s">
        <v>1811</v>
      </c>
      <c r="D431">
        <v>60.4</v>
      </c>
      <c r="E431" s="1">
        <v>44665</v>
      </c>
      <c r="F431" s="1" t="str">
        <f>TEXT(Sheet1[[#This Row],[Fecha ingreso]],"mmmm")</f>
        <v>abril</v>
      </c>
      <c r="G431" s="2">
        <f>YEAR(Sheet1[[#This Row],[Fecha ingreso]])</f>
        <v>2022</v>
      </c>
      <c r="H431" s="1" t="str">
        <f>TEXT(Sheet1[[#This Row],[Fecha ingreso]],"dddd")</f>
        <v>jueves</v>
      </c>
      <c r="I431" s="1">
        <v>45428</v>
      </c>
      <c r="J431" s="2">
        <f>DATEDIF(Sheet1[[#This Row],[Fecha ingreso]],Sheet1[[#This Row],[Fecha último pago]],"M")+1</f>
        <v>26</v>
      </c>
      <c r="K431" s="2">
        <f>Sheet1[[#This Row],[Ingresos mensuales]]*Sheet1[[#This Row],[Meses contratados]]</f>
        <v>1570.3999999999999</v>
      </c>
      <c r="L431" t="s">
        <v>1815</v>
      </c>
      <c r="M431">
        <v>41</v>
      </c>
      <c r="N431" t="s">
        <v>1821</v>
      </c>
      <c r="O431" t="s">
        <v>1823</v>
      </c>
      <c r="P431" t="s">
        <v>1829</v>
      </c>
      <c r="Q431" cm="1">
        <f t="array" ref="Q431">_xlfn.IFS(P431="2 Years", 24,P431="1 Year",12, P431="6 Months",6, P431="1 Month",1)</f>
        <v>1</v>
      </c>
      <c r="R431" t="str" cm="1">
        <f t="array" ref="R431">_xlfn.IFS(Q431=1,"Mensual",Q431=6,"Semestral",Q431=12,"Anual",Q431=24,"Bienal")</f>
        <v>Mensual</v>
      </c>
      <c r="S431">
        <f>IFERROR(VLOOKUP(Sheet1[[#This Row],[ID usuario]],A432:$A$907,1,FALSE),0)</f>
        <v>0</v>
      </c>
    </row>
    <row r="432" spans="1:19" x14ac:dyDescent="0.25">
      <c r="A432" t="s">
        <v>430</v>
      </c>
      <c r="B432" t="s">
        <v>1335</v>
      </c>
      <c r="C432" t="s">
        <v>1810</v>
      </c>
      <c r="D432">
        <v>5.2</v>
      </c>
      <c r="E432" s="1">
        <v>45315</v>
      </c>
      <c r="F432" s="1" t="str">
        <f>TEXT(Sheet1[[#This Row],[Fecha ingreso]],"mmmm")</f>
        <v>enero</v>
      </c>
      <c r="G432" s="2">
        <f>YEAR(Sheet1[[#This Row],[Fecha ingreso]])</f>
        <v>2024</v>
      </c>
      <c r="H432" s="1" t="str">
        <f>TEXT(Sheet1[[#This Row],[Fecha ingreso]],"dddd")</f>
        <v>miércoles</v>
      </c>
      <c r="I432" s="1">
        <v>45436</v>
      </c>
      <c r="J432" s="2">
        <f>DATEDIF(Sheet1[[#This Row],[Fecha ingreso]],Sheet1[[#This Row],[Fecha último pago]],"M")+1</f>
        <v>5</v>
      </c>
      <c r="K432" s="2">
        <f>Sheet1[[#This Row],[Ingresos mensuales]]*Sheet1[[#This Row],[Meses contratados]]</f>
        <v>26</v>
      </c>
      <c r="L432" t="s">
        <v>1815</v>
      </c>
      <c r="M432">
        <v>53</v>
      </c>
      <c r="N432" t="s">
        <v>1822</v>
      </c>
      <c r="O432" t="s">
        <v>1824</v>
      </c>
      <c r="P432" t="s">
        <v>1829</v>
      </c>
      <c r="Q432" cm="1">
        <f t="array" ref="Q432">_xlfn.IFS(P432="2 Years", 24,P432="1 Year",12, P432="6 Months",6, P432="1 Month",1)</f>
        <v>1</v>
      </c>
      <c r="R432" t="str" cm="1">
        <f t="array" ref="R432">_xlfn.IFS(Q432=1,"Mensual",Q432=6,"Semestral",Q432=12,"Anual",Q432=24,"Bienal")</f>
        <v>Mensual</v>
      </c>
      <c r="S432">
        <f>IFERROR(VLOOKUP(Sheet1[[#This Row],[ID usuario]],A433:$A$907,1,FALSE),0)</f>
        <v>0</v>
      </c>
    </row>
    <row r="433" spans="1:19" x14ac:dyDescent="0.25">
      <c r="A433" t="s">
        <v>431</v>
      </c>
      <c r="B433" t="s">
        <v>1336</v>
      </c>
      <c r="C433" t="s">
        <v>1810</v>
      </c>
      <c r="D433">
        <v>23.9</v>
      </c>
      <c r="E433" s="1">
        <v>45310</v>
      </c>
      <c r="F433" s="1" t="str">
        <f>TEXT(Sheet1[[#This Row],[Fecha ingreso]],"mmmm")</f>
        <v>enero</v>
      </c>
      <c r="G433" s="2">
        <f>YEAR(Sheet1[[#This Row],[Fecha ingreso]])</f>
        <v>2024</v>
      </c>
      <c r="H433" s="1" t="str">
        <f>TEXT(Sheet1[[#This Row],[Fecha ingreso]],"dddd")</f>
        <v>viernes</v>
      </c>
      <c r="I433" s="1">
        <v>45340</v>
      </c>
      <c r="J433" s="2">
        <f>DATEDIF(Sheet1[[#This Row],[Fecha ingreso]],Sheet1[[#This Row],[Fecha último pago]],"M")+1</f>
        <v>1</v>
      </c>
      <c r="K433" s="2">
        <f>Sheet1[[#This Row],[Ingresos mensuales]]*Sheet1[[#This Row],[Meses contratados]]</f>
        <v>23.9</v>
      </c>
      <c r="L433" t="s">
        <v>1815</v>
      </c>
      <c r="M433">
        <v>51</v>
      </c>
      <c r="N433" t="s">
        <v>1820</v>
      </c>
      <c r="O433" t="s">
        <v>1825</v>
      </c>
      <c r="P433" t="s">
        <v>1828</v>
      </c>
      <c r="Q433" cm="1">
        <f t="array" ref="Q433">_xlfn.IFS(P433="2 Years", 24,P433="1 Year",12, P433="6 Months",6, P433="1 Month",1)</f>
        <v>6</v>
      </c>
      <c r="R433" t="str" cm="1">
        <f t="array" ref="R433">_xlfn.IFS(Q433=1,"Mensual",Q433=6,"Semestral",Q433=12,"Anual",Q433=24,"Bienal")</f>
        <v>Semestral</v>
      </c>
      <c r="S433">
        <f>IFERROR(VLOOKUP(Sheet1[[#This Row],[ID usuario]],A434:$A$907,1,FALSE),0)</f>
        <v>0</v>
      </c>
    </row>
    <row r="434" spans="1:19" x14ac:dyDescent="0.25">
      <c r="A434" t="s">
        <v>432</v>
      </c>
      <c r="B434" t="s">
        <v>1337</v>
      </c>
      <c r="C434" t="s">
        <v>1811</v>
      </c>
      <c r="D434">
        <v>95.83</v>
      </c>
      <c r="E434" s="1">
        <v>44551</v>
      </c>
      <c r="F434" s="1" t="str">
        <f>TEXT(Sheet1[[#This Row],[Fecha ingreso]],"mmmm")</f>
        <v>diciembre</v>
      </c>
      <c r="G434" s="2">
        <f>YEAR(Sheet1[[#This Row],[Fecha ingreso]])</f>
        <v>2021</v>
      </c>
      <c r="H434" s="1" t="str">
        <f>TEXT(Sheet1[[#This Row],[Fecha ingreso]],"dddd")</f>
        <v>martes</v>
      </c>
      <c r="I434" s="1">
        <v>44686</v>
      </c>
      <c r="J434" s="2">
        <f>DATEDIF(Sheet1[[#This Row],[Fecha ingreso]],Sheet1[[#This Row],[Fecha último pago]],"M")+1</f>
        <v>5</v>
      </c>
      <c r="K434" s="2">
        <f>Sheet1[[#This Row],[Ingresos mensuales]]*Sheet1[[#This Row],[Meses contratados]]</f>
        <v>479.15</v>
      </c>
      <c r="L434" t="s">
        <v>1814</v>
      </c>
      <c r="M434">
        <v>24</v>
      </c>
      <c r="N434" t="s">
        <v>1822</v>
      </c>
      <c r="O434" t="s">
        <v>1823</v>
      </c>
      <c r="P434" t="s">
        <v>1828</v>
      </c>
      <c r="Q434" cm="1">
        <f t="array" ref="Q434">_xlfn.IFS(P434="2 Years", 24,P434="1 Year",12, P434="6 Months",6, P434="1 Month",1)</f>
        <v>6</v>
      </c>
      <c r="R434" t="str" cm="1">
        <f t="array" ref="R434">_xlfn.IFS(Q434=1,"Mensual",Q434=6,"Semestral",Q434=12,"Anual",Q434=24,"Bienal")</f>
        <v>Semestral</v>
      </c>
      <c r="S434">
        <f>IFERROR(VLOOKUP(Sheet1[[#This Row],[ID usuario]],A435:$A$907,1,FALSE),0)</f>
        <v>0</v>
      </c>
    </row>
    <row r="435" spans="1:19" x14ac:dyDescent="0.25">
      <c r="A435" t="s">
        <v>433</v>
      </c>
      <c r="B435" t="s">
        <v>1338</v>
      </c>
      <c r="C435" t="s">
        <v>1810</v>
      </c>
      <c r="D435">
        <v>36.39</v>
      </c>
      <c r="E435" s="1">
        <v>44726</v>
      </c>
      <c r="F435" s="1" t="str">
        <f>TEXT(Sheet1[[#This Row],[Fecha ingreso]],"mmmm")</f>
        <v>junio</v>
      </c>
      <c r="G435" s="2">
        <f>YEAR(Sheet1[[#This Row],[Fecha ingreso]])</f>
        <v>2022</v>
      </c>
      <c r="H435" s="1" t="str">
        <f>TEXT(Sheet1[[#This Row],[Fecha ingreso]],"dddd")</f>
        <v>martes</v>
      </c>
      <c r="I435" s="1">
        <v>45284</v>
      </c>
      <c r="J435" s="2">
        <f>DATEDIF(Sheet1[[#This Row],[Fecha ingreso]],Sheet1[[#This Row],[Fecha último pago]],"M")+1</f>
        <v>19</v>
      </c>
      <c r="K435" s="2">
        <f>Sheet1[[#This Row],[Ingresos mensuales]]*Sheet1[[#This Row],[Meses contratados]]</f>
        <v>691.41</v>
      </c>
      <c r="L435" t="s">
        <v>1817</v>
      </c>
      <c r="M435">
        <v>42</v>
      </c>
      <c r="N435" t="s">
        <v>1822</v>
      </c>
      <c r="O435" t="s">
        <v>1824</v>
      </c>
      <c r="P435" t="s">
        <v>1827</v>
      </c>
      <c r="Q435" cm="1">
        <f t="array" ref="Q435">_xlfn.IFS(P435="2 Years", 24,P435="1 Year",12, P435="6 Months",6, P435="1 Month",1)</f>
        <v>12</v>
      </c>
      <c r="R435" t="str" cm="1">
        <f t="array" ref="R435">_xlfn.IFS(Q435=1,"Mensual",Q435=6,"Semestral",Q435=12,"Anual",Q435=24,"Bienal")</f>
        <v>Anual</v>
      </c>
      <c r="S435">
        <f>IFERROR(VLOOKUP(Sheet1[[#This Row],[ID usuario]],A436:$A$907,1,FALSE),0)</f>
        <v>0</v>
      </c>
    </row>
    <row r="436" spans="1:19" x14ac:dyDescent="0.25">
      <c r="A436" t="s">
        <v>434</v>
      </c>
      <c r="B436" t="s">
        <v>1339</v>
      </c>
      <c r="C436" t="s">
        <v>1810</v>
      </c>
      <c r="D436">
        <v>65.650000000000006</v>
      </c>
      <c r="E436" s="1">
        <v>45288</v>
      </c>
      <c r="F436" s="1" t="str">
        <f>TEXT(Sheet1[[#This Row],[Fecha ingreso]],"mmmm")</f>
        <v>diciembre</v>
      </c>
      <c r="G436" s="2">
        <f>YEAR(Sheet1[[#This Row],[Fecha ingreso]])</f>
        <v>2023</v>
      </c>
      <c r="H436" s="1" t="str">
        <f>TEXT(Sheet1[[#This Row],[Fecha ingreso]],"dddd")</f>
        <v>jueves</v>
      </c>
      <c r="I436" s="1">
        <v>45340</v>
      </c>
      <c r="J436" s="2">
        <f>DATEDIF(Sheet1[[#This Row],[Fecha ingreso]],Sheet1[[#This Row],[Fecha último pago]],"M")+1</f>
        <v>2</v>
      </c>
      <c r="K436" s="2">
        <f>Sheet1[[#This Row],[Ingresos mensuales]]*Sheet1[[#This Row],[Meses contratados]]</f>
        <v>131.30000000000001</v>
      </c>
      <c r="L436" t="s">
        <v>1816</v>
      </c>
      <c r="M436">
        <v>52</v>
      </c>
      <c r="N436" t="s">
        <v>1822</v>
      </c>
      <c r="O436" t="s">
        <v>1825</v>
      </c>
      <c r="P436" t="s">
        <v>1829</v>
      </c>
      <c r="Q436" cm="1">
        <f t="array" ref="Q436">_xlfn.IFS(P436="2 Years", 24,P436="1 Year",12, P436="6 Months",6, P436="1 Month",1)</f>
        <v>1</v>
      </c>
      <c r="R436" t="str" cm="1">
        <f t="array" ref="R436">_xlfn.IFS(Q436=1,"Mensual",Q436=6,"Semestral",Q436=12,"Anual",Q436=24,"Bienal")</f>
        <v>Mensual</v>
      </c>
      <c r="S436">
        <f>IFERROR(VLOOKUP(Sheet1[[#This Row],[ID usuario]],A437:$A$907,1,FALSE),0)</f>
        <v>0</v>
      </c>
    </row>
    <row r="437" spans="1:19" x14ac:dyDescent="0.25">
      <c r="A437" t="s">
        <v>435</v>
      </c>
      <c r="B437" t="s">
        <v>1340</v>
      </c>
      <c r="C437" t="s">
        <v>1810</v>
      </c>
      <c r="D437">
        <v>95.04</v>
      </c>
      <c r="E437" s="1">
        <v>44400</v>
      </c>
      <c r="F437" s="1" t="str">
        <f>TEXT(Sheet1[[#This Row],[Fecha ingreso]],"mmmm")</f>
        <v>julio</v>
      </c>
      <c r="G437" s="2">
        <f>YEAR(Sheet1[[#This Row],[Fecha ingreso]])</f>
        <v>2021</v>
      </c>
      <c r="H437" s="1" t="str">
        <f>TEXT(Sheet1[[#This Row],[Fecha ingreso]],"dddd")</f>
        <v>viernes</v>
      </c>
      <c r="I437" s="1">
        <v>44673</v>
      </c>
      <c r="J437" s="2">
        <f>DATEDIF(Sheet1[[#This Row],[Fecha ingreso]],Sheet1[[#This Row],[Fecha último pago]],"M")+1</f>
        <v>9</v>
      </c>
      <c r="K437" s="2">
        <f>Sheet1[[#This Row],[Ingresos mensuales]]*Sheet1[[#This Row],[Meses contratados]]</f>
        <v>855.36</v>
      </c>
      <c r="L437" t="s">
        <v>1816</v>
      </c>
      <c r="M437">
        <v>56</v>
      </c>
      <c r="N437" t="s">
        <v>1820</v>
      </c>
      <c r="O437" t="s">
        <v>1823</v>
      </c>
      <c r="P437" t="s">
        <v>1829</v>
      </c>
      <c r="Q437" cm="1">
        <f t="array" ref="Q437">_xlfn.IFS(P437="2 Years", 24,P437="1 Year",12, P437="6 Months",6, P437="1 Month",1)</f>
        <v>1</v>
      </c>
      <c r="R437" t="str" cm="1">
        <f t="array" ref="R437">_xlfn.IFS(Q437=1,"Mensual",Q437=6,"Semestral",Q437=12,"Anual",Q437=24,"Bienal")</f>
        <v>Mensual</v>
      </c>
      <c r="S437">
        <f>IFERROR(VLOOKUP(Sheet1[[#This Row],[ID usuario]],A438:$A$907,1,FALSE),0)</f>
        <v>0</v>
      </c>
    </row>
    <row r="438" spans="1:19" x14ac:dyDescent="0.25">
      <c r="A438" t="s">
        <v>436</v>
      </c>
      <c r="B438" t="s">
        <v>1341</v>
      </c>
      <c r="C438" t="s">
        <v>1811</v>
      </c>
      <c r="D438">
        <v>36.32</v>
      </c>
      <c r="E438" s="1">
        <v>45218</v>
      </c>
      <c r="F438" s="1" t="str">
        <f>TEXT(Sheet1[[#This Row],[Fecha ingreso]],"mmmm")</f>
        <v>octubre</v>
      </c>
      <c r="G438" s="2">
        <f>YEAR(Sheet1[[#This Row],[Fecha ingreso]])</f>
        <v>2023</v>
      </c>
      <c r="H438" s="1" t="str">
        <f>TEXT(Sheet1[[#This Row],[Fecha ingreso]],"dddd")</f>
        <v>jueves</v>
      </c>
      <c r="I438" s="1">
        <v>45329</v>
      </c>
      <c r="J438" s="2">
        <f>DATEDIF(Sheet1[[#This Row],[Fecha ingreso]],Sheet1[[#This Row],[Fecha último pago]],"M")+1</f>
        <v>4</v>
      </c>
      <c r="K438" s="2">
        <f>Sheet1[[#This Row],[Ingresos mensuales]]*Sheet1[[#This Row],[Meses contratados]]</f>
        <v>145.28</v>
      </c>
      <c r="L438" t="s">
        <v>1813</v>
      </c>
      <c r="M438">
        <v>42</v>
      </c>
      <c r="N438" t="s">
        <v>1820</v>
      </c>
      <c r="O438" t="s">
        <v>1823</v>
      </c>
      <c r="P438" t="s">
        <v>1829</v>
      </c>
      <c r="Q438" cm="1">
        <f t="array" ref="Q438">_xlfn.IFS(P438="2 Years", 24,P438="1 Year",12, P438="6 Months",6, P438="1 Month",1)</f>
        <v>1</v>
      </c>
      <c r="R438" t="str" cm="1">
        <f t="array" ref="R438">_xlfn.IFS(Q438=1,"Mensual",Q438=6,"Semestral",Q438=12,"Anual",Q438=24,"Bienal")</f>
        <v>Mensual</v>
      </c>
      <c r="S438">
        <f>IFERROR(VLOOKUP(Sheet1[[#This Row],[ID usuario]],A439:$A$907,1,FALSE),0)</f>
        <v>0</v>
      </c>
    </row>
    <row r="439" spans="1:19" x14ac:dyDescent="0.25">
      <c r="A439" t="s">
        <v>437</v>
      </c>
      <c r="B439" t="s">
        <v>1342</v>
      </c>
      <c r="C439" t="s">
        <v>1811</v>
      </c>
      <c r="D439">
        <v>80.22</v>
      </c>
      <c r="E439" s="1">
        <v>44759</v>
      </c>
      <c r="F439" s="1" t="str">
        <f>TEXT(Sheet1[[#This Row],[Fecha ingreso]],"mmmm")</f>
        <v>julio</v>
      </c>
      <c r="G439" s="2">
        <f>YEAR(Sheet1[[#This Row],[Fecha ingreso]])</f>
        <v>2022</v>
      </c>
      <c r="H439" s="1" t="str">
        <f>TEXT(Sheet1[[#This Row],[Fecha ingreso]],"dddd")</f>
        <v>domingo</v>
      </c>
      <c r="I439" s="1">
        <v>45147</v>
      </c>
      <c r="J439" s="2">
        <f>DATEDIF(Sheet1[[#This Row],[Fecha ingreso]],Sheet1[[#This Row],[Fecha último pago]],"M")+1</f>
        <v>13</v>
      </c>
      <c r="K439" s="2">
        <f>Sheet1[[#This Row],[Ingresos mensuales]]*Sheet1[[#This Row],[Meses contratados]]</f>
        <v>1042.8599999999999</v>
      </c>
      <c r="L439" t="s">
        <v>1815</v>
      </c>
      <c r="M439">
        <v>47</v>
      </c>
      <c r="N439" t="s">
        <v>1822</v>
      </c>
      <c r="O439" t="s">
        <v>1825</v>
      </c>
      <c r="P439" t="s">
        <v>1828</v>
      </c>
      <c r="Q439" cm="1">
        <f t="array" ref="Q439">_xlfn.IFS(P439="2 Years", 24,P439="1 Year",12, P439="6 Months",6, P439="1 Month",1)</f>
        <v>6</v>
      </c>
      <c r="R439" t="str" cm="1">
        <f t="array" ref="R439">_xlfn.IFS(Q439=1,"Mensual",Q439=6,"Semestral",Q439=12,"Anual",Q439=24,"Bienal")</f>
        <v>Semestral</v>
      </c>
      <c r="S439">
        <f>IFERROR(VLOOKUP(Sheet1[[#This Row],[ID usuario]],A440:$A$907,1,FALSE),0)</f>
        <v>0</v>
      </c>
    </row>
    <row r="440" spans="1:19" x14ac:dyDescent="0.25">
      <c r="A440" t="s">
        <v>438</v>
      </c>
      <c r="B440" t="s">
        <v>1343</v>
      </c>
      <c r="C440" t="s">
        <v>1811</v>
      </c>
      <c r="D440">
        <v>15.28</v>
      </c>
      <c r="E440" s="1">
        <v>45083</v>
      </c>
      <c r="F440" s="1" t="str">
        <f>TEXT(Sheet1[[#This Row],[Fecha ingreso]],"mmmm")</f>
        <v>junio</v>
      </c>
      <c r="G440" s="2">
        <f>YEAR(Sheet1[[#This Row],[Fecha ingreso]])</f>
        <v>2023</v>
      </c>
      <c r="H440" s="1" t="str">
        <f>TEXT(Sheet1[[#This Row],[Fecha ingreso]],"dddd")</f>
        <v>martes</v>
      </c>
      <c r="I440" s="1">
        <v>45099</v>
      </c>
      <c r="J440" s="2">
        <f>DATEDIF(Sheet1[[#This Row],[Fecha ingreso]],Sheet1[[#This Row],[Fecha último pago]],"M")+1</f>
        <v>1</v>
      </c>
      <c r="K440" s="2">
        <f>Sheet1[[#This Row],[Ingresos mensuales]]*Sheet1[[#This Row],[Meses contratados]]</f>
        <v>15.28</v>
      </c>
      <c r="L440" t="s">
        <v>1815</v>
      </c>
      <c r="M440">
        <v>23</v>
      </c>
      <c r="N440" t="s">
        <v>1820</v>
      </c>
      <c r="O440" t="s">
        <v>1825</v>
      </c>
      <c r="P440" t="s">
        <v>1826</v>
      </c>
      <c r="Q440" cm="1">
        <f t="array" ref="Q440">_xlfn.IFS(P440="2 Years", 24,P440="1 Year",12, P440="6 Months",6, P440="1 Month",1)</f>
        <v>24</v>
      </c>
      <c r="R440" t="str" cm="1">
        <f t="array" ref="R440">_xlfn.IFS(Q440=1,"Mensual",Q440=6,"Semestral",Q440=12,"Anual",Q440=24,"Bienal")</f>
        <v>Bienal</v>
      </c>
      <c r="S440">
        <f>IFERROR(VLOOKUP(Sheet1[[#This Row],[ID usuario]],A441:$A$907,1,FALSE),0)</f>
        <v>0</v>
      </c>
    </row>
    <row r="441" spans="1:19" x14ac:dyDescent="0.25">
      <c r="A441" t="s">
        <v>439</v>
      </c>
      <c r="B441" t="s">
        <v>1344</v>
      </c>
      <c r="C441" t="s">
        <v>1811</v>
      </c>
      <c r="D441">
        <v>42.27</v>
      </c>
      <c r="E441" s="1">
        <v>45196</v>
      </c>
      <c r="F441" s="1" t="str">
        <f>TEXT(Sheet1[[#This Row],[Fecha ingreso]],"mmmm")</f>
        <v>septiembre</v>
      </c>
      <c r="G441" s="2">
        <f>YEAR(Sheet1[[#This Row],[Fecha ingreso]])</f>
        <v>2023</v>
      </c>
      <c r="H441" s="1" t="str">
        <f>TEXT(Sheet1[[#This Row],[Fecha ingreso]],"dddd")</f>
        <v>miércoles</v>
      </c>
      <c r="I441" s="1">
        <v>45291</v>
      </c>
      <c r="J441" s="2">
        <f>DATEDIF(Sheet1[[#This Row],[Fecha ingreso]],Sheet1[[#This Row],[Fecha último pago]],"M")+1</f>
        <v>4</v>
      </c>
      <c r="K441" s="2">
        <f>Sheet1[[#This Row],[Ingresos mensuales]]*Sheet1[[#This Row],[Meses contratados]]</f>
        <v>169.08</v>
      </c>
      <c r="L441" t="s">
        <v>1818</v>
      </c>
      <c r="M441">
        <v>66</v>
      </c>
      <c r="N441" t="s">
        <v>1821</v>
      </c>
      <c r="O441" t="s">
        <v>1824</v>
      </c>
      <c r="P441" t="s">
        <v>1827</v>
      </c>
      <c r="Q441" cm="1">
        <f t="array" ref="Q441">_xlfn.IFS(P441="2 Years", 24,P441="1 Year",12, P441="6 Months",6, P441="1 Month",1)</f>
        <v>12</v>
      </c>
      <c r="R441" t="str" cm="1">
        <f t="array" ref="R441">_xlfn.IFS(Q441=1,"Mensual",Q441=6,"Semestral",Q441=12,"Anual",Q441=24,"Bienal")</f>
        <v>Anual</v>
      </c>
      <c r="S441">
        <f>IFERROR(VLOOKUP(Sheet1[[#This Row],[ID usuario]],A442:$A$907,1,FALSE),0)</f>
        <v>0</v>
      </c>
    </row>
    <row r="442" spans="1:19" x14ac:dyDescent="0.25">
      <c r="A442" t="s">
        <v>440</v>
      </c>
      <c r="B442" t="s">
        <v>1345</v>
      </c>
      <c r="C442" t="s">
        <v>1811</v>
      </c>
      <c r="D442">
        <v>26.02</v>
      </c>
      <c r="E442" s="1">
        <v>44828</v>
      </c>
      <c r="F442" s="1" t="str">
        <f>TEXT(Sheet1[[#This Row],[Fecha ingreso]],"mmmm")</f>
        <v>septiembre</v>
      </c>
      <c r="G442" s="2">
        <f>YEAR(Sheet1[[#This Row],[Fecha ingreso]])</f>
        <v>2022</v>
      </c>
      <c r="H442" s="1" t="str">
        <f>TEXT(Sheet1[[#This Row],[Fecha ingreso]],"dddd")</f>
        <v>sábado</v>
      </c>
      <c r="I442" s="1">
        <v>45009</v>
      </c>
      <c r="J442" s="2">
        <f>DATEDIF(Sheet1[[#This Row],[Fecha ingreso]],Sheet1[[#This Row],[Fecha último pago]],"M")+1</f>
        <v>7</v>
      </c>
      <c r="K442" s="2">
        <f>Sheet1[[#This Row],[Ingresos mensuales]]*Sheet1[[#This Row],[Meses contratados]]</f>
        <v>182.14</v>
      </c>
      <c r="L442" t="s">
        <v>1817</v>
      </c>
      <c r="M442">
        <v>66</v>
      </c>
      <c r="N442" t="s">
        <v>1820</v>
      </c>
      <c r="O442" t="s">
        <v>1823</v>
      </c>
      <c r="P442" t="s">
        <v>1826</v>
      </c>
      <c r="Q442" cm="1">
        <f t="array" ref="Q442">_xlfn.IFS(P442="2 Years", 24,P442="1 Year",12, P442="6 Months",6, P442="1 Month",1)</f>
        <v>24</v>
      </c>
      <c r="R442" t="str" cm="1">
        <f t="array" ref="R442">_xlfn.IFS(Q442=1,"Mensual",Q442=6,"Semestral",Q442=12,"Anual",Q442=24,"Bienal")</f>
        <v>Bienal</v>
      </c>
      <c r="S442">
        <f>IFERROR(VLOOKUP(Sheet1[[#This Row],[ID usuario]],A443:$A$907,1,FALSE),0)</f>
        <v>0</v>
      </c>
    </row>
    <row r="443" spans="1:19" x14ac:dyDescent="0.25">
      <c r="A443" t="s">
        <v>441</v>
      </c>
      <c r="B443" t="s">
        <v>1346</v>
      </c>
      <c r="C443" t="s">
        <v>1811</v>
      </c>
      <c r="D443">
        <v>69.95</v>
      </c>
      <c r="E443" s="1">
        <v>44365</v>
      </c>
      <c r="F443" s="1" t="str">
        <f>TEXT(Sheet1[[#This Row],[Fecha ingreso]],"mmmm")</f>
        <v>junio</v>
      </c>
      <c r="G443" s="2">
        <f>YEAR(Sheet1[[#This Row],[Fecha ingreso]])</f>
        <v>2021</v>
      </c>
      <c r="H443" s="1" t="str">
        <f>TEXT(Sheet1[[#This Row],[Fecha ingreso]],"dddd")</f>
        <v>viernes</v>
      </c>
      <c r="I443" s="1">
        <v>44989</v>
      </c>
      <c r="J443" s="2">
        <f>DATEDIF(Sheet1[[#This Row],[Fecha ingreso]],Sheet1[[#This Row],[Fecha último pago]],"M")+1</f>
        <v>21</v>
      </c>
      <c r="K443" s="2">
        <f>Sheet1[[#This Row],[Ingresos mensuales]]*Sheet1[[#This Row],[Meses contratados]]</f>
        <v>1468.95</v>
      </c>
      <c r="L443" t="s">
        <v>1818</v>
      </c>
      <c r="M443">
        <v>43</v>
      </c>
      <c r="N443" t="s">
        <v>1820</v>
      </c>
      <c r="O443" t="s">
        <v>1823</v>
      </c>
      <c r="P443" t="s">
        <v>1829</v>
      </c>
      <c r="Q443" cm="1">
        <f t="array" ref="Q443">_xlfn.IFS(P443="2 Years", 24,P443="1 Year",12, P443="6 Months",6, P443="1 Month",1)</f>
        <v>1</v>
      </c>
      <c r="R443" t="str" cm="1">
        <f t="array" ref="R443">_xlfn.IFS(Q443=1,"Mensual",Q443=6,"Semestral",Q443=12,"Anual",Q443=24,"Bienal")</f>
        <v>Mensual</v>
      </c>
      <c r="S443">
        <f>IFERROR(VLOOKUP(Sheet1[[#This Row],[ID usuario]],A444:$A$907,1,FALSE),0)</f>
        <v>0</v>
      </c>
    </row>
    <row r="444" spans="1:19" x14ac:dyDescent="0.25">
      <c r="A444" t="s">
        <v>442</v>
      </c>
      <c r="B444" t="s">
        <v>1347</v>
      </c>
      <c r="C444" t="s">
        <v>1812</v>
      </c>
      <c r="D444">
        <v>14.73</v>
      </c>
      <c r="E444" s="1">
        <v>45286</v>
      </c>
      <c r="F444" s="1" t="str">
        <f>TEXT(Sheet1[[#This Row],[Fecha ingreso]],"mmmm")</f>
        <v>diciembre</v>
      </c>
      <c r="G444" s="2">
        <f>YEAR(Sheet1[[#This Row],[Fecha ingreso]])</f>
        <v>2023</v>
      </c>
      <c r="H444" s="1" t="str">
        <f>TEXT(Sheet1[[#This Row],[Fecha ingreso]],"dddd")</f>
        <v>martes</v>
      </c>
      <c r="I444" s="1">
        <v>45389</v>
      </c>
      <c r="J444" s="2">
        <f>DATEDIF(Sheet1[[#This Row],[Fecha ingreso]],Sheet1[[#This Row],[Fecha último pago]],"M")+1</f>
        <v>4</v>
      </c>
      <c r="K444" s="2">
        <f>Sheet1[[#This Row],[Ingresos mensuales]]*Sheet1[[#This Row],[Meses contratados]]</f>
        <v>58.92</v>
      </c>
      <c r="L444" t="s">
        <v>1818</v>
      </c>
      <c r="M444">
        <v>22</v>
      </c>
      <c r="N444" t="s">
        <v>1822</v>
      </c>
      <c r="O444" t="s">
        <v>1823</v>
      </c>
      <c r="P444" t="s">
        <v>1828</v>
      </c>
      <c r="Q444" cm="1">
        <f t="array" ref="Q444">_xlfn.IFS(P444="2 Years", 24,P444="1 Year",12, P444="6 Months",6, P444="1 Month",1)</f>
        <v>6</v>
      </c>
      <c r="R444" t="str" cm="1">
        <f t="array" ref="R444">_xlfn.IFS(Q444=1,"Mensual",Q444=6,"Semestral",Q444=12,"Anual",Q444=24,"Bienal")</f>
        <v>Semestral</v>
      </c>
      <c r="S444">
        <f>IFERROR(VLOOKUP(Sheet1[[#This Row],[ID usuario]],A445:$A$907,1,FALSE),0)</f>
        <v>0</v>
      </c>
    </row>
    <row r="445" spans="1:19" x14ac:dyDescent="0.25">
      <c r="A445" t="s">
        <v>443</v>
      </c>
      <c r="B445" t="s">
        <v>1348</v>
      </c>
      <c r="C445" t="s">
        <v>1810</v>
      </c>
      <c r="D445">
        <v>42.72</v>
      </c>
      <c r="E445" s="1">
        <v>45100</v>
      </c>
      <c r="F445" s="1" t="str">
        <f>TEXT(Sheet1[[#This Row],[Fecha ingreso]],"mmmm")</f>
        <v>junio</v>
      </c>
      <c r="G445" s="2">
        <f>YEAR(Sheet1[[#This Row],[Fecha ingreso]])</f>
        <v>2023</v>
      </c>
      <c r="H445" s="1" t="str">
        <f>TEXT(Sheet1[[#This Row],[Fecha ingreso]],"dddd")</f>
        <v>viernes</v>
      </c>
      <c r="I445" s="1">
        <v>45325</v>
      </c>
      <c r="J445" s="2">
        <f>DATEDIF(Sheet1[[#This Row],[Fecha ingreso]],Sheet1[[#This Row],[Fecha último pago]],"M")+1</f>
        <v>8</v>
      </c>
      <c r="K445" s="2">
        <f>Sheet1[[#This Row],[Ingresos mensuales]]*Sheet1[[#This Row],[Meses contratados]]</f>
        <v>341.76</v>
      </c>
      <c r="L445" t="s">
        <v>1813</v>
      </c>
      <c r="M445">
        <v>64</v>
      </c>
      <c r="N445" t="s">
        <v>1820</v>
      </c>
      <c r="O445" t="s">
        <v>1823</v>
      </c>
      <c r="P445" t="s">
        <v>1829</v>
      </c>
      <c r="Q445" cm="1">
        <f t="array" ref="Q445">_xlfn.IFS(P445="2 Years", 24,P445="1 Year",12, P445="6 Months",6, P445="1 Month",1)</f>
        <v>1</v>
      </c>
      <c r="R445" t="str" cm="1">
        <f t="array" ref="R445">_xlfn.IFS(Q445=1,"Mensual",Q445=6,"Semestral",Q445=12,"Anual",Q445=24,"Bienal")</f>
        <v>Mensual</v>
      </c>
      <c r="S445">
        <f>IFERROR(VLOOKUP(Sheet1[[#This Row],[ID usuario]],A446:$A$907,1,FALSE),0)</f>
        <v>0</v>
      </c>
    </row>
    <row r="446" spans="1:19" x14ac:dyDescent="0.25">
      <c r="A446" t="s">
        <v>444</v>
      </c>
      <c r="B446" t="s">
        <v>1349</v>
      </c>
      <c r="C446" t="s">
        <v>1812</v>
      </c>
      <c r="D446">
        <v>31.28</v>
      </c>
      <c r="E446" s="1">
        <v>45114</v>
      </c>
      <c r="F446" s="1" t="str">
        <f>TEXT(Sheet1[[#This Row],[Fecha ingreso]],"mmmm")</f>
        <v>julio</v>
      </c>
      <c r="G446" s="2">
        <f>YEAR(Sheet1[[#This Row],[Fecha ingreso]])</f>
        <v>2023</v>
      </c>
      <c r="H446" s="1" t="str">
        <f>TEXT(Sheet1[[#This Row],[Fecha ingreso]],"dddd")</f>
        <v>viernes</v>
      </c>
      <c r="I446" s="1">
        <v>45136</v>
      </c>
      <c r="J446" s="2">
        <f>DATEDIF(Sheet1[[#This Row],[Fecha ingreso]],Sheet1[[#This Row],[Fecha último pago]],"M")+1</f>
        <v>1</v>
      </c>
      <c r="K446" s="2">
        <f>Sheet1[[#This Row],[Ingresos mensuales]]*Sheet1[[#This Row],[Meses contratados]]</f>
        <v>31.28</v>
      </c>
      <c r="L446" t="s">
        <v>1814</v>
      </c>
      <c r="M446">
        <v>56</v>
      </c>
      <c r="N446" t="s">
        <v>1820</v>
      </c>
      <c r="O446" t="s">
        <v>1823</v>
      </c>
      <c r="P446" t="s">
        <v>1827</v>
      </c>
      <c r="Q446" cm="1">
        <f t="array" ref="Q446">_xlfn.IFS(P446="2 Years", 24,P446="1 Year",12, P446="6 Months",6, P446="1 Month",1)</f>
        <v>12</v>
      </c>
      <c r="R446" t="str" cm="1">
        <f t="array" ref="R446">_xlfn.IFS(Q446=1,"Mensual",Q446=6,"Semestral",Q446=12,"Anual",Q446=24,"Bienal")</f>
        <v>Anual</v>
      </c>
      <c r="S446">
        <f>IFERROR(VLOOKUP(Sheet1[[#This Row],[ID usuario]],A447:$A$907,1,FALSE),0)</f>
        <v>0</v>
      </c>
    </row>
    <row r="447" spans="1:19" x14ac:dyDescent="0.25">
      <c r="A447" t="s">
        <v>445</v>
      </c>
      <c r="B447" t="s">
        <v>1350</v>
      </c>
      <c r="C447" t="s">
        <v>1810</v>
      </c>
      <c r="D447">
        <v>53.1</v>
      </c>
      <c r="E447" s="1">
        <v>45332</v>
      </c>
      <c r="F447" s="1" t="str">
        <f>TEXT(Sheet1[[#This Row],[Fecha ingreso]],"mmmm")</f>
        <v>febrero</v>
      </c>
      <c r="G447" s="2">
        <f>YEAR(Sheet1[[#This Row],[Fecha ingreso]])</f>
        <v>2024</v>
      </c>
      <c r="H447" s="1" t="str">
        <f>TEXT(Sheet1[[#This Row],[Fecha ingreso]],"dddd")</f>
        <v>sábado</v>
      </c>
      <c r="I447" s="1">
        <v>45343</v>
      </c>
      <c r="J447" s="2">
        <f>DATEDIF(Sheet1[[#This Row],[Fecha ingreso]],Sheet1[[#This Row],[Fecha último pago]],"M")+1</f>
        <v>1</v>
      </c>
      <c r="K447" s="2">
        <f>Sheet1[[#This Row],[Ingresos mensuales]]*Sheet1[[#This Row],[Meses contratados]]</f>
        <v>53.1</v>
      </c>
      <c r="L447" t="s">
        <v>1815</v>
      </c>
      <c r="M447">
        <v>18</v>
      </c>
      <c r="N447" t="s">
        <v>1820</v>
      </c>
      <c r="O447" t="s">
        <v>1823</v>
      </c>
      <c r="P447" t="s">
        <v>1829</v>
      </c>
      <c r="Q447" cm="1">
        <f t="array" ref="Q447">_xlfn.IFS(P447="2 Years", 24,P447="1 Year",12, P447="6 Months",6, P447="1 Month",1)</f>
        <v>1</v>
      </c>
      <c r="R447" t="str" cm="1">
        <f t="array" ref="R447">_xlfn.IFS(Q447=1,"Mensual",Q447=6,"Semestral",Q447=12,"Anual",Q447=24,"Bienal")</f>
        <v>Mensual</v>
      </c>
      <c r="S447">
        <f>IFERROR(VLOOKUP(Sheet1[[#This Row],[ID usuario]],A448:$A$907,1,FALSE),0)</f>
        <v>0</v>
      </c>
    </row>
    <row r="448" spans="1:19" x14ac:dyDescent="0.25">
      <c r="A448" t="s">
        <v>446</v>
      </c>
      <c r="B448" t="s">
        <v>1351</v>
      </c>
      <c r="C448" t="s">
        <v>1811</v>
      </c>
      <c r="D448">
        <v>38.24</v>
      </c>
      <c r="E448" s="1">
        <v>44584</v>
      </c>
      <c r="F448" s="1" t="str">
        <f>TEXT(Sheet1[[#This Row],[Fecha ingreso]],"mmmm")</f>
        <v>enero</v>
      </c>
      <c r="G448" s="2">
        <f>YEAR(Sheet1[[#This Row],[Fecha ingreso]])</f>
        <v>2022</v>
      </c>
      <c r="H448" s="1" t="str">
        <f>TEXT(Sheet1[[#This Row],[Fecha ingreso]],"dddd")</f>
        <v>domingo</v>
      </c>
      <c r="I448" s="1">
        <v>45448</v>
      </c>
      <c r="J448" s="2">
        <f>DATEDIF(Sheet1[[#This Row],[Fecha ingreso]],Sheet1[[#This Row],[Fecha último pago]],"M")+1</f>
        <v>29</v>
      </c>
      <c r="K448" s="2">
        <f>Sheet1[[#This Row],[Ingresos mensuales]]*Sheet1[[#This Row],[Meses contratados]]</f>
        <v>1108.96</v>
      </c>
      <c r="L448" t="s">
        <v>1815</v>
      </c>
      <c r="M448">
        <v>32</v>
      </c>
      <c r="N448" t="s">
        <v>1822</v>
      </c>
      <c r="O448" t="s">
        <v>1825</v>
      </c>
      <c r="P448" t="s">
        <v>1827</v>
      </c>
      <c r="Q448" cm="1">
        <f t="array" ref="Q448">_xlfn.IFS(P448="2 Years", 24,P448="1 Year",12, P448="6 Months",6, P448="1 Month",1)</f>
        <v>12</v>
      </c>
      <c r="R448" t="str" cm="1">
        <f t="array" ref="R448">_xlfn.IFS(Q448=1,"Mensual",Q448=6,"Semestral",Q448=12,"Anual",Q448=24,"Bienal")</f>
        <v>Anual</v>
      </c>
      <c r="S448">
        <f>IFERROR(VLOOKUP(Sheet1[[#This Row],[ID usuario]],A449:$A$907,1,FALSE),0)</f>
        <v>0</v>
      </c>
    </row>
    <row r="449" spans="1:19" x14ac:dyDescent="0.25">
      <c r="A449" t="s">
        <v>447</v>
      </c>
      <c r="B449" t="s">
        <v>1352</v>
      </c>
      <c r="C449" t="s">
        <v>1810</v>
      </c>
      <c r="D449">
        <v>72.11</v>
      </c>
      <c r="E449" s="1">
        <v>45340</v>
      </c>
      <c r="F449" s="1" t="str">
        <f>TEXT(Sheet1[[#This Row],[Fecha ingreso]],"mmmm")</f>
        <v>febrero</v>
      </c>
      <c r="G449" s="2">
        <f>YEAR(Sheet1[[#This Row],[Fecha ingreso]])</f>
        <v>2024</v>
      </c>
      <c r="H449" s="1" t="str">
        <f>TEXT(Sheet1[[#This Row],[Fecha ingreso]],"dddd")</f>
        <v>domingo</v>
      </c>
      <c r="I449" s="1">
        <v>45437</v>
      </c>
      <c r="J449" s="2">
        <f>DATEDIF(Sheet1[[#This Row],[Fecha ingreso]],Sheet1[[#This Row],[Fecha último pago]],"M")+1</f>
        <v>4</v>
      </c>
      <c r="K449" s="2">
        <f>Sheet1[[#This Row],[Ingresos mensuales]]*Sheet1[[#This Row],[Meses contratados]]</f>
        <v>288.44</v>
      </c>
      <c r="L449" t="s">
        <v>1816</v>
      </c>
      <c r="M449">
        <v>27</v>
      </c>
      <c r="N449" t="s">
        <v>1821</v>
      </c>
      <c r="O449" t="s">
        <v>1823</v>
      </c>
      <c r="P449" t="s">
        <v>1828</v>
      </c>
      <c r="Q449" cm="1">
        <f t="array" ref="Q449">_xlfn.IFS(P449="2 Years", 24,P449="1 Year",12, P449="6 Months",6, P449="1 Month",1)</f>
        <v>6</v>
      </c>
      <c r="R449" t="str" cm="1">
        <f t="array" ref="R449">_xlfn.IFS(Q449=1,"Mensual",Q449=6,"Semestral",Q449=12,"Anual",Q449=24,"Bienal")</f>
        <v>Semestral</v>
      </c>
      <c r="S449">
        <f>IFERROR(VLOOKUP(Sheet1[[#This Row],[ID usuario]],A450:$A$907,1,FALSE),0)</f>
        <v>0</v>
      </c>
    </row>
    <row r="450" spans="1:19" x14ac:dyDescent="0.25">
      <c r="A450" t="s">
        <v>448</v>
      </c>
      <c r="B450" t="s">
        <v>1353</v>
      </c>
      <c r="C450" t="s">
        <v>1812</v>
      </c>
      <c r="D450">
        <v>7.33</v>
      </c>
      <c r="E450" s="1">
        <v>45079</v>
      </c>
      <c r="F450" s="1" t="str">
        <f>TEXT(Sheet1[[#This Row],[Fecha ingreso]],"mmmm")</f>
        <v>junio</v>
      </c>
      <c r="G450" s="2">
        <f>YEAR(Sheet1[[#This Row],[Fecha ingreso]])</f>
        <v>2023</v>
      </c>
      <c r="H450" s="1" t="str">
        <f>TEXT(Sheet1[[#This Row],[Fecha ingreso]],"dddd")</f>
        <v>viernes</v>
      </c>
      <c r="I450" s="1">
        <v>45283</v>
      </c>
      <c r="J450" s="2">
        <f>DATEDIF(Sheet1[[#This Row],[Fecha ingreso]],Sheet1[[#This Row],[Fecha último pago]],"M")+1</f>
        <v>7</v>
      </c>
      <c r="K450" s="2">
        <f>Sheet1[[#This Row],[Ingresos mensuales]]*Sheet1[[#This Row],[Meses contratados]]</f>
        <v>51.31</v>
      </c>
      <c r="L450" t="s">
        <v>1813</v>
      </c>
      <c r="M450">
        <v>54</v>
      </c>
      <c r="N450" t="s">
        <v>1821</v>
      </c>
      <c r="O450" t="s">
        <v>1825</v>
      </c>
      <c r="P450" t="s">
        <v>1828</v>
      </c>
      <c r="Q450" cm="1">
        <f t="array" ref="Q450">_xlfn.IFS(P450="2 Years", 24,P450="1 Year",12, P450="6 Months",6, P450="1 Month",1)</f>
        <v>6</v>
      </c>
      <c r="R450" t="str" cm="1">
        <f t="array" ref="R450">_xlfn.IFS(Q450=1,"Mensual",Q450=6,"Semestral",Q450=12,"Anual",Q450=24,"Bienal")</f>
        <v>Semestral</v>
      </c>
      <c r="S450">
        <f>IFERROR(VLOOKUP(Sheet1[[#This Row],[ID usuario]],A451:$A$907,1,FALSE),0)</f>
        <v>0</v>
      </c>
    </row>
    <row r="451" spans="1:19" x14ac:dyDescent="0.25">
      <c r="A451" t="s">
        <v>449</v>
      </c>
      <c r="B451" t="s">
        <v>1354</v>
      </c>
      <c r="C451" t="s">
        <v>1810</v>
      </c>
      <c r="D451">
        <v>65.23</v>
      </c>
      <c r="E451" s="1">
        <v>44756</v>
      </c>
      <c r="F451" s="1" t="str">
        <f>TEXT(Sheet1[[#This Row],[Fecha ingreso]],"mmmm")</f>
        <v>julio</v>
      </c>
      <c r="G451" s="2">
        <f>YEAR(Sheet1[[#This Row],[Fecha ingreso]])</f>
        <v>2022</v>
      </c>
      <c r="H451" s="1" t="str">
        <f>TEXT(Sheet1[[#This Row],[Fecha ingreso]],"dddd")</f>
        <v>jueves</v>
      </c>
      <c r="I451" s="1">
        <v>45171</v>
      </c>
      <c r="J451" s="2">
        <f>DATEDIF(Sheet1[[#This Row],[Fecha ingreso]],Sheet1[[#This Row],[Fecha último pago]],"M")+1</f>
        <v>14</v>
      </c>
      <c r="K451" s="2">
        <f>Sheet1[[#This Row],[Ingresos mensuales]]*Sheet1[[#This Row],[Meses contratados]]</f>
        <v>913.22</v>
      </c>
      <c r="L451" t="s">
        <v>1818</v>
      </c>
      <c r="M451">
        <v>65</v>
      </c>
      <c r="N451" t="s">
        <v>1822</v>
      </c>
      <c r="O451" t="s">
        <v>1824</v>
      </c>
      <c r="P451" t="s">
        <v>1826</v>
      </c>
      <c r="Q451" cm="1">
        <f t="array" ref="Q451">_xlfn.IFS(P451="2 Years", 24,P451="1 Year",12, P451="6 Months",6, P451="1 Month",1)</f>
        <v>24</v>
      </c>
      <c r="R451" t="str" cm="1">
        <f t="array" ref="R451">_xlfn.IFS(Q451=1,"Mensual",Q451=6,"Semestral",Q451=12,"Anual",Q451=24,"Bienal")</f>
        <v>Bienal</v>
      </c>
      <c r="S451">
        <f>IFERROR(VLOOKUP(Sheet1[[#This Row],[ID usuario]],A452:$A$907,1,FALSE),0)</f>
        <v>0</v>
      </c>
    </row>
    <row r="452" spans="1:19" x14ac:dyDescent="0.25">
      <c r="A452" t="s">
        <v>450</v>
      </c>
      <c r="B452" t="s">
        <v>1355</v>
      </c>
      <c r="C452" t="s">
        <v>1810</v>
      </c>
      <c r="D452">
        <v>26.9</v>
      </c>
      <c r="E452" s="1">
        <v>44918</v>
      </c>
      <c r="F452" s="1" t="str">
        <f>TEXT(Sheet1[[#This Row],[Fecha ingreso]],"mmmm")</f>
        <v>diciembre</v>
      </c>
      <c r="G452" s="2">
        <f>YEAR(Sheet1[[#This Row],[Fecha ingreso]])</f>
        <v>2022</v>
      </c>
      <c r="H452" s="1" t="str">
        <f>TEXT(Sheet1[[#This Row],[Fecha ingreso]],"dddd")</f>
        <v>viernes</v>
      </c>
      <c r="I452" s="1">
        <v>44918</v>
      </c>
      <c r="J452" s="2">
        <f>DATEDIF(Sheet1[[#This Row],[Fecha ingreso]],Sheet1[[#This Row],[Fecha último pago]],"M")+1</f>
        <v>1</v>
      </c>
      <c r="K452" s="2">
        <f>Sheet1[[#This Row],[Ingresos mensuales]]*Sheet1[[#This Row],[Meses contratados]]</f>
        <v>26.9</v>
      </c>
      <c r="L452" t="s">
        <v>1815</v>
      </c>
      <c r="M452">
        <v>68</v>
      </c>
      <c r="N452" t="s">
        <v>1821</v>
      </c>
      <c r="O452" t="s">
        <v>1825</v>
      </c>
      <c r="P452" t="s">
        <v>1828</v>
      </c>
      <c r="Q452" cm="1">
        <f t="array" ref="Q452">_xlfn.IFS(P452="2 Years", 24,P452="1 Year",12, P452="6 Months",6, P452="1 Month",1)</f>
        <v>6</v>
      </c>
      <c r="R452" t="str" cm="1">
        <f t="array" ref="R452">_xlfn.IFS(Q452=1,"Mensual",Q452=6,"Semestral",Q452=12,"Anual",Q452=24,"Bienal")</f>
        <v>Semestral</v>
      </c>
      <c r="S452">
        <f>IFERROR(VLOOKUP(Sheet1[[#This Row],[ID usuario]],A453:$A$907,1,FALSE),0)</f>
        <v>0</v>
      </c>
    </row>
    <row r="453" spans="1:19" x14ac:dyDescent="0.25">
      <c r="A453" t="s">
        <v>451</v>
      </c>
      <c r="B453" t="s">
        <v>1356</v>
      </c>
      <c r="C453" t="s">
        <v>1812</v>
      </c>
      <c r="D453">
        <v>81.02</v>
      </c>
      <c r="E453" s="1">
        <v>44777</v>
      </c>
      <c r="F453" s="1" t="str">
        <f>TEXT(Sheet1[[#This Row],[Fecha ingreso]],"mmmm")</f>
        <v>agosto</v>
      </c>
      <c r="G453" s="2">
        <f>YEAR(Sheet1[[#This Row],[Fecha ingreso]])</f>
        <v>2022</v>
      </c>
      <c r="H453" s="1" t="str">
        <f>TEXT(Sheet1[[#This Row],[Fecha ingreso]],"dddd")</f>
        <v>jueves</v>
      </c>
      <c r="I453" s="1">
        <v>44801</v>
      </c>
      <c r="J453" s="2">
        <f>DATEDIF(Sheet1[[#This Row],[Fecha ingreso]],Sheet1[[#This Row],[Fecha último pago]],"M")+1</f>
        <v>1</v>
      </c>
      <c r="K453" s="2">
        <f>Sheet1[[#This Row],[Ingresos mensuales]]*Sheet1[[#This Row],[Meses contratados]]</f>
        <v>81.02</v>
      </c>
      <c r="L453" t="s">
        <v>1817</v>
      </c>
      <c r="M453">
        <v>33</v>
      </c>
      <c r="N453" t="s">
        <v>1822</v>
      </c>
      <c r="O453" t="s">
        <v>1824</v>
      </c>
      <c r="P453" t="s">
        <v>1827</v>
      </c>
      <c r="Q453" cm="1">
        <f t="array" ref="Q453">_xlfn.IFS(P453="2 Years", 24,P453="1 Year",12, P453="6 Months",6, P453="1 Month",1)</f>
        <v>12</v>
      </c>
      <c r="R453" t="str" cm="1">
        <f t="array" ref="R453">_xlfn.IFS(Q453=1,"Mensual",Q453=6,"Semestral",Q453=12,"Anual",Q453=24,"Bienal")</f>
        <v>Anual</v>
      </c>
      <c r="S453">
        <f>IFERROR(VLOOKUP(Sheet1[[#This Row],[ID usuario]],A454:$A$907,1,FALSE),0)</f>
        <v>0</v>
      </c>
    </row>
    <row r="454" spans="1:19" x14ac:dyDescent="0.25">
      <c r="A454" t="s">
        <v>452</v>
      </c>
      <c r="B454" t="s">
        <v>1357</v>
      </c>
      <c r="C454" t="s">
        <v>1811</v>
      </c>
      <c r="D454">
        <v>95.78</v>
      </c>
      <c r="E454" s="1">
        <v>45375</v>
      </c>
      <c r="F454" s="1" t="str">
        <f>TEXT(Sheet1[[#This Row],[Fecha ingreso]],"mmmm")</f>
        <v>marzo</v>
      </c>
      <c r="G454" s="2">
        <f>YEAR(Sheet1[[#This Row],[Fecha ingreso]])</f>
        <v>2024</v>
      </c>
      <c r="H454" s="1" t="str">
        <f>TEXT(Sheet1[[#This Row],[Fecha ingreso]],"dddd")</f>
        <v>domingo</v>
      </c>
      <c r="I454" s="1">
        <v>45415</v>
      </c>
      <c r="J454" s="2">
        <f>DATEDIF(Sheet1[[#This Row],[Fecha ingreso]],Sheet1[[#This Row],[Fecha último pago]],"M")+1</f>
        <v>2</v>
      </c>
      <c r="K454" s="2">
        <f>Sheet1[[#This Row],[Ingresos mensuales]]*Sheet1[[#This Row],[Meses contratados]]</f>
        <v>191.56</v>
      </c>
      <c r="L454" t="s">
        <v>1818</v>
      </c>
      <c r="M454">
        <v>20</v>
      </c>
      <c r="N454" t="s">
        <v>1820</v>
      </c>
      <c r="O454" t="s">
        <v>1825</v>
      </c>
      <c r="P454" t="s">
        <v>1829</v>
      </c>
      <c r="Q454" cm="1">
        <f t="array" ref="Q454">_xlfn.IFS(P454="2 Years", 24,P454="1 Year",12, P454="6 Months",6, P454="1 Month",1)</f>
        <v>1</v>
      </c>
      <c r="R454" t="str" cm="1">
        <f t="array" ref="R454">_xlfn.IFS(Q454=1,"Mensual",Q454=6,"Semestral",Q454=12,"Anual",Q454=24,"Bienal")</f>
        <v>Mensual</v>
      </c>
      <c r="S454">
        <f>IFERROR(VLOOKUP(Sheet1[[#This Row],[ID usuario]],A455:$A$907,1,FALSE),0)</f>
        <v>0</v>
      </c>
    </row>
    <row r="455" spans="1:19" x14ac:dyDescent="0.25">
      <c r="A455" t="s">
        <v>453</v>
      </c>
      <c r="B455" t="s">
        <v>1358</v>
      </c>
      <c r="C455" t="s">
        <v>1811</v>
      </c>
      <c r="D455">
        <v>35.07</v>
      </c>
      <c r="E455" s="1">
        <v>44837</v>
      </c>
      <c r="F455" s="1" t="str">
        <f>TEXT(Sheet1[[#This Row],[Fecha ingreso]],"mmmm")</f>
        <v>octubre</v>
      </c>
      <c r="G455" s="2">
        <f>YEAR(Sheet1[[#This Row],[Fecha ingreso]])</f>
        <v>2022</v>
      </c>
      <c r="H455" s="1" t="str">
        <f>TEXT(Sheet1[[#This Row],[Fecha ingreso]],"dddd")</f>
        <v>lunes</v>
      </c>
      <c r="I455" s="1">
        <v>45225</v>
      </c>
      <c r="J455" s="2">
        <f>DATEDIF(Sheet1[[#This Row],[Fecha ingreso]],Sheet1[[#This Row],[Fecha último pago]],"M")+1</f>
        <v>13</v>
      </c>
      <c r="K455" s="2">
        <f>Sheet1[[#This Row],[Ingresos mensuales]]*Sheet1[[#This Row],[Meses contratados]]</f>
        <v>455.91</v>
      </c>
      <c r="L455" t="s">
        <v>1814</v>
      </c>
      <c r="M455">
        <v>54</v>
      </c>
      <c r="N455" t="s">
        <v>1822</v>
      </c>
      <c r="O455" t="s">
        <v>1825</v>
      </c>
      <c r="P455" t="s">
        <v>1827</v>
      </c>
      <c r="Q455" cm="1">
        <f t="array" ref="Q455">_xlfn.IFS(P455="2 Years", 24,P455="1 Year",12, P455="6 Months",6, P455="1 Month",1)</f>
        <v>12</v>
      </c>
      <c r="R455" t="str" cm="1">
        <f t="array" ref="R455">_xlfn.IFS(Q455=1,"Mensual",Q455=6,"Semestral",Q455=12,"Anual",Q455=24,"Bienal")</f>
        <v>Anual</v>
      </c>
      <c r="S455">
        <f>IFERROR(VLOOKUP(Sheet1[[#This Row],[ID usuario]],A456:$A$907,1,FALSE),0)</f>
        <v>0</v>
      </c>
    </row>
    <row r="456" spans="1:19" x14ac:dyDescent="0.25">
      <c r="A456" t="s">
        <v>454</v>
      </c>
      <c r="B456" t="s">
        <v>1359</v>
      </c>
      <c r="C456" t="s">
        <v>1811</v>
      </c>
      <c r="D456">
        <v>83.55</v>
      </c>
      <c r="E456" s="1">
        <v>44732</v>
      </c>
      <c r="F456" s="1" t="str">
        <f>TEXT(Sheet1[[#This Row],[Fecha ingreso]],"mmmm")</f>
        <v>junio</v>
      </c>
      <c r="G456" s="2">
        <f>YEAR(Sheet1[[#This Row],[Fecha ingreso]])</f>
        <v>2022</v>
      </c>
      <c r="H456" s="1" t="str">
        <f>TEXT(Sheet1[[#This Row],[Fecha ingreso]],"dddd")</f>
        <v>lunes</v>
      </c>
      <c r="I456" s="1">
        <v>45149</v>
      </c>
      <c r="J456" s="2">
        <f>DATEDIF(Sheet1[[#This Row],[Fecha ingreso]],Sheet1[[#This Row],[Fecha último pago]],"M")+1</f>
        <v>14</v>
      </c>
      <c r="K456" s="2">
        <f>Sheet1[[#This Row],[Ingresos mensuales]]*Sheet1[[#This Row],[Meses contratados]]</f>
        <v>1169.7</v>
      </c>
      <c r="L456" t="s">
        <v>1814</v>
      </c>
      <c r="M456">
        <v>25</v>
      </c>
      <c r="N456" t="s">
        <v>1821</v>
      </c>
      <c r="O456" t="s">
        <v>1823</v>
      </c>
      <c r="P456" t="s">
        <v>1828</v>
      </c>
      <c r="Q456" cm="1">
        <f t="array" ref="Q456">_xlfn.IFS(P456="2 Years", 24,P456="1 Year",12, P456="6 Months",6, P456="1 Month",1)</f>
        <v>6</v>
      </c>
      <c r="R456" t="str" cm="1">
        <f t="array" ref="R456">_xlfn.IFS(Q456=1,"Mensual",Q456=6,"Semestral",Q456=12,"Anual",Q456=24,"Bienal")</f>
        <v>Semestral</v>
      </c>
      <c r="S456">
        <f>IFERROR(VLOOKUP(Sheet1[[#This Row],[ID usuario]],A457:$A$907,1,FALSE),0)</f>
        <v>0</v>
      </c>
    </row>
    <row r="457" spans="1:19" x14ac:dyDescent="0.25">
      <c r="A457" t="s">
        <v>455</v>
      </c>
      <c r="B457" t="s">
        <v>1360</v>
      </c>
      <c r="C457" t="s">
        <v>1810</v>
      </c>
      <c r="D457">
        <v>14.88</v>
      </c>
      <c r="E457" s="1">
        <v>44710</v>
      </c>
      <c r="F457" s="1" t="str">
        <f>TEXT(Sheet1[[#This Row],[Fecha ingreso]],"mmmm")</f>
        <v>mayo</v>
      </c>
      <c r="G457" s="2">
        <f>YEAR(Sheet1[[#This Row],[Fecha ingreso]])</f>
        <v>2022</v>
      </c>
      <c r="H457" s="1" t="str">
        <f>TEXT(Sheet1[[#This Row],[Fecha ingreso]],"dddd")</f>
        <v>domingo</v>
      </c>
      <c r="I457" s="1">
        <v>45169</v>
      </c>
      <c r="J457" s="2">
        <f>DATEDIF(Sheet1[[#This Row],[Fecha ingreso]],Sheet1[[#This Row],[Fecha último pago]],"M")+1</f>
        <v>16</v>
      </c>
      <c r="K457" s="2">
        <f>Sheet1[[#This Row],[Ingresos mensuales]]*Sheet1[[#This Row],[Meses contratados]]</f>
        <v>238.08</v>
      </c>
      <c r="L457" t="s">
        <v>1815</v>
      </c>
      <c r="M457">
        <v>35</v>
      </c>
      <c r="N457" t="s">
        <v>1822</v>
      </c>
      <c r="O457" t="s">
        <v>1823</v>
      </c>
      <c r="P457" t="s">
        <v>1826</v>
      </c>
      <c r="Q457" cm="1">
        <f t="array" ref="Q457">_xlfn.IFS(P457="2 Years", 24,P457="1 Year",12, P457="6 Months",6, P457="1 Month",1)</f>
        <v>24</v>
      </c>
      <c r="R457" t="str" cm="1">
        <f t="array" ref="R457">_xlfn.IFS(Q457=1,"Mensual",Q457=6,"Semestral",Q457=12,"Anual",Q457=24,"Bienal")</f>
        <v>Bienal</v>
      </c>
      <c r="S457">
        <f>IFERROR(VLOOKUP(Sheet1[[#This Row],[ID usuario]],A458:$A$907,1,FALSE),0)</f>
        <v>0</v>
      </c>
    </row>
    <row r="458" spans="1:19" x14ac:dyDescent="0.25">
      <c r="A458" t="s">
        <v>456</v>
      </c>
      <c r="B458" t="s">
        <v>1361</v>
      </c>
      <c r="C458" t="s">
        <v>1810</v>
      </c>
      <c r="D458">
        <v>65.23</v>
      </c>
      <c r="E458" s="1">
        <v>45281</v>
      </c>
      <c r="F458" s="1" t="str">
        <f>TEXT(Sheet1[[#This Row],[Fecha ingreso]],"mmmm")</f>
        <v>diciembre</v>
      </c>
      <c r="G458" s="2">
        <f>YEAR(Sheet1[[#This Row],[Fecha ingreso]])</f>
        <v>2023</v>
      </c>
      <c r="H458" s="1" t="str">
        <f>TEXT(Sheet1[[#This Row],[Fecha ingreso]],"dddd")</f>
        <v>jueves</v>
      </c>
      <c r="I458" s="1">
        <v>45361</v>
      </c>
      <c r="J458" s="2">
        <f>DATEDIF(Sheet1[[#This Row],[Fecha ingreso]],Sheet1[[#This Row],[Fecha último pago]],"M")+1</f>
        <v>3</v>
      </c>
      <c r="K458" s="2">
        <f>Sheet1[[#This Row],[Ingresos mensuales]]*Sheet1[[#This Row],[Meses contratados]]</f>
        <v>195.69</v>
      </c>
      <c r="L458" t="s">
        <v>1816</v>
      </c>
      <c r="M458">
        <v>49</v>
      </c>
      <c r="N458" t="s">
        <v>1820</v>
      </c>
      <c r="O458" t="s">
        <v>1824</v>
      </c>
      <c r="P458" t="s">
        <v>1829</v>
      </c>
      <c r="Q458" cm="1">
        <f t="array" ref="Q458">_xlfn.IFS(P458="2 Years", 24,P458="1 Year",12, P458="6 Months",6, P458="1 Month",1)</f>
        <v>1</v>
      </c>
      <c r="R458" t="str" cm="1">
        <f t="array" ref="R458">_xlfn.IFS(Q458=1,"Mensual",Q458=6,"Semestral",Q458=12,"Anual",Q458=24,"Bienal")</f>
        <v>Mensual</v>
      </c>
      <c r="S458">
        <f>IFERROR(VLOOKUP(Sheet1[[#This Row],[ID usuario]],A459:$A$907,1,FALSE),0)</f>
        <v>0</v>
      </c>
    </row>
    <row r="459" spans="1:19" x14ac:dyDescent="0.25">
      <c r="A459" t="s">
        <v>457</v>
      </c>
      <c r="B459" t="s">
        <v>1362</v>
      </c>
      <c r="C459" t="s">
        <v>1812</v>
      </c>
      <c r="D459">
        <v>76.349999999999994</v>
      </c>
      <c r="E459" s="1">
        <v>44973</v>
      </c>
      <c r="F459" s="1" t="str">
        <f>TEXT(Sheet1[[#This Row],[Fecha ingreso]],"mmmm")</f>
        <v>febrero</v>
      </c>
      <c r="G459" s="2">
        <f>YEAR(Sheet1[[#This Row],[Fecha ingreso]])</f>
        <v>2023</v>
      </c>
      <c r="H459" s="1" t="str">
        <f>TEXT(Sheet1[[#This Row],[Fecha ingreso]],"dddd")</f>
        <v>jueves</v>
      </c>
      <c r="I459" s="1">
        <v>45264</v>
      </c>
      <c r="J459" s="2">
        <f>DATEDIF(Sheet1[[#This Row],[Fecha ingreso]],Sheet1[[#This Row],[Fecha último pago]],"M")+1</f>
        <v>10</v>
      </c>
      <c r="K459" s="2">
        <f>Sheet1[[#This Row],[Ingresos mensuales]]*Sheet1[[#This Row],[Meses contratados]]</f>
        <v>763.5</v>
      </c>
      <c r="L459" t="s">
        <v>1815</v>
      </c>
      <c r="M459">
        <v>61</v>
      </c>
      <c r="N459" t="s">
        <v>1820</v>
      </c>
      <c r="O459" t="s">
        <v>1824</v>
      </c>
      <c r="P459" t="s">
        <v>1828</v>
      </c>
      <c r="Q459" cm="1">
        <f t="array" ref="Q459">_xlfn.IFS(P459="2 Years", 24,P459="1 Year",12, P459="6 Months",6, P459="1 Month",1)</f>
        <v>6</v>
      </c>
      <c r="R459" t="str" cm="1">
        <f t="array" ref="R459">_xlfn.IFS(Q459=1,"Mensual",Q459=6,"Semestral",Q459=12,"Anual",Q459=24,"Bienal")</f>
        <v>Semestral</v>
      </c>
      <c r="S459">
        <f>IFERROR(VLOOKUP(Sheet1[[#This Row],[ID usuario]],A460:$A$907,1,FALSE),0)</f>
        <v>0</v>
      </c>
    </row>
    <row r="460" spans="1:19" x14ac:dyDescent="0.25">
      <c r="A460" t="s">
        <v>458</v>
      </c>
      <c r="B460" t="s">
        <v>1363</v>
      </c>
      <c r="C460" t="s">
        <v>1810</v>
      </c>
      <c r="D460">
        <v>19.82</v>
      </c>
      <c r="E460" s="1">
        <v>44467</v>
      </c>
      <c r="F460" s="1" t="str">
        <f>TEXT(Sheet1[[#This Row],[Fecha ingreso]],"mmmm")</f>
        <v>septiembre</v>
      </c>
      <c r="G460" s="2">
        <f>YEAR(Sheet1[[#This Row],[Fecha ingreso]])</f>
        <v>2021</v>
      </c>
      <c r="H460" s="1" t="str">
        <f>TEXT(Sheet1[[#This Row],[Fecha ingreso]],"dddd")</f>
        <v>martes</v>
      </c>
      <c r="I460" s="1">
        <v>45206</v>
      </c>
      <c r="J460" s="2">
        <f>DATEDIF(Sheet1[[#This Row],[Fecha ingreso]],Sheet1[[#This Row],[Fecha último pago]],"M")+1</f>
        <v>25</v>
      </c>
      <c r="K460" s="2">
        <f>Sheet1[[#This Row],[Ingresos mensuales]]*Sheet1[[#This Row],[Meses contratados]]</f>
        <v>495.5</v>
      </c>
      <c r="L460" t="s">
        <v>1814</v>
      </c>
      <c r="M460">
        <v>59</v>
      </c>
      <c r="N460" t="s">
        <v>1821</v>
      </c>
      <c r="O460" t="s">
        <v>1825</v>
      </c>
      <c r="P460" t="s">
        <v>1826</v>
      </c>
      <c r="Q460" cm="1">
        <f t="array" ref="Q460">_xlfn.IFS(P460="2 Years", 24,P460="1 Year",12, P460="6 Months",6, P460="1 Month",1)</f>
        <v>24</v>
      </c>
      <c r="R460" t="str" cm="1">
        <f t="array" ref="R460">_xlfn.IFS(Q460=1,"Mensual",Q460=6,"Semestral",Q460=12,"Anual",Q460=24,"Bienal")</f>
        <v>Bienal</v>
      </c>
      <c r="S460">
        <f>IFERROR(VLOOKUP(Sheet1[[#This Row],[ID usuario]],A461:$A$907,1,FALSE),0)</f>
        <v>0</v>
      </c>
    </row>
    <row r="461" spans="1:19" x14ac:dyDescent="0.25">
      <c r="A461" t="s">
        <v>459</v>
      </c>
      <c r="B461" t="s">
        <v>1364</v>
      </c>
      <c r="C461" t="s">
        <v>1810</v>
      </c>
      <c r="D461">
        <v>45.47</v>
      </c>
      <c r="E461" s="1">
        <v>44720</v>
      </c>
      <c r="F461" s="1" t="str">
        <f>TEXT(Sheet1[[#This Row],[Fecha ingreso]],"mmmm")</f>
        <v>junio</v>
      </c>
      <c r="G461" s="2">
        <f>YEAR(Sheet1[[#This Row],[Fecha ingreso]])</f>
        <v>2022</v>
      </c>
      <c r="H461" s="1" t="str">
        <f>TEXT(Sheet1[[#This Row],[Fecha ingreso]],"dddd")</f>
        <v>miércoles</v>
      </c>
      <c r="I461" s="1">
        <v>44722</v>
      </c>
      <c r="J461" s="2">
        <f>DATEDIF(Sheet1[[#This Row],[Fecha ingreso]],Sheet1[[#This Row],[Fecha último pago]],"M")+1</f>
        <v>1</v>
      </c>
      <c r="K461" s="2">
        <f>Sheet1[[#This Row],[Ingresos mensuales]]*Sheet1[[#This Row],[Meses contratados]]</f>
        <v>45.47</v>
      </c>
      <c r="L461" t="s">
        <v>1817</v>
      </c>
      <c r="M461">
        <v>33</v>
      </c>
      <c r="N461" t="s">
        <v>1821</v>
      </c>
      <c r="O461" t="s">
        <v>1824</v>
      </c>
      <c r="P461" t="s">
        <v>1826</v>
      </c>
      <c r="Q461" cm="1">
        <f t="array" ref="Q461">_xlfn.IFS(P461="2 Years", 24,P461="1 Year",12, P461="6 Months",6, P461="1 Month",1)</f>
        <v>24</v>
      </c>
      <c r="R461" t="str" cm="1">
        <f t="array" ref="R461">_xlfn.IFS(Q461=1,"Mensual",Q461=6,"Semestral",Q461=12,"Anual",Q461=24,"Bienal")</f>
        <v>Bienal</v>
      </c>
      <c r="S461">
        <f>IFERROR(VLOOKUP(Sheet1[[#This Row],[ID usuario]],A462:$A$907,1,FALSE),0)</f>
        <v>0</v>
      </c>
    </row>
    <row r="462" spans="1:19" x14ac:dyDescent="0.25">
      <c r="A462" t="s">
        <v>460</v>
      </c>
      <c r="B462" t="s">
        <v>1365</v>
      </c>
      <c r="C462" t="s">
        <v>1812</v>
      </c>
      <c r="D462">
        <v>89.81</v>
      </c>
      <c r="E462" s="1">
        <v>44580</v>
      </c>
      <c r="F462" s="1" t="str">
        <f>TEXT(Sheet1[[#This Row],[Fecha ingreso]],"mmmm")</f>
        <v>enero</v>
      </c>
      <c r="G462" s="2">
        <f>YEAR(Sheet1[[#This Row],[Fecha ingreso]])</f>
        <v>2022</v>
      </c>
      <c r="H462" s="1" t="str">
        <f>TEXT(Sheet1[[#This Row],[Fecha ingreso]],"dddd")</f>
        <v>miércoles</v>
      </c>
      <c r="I462" s="1">
        <v>45094</v>
      </c>
      <c r="J462" s="2">
        <f>DATEDIF(Sheet1[[#This Row],[Fecha ingreso]],Sheet1[[#This Row],[Fecha último pago]],"M")+1</f>
        <v>17</v>
      </c>
      <c r="K462" s="2">
        <f>Sheet1[[#This Row],[Ingresos mensuales]]*Sheet1[[#This Row],[Meses contratados]]</f>
        <v>1526.77</v>
      </c>
      <c r="L462" t="s">
        <v>1817</v>
      </c>
      <c r="M462">
        <v>46</v>
      </c>
      <c r="N462" t="s">
        <v>1821</v>
      </c>
      <c r="O462" t="s">
        <v>1823</v>
      </c>
      <c r="P462" t="s">
        <v>1828</v>
      </c>
      <c r="Q462" cm="1">
        <f t="array" ref="Q462">_xlfn.IFS(P462="2 Years", 24,P462="1 Year",12, P462="6 Months",6, P462="1 Month",1)</f>
        <v>6</v>
      </c>
      <c r="R462" t="str" cm="1">
        <f t="array" ref="R462">_xlfn.IFS(Q462=1,"Mensual",Q462=6,"Semestral",Q462=12,"Anual",Q462=24,"Bienal")</f>
        <v>Semestral</v>
      </c>
      <c r="S462">
        <f>IFERROR(VLOOKUP(Sheet1[[#This Row],[ID usuario]],A463:$A$907,1,FALSE),0)</f>
        <v>0</v>
      </c>
    </row>
    <row r="463" spans="1:19" x14ac:dyDescent="0.25">
      <c r="A463" t="s">
        <v>461</v>
      </c>
      <c r="B463" t="s">
        <v>1366</v>
      </c>
      <c r="C463" t="s">
        <v>1811</v>
      </c>
      <c r="D463">
        <v>14.84</v>
      </c>
      <c r="E463" s="1">
        <v>45181</v>
      </c>
      <c r="F463" s="1" t="str">
        <f>TEXT(Sheet1[[#This Row],[Fecha ingreso]],"mmmm")</f>
        <v>septiembre</v>
      </c>
      <c r="G463" s="2">
        <f>YEAR(Sheet1[[#This Row],[Fecha ingreso]])</f>
        <v>2023</v>
      </c>
      <c r="H463" s="1" t="str">
        <f>TEXT(Sheet1[[#This Row],[Fecha ingreso]],"dddd")</f>
        <v>martes</v>
      </c>
      <c r="I463" s="1">
        <v>45363</v>
      </c>
      <c r="J463" s="2">
        <f>DATEDIF(Sheet1[[#This Row],[Fecha ingreso]],Sheet1[[#This Row],[Fecha último pago]],"M")+1</f>
        <v>7</v>
      </c>
      <c r="K463" s="2">
        <f>Sheet1[[#This Row],[Ingresos mensuales]]*Sheet1[[#This Row],[Meses contratados]]</f>
        <v>103.88</v>
      </c>
      <c r="L463" t="s">
        <v>1817</v>
      </c>
      <c r="M463">
        <v>60</v>
      </c>
      <c r="N463" t="s">
        <v>1820</v>
      </c>
      <c r="O463" t="s">
        <v>1825</v>
      </c>
      <c r="P463" t="s">
        <v>1827</v>
      </c>
      <c r="Q463" cm="1">
        <f t="array" ref="Q463">_xlfn.IFS(P463="2 Years", 24,P463="1 Year",12, P463="6 Months",6, P463="1 Month",1)</f>
        <v>12</v>
      </c>
      <c r="R463" t="str" cm="1">
        <f t="array" ref="R463">_xlfn.IFS(Q463=1,"Mensual",Q463=6,"Semestral",Q463=12,"Anual",Q463=24,"Bienal")</f>
        <v>Anual</v>
      </c>
      <c r="S463">
        <f>IFERROR(VLOOKUP(Sheet1[[#This Row],[ID usuario]],A464:$A$907,1,FALSE),0)</f>
        <v>0</v>
      </c>
    </row>
    <row r="464" spans="1:19" x14ac:dyDescent="0.25">
      <c r="A464" t="s">
        <v>462</v>
      </c>
      <c r="B464" t="s">
        <v>1367</v>
      </c>
      <c r="C464" t="s">
        <v>1810</v>
      </c>
      <c r="D464">
        <v>46.38</v>
      </c>
      <c r="E464" s="1">
        <v>44492</v>
      </c>
      <c r="F464" s="1" t="str">
        <f>TEXT(Sheet1[[#This Row],[Fecha ingreso]],"mmmm")</f>
        <v>octubre</v>
      </c>
      <c r="G464" s="2">
        <f>YEAR(Sheet1[[#This Row],[Fecha ingreso]])</f>
        <v>2021</v>
      </c>
      <c r="H464" s="1" t="str">
        <f>TEXT(Sheet1[[#This Row],[Fecha ingreso]],"dddd")</f>
        <v>sábado</v>
      </c>
      <c r="I464" s="1">
        <v>44972</v>
      </c>
      <c r="J464" s="2">
        <f>DATEDIF(Sheet1[[#This Row],[Fecha ingreso]],Sheet1[[#This Row],[Fecha último pago]],"M")+1</f>
        <v>16</v>
      </c>
      <c r="K464" s="2">
        <f>Sheet1[[#This Row],[Ingresos mensuales]]*Sheet1[[#This Row],[Meses contratados]]</f>
        <v>742.08</v>
      </c>
      <c r="L464" t="s">
        <v>1818</v>
      </c>
      <c r="M464">
        <v>68</v>
      </c>
      <c r="N464" t="s">
        <v>1820</v>
      </c>
      <c r="O464" t="s">
        <v>1824</v>
      </c>
      <c r="P464" t="s">
        <v>1829</v>
      </c>
      <c r="Q464" cm="1">
        <f t="array" ref="Q464">_xlfn.IFS(P464="2 Years", 24,P464="1 Year",12, P464="6 Months",6, P464="1 Month",1)</f>
        <v>1</v>
      </c>
      <c r="R464" t="str" cm="1">
        <f t="array" ref="R464">_xlfn.IFS(Q464=1,"Mensual",Q464=6,"Semestral",Q464=12,"Anual",Q464=24,"Bienal")</f>
        <v>Mensual</v>
      </c>
      <c r="S464">
        <f>IFERROR(VLOOKUP(Sheet1[[#This Row],[ID usuario]],A465:$A$907,1,FALSE),0)</f>
        <v>0</v>
      </c>
    </row>
    <row r="465" spans="1:19" x14ac:dyDescent="0.25">
      <c r="A465" t="s">
        <v>463</v>
      </c>
      <c r="B465" t="s">
        <v>1368</v>
      </c>
      <c r="C465" t="s">
        <v>1812</v>
      </c>
      <c r="D465">
        <v>80.88</v>
      </c>
      <c r="E465" s="1">
        <v>44948</v>
      </c>
      <c r="F465" s="1" t="str">
        <f>TEXT(Sheet1[[#This Row],[Fecha ingreso]],"mmmm")</f>
        <v>enero</v>
      </c>
      <c r="G465" s="2">
        <f>YEAR(Sheet1[[#This Row],[Fecha ingreso]])</f>
        <v>2023</v>
      </c>
      <c r="H465" s="1" t="str">
        <f>TEXT(Sheet1[[#This Row],[Fecha ingreso]],"dddd")</f>
        <v>domingo</v>
      </c>
      <c r="I465" s="1">
        <v>45421</v>
      </c>
      <c r="J465" s="2">
        <f>DATEDIF(Sheet1[[#This Row],[Fecha ingreso]],Sheet1[[#This Row],[Fecha último pago]],"M")+1</f>
        <v>16</v>
      </c>
      <c r="K465" s="2">
        <f>Sheet1[[#This Row],[Ingresos mensuales]]*Sheet1[[#This Row],[Meses contratados]]</f>
        <v>1294.08</v>
      </c>
      <c r="L465" t="s">
        <v>1814</v>
      </c>
      <c r="M465">
        <v>41</v>
      </c>
      <c r="N465" t="s">
        <v>1822</v>
      </c>
      <c r="O465" t="s">
        <v>1824</v>
      </c>
      <c r="P465" t="s">
        <v>1828</v>
      </c>
      <c r="Q465" cm="1">
        <f t="array" ref="Q465">_xlfn.IFS(P465="2 Years", 24,P465="1 Year",12, P465="6 Months",6, P465="1 Month",1)</f>
        <v>6</v>
      </c>
      <c r="R465" t="str" cm="1">
        <f t="array" ref="R465">_xlfn.IFS(Q465=1,"Mensual",Q465=6,"Semestral",Q465=12,"Anual",Q465=24,"Bienal")</f>
        <v>Semestral</v>
      </c>
      <c r="S465">
        <f>IFERROR(VLOOKUP(Sheet1[[#This Row],[ID usuario]],A466:$A$907,1,FALSE),0)</f>
        <v>0</v>
      </c>
    </row>
    <row r="466" spans="1:19" x14ac:dyDescent="0.25">
      <c r="A466" t="s">
        <v>464</v>
      </c>
      <c r="B466" t="s">
        <v>1369</v>
      </c>
      <c r="C466" t="s">
        <v>1812</v>
      </c>
      <c r="D466">
        <v>92.73</v>
      </c>
      <c r="E466" s="1">
        <v>45107</v>
      </c>
      <c r="F466" s="1" t="str">
        <f>TEXT(Sheet1[[#This Row],[Fecha ingreso]],"mmmm")</f>
        <v>junio</v>
      </c>
      <c r="G466" s="2">
        <f>YEAR(Sheet1[[#This Row],[Fecha ingreso]])</f>
        <v>2023</v>
      </c>
      <c r="H466" s="1" t="str">
        <f>TEXT(Sheet1[[#This Row],[Fecha ingreso]],"dddd")</f>
        <v>viernes</v>
      </c>
      <c r="I466" s="1">
        <v>45276</v>
      </c>
      <c r="J466" s="2">
        <f>DATEDIF(Sheet1[[#This Row],[Fecha ingreso]],Sheet1[[#This Row],[Fecha último pago]],"M")+1</f>
        <v>6</v>
      </c>
      <c r="K466" s="2">
        <f>Sheet1[[#This Row],[Ingresos mensuales]]*Sheet1[[#This Row],[Meses contratados]]</f>
        <v>556.38</v>
      </c>
      <c r="L466" t="s">
        <v>1814</v>
      </c>
      <c r="M466">
        <v>22</v>
      </c>
      <c r="N466" t="s">
        <v>1822</v>
      </c>
      <c r="O466" t="s">
        <v>1823</v>
      </c>
      <c r="P466" t="s">
        <v>1829</v>
      </c>
      <c r="Q466" cm="1">
        <f t="array" ref="Q466">_xlfn.IFS(P466="2 Years", 24,P466="1 Year",12, P466="6 Months",6, P466="1 Month",1)</f>
        <v>1</v>
      </c>
      <c r="R466" t="str" cm="1">
        <f t="array" ref="R466">_xlfn.IFS(Q466=1,"Mensual",Q466=6,"Semestral",Q466=12,"Anual",Q466=24,"Bienal")</f>
        <v>Mensual</v>
      </c>
      <c r="S466">
        <f>IFERROR(VLOOKUP(Sheet1[[#This Row],[ID usuario]],A467:$A$907,1,FALSE),0)</f>
        <v>0</v>
      </c>
    </row>
    <row r="467" spans="1:19" x14ac:dyDescent="0.25">
      <c r="A467" t="s">
        <v>465</v>
      </c>
      <c r="B467" t="s">
        <v>1370</v>
      </c>
      <c r="C467" t="s">
        <v>1810</v>
      </c>
      <c r="D467">
        <v>33.42</v>
      </c>
      <c r="E467" s="1">
        <v>45028</v>
      </c>
      <c r="F467" s="1" t="str">
        <f>TEXT(Sheet1[[#This Row],[Fecha ingreso]],"mmmm")</f>
        <v>abril</v>
      </c>
      <c r="G467" s="2">
        <f>YEAR(Sheet1[[#This Row],[Fecha ingreso]])</f>
        <v>2023</v>
      </c>
      <c r="H467" s="1" t="str">
        <f>TEXT(Sheet1[[#This Row],[Fecha ingreso]],"dddd")</f>
        <v>miércoles</v>
      </c>
      <c r="I467" s="1">
        <v>45165</v>
      </c>
      <c r="J467" s="2">
        <f>DATEDIF(Sheet1[[#This Row],[Fecha ingreso]],Sheet1[[#This Row],[Fecha último pago]],"M")+1</f>
        <v>5</v>
      </c>
      <c r="K467" s="2">
        <f>Sheet1[[#This Row],[Ingresos mensuales]]*Sheet1[[#This Row],[Meses contratados]]</f>
        <v>167.10000000000002</v>
      </c>
      <c r="L467" t="s">
        <v>1815</v>
      </c>
      <c r="M467">
        <v>18</v>
      </c>
      <c r="N467" t="s">
        <v>1822</v>
      </c>
      <c r="O467" t="s">
        <v>1824</v>
      </c>
      <c r="P467" t="s">
        <v>1827</v>
      </c>
      <c r="Q467" cm="1">
        <f t="array" ref="Q467">_xlfn.IFS(P467="2 Years", 24,P467="1 Year",12, P467="6 Months",6, P467="1 Month",1)</f>
        <v>12</v>
      </c>
      <c r="R467" t="str" cm="1">
        <f t="array" ref="R467">_xlfn.IFS(Q467=1,"Mensual",Q467=6,"Semestral",Q467=12,"Anual",Q467=24,"Bienal")</f>
        <v>Anual</v>
      </c>
      <c r="S467">
        <f>IFERROR(VLOOKUP(Sheet1[[#This Row],[ID usuario]],A468:$A$907,1,FALSE),0)</f>
        <v>0</v>
      </c>
    </row>
    <row r="468" spans="1:19" x14ac:dyDescent="0.25">
      <c r="A468" t="s">
        <v>466</v>
      </c>
      <c r="B468" t="s">
        <v>1371</v>
      </c>
      <c r="C468" t="s">
        <v>1812</v>
      </c>
      <c r="D468">
        <v>41.9</v>
      </c>
      <c r="E468" s="1">
        <v>44687</v>
      </c>
      <c r="F468" s="1" t="str">
        <f>TEXT(Sheet1[[#This Row],[Fecha ingreso]],"mmmm")</f>
        <v>mayo</v>
      </c>
      <c r="G468" s="2">
        <f>YEAR(Sheet1[[#This Row],[Fecha ingreso]])</f>
        <v>2022</v>
      </c>
      <c r="H468" s="1" t="str">
        <f>TEXT(Sheet1[[#This Row],[Fecha ingreso]],"dddd")</f>
        <v>viernes</v>
      </c>
      <c r="I468" s="1">
        <v>44692</v>
      </c>
      <c r="J468" s="2">
        <f>DATEDIF(Sheet1[[#This Row],[Fecha ingreso]],Sheet1[[#This Row],[Fecha último pago]],"M")+1</f>
        <v>1</v>
      </c>
      <c r="K468" s="2">
        <f>Sheet1[[#This Row],[Ingresos mensuales]]*Sheet1[[#This Row],[Meses contratados]]</f>
        <v>41.9</v>
      </c>
      <c r="L468" t="s">
        <v>1813</v>
      </c>
      <c r="M468">
        <v>35</v>
      </c>
      <c r="N468" t="s">
        <v>1820</v>
      </c>
      <c r="O468" t="s">
        <v>1825</v>
      </c>
      <c r="P468" t="s">
        <v>1827</v>
      </c>
      <c r="Q468" cm="1">
        <f t="array" ref="Q468">_xlfn.IFS(P468="2 Years", 24,P468="1 Year",12, P468="6 Months",6, P468="1 Month",1)</f>
        <v>12</v>
      </c>
      <c r="R468" t="str" cm="1">
        <f t="array" ref="R468">_xlfn.IFS(Q468=1,"Mensual",Q468=6,"Semestral",Q468=12,"Anual",Q468=24,"Bienal")</f>
        <v>Anual</v>
      </c>
      <c r="S468">
        <f>IFERROR(VLOOKUP(Sheet1[[#This Row],[ID usuario]],A469:$A$907,1,FALSE),0)</f>
        <v>0</v>
      </c>
    </row>
    <row r="469" spans="1:19" x14ac:dyDescent="0.25">
      <c r="A469" t="s">
        <v>467</v>
      </c>
      <c r="B469" t="s">
        <v>1372</v>
      </c>
      <c r="C469" t="s">
        <v>1811</v>
      </c>
      <c r="D469">
        <v>51.2</v>
      </c>
      <c r="E469" s="1">
        <v>44691</v>
      </c>
      <c r="F469" s="1" t="str">
        <f>TEXT(Sheet1[[#This Row],[Fecha ingreso]],"mmmm")</f>
        <v>mayo</v>
      </c>
      <c r="G469" s="2">
        <f>YEAR(Sheet1[[#This Row],[Fecha ingreso]])</f>
        <v>2022</v>
      </c>
      <c r="H469" s="1" t="str">
        <f>TEXT(Sheet1[[#This Row],[Fecha ingreso]],"dddd")</f>
        <v>martes</v>
      </c>
      <c r="I469" s="1">
        <v>44835</v>
      </c>
      <c r="J469" s="2">
        <f>DATEDIF(Sheet1[[#This Row],[Fecha ingreso]],Sheet1[[#This Row],[Fecha último pago]],"M")+1</f>
        <v>5</v>
      </c>
      <c r="K469" s="2">
        <f>Sheet1[[#This Row],[Ingresos mensuales]]*Sheet1[[#This Row],[Meses contratados]]</f>
        <v>256</v>
      </c>
      <c r="L469" t="s">
        <v>1816</v>
      </c>
      <c r="M469">
        <v>24</v>
      </c>
      <c r="N469" t="s">
        <v>1822</v>
      </c>
      <c r="O469" t="s">
        <v>1823</v>
      </c>
      <c r="P469" t="s">
        <v>1827</v>
      </c>
      <c r="Q469" cm="1">
        <f t="array" ref="Q469">_xlfn.IFS(P469="2 Years", 24,P469="1 Year",12, P469="6 Months",6, P469="1 Month",1)</f>
        <v>12</v>
      </c>
      <c r="R469" t="str" cm="1">
        <f t="array" ref="R469">_xlfn.IFS(Q469=1,"Mensual",Q469=6,"Semestral",Q469=12,"Anual",Q469=24,"Bienal")</f>
        <v>Anual</v>
      </c>
      <c r="S469">
        <f>IFERROR(VLOOKUP(Sheet1[[#This Row],[ID usuario]],A470:$A$907,1,FALSE),0)</f>
        <v>0</v>
      </c>
    </row>
    <row r="470" spans="1:19" x14ac:dyDescent="0.25">
      <c r="A470" t="s">
        <v>468</v>
      </c>
      <c r="B470" t="s">
        <v>1373</v>
      </c>
      <c r="C470" t="s">
        <v>1810</v>
      </c>
      <c r="D470">
        <v>60.87</v>
      </c>
      <c r="E470" s="1">
        <v>45219</v>
      </c>
      <c r="F470" s="1" t="str">
        <f>TEXT(Sheet1[[#This Row],[Fecha ingreso]],"mmmm")</f>
        <v>octubre</v>
      </c>
      <c r="G470" s="2">
        <f>YEAR(Sheet1[[#This Row],[Fecha ingreso]])</f>
        <v>2023</v>
      </c>
      <c r="H470" s="1" t="str">
        <f>TEXT(Sheet1[[#This Row],[Fecha ingreso]],"dddd")</f>
        <v>viernes</v>
      </c>
      <c r="I470" s="1">
        <v>45457</v>
      </c>
      <c r="J470" s="2">
        <f>DATEDIF(Sheet1[[#This Row],[Fecha ingreso]],Sheet1[[#This Row],[Fecha último pago]],"M")+1</f>
        <v>8</v>
      </c>
      <c r="K470" s="2">
        <f>Sheet1[[#This Row],[Ingresos mensuales]]*Sheet1[[#This Row],[Meses contratados]]</f>
        <v>486.96</v>
      </c>
      <c r="L470" t="s">
        <v>1814</v>
      </c>
      <c r="M470">
        <v>22</v>
      </c>
      <c r="N470" t="s">
        <v>1821</v>
      </c>
      <c r="O470" t="s">
        <v>1823</v>
      </c>
      <c r="P470" t="s">
        <v>1828</v>
      </c>
      <c r="Q470" cm="1">
        <f t="array" ref="Q470">_xlfn.IFS(P470="2 Years", 24,P470="1 Year",12, P470="6 Months",6, P470="1 Month",1)</f>
        <v>6</v>
      </c>
      <c r="R470" t="str" cm="1">
        <f t="array" ref="R470">_xlfn.IFS(Q470=1,"Mensual",Q470=6,"Semestral",Q470=12,"Anual",Q470=24,"Bienal")</f>
        <v>Semestral</v>
      </c>
      <c r="S470">
        <f>IFERROR(VLOOKUP(Sheet1[[#This Row],[ID usuario]],A471:$A$907,1,FALSE),0)</f>
        <v>0</v>
      </c>
    </row>
    <row r="471" spans="1:19" x14ac:dyDescent="0.25">
      <c r="A471" t="s">
        <v>469</v>
      </c>
      <c r="B471" t="s">
        <v>1374</v>
      </c>
      <c r="C471" t="s">
        <v>1812</v>
      </c>
      <c r="D471">
        <v>71.25</v>
      </c>
      <c r="E471" s="1">
        <v>45058</v>
      </c>
      <c r="F471" s="1" t="str">
        <f>TEXT(Sheet1[[#This Row],[Fecha ingreso]],"mmmm")</f>
        <v>mayo</v>
      </c>
      <c r="G471" s="2">
        <f>YEAR(Sheet1[[#This Row],[Fecha ingreso]])</f>
        <v>2023</v>
      </c>
      <c r="H471" s="1" t="str">
        <f>TEXT(Sheet1[[#This Row],[Fecha ingreso]],"dddd")</f>
        <v>viernes</v>
      </c>
      <c r="I471" s="1">
        <v>45375</v>
      </c>
      <c r="J471" s="2">
        <f>DATEDIF(Sheet1[[#This Row],[Fecha ingreso]],Sheet1[[#This Row],[Fecha último pago]],"M")+1</f>
        <v>11</v>
      </c>
      <c r="K471" s="2">
        <f>Sheet1[[#This Row],[Ingresos mensuales]]*Sheet1[[#This Row],[Meses contratados]]</f>
        <v>783.75</v>
      </c>
      <c r="L471" t="s">
        <v>1813</v>
      </c>
      <c r="M471">
        <v>50</v>
      </c>
      <c r="N471" t="s">
        <v>1820</v>
      </c>
      <c r="O471" t="s">
        <v>1824</v>
      </c>
      <c r="P471" t="s">
        <v>1826</v>
      </c>
      <c r="Q471" cm="1">
        <f t="array" ref="Q471">_xlfn.IFS(P471="2 Years", 24,P471="1 Year",12, P471="6 Months",6, P471="1 Month",1)</f>
        <v>24</v>
      </c>
      <c r="R471" t="str" cm="1">
        <f t="array" ref="R471">_xlfn.IFS(Q471=1,"Mensual",Q471=6,"Semestral",Q471=12,"Anual",Q471=24,"Bienal")</f>
        <v>Bienal</v>
      </c>
      <c r="S471">
        <f>IFERROR(VLOOKUP(Sheet1[[#This Row],[ID usuario]],A472:$A$907,1,FALSE),0)</f>
        <v>0</v>
      </c>
    </row>
    <row r="472" spans="1:19" x14ac:dyDescent="0.25">
      <c r="A472" t="s">
        <v>470</v>
      </c>
      <c r="B472" t="s">
        <v>1375</v>
      </c>
      <c r="C472" t="s">
        <v>1811</v>
      </c>
      <c r="D472">
        <v>42.01</v>
      </c>
      <c r="E472" s="1">
        <v>45372</v>
      </c>
      <c r="F472" s="1" t="str">
        <f>TEXT(Sheet1[[#This Row],[Fecha ingreso]],"mmmm")</f>
        <v>marzo</v>
      </c>
      <c r="G472" s="2">
        <f>YEAR(Sheet1[[#This Row],[Fecha ingreso]])</f>
        <v>2024</v>
      </c>
      <c r="H472" s="1" t="str">
        <f>TEXT(Sheet1[[#This Row],[Fecha ingreso]],"dddd")</f>
        <v>jueves</v>
      </c>
      <c r="I472" s="1">
        <v>45382</v>
      </c>
      <c r="J472" s="2">
        <f>DATEDIF(Sheet1[[#This Row],[Fecha ingreso]],Sheet1[[#This Row],[Fecha último pago]],"M")+1</f>
        <v>1</v>
      </c>
      <c r="K472" s="2">
        <f>Sheet1[[#This Row],[Ingresos mensuales]]*Sheet1[[#This Row],[Meses contratados]]</f>
        <v>42.01</v>
      </c>
      <c r="L472" t="s">
        <v>1817</v>
      </c>
      <c r="M472">
        <v>34</v>
      </c>
      <c r="N472" t="s">
        <v>1822</v>
      </c>
      <c r="O472" t="s">
        <v>1825</v>
      </c>
      <c r="P472" t="s">
        <v>1826</v>
      </c>
      <c r="Q472" cm="1">
        <f t="array" ref="Q472">_xlfn.IFS(P472="2 Years", 24,P472="1 Year",12, P472="6 Months",6, P472="1 Month",1)</f>
        <v>24</v>
      </c>
      <c r="R472" t="str" cm="1">
        <f t="array" ref="R472">_xlfn.IFS(Q472=1,"Mensual",Q472=6,"Semestral",Q472=12,"Anual",Q472=24,"Bienal")</f>
        <v>Bienal</v>
      </c>
      <c r="S472">
        <f>IFERROR(VLOOKUP(Sheet1[[#This Row],[ID usuario]],A473:$A$907,1,FALSE),0)</f>
        <v>0</v>
      </c>
    </row>
    <row r="473" spans="1:19" x14ac:dyDescent="0.25">
      <c r="A473" t="s">
        <v>471</v>
      </c>
      <c r="B473" t="s">
        <v>1376</v>
      </c>
      <c r="C473" t="s">
        <v>1811</v>
      </c>
      <c r="D473">
        <v>30.06</v>
      </c>
      <c r="E473" s="1">
        <v>45275</v>
      </c>
      <c r="F473" s="1" t="str">
        <f>TEXT(Sheet1[[#This Row],[Fecha ingreso]],"mmmm")</f>
        <v>diciembre</v>
      </c>
      <c r="G473" s="2">
        <f>YEAR(Sheet1[[#This Row],[Fecha ingreso]])</f>
        <v>2023</v>
      </c>
      <c r="H473" s="1" t="str">
        <f>TEXT(Sheet1[[#This Row],[Fecha ingreso]],"dddd")</f>
        <v>viernes</v>
      </c>
      <c r="I473" s="1">
        <v>45421</v>
      </c>
      <c r="J473" s="2">
        <f>DATEDIF(Sheet1[[#This Row],[Fecha ingreso]],Sheet1[[#This Row],[Fecha último pago]],"M")+1</f>
        <v>5</v>
      </c>
      <c r="K473" s="2">
        <f>Sheet1[[#This Row],[Ingresos mensuales]]*Sheet1[[#This Row],[Meses contratados]]</f>
        <v>150.29999999999998</v>
      </c>
      <c r="L473" t="s">
        <v>1816</v>
      </c>
      <c r="M473">
        <v>20</v>
      </c>
      <c r="N473" t="s">
        <v>1821</v>
      </c>
      <c r="O473" t="s">
        <v>1824</v>
      </c>
      <c r="P473" t="s">
        <v>1826</v>
      </c>
      <c r="Q473" cm="1">
        <f t="array" ref="Q473">_xlfn.IFS(P473="2 Years", 24,P473="1 Year",12, P473="6 Months",6, P473="1 Month",1)</f>
        <v>24</v>
      </c>
      <c r="R473" t="str" cm="1">
        <f t="array" ref="R473">_xlfn.IFS(Q473=1,"Mensual",Q473=6,"Semestral",Q473=12,"Anual",Q473=24,"Bienal")</f>
        <v>Bienal</v>
      </c>
      <c r="S473">
        <f>IFERROR(VLOOKUP(Sheet1[[#This Row],[ID usuario]],A474:$A$907,1,FALSE),0)</f>
        <v>0</v>
      </c>
    </row>
    <row r="474" spans="1:19" x14ac:dyDescent="0.25">
      <c r="A474" t="s">
        <v>472</v>
      </c>
      <c r="B474" t="s">
        <v>1377</v>
      </c>
      <c r="C474" t="s">
        <v>1810</v>
      </c>
      <c r="D474">
        <v>94.74</v>
      </c>
      <c r="E474" s="1">
        <v>44494</v>
      </c>
      <c r="F474" s="1" t="str">
        <f>TEXT(Sheet1[[#This Row],[Fecha ingreso]],"mmmm")</f>
        <v>octubre</v>
      </c>
      <c r="G474" s="2">
        <f>YEAR(Sheet1[[#This Row],[Fecha ingreso]])</f>
        <v>2021</v>
      </c>
      <c r="H474" s="1" t="str">
        <f>TEXT(Sheet1[[#This Row],[Fecha ingreso]],"dddd")</f>
        <v>lunes</v>
      </c>
      <c r="I474" s="1">
        <v>45242</v>
      </c>
      <c r="J474" s="2">
        <f>DATEDIF(Sheet1[[#This Row],[Fecha ingreso]],Sheet1[[#This Row],[Fecha último pago]],"M")+1</f>
        <v>25</v>
      </c>
      <c r="K474" s="2">
        <f>Sheet1[[#This Row],[Ingresos mensuales]]*Sheet1[[#This Row],[Meses contratados]]</f>
        <v>2368.5</v>
      </c>
      <c r="L474" t="s">
        <v>1813</v>
      </c>
      <c r="M474">
        <v>28</v>
      </c>
      <c r="N474" t="s">
        <v>1820</v>
      </c>
      <c r="O474" t="s">
        <v>1823</v>
      </c>
      <c r="P474" t="s">
        <v>1827</v>
      </c>
      <c r="Q474" cm="1">
        <f t="array" ref="Q474">_xlfn.IFS(P474="2 Years", 24,P474="1 Year",12, P474="6 Months",6, P474="1 Month",1)</f>
        <v>12</v>
      </c>
      <c r="R474" t="str" cm="1">
        <f t="array" ref="R474">_xlfn.IFS(Q474=1,"Mensual",Q474=6,"Semestral",Q474=12,"Anual",Q474=24,"Bienal")</f>
        <v>Anual</v>
      </c>
      <c r="S474">
        <f>IFERROR(VLOOKUP(Sheet1[[#This Row],[ID usuario]],A475:$A$907,1,FALSE),0)</f>
        <v>0</v>
      </c>
    </row>
    <row r="475" spans="1:19" x14ac:dyDescent="0.25">
      <c r="A475" t="s">
        <v>473</v>
      </c>
      <c r="B475" t="s">
        <v>1378</v>
      </c>
      <c r="C475" t="s">
        <v>1811</v>
      </c>
      <c r="D475">
        <v>92.91</v>
      </c>
      <c r="E475" s="1">
        <v>44913</v>
      </c>
      <c r="F475" s="1" t="str">
        <f>TEXT(Sheet1[[#This Row],[Fecha ingreso]],"mmmm")</f>
        <v>diciembre</v>
      </c>
      <c r="G475" s="2">
        <f>YEAR(Sheet1[[#This Row],[Fecha ingreso]])</f>
        <v>2022</v>
      </c>
      <c r="H475" s="1" t="str">
        <f>TEXT(Sheet1[[#This Row],[Fecha ingreso]],"dddd")</f>
        <v>domingo</v>
      </c>
      <c r="I475" s="1">
        <v>45361</v>
      </c>
      <c r="J475" s="2">
        <f>DATEDIF(Sheet1[[#This Row],[Fecha ingreso]],Sheet1[[#This Row],[Fecha último pago]],"M")+1</f>
        <v>15</v>
      </c>
      <c r="K475" s="2">
        <f>Sheet1[[#This Row],[Ingresos mensuales]]*Sheet1[[#This Row],[Meses contratados]]</f>
        <v>1393.6499999999999</v>
      </c>
      <c r="L475" t="s">
        <v>1815</v>
      </c>
      <c r="M475">
        <v>57</v>
      </c>
      <c r="N475" t="s">
        <v>1820</v>
      </c>
      <c r="O475" t="s">
        <v>1823</v>
      </c>
      <c r="P475" t="s">
        <v>1828</v>
      </c>
      <c r="Q475" cm="1">
        <f t="array" ref="Q475">_xlfn.IFS(P475="2 Years", 24,P475="1 Year",12, P475="6 Months",6, P475="1 Month",1)</f>
        <v>6</v>
      </c>
      <c r="R475" t="str" cm="1">
        <f t="array" ref="R475">_xlfn.IFS(Q475=1,"Mensual",Q475=6,"Semestral",Q475=12,"Anual",Q475=24,"Bienal")</f>
        <v>Semestral</v>
      </c>
      <c r="S475">
        <f>IFERROR(VLOOKUP(Sheet1[[#This Row],[ID usuario]],A476:$A$907,1,FALSE),0)</f>
        <v>0</v>
      </c>
    </row>
    <row r="476" spans="1:19" x14ac:dyDescent="0.25">
      <c r="A476" t="s">
        <v>474</v>
      </c>
      <c r="B476" t="s">
        <v>1379</v>
      </c>
      <c r="C476" t="s">
        <v>1812</v>
      </c>
      <c r="D476">
        <v>68.14</v>
      </c>
      <c r="E476" s="1">
        <v>44537</v>
      </c>
      <c r="F476" s="1" t="str">
        <f>TEXT(Sheet1[[#This Row],[Fecha ingreso]],"mmmm")</f>
        <v>diciembre</v>
      </c>
      <c r="G476" s="2">
        <f>YEAR(Sheet1[[#This Row],[Fecha ingreso]])</f>
        <v>2021</v>
      </c>
      <c r="H476" s="1" t="str">
        <f>TEXT(Sheet1[[#This Row],[Fecha ingreso]],"dddd")</f>
        <v>martes</v>
      </c>
      <c r="I476" s="1">
        <v>45062</v>
      </c>
      <c r="J476" s="2">
        <f>DATEDIF(Sheet1[[#This Row],[Fecha ingreso]],Sheet1[[#This Row],[Fecha último pago]],"M")+1</f>
        <v>18</v>
      </c>
      <c r="K476" s="2">
        <f>Sheet1[[#This Row],[Ingresos mensuales]]*Sheet1[[#This Row],[Meses contratados]]</f>
        <v>1226.52</v>
      </c>
      <c r="L476" t="s">
        <v>1815</v>
      </c>
      <c r="M476">
        <v>18</v>
      </c>
      <c r="N476" t="s">
        <v>1820</v>
      </c>
      <c r="O476" t="s">
        <v>1823</v>
      </c>
      <c r="P476" t="s">
        <v>1826</v>
      </c>
      <c r="Q476" cm="1">
        <f t="array" ref="Q476">_xlfn.IFS(P476="2 Years", 24,P476="1 Year",12, P476="6 Months",6, P476="1 Month",1)</f>
        <v>24</v>
      </c>
      <c r="R476" t="str" cm="1">
        <f t="array" ref="R476">_xlfn.IFS(Q476=1,"Mensual",Q476=6,"Semestral",Q476=12,"Anual",Q476=24,"Bienal")</f>
        <v>Bienal</v>
      </c>
      <c r="S476">
        <f>IFERROR(VLOOKUP(Sheet1[[#This Row],[ID usuario]],A477:$A$907,1,FALSE),0)</f>
        <v>0</v>
      </c>
    </row>
    <row r="477" spans="1:19" x14ac:dyDescent="0.25">
      <c r="A477" t="s">
        <v>475</v>
      </c>
      <c r="B477" t="s">
        <v>1380</v>
      </c>
      <c r="C477" t="s">
        <v>1810</v>
      </c>
      <c r="D477">
        <v>45.19</v>
      </c>
      <c r="E477" s="1">
        <v>44943</v>
      </c>
      <c r="F477" s="1" t="str">
        <f>TEXT(Sheet1[[#This Row],[Fecha ingreso]],"mmmm")</f>
        <v>enero</v>
      </c>
      <c r="G477" s="2">
        <f>YEAR(Sheet1[[#This Row],[Fecha ingreso]])</f>
        <v>2023</v>
      </c>
      <c r="H477" s="1" t="str">
        <f>TEXT(Sheet1[[#This Row],[Fecha ingreso]],"dddd")</f>
        <v>martes</v>
      </c>
      <c r="I477" s="1">
        <v>45247</v>
      </c>
      <c r="J477" s="2">
        <f>DATEDIF(Sheet1[[#This Row],[Fecha ingreso]],Sheet1[[#This Row],[Fecha último pago]],"M")+1</f>
        <v>11</v>
      </c>
      <c r="K477" s="2">
        <f>Sheet1[[#This Row],[Ingresos mensuales]]*Sheet1[[#This Row],[Meses contratados]]</f>
        <v>497.09</v>
      </c>
      <c r="L477" t="s">
        <v>1815</v>
      </c>
      <c r="M477">
        <v>27</v>
      </c>
      <c r="N477" t="s">
        <v>1821</v>
      </c>
      <c r="O477" t="s">
        <v>1824</v>
      </c>
      <c r="P477" t="s">
        <v>1829</v>
      </c>
      <c r="Q477" cm="1">
        <f t="array" ref="Q477">_xlfn.IFS(P477="2 Years", 24,P477="1 Year",12, P477="6 Months",6, P477="1 Month",1)</f>
        <v>1</v>
      </c>
      <c r="R477" t="str" cm="1">
        <f t="array" ref="R477">_xlfn.IFS(Q477=1,"Mensual",Q477=6,"Semestral",Q477=12,"Anual",Q477=24,"Bienal")</f>
        <v>Mensual</v>
      </c>
      <c r="S477">
        <f>IFERROR(VLOOKUP(Sheet1[[#This Row],[ID usuario]],A478:$A$907,1,FALSE),0)</f>
        <v>0</v>
      </c>
    </row>
    <row r="478" spans="1:19" x14ac:dyDescent="0.25">
      <c r="A478" t="s">
        <v>476</v>
      </c>
      <c r="B478" t="s">
        <v>1381</v>
      </c>
      <c r="C478" t="s">
        <v>1811</v>
      </c>
      <c r="D478">
        <v>23.9</v>
      </c>
      <c r="E478" s="1">
        <v>45347</v>
      </c>
      <c r="F478" s="1" t="str">
        <f>TEXT(Sheet1[[#This Row],[Fecha ingreso]],"mmmm")</f>
        <v>febrero</v>
      </c>
      <c r="G478" s="2">
        <f>YEAR(Sheet1[[#This Row],[Fecha ingreso]])</f>
        <v>2024</v>
      </c>
      <c r="H478" s="1" t="str">
        <f>TEXT(Sheet1[[#This Row],[Fecha ingreso]],"dddd")</f>
        <v>domingo</v>
      </c>
      <c r="I478" s="1">
        <v>45451</v>
      </c>
      <c r="J478" s="2">
        <f>DATEDIF(Sheet1[[#This Row],[Fecha ingreso]],Sheet1[[#This Row],[Fecha último pago]],"M")+1</f>
        <v>4</v>
      </c>
      <c r="K478" s="2">
        <f>Sheet1[[#This Row],[Ingresos mensuales]]*Sheet1[[#This Row],[Meses contratados]]</f>
        <v>95.6</v>
      </c>
      <c r="L478" t="s">
        <v>1813</v>
      </c>
      <c r="M478">
        <v>29</v>
      </c>
      <c r="N478" t="s">
        <v>1821</v>
      </c>
      <c r="O478" t="s">
        <v>1825</v>
      </c>
      <c r="P478" t="s">
        <v>1829</v>
      </c>
      <c r="Q478" cm="1">
        <f t="array" ref="Q478">_xlfn.IFS(P478="2 Years", 24,P478="1 Year",12, P478="6 Months",6, P478="1 Month",1)</f>
        <v>1</v>
      </c>
      <c r="R478" t="str" cm="1">
        <f t="array" ref="R478">_xlfn.IFS(Q478=1,"Mensual",Q478=6,"Semestral",Q478=12,"Anual",Q478=24,"Bienal")</f>
        <v>Mensual</v>
      </c>
      <c r="S478">
        <f>IFERROR(VLOOKUP(Sheet1[[#This Row],[ID usuario]],A479:$A$907,1,FALSE),0)</f>
        <v>0</v>
      </c>
    </row>
    <row r="479" spans="1:19" x14ac:dyDescent="0.25">
      <c r="A479" t="s">
        <v>477</v>
      </c>
      <c r="B479" t="s">
        <v>1382</v>
      </c>
      <c r="C479" t="s">
        <v>1811</v>
      </c>
      <c r="D479">
        <v>39.909999999999997</v>
      </c>
      <c r="E479" s="1">
        <v>44979</v>
      </c>
      <c r="F479" s="1" t="str">
        <f>TEXT(Sheet1[[#This Row],[Fecha ingreso]],"mmmm")</f>
        <v>febrero</v>
      </c>
      <c r="G479" s="2">
        <f>YEAR(Sheet1[[#This Row],[Fecha ingreso]])</f>
        <v>2023</v>
      </c>
      <c r="H479" s="1" t="str">
        <f>TEXT(Sheet1[[#This Row],[Fecha ingreso]],"dddd")</f>
        <v>miércoles</v>
      </c>
      <c r="I479" s="1">
        <v>45117</v>
      </c>
      <c r="J479" s="2">
        <f>DATEDIF(Sheet1[[#This Row],[Fecha ingreso]],Sheet1[[#This Row],[Fecha último pago]],"M")+1</f>
        <v>5</v>
      </c>
      <c r="K479" s="2">
        <f>Sheet1[[#This Row],[Ingresos mensuales]]*Sheet1[[#This Row],[Meses contratados]]</f>
        <v>199.54999999999998</v>
      </c>
      <c r="L479" t="s">
        <v>1817</v>
      </c>
      <c r="M479">
        <v>62</v>
      </c>
      <c r="N479" t="s">
        <v>1821</v>
      </c>
      <c r="O479" t="s">
        <v>1825</v>
      </c>
      <c r="P479" t="s">
        <v>1826</v>
      </c>
      <c r="Q479" cm="1">
        <f t="array" ref="Q479">_xlfn.IFS(P479="2 Years", 24,P479="1 Year",12, P479="6 Months",6, P479="1 Month",1)</f>
        <v>24</v>
      </c>
      <c r="R479" t="str" cm="1">
        <f t="array" ref="R479">_xlfn.IFS(Q479=1,"Mensual",Q479=6,"Semestral",Q479=12,"Anual",Q479=24,"Bienal")</f>
        <v>Bienal</v>
      </c>
      <c r="S479">
        <f>IFERROR(VLOOKUP(Sheet1[[#This Row],[ID usuario]],A480:$A$907,1,FALSE),0)</f>
        <v>0</v>
      </c>
    </row>
    <row r="480" spans="1:19" x14ac:dyDescent="0.25">
      <c r="A480" t="s">
        <v>478</v>
      </c>
      <c r="B480" t="s">
        <v>1383</v>
      </c>
      <c r="C480" t="s">
        <v>1810</v>
      </c>
      <c r="D480">
        <v>72.150000000000006</v>
      </c>
      <c r="E480" s="1">
        <v>45099</v>
      </c>
      <c r="F480" s="1" t="str">
        <f>TEXT(Sheet1[[#This Row],[Fecha ingreso]],"mmmm")</f>
        <v>junio</v>
      </c>
      <c r="G480" s="2">
        <f>YEAR(Sheet1[[#This Row],[Fecha ingreso]])</f>
        <v>2023</v>
      </c>
      <c r="H480" s="1" t="str">
        <f>TEXT(Sheet1[[#This Row],[Fecha ingreso]],"dddd")</f>
        <v>jueves</v>
      </c>
      <c r="I480" s="1">
        <v>45286</v>
      </c>
      <c r="J480" s="2">
        <f>DATEDIF(Sheet1[[#This Row],[Fecha ingreso]],Sheet1[[#This Row],[Fecha último pago]],"M")+1</f>
        <v>7</v>
      </c>
      <c r="K480" s="2">
        <f>Sheet1[[#This Row],[Ingresos mensuales]]*Sheet1[[#This Row],[Meses contratados]]</f>
        <v>505.05000000000007</v>
      </c>
      <c r="L480" t="s">
        <v>1815</v>
      </c>
      <c r="M480">
        <v>35</v>
      </c>
      <c r="N480" t="s">
        <v>1821</v>
      </c>
      <c r="O480" t="s">
        <v>1824</v>
      </c>
      <c r="P480" t="s">
        <v>1827</v>
      </c>
      <c r="Q480" cm="1">
        <f t="array" ref="Q480">_xlfn.IFS(P480="2 Years", 24,P480="1 Year",12, P480="6 Months",6, P480="1 Month",1)</f>
        <v>12</v>
      </c>
      <c r="R480" t="str" cm="1">
        <f t="array" ref="R480">_xlfn.IFS(Q480=1,"Mensual",Q480=6,"Semestral",Q480=12,"Anual",Q480=24,"Bienal")</f>
        <v>Anual</v>
      </c>
      <c r="S480">
        <f>IFERROR(VLOOKUP(Sheet1[[#This Row],[ID usuario]],A481:$A$907,1,FALSE),0)</f>
        <v>0</v>
      </c>
    </row>
    <row r="481" spans="1:19" x14ac:dyDescent="0.25">
      <c r="A481" t="s">
        <v>479</v>
      </c>
      <c r="B481" t="s">
        <v>1384</v>
      </c>
      <c r="C481" t="s">
        <v>1811</v>
      </c>
      <c r="D481">
        <v>66.709999999999994</v>
      </c>
      <c r="E481" s="1">
        <v>44674</v>
      </c>
      <c r="F481" s="1" t="str">
        <f>TEXT(Sheet1[[#This Row],[Fecha ingreso]],"mmmm")</f>
        <v>abril</v>
      </c>
      <c r="G481" s="2">
        <f>YEAR(Sheet1[[#This Row],[Fecha ingreso]])</f>
        <v>2022</v>
      </c>
      <c r="H481" s="1" t="str">
        <f>TEXT(Sheet1[[#This Row],[Fecha ingreso]],"dddd")</f>
        <v>sábado</v>
      </c>
      <c r="I481" s="1">
        <v>45094</v>
      </c>
      <c r="J481" s="2">
        <f>DATEDIF(Sheet1[[#This Row],[Fecha ingreso]],Sheet1[[#This Row],[Fecha último pago]],"M")+1</f>
        <v>14</v>
      </c>
      <c r="K481" s="2">
        <f>Sheet1[[#This Row],[Ingresos mensuales]]*Sheet1[[#This Row],[Meses contratados]]</f>
        <v>933.93999999999994</v>
      </c>
      <c r="L481" t="s">
        <v>1813</v>
      </c>
      <c r="M481">
        <v>54</v>
      </c>
      <c r="N481" t="s">
        <v>1821</v>
      </c>
      <c r="O481" t="s">
        <v>1824</v>
      </c>
      <c r="P481" t="s">
        <v>1827</v>
      </c>
      <c r="Q481" cm="1">
        <f t="array" ref="Q481">_xlfn.IFS(P481="2 Years", 24,P481="1 Year",12, P481="6 Months",6, P481="1 Month",1)</f>
        <v>12</v>
      </c>
      <c r="R481" t="str" cm="1">
        <f t="array" ref="R481">_xlfn.IFS(Q481=1,"Mensual",Q481=6,"Semestral",Q481=12,"Anual",Q481=24,"Bienal")</f>
        <v>Anual</v>
      </c>
      <c r="S481">
        <f>IFERROR(VLOOKUP(Sheet1[[#This Row],[ID usuario]],A482:$A$907,1,FALSE),0)</f>
        <v>0</v>
      </c>
    </row>
    <row r="482" spans="1:19" x14ac:dyDescent="0.25">
      <c r="A482" t="s">
        <v>480</v>
      </c>
      <c r="B482" t="s">
        <v>1385</v>
      </c>
      <c r="C482" t="s">
        <v>1812</v>
      </c>
      <c r="D482">
        <v>93.16</v>
      </c>
      <c r="E482" s="1">
        <v>44485</v>
      </c>
      <c r="F482" s="1" t="str">
        <f>TEXT(Sheet1[[#This Row],[Fecha ingreso]],"mmmm")</f>
        <v>octubre</v>
      </c>
      <c r="G482" s="2">
        <f>YEAR(Sheet1[[#This Row],[Fecha ingreso]])</f>
        <v>2021</v>
      </c>
      <c r="H482" s="1" t="str">
        <f>TEXT(Sheet1[[#This Row],[Fecha ingreso]],"dddd")</f>
        <v>sábado</v>
      </c>
      <c r="I482" s="1">
        <v>44487</v>
      </c>
      <c r="J482" s="2">
        <f>DATEDIF(Sheet1[[#This Row],[Fecha ingreso]],Sheet1[[#This Row],[Fecha último pago]],"M")+1</f>
        <v>1</v>
      </c>
      <c r="K482" s="2">
        <f>Sheet1[[#This Row],[Ingresos mensuales]]*Sheet1[[#This Row],[Meses contratados]]</f>
        <v>93.16</v>
      </c>
      <c r="L482" t="s">
        <v>1816</v>
      </c>
      <c r="M482">
        <v>59</v>
      </c>
      <c r="N482" t="s">
        <v>1821</v>
      </c>
      <c r="O482" t="s">
        <v>1824</v>
      </c>
      <c r="P482" t="s">
        <v>1826</v>
      </c>
      <c r="Q482" cm="1">
        <f t="array" ref="Q482">_xlfn.IFS(P482="2 Years", 24,P482="1 Year",12, P482="6 Months",6, P482="1 Month",1)</f>
        <v>24</v>
      </c>
      <c r="R482" t="str" cm="1">
        <f t="array" ref="R482">_xlfn.IFS(Q482=1,"Mensual",Q482=6,"Semestral",Q482=12,"Anual",Q482=24,"Bienal")</f>
        <v>Bienal</v>
      </c>
      <c r="S482">
        <f>IFERROR(VLOOKUP(Sheet1[[#This Row],[ID usuario]],A483:$A$907,1,FALSE),0)</f>
        <v>0</v>
      </c>
    </row>
    <row r="483" spans="1:19" x14ac:dyDescent="0.25">
      <c r="A483" t="s">
        <v>481</v>
      </c>
      <c r="B483" t="s">
        <v>1386</v>
      </c>
      <c r="C483" t="s">
        <v>1810</v>
      </c>
      <c r="D483">
        <v>87.35</v>
      </c>
      <c r="E483" s="1">
        <v>45196</v>
      </c>
      <c r="F483" s="1" t="str">
        <f>TEXT(Sheet1[[#This Row],[Fecha ingreso]],"mmmm")</f>
        <v>septiembre</v>
      </c>
      <c r="G483" s="2">
        <f>YEAR(Sheet1[[#This Row],[Fecha ingreso]])</f>
        <v>2023</v>
      </c>
      <c r="H483" s="1" t="str">
        <f>TEXT(Sheet1[[#This Row],[Fecha ingreso]],"dddd")</f>
        <v>miércoles</v>
      </c>
      <c r="I483" s="1">
        <v>45442</v>
      </c>
      <c r="J483" s="2">
        <f>DATEDIF(Sheet1[[#This Row],[Fecha ingreso]],Sheet1[[#This Row],[Fecha último pago]],"M")+1</f>
        <v>9</v>
      </c>
      <c r="K483" s="2">
        <f>Sheet1[[#This Row],[Ingresos mensuales]]*Sheet1[[#This Row],[Meses contratados]]</f>
        <v>786.15</v>
      </c>
      <c r="L483" t="s">
        <v>1814</v>
      </c>
      <c r="M483">
        <v>65</v>
      </c>
      <c r="N483" t="s">
        <v>1822</v>
      </c>
      <c r="O483" t="s">
        <v>1824</v>
      </c>
      <c r="P483" t="s">
        <v>1828</v>
      </c>
      <c r="Q483" cm="1">
        <f t="array" ref="Q483">_xlfn.IFS(P483="2 Years", 24,P483="1 Year",12, P483="6 Months",6, P483="1 Month",1)</f>
        <v>6</v>
      </c>
      <c r="R483" t="str" cm="1">
        <f t="array" ref="R483">_xlfn.IFS(Q483=1,"Mensual",Q483=6,"Semestral",Q483=12,"Anual",Q483=24,"Bienal")</f>
        <v>Semestral</v>
      </c>
      <c r="S483">
        <f>IFERROR(VLOOKUP(Sheet1[[#This Row],[ID usuario]],A484:$A$907,1,FALSE),0)</f>
        <v>0</v>
      </c>
    </row>
    <row r="484" spans="1:19" x14ac:dyDescent="0.25">
      <c r="A484" t="s">
        <v>482</v>
      </c>
      <c r="B484" t="s">
        <v>1387</v>
      </c>
      <c r="C484" t="s">
        <v>1811</v>
      </c>
      <c r="D484">
        <v>82.53</v>
      </c>
      <c r="E484" s="1">
        <v>45435</v>
      </c>
      <c r="F484" s="1" t="str">
        <f>TEXT(Sheet1[[#This Row],[Fecha ingreso]],"mmmm")</f>
        <v>mayo</v>
      </c>
      <c r="G484" s="2">
        <f>YEAR(Sheet1[[#This Row],[Fecha ingreso]])</f>
        <v>2024</v>
      </c>
      <c r="H484" s="1" t="str">
        <f>TEXT(Sheet1[[#This Row],[Fecha ingreso]],"dddd")</f>
        <v>jueves</v>
      </c>
      <c r="I484" s="1">
        <v>45460</v>
      </c>
      <c r="J484" s="2">
        <f>DATEDIF(Sheet1[[#This Row],[Fecha ingreso]],Sheet1[[#This Row],[Fecha último pago]],"M")+1</f>
        <v>1</v>
      </c>
      <c r="K484" s="2">
        <f>Sheet1[[#This Row],[Ingresos mensuales]]*Sheet1[[#This Row],[Meses contratados]]</f>
        <v>82.53</v>
      </c>
      <c r="L484" t="s">
        <v>1814</v>
      </c>
      <c r="M484">
        <v>23</v>
      </c>
      <c r="N484" t="s">
        <v>1821</v>
      </c>
      <c r="O484" t="s">
        <v>1823</v>
      </c>
      <c r="P484" t="s">
        <v>1829</v>
      </c>
      <c r="Q484" cm="1">
        <f t="array" ref="Q484">_xlfn.IFS(P484="2 Years", 24,P484="1 Year",12, P484="6 Months",6, P484="1 Month",1)</f>
        <v>1</v>
      </c>
      <c r="R484" t="str" cm="1">
        <f t="array" ref="R484">_xlfn.IFS(Q484=1,"Mensual",Q484=6,"Semestral",Q484=12,"Anual",Q484=24,"Bienal")</f>
        <v>Mensual</v>
      </c>
      <c r="S484">
        <f>IFERROR(VLOOKUP(Sheet1[[#This Row],[ID usuario]],A485:$A$907,1,FALSE),0)</f>
        <v>0</v>
      </c>
    </row>
    <row r="485" spans="1:19" x14ac:dyDescent="0.25">
      <c r="A485" t="s">
        <v>483</v>
      </c>
      <c r="B485" t="s">
        <v>1388</v>
      </c>
      <c r="C485" t="s">
        <v>1812</v>
      </c>
      <c r="D485">
        <v>91.59</v>
      </c>
      <c r="E485" s="1">
        <v>45052</v>
      </c>
      <c r="F485" s="1" t="str">
        <f>TEXT(Sheet1[[#This Row],[Fecha ingreso]],"mmmm")</f>
        <v>mayo</v>
      </c>
      <c r="G485" s="2">
        <f>YEAR(Sheet1[[#This Row],[Fecha ingreso]])</f>
        <v>2023</v>
      </c>
      <c r="H485" s="1" t="str">
        <f>TEXT(Sheet1[[#This Row],[Fecha ingreso]],"dddd")</f>
        <v>sábado</v>
      </c>
      <c r="I485" s="1">
        <v>45285</v>
      </c>
      <c r="J485" s="2">
        <f>DATEDIF(Sheet1[[#This Row],[Fecha ingreso]],Sheet1[[#This Row],[Fecha último pago]],"M")+1</f>
        <v>8</v>
      </c>
      <c r="K485" s="2">
        <f>Sheet1[[#This Row],[Ingresos mensuales]]*Sheet1[[#This Row],[Meses contratados]]</f>
        <v>732.72</v>
      </c>
      <c r="L485" t="s">
        <v>1818</v>
      </c>
      <c r="M485">
        <v>59</v>
      </c>
      <c r="N485" t="s">
        <v>1821</v>
      </c>
      <c r="O485" t="s">
        <v>1823</v>
      </c>
      <c r="P485" t="s">
        <v>1829</v>
      </c>
      <c r="Q485" cm="1">
        <f t="array" ref="Q485">_xlfn.IFS(P485="2 Years", 24,P485="1 Year",12, P485="6 Months",6, P485="1 Month",1)</f>
        <v>1</v>
      </c>
      <c r="R485" t="str" cm="1">
        <f t="array" ref="R485">_xlfn.IFS(Q485=1,"Mensual",Q485=6,"Semestral",Q485=12,"Anual",Q485=24,"Bienal")</f>
        <v>Mensual</v>
      </c>
      <c r="S485">
        <f>IFERROR(VLOOKUP(Sheet1[[#This Row],[ID usuario]],A486:$A$907,1,FALSE),0)</f>
        <v>0</v>
      </c>
    </row>
    <row r="486" spans="1:19" x14ac:dyDescent="0.25">
      <c r="A486" t="s">
        <v>484</v>
      </c>
      <c r="B486" t="s">
        <v>1389</v>
      </c>
      <c r="C486" t="s">
        <v>1811</v>
      </c>
      <c r="D486">
        <v>31.25</v>
      </c>
      <c r="E486" s="1">
        <v>45038</v>
      </c>
      <c r="F486" s="1" t="str">
        <f>TEXT(Sheet1[[#This Row],[Fecha ingreso]],"mmmm")</f>
        <v>abril</v>
      </c>
      <c r="G486" s="2">
        <f>YEAR(Sheet1[[#This Row],[Fecha ingreso]])</f>
        <v>2023</v>
      </c>
      <c r="H486" s="1" t="str">
        <f>TEXT(Sheet1[[#This Row],[Fecha ingreso]],"dddd")</f>
        <v>sábado</v>
      </c>
      <c r="I486" s="1">
        <v>45164</v>
      </c>
      <c r="J486" s="2">
        <f>DATEDIF(Sheet1[[#This Row],[Fecha ingreso]],Sheet1[[#This Row],[Fecha último pago]],"M")+1</f>
        <v>5</v>
      </c>
      <c r="K486" s="2">
        <f>Sheet1[[#This Row],[Ingresos mensuales]]*Sheet1[[#This Row],[Meses contratados]]</f>
        <v>156.25</v>
      </c>
      <c r="L486" t="s">
        <v>1816</v>
      </c>
      <c r="M486">
        <v>66</v>
      </c>
      <c r="N486" t="s">
        <v>1820</v>
      </c>
      <c r="O486" t="s">
        <v>1824</v>
      </c>
      <c r="P486" t="s">
        <v>1827</v>
      </c>
      <c r="Q486" cm="1">
        <f t="array" ref="Q486">_xlfn.IFS(P486="2 Years", 24,P486="1 Year",12, P486="6 Months",6, P486="1 Month",1)</f>
        <v>12</v>
      </c>
      <c r="R486" t="str" cm="1">
        <f t="array" ref="R486">_xlfn.IFS(Q486=1,"Mensual",Q486=6,"Semestral",Q486=12,"Anual",Q486=24,"Bienal")</f>
        <v>Anual</v>
      </c>
      <c r="S486">
        <f>IFERROR(VLOOKUP(Sheet1[[#This Row],[ID usuario]],A487:$A$907,1,FALSE),0)</f>
        <v>0</v>
      </c>
    </row>
    <row r="487" spans="1:19" x14ac:dyDescent="0.25">
      <c r="A487" t="s">
        <v>485</v>
      </c>
      <c r="B487" t="s">
        <v>1390</v>
      </c>
      <c r="C487" t="s">
        <v>1812</v>
      </c>
      <c r="D487">
        <v>40.1</v>
      </c>
      <c r="E487" s="1">
        <v>44371</v>
      </c>
      <c r="F487" s="1" t="str">
        <f>TEXT(Sheet1[[#This Row],[Fecha ingreso]],"mmmm")</f>
        <v>junio</v>
      </c>
      <c r="G487" s="2">
        <f>YEAR(Sheet1[[#This Row],[Fecha ingreso]])</f>
        <v>2021</v>
      </c>
      <c r="H487" s="1" t="str">
        <f>TEXT(Sheet1[[#This Row],[Fecha ingreso]],"dddd")</f>
        <v>jueves</v>
      </c>
      <c r="I487" s="1">
        <v>45283</v>
      </c>
      <c r="J487" s="2">
        <f>DATEDIF(Sheet1[[#This Row],[Fecha ingreso]],Sheet1[[#This Row],[Fecha último pago]],"M")+1</f>
        <v>30</v>
      </c>
      <c r="K487" s="2">
        <f>Sheet1[[#This Row],[Ingresos mensuales]]*Sheet1[[#This Row],[Meses contratados]]</f>
        <v>1203</v>
      </c>
      <c r="L487" t="s">
        <v>1818</v>
      </c>
      <c r="M487">
        <v>56</v>
      </c>
      <c r="N487" t="s">
        <v>1820</v>
      </c>
      <c r="O487" t="s">
        <v>1823</v>
      </c>
      <c r="P487" t="s">
        <v>1826</v>
      </c>
      <c r="Q487" cm="1">
        <f t="array" ref="Q487">_xlfn.IFS(P487="2 Years", 24,P487="1 Year",12, P487="6 Months",6, P487="1 Month",1)</f>
        <v>24</v>
      </c>
      <c r="R487" t="str" cm="1">
        <f t="array" ref="R487">_xlfn.IFS(Q487=1,"Mensual",Q487=6,"Semestral",Q487=12,"Anual",Q487=24,"Bienal")</f>
        <v>Bienal</v>
      </c>
      <c r="S487">
        <f>IFERROR(VLOOKUP(Sheet1[[#This Row],[ID usuario]],A488:$A$907,1,FALSE),0)</f>
        <v>0</v>
      </c>
    </row>
    <row r="488" spans="1:19" x14ac:dyDescent="0.25">
      <c r="A488" t="s">
        <v>486</v>
      </c>
      <c r="B488" t="s">
        <v>1391</v>
      </c>
      <c r="C488" t="s">
        <v>1812</v>
      </c>
      <c r="D488">
        <v>58.24</v>
      </c>
      <c r="E488" s="1">
        <v>44650</v>
      </c>
      <c r="F488" s="1" t="str">
        <f>TEXT(Sheet1[[#This Row],[Fecha ingreso]],"mmmm")</f>
        <v>marzo</v>
      </c>
      <c r="G488" s="2">
        <f>YEAR(Sheet1[[#This Row],[Fecha ingreso]])</f>
        <v>2022</v>
      </c>
      <c r="H488" s="1" t="str">
        <f>TEXT(Sheet1[[#This Row],[Fecha ingreso]],"dddd")</f>
        <v>miércoles</v>
      </c>
      <c r="I488" s="1">
        <v>44743</v>
      </c>
      <c r="J488" s="2">
        <f>DATEDIF(Sheet1[[#This Row],[Fecha ingreso]],Sheet1[[#This Row],[Fecha último pago]],"M")+1</f>
        <v>4</v>
      </c>
      <c r="K488" s="2">
        <f>Sheet1[[#This Row],[Ingresos mensuales]]*Sheet1[[#This Row],[Meses contratados]]</f>
        <v>232.96</v>
      </c>
      <c r="L488" t="s">
        <v>1813</v>
      </c>
      <c r="M488">
        <v>22</v>
      </c>
      <c r="N488" t="s">
        <v>1821</v>
      </c>
      <c r="O488" t="s">
        <v>1824</v>
      </c>
      <c r="P488" t="s">
        <v>1829</v>
      </c>
      <c r="Q488" cm="1">
        <f t="array" ref="Q488">_xlfn.IFS(P488="2 Years", 24,P488="1 Year",12, P488="6 Months",6, P488="1 Month",1)</f>
        <v>1</v>
      </c>
      <c r="R488" t="str" cm="1">
        <f t="array" ref="R488">_xlfn.IFS(Q488=1,"Mensual",Q488=6,"Semestral",Q488=12,"Anual",Q488=24,"Bienal")</f>
        <v>Mensual</v>
      </c>
      <c r="S488">
        <f>IFERROR(VLOOKUP(Sheet1[[#This Row],[ID usuario]],A489:$A$907,1,FALSE),0)</f>
        <v>0</v>
      </c>
    </row>
    <row r="489" spans="1:19" x14ac:dyDescent="0.25">
      <c r="A489" t="s">
        <v>487</v>
      </c>
      <c r="B489" t="s">
        <v>1392</v>
      </c>
      <c r="C489" t="s">
        <v>1811</v>
      </c>
      <c r="D489">
        <v>68.48</v>
      </c>
      <c r="E489" s="1">
        <v>45203</v>
      </c>
      <c r="F489" s="1" t="str">
        <f>TEXT(Sheet1[[#This Row],[Fecha ingreso]],"mmmm")</f>
        <v>octubre</v>
      </c>
      <c r="G489" s="2">
        <f>YEAR(Sheet1[[#This Row],[Fecha ingreso]])</f>
        <v>2023</v>
      </c>
      <c r="H489" s="1" t="str">
        <f>TEXT(Sheet1[[#This Row],[Fecha ingreso]],"dddd")</f>
        <v>miércoles</v>
      </c>
      <c r="I489" s="1">
        <v>45443</v>
      </c>
      <c r="J489" s="2">
        <f>DATEDIF(Sheet1[[#This Row],[Fecha ingreso]],Sheet1[[#This Row],[Fecha último pago]],"M")+1</f>
        <v>8</v>
      </c>
      <c r="K489" s="2">
        <f>Sheet1[[#This Row],[Ingresos mensuales]]*Sheet1[[#This Row],[Meses contratados]]</f>
        <v>547.84</v>
      </c>
      <c r="L489" t="s">
        <v>1817</v>
      </c>
      <c r="M489">
        <v>67</v>
      </c>
      <c r="N489" t="s">
        <v>1820</v>
      </c>
      <c r="O489" t="s">
        <v>1823</v>
      </c>
      <c r="P489" t="s">
        <v>1828</v>
      </c>
      <c r="Q489" cm="1">
        <f t="array" ref="Q489">_xlfn.IFS(P489="2 Years", 24,P489="1 Year",12, P489="6 Months",6, P489="1 Month",1)</f>
        <v>6</v>
      </c>
      <c r="R489" t="str" cm="1">
        <f t="array" ref="R489">_xlfn.IFS(Q489=1,"Mensual",Q489=6,"Semestral",Q489=12,"Anual",Q489=24,"Bienal")</f>
        <v>Semestral</v>
      </c>
      <c r="S489">
        <f>IFERROR(VLOOKUP(Sheet1[[#This Row],[ID usuario]],A490:$A$907,1,FALSE),0)</f>
        <v>0</v>
      </c>
    </row>
    <row r="490" spans="1:19" x14ac:dyDescent="0.25">
      <c r="A490" t="s">
        <v>488</v>
      </c>
      <c r="B490" t="s">
        <v>1393</v>
      </c>
      <c r="C490" t="s">
        <v>1812</v>
      </c>
      <c r="D490">
        <v>32.24</v>
      </c>
      <c r="E490" s="1">
        <v>44969</v>
      </c>
      <c r="F490" s="1" t="str">
        <f>TEXT(Sheet1[[#This Row],[Fecha ingreso]],"mmmm")</f>
        <v>febrero</v>
      </c>
      <c r="G490" s="2">
        <f>YEAR(Sheet1[[#This Row],[Fecha ingreso]])</f>
        <v>2023</v>
      </c>
      <c r="H490" s="1" t="str">
        <f>TEXT(Sheet1[[#This Row],[Fecha ingreso]],"dddd")</f>
        <v>domingo</v>
      </c>
      <c r="I490" s="1">
        <v>45111</v>
      </c>
      <c r="J490" s="2">
        <f>DATEDIF(Sheet1[[#This Row],[Fecha ingreso]],Sheet1[[#This Row],[Fecha último pago]],"M")+1</f>
        <v>5</v>
      </c>
      <c r="K490" s="2">
        <f>Sheet1[[#This Row],[Ingresos mensuales]]*Sheet1[[#This Row],[Meses contratados]]</f>
        <v>161.20000000000002</v>
      </c>
      <c r="L490" t="s">
        <v>1817</v>
      </c>
      <c r="M490">
        <v>29</v>
      </c>
      <c r="N490" t="s">
        <v>1820</v>
      </c>
      <c r="O490" t="s">
        <v>1824</v>
      </c>
      <c r="P490" t="s">
        <v>1829</v>
      </c>
      <c r="Q490" cm="1">
        <f t="array" ref="Q490">_xlfn.IFS(P490="2 Years", 24,P490="1 Year",12, P490="6 Months",6, P490="1 Month",1)</f>
        <v>1</v>
      </c>
      <c r="R490" t="str" cm="1">
        <f t="array" ref="R490">_xlfn.IFS(Q490=1,"Mensual",Q490=6,"Semestral",Q490=12,"Anual",Q490=24,"Bienal")</f>
        <v>Mensual</v>
      </c>
      <c r="S490">
        <f>IFERROR(VLOOKUP(Sheet1[[#This Row],[ID usuario]],A491:$A$907,1,FALSE),0)</f>
        <v>0</v>
      </c>
    </row>
    <row r="491" spans="1:19" x14ac:dyDescent="0.25">
      <c r="A491" t="s">
        <v>489</v>
      </c>
      <c r="B491" t="s">
        <v>1394</v>
      </c>
      <c r="C491" t="s">
        <v>1812</v>
      </c>
      <c r="D491">
        <v>6.85</v>
      </c>
      <c r="E491" s="1">
        <v>44724</v>
      </c>
      <c r="F491" s="1" t="str">
        <f>TEXT(Sheet1[[#This Row],[Fecha ingreso]],"mmmm")</f>
        <v>junio</v>
      </c>
      <c r="G491" s="2">
        <f>YEAR(Sheet1[[#This Row],[Fecha ingreso]])</f>
        <v>2022</v>
      </c>
      <c r="H491" s="1" t="str">
        <f>TEXT(Sheet1[[#This Row],[Fecha ingreso]],"dddd")</f>
        <v>domingo</v>
      </c>
      <c r="I491" s="1">
        <v>44926</v>
      </c>
      <c r="J491" s="2">
        <f>DATEDIF(Sheet1[[#This Row],[Fecha ingreso]],Sheet1[[#This Row],[Fecha último pago]],"M")+1</f>
        <v>7</v>
      </c>
      <c r="K491" s="2">
        <f>Sheet1[[#This Row],[Ingresos mensuales]]*Sheet1[[#This Row],[Meses contratados]]</f>
        <v>47.949999999999996</v>
      </c>
      <c r="L491" t="s">
        <v>1817</v>
      </c>
      <c r="M491">
        <v>57</v>
      </c>
      <c r="N491" t="s">
        <v>1820</v>
      </c>
      <c r="O491" t="s">
        <v>1825</v>
      </c>
      <c r="P491" t="s">
        <v>1826</v>
      </c>
      <c r="Q491" cm="1">
        <f t="array" ref="Q491">_xlfn.IFS(P491="2 Years", 24,P491="1 Year",12, P491="6 Months",6, P491="1 Month",1)</f>
        <v>24</v>
      </c>
      <c r="R491" t="str" cm="1">
        <f t="array" ref="R491">_xlfn.IFS(Q491=1,"Mensual",Q491=6,"Semestral",Q491=12,"Anual",Q491=24,"Bienal")</f>
        <v>Bienal</v>
      </c>
      <c r="S491">
        <f>IFERROR(VLOOKUP(Sheet1[[#This Row],[ID usuario]],A492:$A$907,1,FALSE),0)</f>
        <v>0</v>
      </c>
    </row>
    <row r="492" spans="1:19" x14ac:dyDescent="0.25">
      <c r="A492" t="s">
        <v>490</v>
      </c>
      <c r="B492" t="s">
        <v>1395</v>
      </c>
      <c r="C492" t="s">
        <v>1812</v>
      </c>
      <c r="D492">
        <v>42.93</v>
      </c>
      <c r="E492" s="1">
        <v>44956</v>
      </c>
      <c r="F492" s="1" t="str">
        <f>TEXT(Sheet1[[#This Row],[Fecha ingreso]],"mmmm")</f>
        <v>enero</v>
      </c>
      <c r="G492" s="2">
        <f>YEAR(Sheet1[[#This Row],[Fecha ingreso]])</f>
        <v>2023</v>
      </c>
      <c r="H492" s="1" t="str">
        <f>TEXT(Sheet1[[#This Row],[Fecha ingreso]],"dddd")</f>
        <v>lunes</v>
      </c>
      <c r="I492" s="1">
        <v>45240</v>
      </c>
      <c r="J492" s="2">
        <f>DATEDIF(Sheet1[[#This Row],[Fecha ingreso]],Sheet1[[#This Row],[Fecha último pago]],"M")+1</f>
        <v>10</v>
      </c>
      <c r="K492" s="2">
        <f>Sheet1[[#This Row],[Ingresos mensuales]]*Sheet1[[#This Row],[Meses contratados]]</f>
        <v>429.3</v>
      </c>
      <c r="L492" t="s">
        <v>1816</v>
      </c>
      <c r="M492">
        <v>47</v>
      </c>
      <c r="N492" t="s">
        <v>1820</v>
      </c>
      <c r="O492" t="s">
        <v>1825</v>
      </c>
      <c r="P492" t="s">
        <v>1826</v>
      </c>
      <c r="Q492" cm="1">
        <f t="array" ref="Q492">_xlfn.IFS(P492="2 Years", 24,P492="1 Year",12, P492="6 Months",6, P492="1 Month",1)</f>
        <v>24</v>
      </c>
      <c r="R492" t="str" cm="1">
        <f t="array" ref="R492">_xlfn.IFS(Q492=1,"Mensual",Q492=6,"Semestral",Q492=12,"Anual",Q492=24,"Bienal")</f>
        <v>Bienal</v>
      </c>
      <c r="S492">
        <f>IFERROR(VLOOKUP(Sheet1[[#This Row],[ID usuario]],A493:$A$907,1,FALSE),0)</f>
        <v>0</v>
      </c>
    </row>
    <row r="493" spans="1:19" x14ac:dyDescent="0.25">
      <c r="A493" t="s">
        <v>491</v>
      </c>
      <c r="B493" t="s">
        <v>1396</v>
      </c>
      <c r="C493" t="s">
        <v>1812</v>
      </c>
      <c r="D493">
        <v>34.31</v>
      </c>
      <c r="E493" s="1">
        <v>45133</v>
      </c>
      <c r="F493" s="1" t="str">
        <f>TEXT(Sheet1[[#This Row],[Fecha ingreso]],"mmmm")</f>
        <v>julio</v>
      </c>
      <c r="G493" s="2">
        <f>YEAR(Sheet1[[#This Row],[Fecha ingreso]])</f>
        <v>2023</v>
      </c>
      <c r="H493" s="1" t="str">
        <f>TEXT(Sheet1[[#This Row],[Fecha ingreso]],"dddd")</f>
        <v>miércoles</v>
      </c>
      <c r="I493" s="1">
        <v>45346</v>
      </c>
      <c r="J493" s="2">
        <f>DATEDIF(Sheet1[[#This Row],[Fecha ingreso]],Sheet1[[#This Row],[Fecha último pago]],"M")+1</f>
        <v>7</v>
      </c>
      <c r="K493" s="2">
        <f>Sheet1[[#This Row],[Ingresos mensuales]]*Sheet1[[#This Row],[Meses contratados]]</f>
        <v>240.17000000000002</v>
      </c>
      <c r="L493" t="s">
        <v>1817</v>
      </c>
      <c r="M493">
        <v>61</v>
      </c>
      <c r="N493" t="s">
        <v>1820</v>
      </c>
      <c r="O493" t="s">
        <v>1824</v>
      </c>
      <c r="P493" t="s">
        <v>1829</v>
      </c>
      <c r="Q493" cm="1">
        <f t="array" ref="Q493">_xlfn.IFS(P493="2 Years", 24,P493="1 Year",12, P493="6 Months",6, P493="1 Month",1)</f>
        <v>1</v>
      </c>
      <c r="R493" t="str" cm="1">
        <f t="array" ref="R493">_xlfn.IFS(Q493=1,"Mensual",Q493=6,"Semestral",Q493=12,"Anual",Q493=24,"Bienal")</f>
        <v>Mensual</v>
      </c>
      <c r="S493">
        <f>IFERROR(VLOOKUP(Sheet1[[#This Row],[ID usuario]],A494:$A$907,1,FALSE),0)</f>
        <v>0</v>
      </c>
    </row>
    <row r="494" spans="1:19" x14ac:dyDescent="0.25">
      <c r="A494" t="s">
        <v>492</v>
      </c>
      <c r="B494" t="s">
        <v>1397</v>
      </c>
      <c r="C494" t="s">
        <v>1810</v>
      </c>
      <c r="D494">
        <v>94.51</v>
      </c>
      <c r="E494" s="1">
        <v>45457</v>
      </c>
      <c r="F494" s="1" t="str">
        <f>TEXT(Sheet1[[#This Row],[Fecha ingreso]],"mmmm")</f>
        <v>junio</v>
      </c>
      <c r="G494" s="2">
        <f>YEAR(Sheet1[[#This Row],[Fecha ingreso]])</f>
        <v>2024</v>
      </c>
      <c r="H494" s="1" t="str">
        <f>TEXT(Sheet1[[#This Row],[Fecha ingreso]],"dddd")</f>
        <v>viernes</v>
      </c>
      <c r="I494" s="1">
        <v>45458</v>
      </c>
      <c r="J494" s="2">
        <f>DATEDIF(Sheet1[[#This Row],[Fecha ingreso]],Sheet1[[#This Row],[Fecha último pago]],"M")+1</f>
        <v>1</v>
      </c>
      <c r="K494" s="2">
        <f>Sheet1[[#This Row],[Ingresos mensuales]]*Sheet1[[#This Row],[Meses contratados]]</f>
        <v>94.51</v>
      </c>
      <c r="L494" t="s">
        <v>1815</v>
      </c>
      <c r="M494">
        <v>63</v>
      </c>
      <c r="N494" t="s">
        <v>1820</v>
      </c>
      <c r="O494" t="s">
        <v>1823</v>
      </c>
      <c r="P494" t="s">
        <v>1827</v>
      </c>
      <c r="Q494" cm="1">
        <f t="array" ref="Q494">_xlfn.IFS(P494="2 Years", 24,P494="1 Year",12, P494="6 Months",6, P494="1 Month",1)</f>
        <v>12</v>
      </c>
      <c r="R494" t="str" cm="1">
        <f t="array" ref="R494">_xlfn.IFS(Q494=1,"Mensual",Q494=6,"Semestral",Q494=12,"Anual",Q494=24,"Bienal")</f>
        <v>Anual</v>
      </c>
      <c r="S494">
        <f>IFERROR(VLOOKUP(Sheet1[[#This Row],[ID usuario]],A495:$A$907,1,FALSE),0)</f>
        <v>0</v>
      </c>
    </row>
    <row r="495" spans="1:19" x14ac:dyDescent="0.25">
      <c r="A495" t="s">
        <v>493</v>
      </c>
      <c r="B495" t="s">
        <v>1398</v>
      </c>
      <c r="C495" t="s">
        <v>1812</v>
      </c>
      <c r="D495">
        <v>89.39</v>
      </c>
      <c r="E495" s="1">
        <v>44911</v>
      </c>
      <c r="F495" s="1" t="str">
        <f>TEXT(Sheet1[[#This Row],[Fecha ingreso]],"mmmm")</f>
        <v>diciembre</v>
      </c>
      <c r="G495" s="2">
        <f>YEAR(Sheet1[[#This Row],[Fecha ingreso]])</f>
        <v>2022</v>
      </c>
      <c r="H495" s="1" t="str">
        <f>TEXT(Sheet1[[#This Row],[Fecha ingreso]],"dddd")</f>
        <v>viernes</v>
      </c>
      <c r="I495" s="1">
        <v>45193</v>
      </c>
      <c r="J495" s="2">
        <f>DATEDIF(Sheet1[[#This Row],[Fecha ingreso]],Sheet1[[#This Row],[Fecha último pago]],"M")+1</f>
        <v>10</v>
      </c>
      <c r="K495" s="2">
        <f>Sheet1[[#This Row],[Ingresos mensuales]]*Sheet1[[#This Row],[Meses contratados]]</f>
        <v>893.9</v>
      </c>
      <c r="L495" t="s">
        <v>1816</v>
      </c>
      <c r="M495">
        <v>29</v>
      </c>
      <c r="N495" t="s">
        <v>1820</v>
      </c>
      <c r="O495" t="s">
        <v>1824</v>
      </c>
      <c r="P495" t="s">
        <v>1829</v>
      </c>
      <c r="Q495" cm="1">
        <f t="array" ref="Q495">_xlfn.IFS(P495="2 Years", 24,P495="1 Year",12, P495="6 Months",6, P495="1 Month",1)</f>
        <v>1</v>
      </c>
      <c r="R495" t="str" cm="1">
        <f t="array" ref="R495">_xlfn.IFS(Q495=1,"Mensual",Q495=6,"Semestral",Q495=12,"Anual",Q495=24,"Bienal")</f>
        <v>Mensual</v>
      </c>
      <c r="S495">
        <f>IFERROR(VLOOKUP(Sheet1[[#This Row],[ID usuario]],A496:$A$907,1,FALSE),0)</f>
        <v>0</v>
      </c>
    </row>
    <row r="496" spans="1:19" x14ac:dyDescent="0.25">
      <c r="A496" t="s">
        <v>494</v>
      </c>
      <c r="B496" t="s">
        <v>1399</v>
      </c>
      <c r="C496" t="s">
        <v>1812</v>
      </c>
      <c r="D496">
        <v>86.73</v>
      </c>
      <c r="E496" s="1">
        <v>44590</v>
      </c>
      <c r="F496" s="1" t="str">
        <f>TEXT(Sheet1[[#This Row],[Fecha ingreso]],"mmmm")</f>
        <v>enero</v>
      </c>
      <c r="G496" s="2">
        <f>YEAR(Sheet1[[#This Row],[Fecha ingreso]])</f>
        <v>2022</v>
      </c>
      <c r="H496" s="1" t="str">
        <f>TEXT(Sheet1[[#This Row],[Fecha ingreso]],"dddd")</f>
        <v>sábado</v>
      </c>
      <c r="I496" s="1">
        <v>45078</v>
      </c>
      <c r="J496" s="2">
        <f>DATEDIF(Sheet1[[#This Row],[Fecha ingreso]],Sheet1[[#This Row],[Fecha último pago]],"M")+1</f>
        <v>17</v>
      </c>
      <c r="K496" s="2">
        <f>Sheet1[[#This Row],[Ingresos mensuales]]*Sheet1[[#This Row],[Meses contratados]]</f>
        <v>1474.41</v>
      </c>
      <c r="L496" t="s">
        <v>1816</v>
      </c>
      <c r="M496">
        <v>60</v>
      </c>
      <c r="N496" t="s">
        <v>1822</v>
      </c>
      <c r="O496" t="s">
        <v>1825</v>
      </c>
      <c r="P496" t="s">
        <v>1827</v>
      </c>
      <c r="Q496" cm="1">
        <f t="array" ref="Q496">_xlfn.IFS(P496="2 Years", 24,P496="1 Year",12, P496="6 Months",6, P496="1 Month",1)</f>
        <v>12</v>
      </c>
      <c r="R496" t="str" cm="1">
        <f t="array" ref="R496">_xlfn.IFS(Q496=1,"Mensual",Q496=6,"Semestral",Q496=12,"Anual",Q496=24,"Bienal")</f>
        <v>Anual</v>
      </c>
      <c r="S496">
        <f>IFERROR(VLOOKUP(Sheet1[[#This Row],[ID usuario]],A497:$A$907,1,FALSE),0)</f>
        <v>0</v>
      </c>
    </row>
    <row r="497" spans="1:19" x14ac:dyDescent="0.25">
      <c r="A497" t="s">
        <v>495</v>
      </c>
      <c r="B497" t="s">
        <v>1400</v>
      </c>
      <c r="C497" t="s">
        <v>1812</v>
      </c>
      <c r="D497">
        <v>67.03</v>
      </c>
      <c r="E497" s="1">
        <v>44943</v>
      </c>
      <c r="F497" s="1" t="str">
        <f>TEXT(Sheet1[[#This Row],[Fecha ingreso]],"mmmm")</f>
        <v>enero</v>
      </c>
      <c r="G497" s="2">
        <f>YEAR(Sheet1[[#This Row],[Fecha ingreso]])</f>
        <v>2023</v>
      </c>
      <c r="H497" s="1" t="str">
        <f>TEXT(Sheet1[[#This Row],[Fecha ingreso]],"dddd")</f>
        <v>martes</v>
      </c>
      <c r="I497" s="1">
        <v>45041</v>
      </c>
      <c r="J497" s="2">
        <f>DATEDIF(Sheet1[[#This Row],[Fecha ingreso]],Sheet1[[#This Row],[Fecha último pago]],"M")+1</f>
        <v>4</v>
      </c>
      <c r="K497" s="2">
        <f>Sheet1[[#This Row],[Ingresos mensuales]]*Sheet1[[#This Row],[Meses contratados]]</f>
        <v>268.12</v>
      </c>
      <c r="L497" t="s">
        <v>1817</v>
      </c>
      <c r="M497">
        <v>50</v>
      </c>
      <c r="N497" t="s">
        <v>1821</v>
      </c>
      <c r="O497" t="s">
        <v>1825</v>
      </c>
      <c r="P497" t="s">
        <v>1827</v>
      </c>
      <c r="Q497" cm="1">
        <f t="array" ref="Q497">_xlfn.IFS(P497="2 Years", 24,P497="1 Year",12, P497="6 Months",6, P497="1 Month",1)</f>
        <v>12</v>
      </c>
      <c r="R497" t="str" cm="1">
        <f t="array" ref="R497">_xlfn.IFS(Q497=1,"Mensual",Q497=6,"Semestral",Q497=12,"Anual",Q497=24,"Bienal")</f>
        <v>Anual</v>
      </c>
      <c r="S497">
        <f>IFERROR(VLOOKUP(Sheet1[[#This Row],[ID usuario]],A498:$A$907,1,FALSE),0)</f>
        <v>0</v>
      </c>
    </row>
    <row r="498" spans="1:19" x14ac:dyDescent="0.25">
      <c r="A498" t="s">
        <v>496</v>
      </c>
      <c r="B498" t="s">
        <v>1401</v>
      </c>
      <c r="C498" t="s">
        <v>1812</v>
      </c>
      <c r="D498">
        <v>37.71</v>
      </c>
      <c r="E498" s="1">
        <v>44984</v>
      </c>
      <c r="F498" s="1" t="str">
        <f>TEXT(Sheet1[[#This Row],[Fecha ingreso]],"mmmm")</f>
        <v>febrero</v>
      </c>
      <c r="G498" s="2">
        <f>YEAR(Sheet1[[#This Row],[Fecha ingreso]])</f>
        <v>2023</v>
      </c>
      <c r="H498" s="1" t="str">
        <f>TEXT(Sheet1[[#This Row],[Fecha ingreso]],"dddd")</f>
        <v>lunes</v>
      </c>
      <c r="I498" s="1">
        <v>44990</v>
      </c>
      <c r="J498" s="2">
        <f>DATEDIF(Sheet1[[#This Row],[Fecha ingreso]],Sheet1[[#This Row],[Fecha último pago]],"M")+1</f>
        <v>1</v>
      </c>
      <c r="K498" s="2">
        <f>Sheet1[[#This Row],[Ingresos mensuales]]*Sheet1[[#This Row],[Meses contratados]]</f>
        <v>37.71</v>
      </c>
      <c r="L498" t="s">
        <v>1818</v>
      </c>
      <c r="M498">
        <v>19</v>
      </c>
      <c r="N498" t="s">
        <v>1821</v>
      </c>
      <c r="O498" t="s">
        <v>1824</v>
      </c>
      <c r="P498" t="s">
        <v>1829</v>
      </c>
      <c r="Q498" cm="1">
        <f t="array" ref="Q498">_xlfn.IFS(P498="2 Years", 24,P498="1 Year",12, P498="6 Months",6, P498="1 Month",1)</f>
        <v>1</v>
      </c>
      <c r="R498" t="str" cm="1">
        <f t="array" ref="R498">_xlfn.IFS(Q498=1,"Mensual",Q498=6,"Semestral",Q498=12,"Anual",Q498=24,"Bienal")</f>
        <v>Mensual</v>
      </c>
      <c r="S498">
        <f>IFERROR(VLOOKUP(Sheet1[[#This Row],[ID usuario]],A499:$A$907,1,FALSE),0)</f>
        <v>0</v>
      </c>
    </row>
    <row r="499" spans="1:19" x14ac:dyDescent="0.25">
      <c r="A499" t="s">
        <v>497</v>
      </c>
      <c r="B499" t="s">
        <v>1402</v>
      </c>
      <c r="C499" t="s">
        <v>1810</v>
      </c>
      <c r="D499">
        <v>57.14</v>
      </c>
      <c r="E499" s="1">
        <v>45263</v>
      </c>
      <c r="F499" s="1" t="str">
        <f>TEXT(Sheet1[[#This Row],[Fecha ingreso]],"mmmm")</f>
        <v>diciembre</v>
      </c>
      <c r="G499" s="2">
        <f>YEAR(Sheet1[[#This Row],[Fecha ingreso]])</f>
        <v>2023</v>
      </c>
      <c r="H499" s="1" t="str">
        <f>TEXT(Sheet1[[#This Row],[Fecha ingreso]],"dddd")</f>
        <v>domingo</v>
      </c>
      <c r="I499" s="1">
        <v>45455</v>
      </c>
      <c r="J499" s="2">
        <f>DATEDIF(Sheet1[[#This Row],[Fecha ingreso]],Sheet1[[#This Row],[Fecha último pago]],"M")+1</f>
        <v>7</v>
      </c>
      <c r="K499" s="2">
        <f>Sheet1[[#This Row],[Ingresos mensuales]]*Sheet1[[#This Row],[Meses contratados]]</f>
        <v>399.98</v>
      </c>
      <c r="L499" t="s">
        <v>1816</v>
      </c>
      <c r="M499">
        <v>62</v>
      </c>
      <c r="N499" t="s">
        <v>1820</v>
      </c>
      <c r="O499" t="s">
        <v>1824</v>
      </c>
      <c r="P499" t="s">
        <v>1827</v>
      </c>
      <c r="Q499" cm="1">
        <f t="array" ref="Q499">_xlfn.IFS(P499="2 Years", 24,P499="1 Year",12, P499="6 Months",6, P499="1 Month",1)</f>
        <v>12</v>
      </c>
      <c r="R499" t="str" cm="1">
        <f t="array" ref="R499">_xlfn.IFS(Q499=1,"Mensual",Q499=6,"Semestral",Q499=12,"Anual",Q499=24,"Bienal")</f>
        <v>Anual</v>
      </c>
      <c r="S499">
        <f>IFERROR(VLOOKUP(Sheet1[[#This Row],[ID usuario]],A500:$A$907,1,FALSE),0)</f>
        <v>0</v>
      </c>
    </row>
    <row r="500" spans="1:19" x14ac:dyDescent="0.25">
      <c r="A500" t="s">
        <v>498</v>
      </c>
      <c r="B500" t="s">
        <v>1403</v>
      </c>
      <c r="C500" t="s">
        <v>1811</v>
      </c>
      <c r="D500">
        <v>82.45</v>
      </c>
      <c r="E500" s="1">
        <v>45023</v>
      </c>
      <c r="F500" s="1" t="str">
        <f>TEXT(Sheet1[[#This Row],[Fecha ingreso]],"mmmm")</f>
        <v>abril</v>
      </c>
      <c r="G500" s="2">
        <f>YEAR(Sheet1[[#This Row],[Fecha ingreso]])</f>
        <v>2023</v>
      </c>
      <c r="H500" s="1" t="str">
        <f>TEXT(Sheet1[[#This Row],[Fecha ingreso]],"dddd")</f>
        <v>viernes</v>
      </c>
      <c r="I500" s="1">
        <v>45290</v>
      </c>
      <c r="J500" s="2">
        <f>DATEDIF(Sheet1[[#This Row],[Fecha ingreso]],Sheet1[[#This Row],[Fecha último pago]],"M")+1</f>
        <v>9</v>
      </c>
      <c r="K500" s="2">
        <f>Sheet1[[#This Row],[Ingresos mensuales]]*Sheet1[[#This Row],[Meses contratados]]</f>
        <v>742.05000000000007</v>
      </c>
      <c r="L500" t="s">
        <v>1818</v>
      </c>
      <c r="M500">
        <v>65</v>
      </c>
      <c r="N500" t="s">
        <v>1821</v>
      </c>
      <c r="O500" t="s">
        <v>1824</v>
      </c>
      <c r="P500" t="s">
        <v>1828</v>
      </c>
      <c r="Q500" cm="1">
        <f t="array" ref="Q500">_xlfn.IFS(P500="2 Years", 24,P500="1 Year",12, P500="6 Months",6, P500="1 Month",1)</f>
        <v>6</v>
      </c>
      <c r="R500" t="str" cm="1">
        <f t="array" ref="R500">_xlfn.IFS(Q500=1,"Mensual",Q500=6,"Semestral",Q500=12,"Anual",Q500=24,"Bienal")</f>
        <v>Semestral</v>
      </c>
      <c r="S500">
        <f>IFERROR(VLOOKUP(Sheet1[[#This Row],[ID usuario]],A501:$A$907,1,FALSE),0)</f>
        <v>0</v>
      </c>
    </row>
    <row r="501" spans="1:19" x14ac:dyDescent="0.25">
      <c r="A501" t="s">
        <v>499</v>
      </c>
      <c r="B501" t="s">
        <v>1404</v>
      </c>
      <c r="C501" t="s">
        <v>1810</v>
      </c>
      <c r="D501">
        <v>14.37</v>
      </c>
      <c r="E501" s="1">
        <v>45450</v>
      </c>
      <c r="F501" s="1" t="str">
        <f>TEXT(Sheet1[[#This Row],[Fecha ingreso]],"mmmm")</f>
        <v>junio</v>
      </c>
      <c r="G501" s="2">
        <f>YEAR(Sheet1[[#This Row],[Fecha ingreso]])</f>
        <v>2024</v>
      </c>
      <c r="H501" s="1" t="str">
        <f>TEXT(Sheet1[[#This Row],[Fecha ingreso]],"dddd")</f>
        <v>viernes</v>
      </c>
      <c r="I501" s="1">
        <v>45451</v>
      </c>
      <c r="J501" s="2">
        <f>DATEDIF(Sheet1[[#This Row],[Fecha ingreso]],Sheet1[[#This Row],[Fecha último pago]],"M")+1</f>
        <v>1</v>
      </c>
      <c r="K501" s="2">
        <f>Sheet1[[#This Row],[Ingresos mensuales]]*Sheet1[[#This Row],[Meses contratados]]</f>
        <v>14.37</v>
      </c>
      <c r="L501" t="s">
        <v>1816</v>
      </c>
      <c r="M501">
        <v>52</v>
      </c>
      <c r="N501" t="s">
        <v>1820</v>
      </c>
      <c r="O501" t="s">
        <v>1823</v>
      </c>
      <c r="P501" t="s">
        <v>1826</v>
      </c>
      <c r="Q501" cm="1">
        <f t="array" ref="Q501">_xlfn.IFS(P501="2 Years", 24,P501="1 Year",12, P501="6 Months",6, P501="1 Month",1)</f>
        <v>24</v>
      </c>
      <c r="R501" t="str" cm="1">
        <f t="array" ref="R501">_xlfn.IFS(Q501=1,"Mensual",Q501=6,"Semestral",Q501=12,"Anual",Q501=24,"Bienal")</f>
        <v>Bienal</v>
      </c>
      <c r="S501">
        <f>IFERROR(VLOOKUP(Sheet1[[#This Row],[ID usuario]],A502:$A$907,1,FALSE),0)</f>
        <v>0</v>
      </c>
    </row>
    <row r="502" spans="1:19" x14ac:dyDescent="0.25">
      <c r="A502" t="s">
        <v>500</v>
      </c>
      <c r="B502" t="s">
        <v>1405</v>
      </c>
      <c r="C502" t="s">
        <v>1812</v>
      </c>
      <c r="D502">
        <v>81.099999999999994</v>
      </c>
      <c r="E502" s="1">
        <v>44702</v>
      </c>
      <c r="F502" s="1" t="str">
        <f>TEXT(Sheet1[[#This Row],[Fecha ingreso]],"mmmm")</f>
        <v>mayo</v>
      </c>
      <c r="G502" s="2">
        <f>YEAR(Sheet1[[#This Row],[Fecha ingreso]])</f>
        <v>2022</v>
      </c>
      <c r="H502" s="1" t="str">
        <f>TEXT(Sheet1[[#This Row],[Fecha ingreso]],"dddd")</f>
        <v>sábado</v>
      </c>
      <c r="I502" s="1">
        <v>44723</v>
      </c>
      <c r="J502" s="2">
        <f>DATEDIF(Sheet1[[#This Row],[Fecha ingreso]],Sheet1[[#This Row],[Fecha último pago]],"M")+1</f>
        <v>1</v>
      </c>
      <c r="K502" s="2">
        <f>Sheet1[[#This Row],[Ingresos mensuales]]*Sheet1[[#This Row],[Meses contratados]]</f>
        <v>81.099999999999994</v>
      </c>
      <c r="L502" t="s">
        <v>1815</v>
      </c>
      <c r="M502">
        <v>60</v>
      </c>
      <c r="N502" t="s">
        <v>1822</v>
      </c>
      <c r="O502" t="s">
        <v>1824</v>
      </c>
      <c r="P502" t="s">
        <v>1826</v>
      </c>
      <c r="Q502" cm="1">
        <f t="array" ref="Q502">_xlfn.IFS(P502="2 Years", 24,P502="1 Year",12, P502="6 Months",6, P502="1 Month",1)</f>
        <v>24</v>
      </c>
      <c r="R502" t="str" cm="1">
        <f t="array" ref="R502">_xlfn.IFS(Q502=1,"Mensual",Q502=6,"Semestral",Q502=12,"Anual",Q502=24,"Bienal")</f>
        <v>Bienal</v>
      </c>
      <c r="S502">
        <f>IFERROR(VLOOKUP(Sheet1[[#This Row],[ID usuario]],A503:$A$907,1,FALSE),0)</f>
        <v>0</v>
      </c>
    </row>
    <row r="503" spans="1:19" x14ac:dyDescent="0.25">
      <c r="A503" t="s">
        <v>501</v>
      </c>
      <c r="B503" t="s">
        <v>1406</v>
      </c>
      <c r="C503" t="s">
        <v>1810</v>
      </c>
      <c r="D503">
        <v>8.91</v>
      </c>
      <c r="E503" s="1">
        <v>44498</v>
      </c>
      <c r="F503" s="1" t="str">
        <f>TEXT(Sheet1[[#This Row],[Fecha ingreso]],"mmmm")</f>
        <v>octubre</v>
      </c>
      <c r="G503" s="2">
        <f>YEAR(Sheet1[[#This Row],[Fecha ingreso]])</f>
        <v>2021</v>
      </c>
      <c r="H503" s="1" t="str">
        <f>TEXT(Sheet1[[#This Row],[Fecha ingreso]],"dddd")</f>
        <v>viernes</v>
      </c>
      <c r="I503" s="1">
        <v>45208</v>
      </c>
      <c r="J503" s="2">
        <f>DATEDIF(Sheet1[[#This Row],[Fecha ingreso]],Sheet1[[#This Row],[Fecha último pago]],"M")+1</f>
        <v>24</v>
      </c>
      <c r="K503" s="2">
        <f>Sheet1[[#This Row],[Ingresos mensuales]]*Sheet1[[#This Row],[Meses contratados]]</f>
        <v>213.84</v>
      </c>
      <c r="L503" t="s">
        <v>1813</v>
      </c>
      <c r="M503">
        <v>60</v>
      </c>
      <c r="N503" t="s">
        <v>1822</v>
      </c>
      <c r="O503" t="s">
        <v>1824</v>
      </c>
      <c r="P503" t="s">
        <v>1827</v>
      </c>
      <c r="Q503" cm="1">
        <f t="array" ref="Q503">_xlfn.IFS(P503="2 Years", 24,P503="1 Year",12, P503="6 Months",6, P503="1 Month",1)</f>
        <v>12</v>
      </c>
      <c r="R503" t="str" cm="1">
        <f t="array" ref="R503">_xlfn.IFS(Q503=1,"Mensual",Q503=6,"Semestral",Q503=12,"Anual",Q503=24,"Bienal")</f>
        <v>Anual</v>
      </c>
      <c r="S503">
        <f>IFERROR(VLOOKUP(Sheet1[[#This Row],[ID usuario]],A504:$A$907,1,FALSE),0)</f>
        <v>0</v>
      </c>
    </row>
    <row r="504" spans="1:19" x14ac:dyDescent="0.25">
      <c r="A504" t="s">
        <v>502</v>
      </c>
      <c r="B504" t="s">
        <v>1407</v>
      </c>
      <c r="C504" t="s">
        <v>1810</v>
      </c>
      <c r="D504">
        <v>82.56</v>
      </c>
      <c r="E504" s="1">
        <v>44925</v>
      </c>
      <c r="F504" s="1" t="str">
        <f>TEXT(Sheet1[[#This Row],[Fecha ingreso]],"mmmm")</f>
        <v>diciembre</v>
      </c>
      <c r="G504" s="2">
        <f>YEAR(Sheet1[[#This Row],[Fecha ingreso]])</f>
        <v>2022</v>
      </c>
      <c r="H504" s="1" t="str">
        <f>TEXT(Sheet1[[#This Row],[Fecha ingreso]],"dddd")</f>
        <v>viernes</v>
      </c>
      <c r="I504" s="1">
        <v>45243</v>
      </c>
      <c r="J504" s="2">
        <f>DATEDIF(Sheet1[[#This Row],[Fecha ingreso]],Sheet1[[#This Row],[Fecha último pago]],"M")+1</f>
        <v>11</v>
      </c>
      <c r="K504" s="2">
        <f>Sheet1[[#This Row],[Ingresos mensuales]]*Sheet1[[#This Row],[Meses contratados]]</f>
        <v>908.16000000000008</v>
      </c>
      <c r="L504" t="s">
        <v>1814</v>
      </c>
      <c r="M504">
        <v>62</v>
      </c>
      <c r="N504" t="s">
        <v>1821</v>
      </c>
      <c r="O504" t="s">
        <v>1823</v>
      </c>
      <c r="P504" t="s">
        <v>1827</v>
      </c>
      <c r="Q504" cm="1">
        <f t="array" ref="Q504">_xlfn.IFS(P504="2 Years", 24,P504="1 Year",12, P504="6 Months",6, P504="1 Month",1)</f>
        <v>12</v>
      </c>
      <c r="R504" t="str" cm="1">
        <f t="array" ref="R504">_xlfn.IFS(Q504=1,"Mensual",Q504=6,"Semestral",Q504=12,"Anual",Q504=24,"Bienal")</f>
        <v>Anual</v>
      </c>
      <c r="S504">
        <f>IFERROR(VLOOKUP(Sheet1[[#This Row],[ID usuario]],A505:$A$907,1,FALSE),0)</f>
        <v>0</v>
      </c>
    </row>
    <row r="505" spans="1:19" x14ac:dyDescent="0.25">
      <c r="A505" t="s">
        <v>503</v>
      </c>
      <c r="B505" t="s">
        <v>1408</v>
      </c>
      <c r="C505" t="s">
        <v>1812</v>
      </c>
      <c r="D505">
        <v>81.72</v>
      </c>
      <c r="E505" s="1">
        <v>44482</v>
      </c>
      <c r="F505" s="1" t="str">
        <f>TEXT(Sheet1[[#This Row],[Fecha ingreso]],"mmmm")</f>
        <v>octubre</v>
      </c>
      <c r="G505" s="2">
        <f>YEAR(Sheet1[[#This Row],[Fecha ingreso]])</f>
        <v>2021</v>
      </c>
      <c r="H505" s="1" t="str">
        <f>TEXT(Sheet1[[#This Row],[Fecha ingreso]],"dddd")</f>
        <v>miércoles</v>
      </c>
      <c r="I505" s="1">
        <v>45261</v>
      </c>
      <c r="J505" s="2">
        <f>DATEDIF(Sheet1[[#This Row],[Fecha ingreso]],Sheet1[[#This Row],[Fecha último pago]],"M")+1</f>
        <v>26</v>
      </c>
      <c r="K505" s="2">
        <f>Sheet1[[#This Row],[Ingresos mensuales]]*Sheet1[[#This Row],[Meses contratados]]</f>
        <v>2124.7199999999998</v>
      </c>
      <c r="L505" t="s">
        <v>1818</v>
      </c>
      <c r="M505">
        <v>28</v>
      </c>
      <c r="N505" t="s">
        <v>1822</v>
      </c>
      <c r="O505" t="s">
        <v>1823</v>
      </c>
      <c r="P505" t="s">
        <v>1829</v>
      </c>
      <c r="Q505" cm="1">
        <f t="array" ref="Q505">_xlfn.IFS(P505="2 Years", 24,P505="1 Year",12, P505="6 Months",6, P505="1 Month",1)</f>
        <v>1</v>
      </c>
      <c r="R505" t="str" cm="1">
        <f t="array" ref="R505">_xlfn.IFS(Q505=1,"Mensual",Q505=6,"Semestral",Q505=12,"Anual",Q505=24,"Bienal")</f>
        <v>Mensual</v>
      </c>
      <c r="S505">
        <f>IFERROR(VLOOKUP(Sheet1[[#This Row],[ID usuario]],A506:$A$907,1,FALSE),0)</f>
        <v>0</v>
      </c>
    </row>
    <row r="506" spans="1:19" x14ac:dyDescent="0.25">
      <c r="A506" t="s">
        <v>504</v>
      </c>
      <c r="B506" t="s">
        <v>1409</v>
      </c>
      <c r="C506" t="s">
        <v>1812</v>
      </c>
      <c r="D506">
        <v>64.58</v>
      </c>
      <c r="E506" s="1">
        <v>44466</v>
      </c>
      <c r="F506" s="1" t="str">
        <f>TEXT(Sheet1[[#This Row],[Fecha ingreso]],"mmmm")</f>
        <v>septiembre</v>
      </c>
      <c r="G506" s="2">
        <f>YEAR(Sheet1[[#This Row],[Fecha ingreso]])</f>
        <v>2021</v>
      </c>
      <c r="H506" s="1" t="str">
        <f>TEXT(Sheet1[[#This Row],[Fecha ingreso]],"dddd")</f>
        <v>lunes</v>
      </c>
      <c r="I506" s="1">
        <v>44468</v>
      </c>
      <c r="J506" s="2">
        <f>DATEDIF(Sheet1[[#This Row],[Fecha ingreso]],Sheet1[[#This Row],[Fecha último pago]],"M")+1</f>
        <v>1</v>
      </c>
      <c r="K506" s="2">
        <f>Sheet1[[#This Row],[Ingresos mensuales]]*Sheet1[[#This Row],[Meses contratados]]</f>
        <v>64.58</v>
      </c>
      <c r="L506" t="s">
        <v>1816</v>
      </c>
      <c r="M506">
        <v>58</v>
      </c>
      <c r="N506" t="s">
        <v>1822</v>
      </c>
      <c r="O506" t="s">
        <v>1825</v>
      </c>
      <c r="P506" t="s">
        <v>1826</v>
      </c>
      <c r="Q506" cm="1">
        <f t="array" ref="Q506">_xlfn.IFS(P506="2 Years", 24,P506="1 Year",12, P506="6 Months",6, P506="1 Month",1)</f>
        <v>24</v>
      </c>
      <c r="R506" t="str" cm="1">
        <f t="array" ref="R506">_xlfn.IFS(Q506=1,"Mensual",Q506=6,"Semestral",Q506=12,"Anual",Q506=24,"Bienal")</f>
        <v>Bienal</v>
      </c>
      <c r="S506">
        <f>IFERROR(VLOOKUP(Sheet1[[#This Row],[ID usuario]],A507:$A$907,1,FALSE),0)</f>
        <v>0</v>
      </c>
    </row>
    <row r="507" spans="1:19" x14ac:dyDescent="0.25">
      <c r="A507" t="s">
        <v>505</v>
      </c>
      <c r="B507" t="s">
        <v>1410</v>
      </c>
      <c r="C507" t="s">
        <v>1812</v>
      </c>
      <c r="D507">
        <v>52.73</v>
      </c>
      <c r="E507" s="1">
        <v>44679</v>
      </c>
      <c r="F507" s="1" t="str">
        <f>TEXT(Sheet1[[#This Row],[Fecha ingreso]],"mmmm")</f>
        <v>abril</v>
      </c>
      <c r="G507" s="2">
        <f>YEAR(Sheet1[[#This Row],[Fecha ingreso]])</f>
        <v>2022</v>
      </c>
      <c r="H507" s="1" t="str">
        <f>TEXT(Sheet1[[#This Row],[Fecha ingreso]],"dddd")</f>
        <v>jueves</v>
      </c>
      <c r="I507" s="1">
        <v>45336</v>
      </c>
      <c r="J507" s="2">
        <f>DATEDIF(Sheet1[[#This Row],[Fecha ingreso]],Sheet1[[#This Row],[Fecha último pago]],"M")+1</f>
        <v>22</v>
      </c>
      <c r="K507" s="2">
        <f>Sheet1[[#This Row],[Ingresos mensuales]]*Sheet1[[#This Row],[Meses contratados]]</f>
        <v>1160.06</v>
      </c>
      <c r="L507" t="s">
        <v>1815</v>
      </c>
      <c r="M507">
        <v>64</v>
      </c>
      <c r="N507" t="s">
        <v>1820</v>
      </c>
      <c r="O507" t="s">
        <v>1824</v>
      </c>
      <c r="P507" t="s">
        <v>1829</v>
      </c>
      <c r="Q507" cm="1">
        <f t="array" ref="Q507">_xlfn.IFS(P507="2 Years", 24,P507="1 Year",12, P507="6 Months",6, P507="1 Month",1)</f>
        <v>1</v>
      </c>
      <c r="R507" t="str" cm="1">
        <f t="array" ref="R507">_xlfn.IFS(Q507=1,"Mensual",Q507=6,"Semestral",Q507=12,"Anual",Q507=24,"Bienal")</f>
        <v>Mensual</v>
      </c>
      <c r="S507">
        <f>IFERROR(VLOOKUP(Sheet1[[#This Row],[ID usuario]],A508:$A$907,1,FALSE),0)</f>
        <v>0</v>
      </c>
    </row>
    <row r="508" spans="1:19" x14ac:dyDescent="0.25">
      <c r="A508" t="s">
        <v>506</v>
      </c>
      <c r="B508" t="s">
        <v>1411</v>
      </c>
      <c r="C508" t="s">
        <v>1811</v>
      </c>
      <c r="D508">
        <v>21.13</v>
      </c>
      <c r="E508" s="1">
        <v>44430</v>
      </c>
      <c r="F508" s="1" t="str">
        <f>TEXT(Sheet1[[#This Row],[Fecha ingreso]],"mmmm")</f>
        <v>agosto</v>
      </c>
      <c r="G508" s="2">
        <f>YEAR(Sheet1[[#This Row],[Fecha ingreso]])</f>
        <v>2021</v>
      </c>
      <c r="H508" s="1" t="str">
        <f>TEXT(Sheet1[[#This Row],[Fecha ingreso]],"dddd")</f>
        <v>domingo</v>
      </c>
      <c r="I508" s="1">
        <v>45325</v>
      </c>
      <c r="J508" s="2">
        <f>DATEDIF(Sheet1[[#This Row],[Fecha ingreso]],Sheet1[[#This Row],[Fecha último pago]],"M")+1</f>
        <v>30</v>
      </c>
      <c r="K508" s="2">
        <f>Sheet1[[#This Row],[Ingresos mensuales]]*Sheet1[[#This Row],[Meses contratados]]</f>
        <v>633.9</v>
      </c>
      <c r="L508" t="s">
        <v>1815</v>
      </c>
      <c r="M508">
        <v>57</v>
      </c>
      <c r="N508" t="s">
        <v>1821</v>
      </c>
      <c r="O508" t="s">
        <v>1825</v>
      </c>
      <c r="P508" t="s">
        <v>1827</v>
      </c>
      <c r="Q508" cm="1">
        <f t="array" ref="Q508">_xlfn.IFS(P508="2 Years", 24,P508="1 Year",12, P508="6 Months",6, P508="1 Month",1)</f>
        <v>12</v>
      </c>
      <c r="R508" t="str" cm="1">
        <f t="array" ref="R508">_xlfn.IFS(Q508=1,"Mensual",Q508=6,"Semestral",Q508=12,"Anual",Q508=24,"Bienal")</f>
        <v>Anual</v>
      </c>
      <c r="S508">
        <f>IFERROR(VLOOKUP(Sheet1[[#This Row],[ID usuario]],A509:$A$907,1,FALSE),0)</f>
        <v>0</v>
      </c>
    </row>
    <row r="509" spans="1:19" x14ac:dyDescent="0.25">
      <c r="A509" t="s">
        <v>507</v>
      </c>
      <c r="B509" t="s">
        <v>1412</v>
      </c>
      <c r="C509" t="s">
        <v>1811</v>
      </c>
      <c r="D509">
        <v>19.100000000000001</v>
      </c>
      <c r="E509" s="1">
        <v>44551</v>
      </c>
      <c r="F509" s="1" t="str">
        <f>TEXT(Sheet1[[#This Row],[Fecha ingreso]],"mmmm")</f>
        <v>diciembre</v>
      </c>
      <c r="G509" s="2">
        <f>YEAR(Sheet1[[#This Row],[Fecha ingreso]])</f>
        <v>2021</v>
      </c>
      <c r="H509" s="1" t="str">
        <f>TEXT(Sheet1[[#This Row],[Fecha ingreso]],"dddd")</f>
        <v>martes</v>
      </c>
      <c r="I509" s="1">
        <v>45371</v>
      </c>
      <c r="J509" s="2">
        <f>DATEDIF(Sheet1[[#This Row],[Fecha ingreso]],Sheet1[[#This Row],[Fecha último pago]],"M")+1</f>
        <v>27</v>
      </c>
      <c r="K509" s="2">
        <f>Sheet1[[#This Row],[Ingresos mensuales]]*Sheet1[[#This Row],[Meses contratados]]</f>
        <v>515.70000000000005</v>
      </c>
      <c r="L509" t="s">
        <v>1814</v>
      </c>
      <c r="M509">
        <v>33</v>
      </c>
      <c r="N509" t="s">
        <v>1820</v>
      </c>
      <c r="O509" t="s">
        <v>1825</v>
      </c>
      <c r="P509" t="s">
        <v>1827</v>
      </c>
      <c r="Q509" cm="1">
        <f t="array" ref="Q509">_xlfn.IFS(P509="2 Years", 24,P509="1 Year",12, P509="6 Months",6, P509="1 Month",1)</f>
        <v>12</v>
      </c>
      <c r="R509" t="str" cm="1">
        <f t="array" ref="R509">_xlfn.IFS(Q509=1,"Mensual",Q509=6,"Semestral",Q509=12,"Anual",Q509=24,"Bienal")</f>
        <v>Anual</v>
      </c>
      <c r="S509">
        <f>IFERROR(VLOOKUP(Sheet1[[#This Row],[ID usuario]],A510:$A$907,1,FALSE),0)</f>
        <v>0</v>
      </c>
    </row>
    <row r="510" spans="1:19" x14ac:dyDescent="0.25">
      <c r="A510" t="s">
        <v>508</v>
      </c>
      <c r="B510" t="s">
        <v>1413</v>
      </c>
      <c r="C510" t="s">
        <v>1812</v>
      </c>
      <c r="D510">
        <v>78.459999999999994</v>
      </c>
      <c r="E510" s="1">
        <v>44484</v>
      </c>
      <c r="F510" s="1" t="str">
        <f>TEXT(Sheet1[[#This Row],[Fecha ingreso]],"mmmm")</f>
        <v>octubre</v>
      </c>
      <c r="G510" s="2">
        <f>YEAR(Sheet1[[#This Row],[Fecha ingreso]])</f>
        <v>2021</v>
      </c>
      <c r="H510" s="1" t="str">
        <f>TEXT(Sheet1[[#This Row],[Fecha ingreso]],"dddd")</f>
        <v>viernes</v>
      </c>
      <c r="I510" s="1">
        <v>44837</v>
      </c>
      <c r="J510" s="2">
        <f>DATEDIF(Sheet1[[#This Row],[Fecha ingreso]],Sheet1[[#This Row],[Fecha último pago]],"M")+1</f>
        <v>12</v>
      </c>
      <c r="K510" s="2">
        <f>Sheet1[[#This Row],[Ingresos mensuales]]*Sheet1[[#This Row],[Meses contratados]]</f>
        <v>941.52</v>
      </c>
      <c r="L510" t="s">
        <v>1815</v>
      </c>
      <c r="M510">
        <v>63</v>
      </c>
      <c r="N510" t="s">
        <v>1821</v>
      </c>
      <c r="O510" t="s">
        <v>1823</v>
      </c>
      <c r="P510" t="s">
        <v>1827</v>
      </c>
      <c r="Q510" cm="1">
        <f t="array" ref="Q510">_xlfn.IFS(P510="2 Years", 24,P510="1 Year",12, P510="6 Months",6, P510="1 Month",1)</f>
        <v>12</v>
      </c>
      <c r="R510" t="str" cm="1">
        <f t="array" ref="R510">_xlfn.IFS(Q510=1,"Mensual",Q510=6,"Semestral",Q510=12,"Anual",Q510=24,"Bienal")</f>
        <v>Anual</v>
      </c>
      <c r="S510">
        <f>IFERROR(VLOOKUP(Sheet1[[#This Row],[ID usuario]],A511:$A$907,1,FALSE),0)</f>
        <v>0</v>
      </c>
    </row>
    <row r="511" spans="1:19" x14ac:dyDescent="0.25">
      <c r="A511" t="s">
        <v>509</v>
      </c>
      <c r="B511" t="s">
        <v>1414</v>
      </c>
      <c r="C511" t="s">
        <v>1811</v>
      </c>
      <c r="D511">
        <v>58.93</v>
      </c>
      <c r="E511" s="1">
        <v>44806</v>
      </c>
      <c r="F511" s="1" t="str">
        <f>TEXT(Sheet1[[#This Row],[Fecha ingreso]],"mmmm")</f>
        <v>septiembre</v>
      </c>
      <c r="G511" s="2">
        <f>YEAR(Sheet1[[#This Row],[Fecha ingreso]])</f>
        <v>2022</v>
      </c>
      <c r="H511" s="1" t="str">
        <f>TEXT(Sheet1[[#This Row],[Fecha ingreso]],"dddd")</f>
        <v>viernes</v>
      </c>
      <c r="I511" s="1">
        <v>45380</v>
      </c>
      <c r="J511" s="2">
        <f>DATEDIF(Sheet1[[#This Row],[Fecha ingreso]],Sheet1[[#This Row],[Fecha último pago]],"M")+1</f>
        <v>19</v>
      </c>
      <c r="K511" s="2">
        <f>Sheet1[[#This Row],[Ingresos mensuales]]*Sheet1[[#This Row],[Meses contratados]]</f>
        <v>1119.67</v>
      </c>
      <c r="L511" t="s">
        <v>1817</v>
      </c>
      <c r="M511">
        <v>44</v>
      </c>
      <c r="N511" t="s">
        <v>1821</v>
      </c>
      <c r="O511" t="s">
        <v>1823</v>
      </c>
      <c r="P511" t="s">
        <v>1826</v>
      </c>
      <c r="Q511" cm="1">
        <f t="array" ref="Q511">_xlfn.IFS(P511="2 Years", 24,P511="1 Year",12, P511="6 Months",6, P511="1 Month",1)</f>
        <v>24</v>
      </c>
      <c r="R511" t="str" cm="1">
        <f t="array" ref="R511">_xlfn.IFS(Q511=1,"Mensual",Q511=6,"Semestral",Q511=12,"Anual",Q511=24,"Bienal")</f>
        <v>Bienal</v>
      </c>
      <c r="S511">
        <f>IFERROR(VLOOKUP(Sheet1[[#This Row],[ID usuario]],A512:$A$907,1,FALSE),0)</f>
        <v>0</v>
      </c>
    </row>
    <row r="512" spans="1:19" x14ac:dyDescent="0.25">
      <c r="A512" t="s">
        <v>510</v>
      </c>
      <c r="B512" t="s">
        <v>1415</v>
      </c>
      <c r="C512" t="s">
        <v>1812</v>
      </c>
      <c r="D512">
        <v>98.38</v>
      </c>
      <c r="E512" s="1">
        <v>45040</v>
      </c>
      <c r="F512" s="1" t="str">
        <f>TEXT(Sheet1[[#This Row],[Fecha ingreso]],"mmmm")</f>
        <v>abril</v>
      </c>
      <c r="G512" s="2">
        <f>YEAR(Sheet1[[#This Row],[Fecha ingreso]])</f>
        <v>2023</v>
      </c>
      <c r="H512" s="1" t="str">
        <f>TEXT(Sheet1[[#This Row],[Fecha ingreso]],"dddd")</f>
        <v>lunes</v>
      </c>
      <c r="I512" s="1">
        <v>45339</v>
      </c>
      <c r="J512" s="2">
        <f>DATEDIF(Sheet1[[#This Row],[Fecha ingreso]],Sheet1[[#This Row],[Fecha último pago]],"M")+1</f>
        <v>10</v>
      </c>
      <c r="K512" s="2">
        <f>Sheet1[[#This Row],[Ingresos mensuales]]*Sheet1[[#This Row],[Meses contratados]]</f>
        <v>983.8</v>
      </c>
      <c r="L512" t="s">
        <v>1817</v>
      </c>
      <c r="M512">
        <v>59</v>
      </c>
      <c r="N512" t="s">
        <v>1820</v>
      </c>
      <c r="O512" t="s">
        <v>1823</v>
      </c>
      <c r="P512" t="s">
        <v>1828</v>
      </c>
      <c r="Q512" cm="1">
        <f t="array" ref="Q512">_xlfn.IFS(P512="2 Years", 24,P512="1 Year",12, P512="6 Months",6, P512="1 Month",1)</f>
        <v>6</v>
      </c>
      <c r="R512" t="str" cm="1">
        <f t="array" ref="R512">_xlfn.IFS(Q512=1,"Mensual",Q512=6,"Semestral",Q512=12,"Anual",Q512=24,"Bienal")</f>
        <v>Semestral</v>
      </c>
      <c r="S512">
        <f>IFERROR(VLOOKUP(Sheet1[[#This Row],[ID usuario]],A513:$A$907,1,FALSE),0)</f>
        <v>0</v>
      </c>
    </row>
    <row r="513" spans="1:19" x14ac:dyDescent="0.25">
      <c r="A513" t="s">
        <v>511</v>
      </c>
      <c r="B513" t="s">
        <v>1416</v>
      </c>
      <c r="C513" t="s">
        <v>1811</v>
      </c>
      <c r="D513">
        <v>98.31</v>
      </c>
      <c r="E513" s="1">
        <v>44711</v>
      </c>
      <c r="F513" s="1" t="str">
        <f>TEXT(Sheet1[[#This Row],[Fecha ingreso]],"mmmm")</f>
        <v>mayo</v>
      </c>
      <c r="G513" s="2">
        <f>YEAR(Sheet1[[#This Row],[Fecha ingreso]])</f>
        <v>2022</v>
      </c>
      <c r="H513" s="1" t="str">
        <f>TEXT(Sheet1[[#This Row],[Fecha ingreso]],"dddd")</f>
        <v>lunes</v>
      </c>
      <c r="I513" s="1">
        <v>45354</v>
      </c>
      <c r="J513" s="2">
        <f>DATEDIF(Sheet1[[#This Row],[Fecha ingreso]],Sheet1[[#This Row],[Fecha último pago]],"M")+1</f>
        <v>22</v>
      </c>
      <c r="K513" s="2">
        <f>Sheet1[[#This Row],[Ingresos mensuales]]*Sheet1[[#This Row],[Meses contratados]]</f>
        <v>2162.8200000000002</v>
      </c>
      <c r="L513" t="s">
        <v>1817</v>
      </c>
      <c r="M513">
        <v>58</v>
      </c>
      <c r="N513" t="s">
        <v>1821</v>
      </c>
      <c r="O513" t="s">
        <v>1825</v>
      </c>
      <c r="P513" t="s">
        <v>1829</v>
      </c>
      <c r="Q513" cm="1">
        <f t="array" ref="Q513">_xlfn.IFS(P513="2 Years", 24,P513="1 Year",12, P513="6 Months",6, P513="1 Month",1)</f>
        <v>1</v>
      </c>
      <c r="R513" t="str" cm="1">
        <f t="array" ref="R513">_xlfn.IFS(Q513=1,"Mensual",Q513=6,"Semestral",Q513=12,"Anual",Q513=24,"Bienal")</f>
        <v>Mensual</v>
      </c>
      <c r="S513">
        <f>IFERROR(VLOOKUP(Sheet1[[#This Row],[ID usuario]],A514:$A$907,1,FALSE),0)</f>
        <v>0</v>
      </c>
    </row>
    <row r="514" spans="1:19" x14ac:dyDescent="0.25">
      <c r="A514" t="s">
        <v>512</v>
      </c>
      <c r="B514" t="s">
        <v>1417</v>
      </c>
      <c r="C514" t="s">
        <v>1812</v>
      </c>
      <c r="D514">
        <v>99.3</v>
      </c>
      <c r="E514" s="1">
        <v>45200</v>
      </c>
      <c r="F514" s="1" t="str">
        <f>TEXT(Sheet1[[#This Row],[Fecha ingreso]],"mmmm")</f>
        <v>octubre</v>
      </c>
      <c r="G514" s="2">
        <f>YEAR(Sheet1[[#This Row],[Fecha ingreso]])</f>
        <v>2023</v>
      </c>
      <c r="H514" s="1" t="str">
        <f>TEXT(Sheet1[[#This Row],[Fecha ingreso]],"dddd")</f>
        <v>domingo</v>
      </c>
      <c r="I514" s="1">
        <v>45357</v>
      </c>
      <c r="J514" s="2">
        <f>DATEDIF(Sheet1[[#This Row],[Fecha ingreso]],Sheet1[[#This Row],[Fecha último pago]],"M")+1</f>
        <v>6</v>
      </c>
      <c r="K514" s="2">
        <f>Sheet1[[#This Row],[Ingresos mensuales]]*Sheet1[[#This Row],[Meses contratados]]</f>
        <v>595.79999999999995</v>
      </c>
      <c r="L514" t="s">
        <v>1814</v>
      </c>
      <c r="M514">
        <v>62</v>
      </c>
      <c r="N514" t="s">
        <v>1821</v>
      </c>
      <c r="O514" t="s">
        <v>1823</v>
      </c>
      <c r="P514" t="s">
        <v>1826</v>
      </c>
      <c r="Q514" cm="1">
        <f t="array" ref="Q514">_xlfn.IFS(P514="2 Years", 24,P514="1 Year",12, P514="6 Months",6, P514="1 Month",1)</f>
        <v>24</v>
      </c>
      <c r="R514" t="str" cm="1">
        <f t="array" ref="R514">_xlfn.IFS(Q514=1,"Mensual",Q514=6,"Semestral",Q514=12,"Anual",Q514=24,"Bienal")</f>
        <v>Bienal</v>
      </c>
      <c r="S514">
        <f>IFERROR(VLOOKUP(Sheet1[[#This Row],[ID usuario]],A515:$A$907,1,FALSE),0)</f>
        <v>0</v>
      </c>
    </row>
    <row r="515" spans="1:19" x14ac:dyDescent="0.25">
      <c r="A515" t="s">
        <v>513</v>
      </c>
      <c r="B515" t="s">
        <v>1418</v>
      </c>
      <c r="C515" t="s">
        <v>1810</v>
      </c>
      <c r="D515">
        <v>16.27</v>
      </c>
      <c r="E515" s="1">
        <v>44921</v>
      </c>
      <c r="F515" s="1" t="str">
        <f>TEXT(Sheet1[[#This Row],[Fecha ingreso]],"mmmm")</f>
        <v>diciembre</v>
      </c>
      <c r="G515" s="2">
        <f>YEAR(Sheet1[[#This Row],[Fecha ingreso]])</f>
        <v>2022</v>
      </c>
      <c r="H515" s="1" t="str">
        <f>TEXT(Sheet1[[#This Row],[Fecha ingreso]],"dddd")</f>
        <v>lunes</v>
      </c>
      <c r="I515" s="1">
        <v>45258</v>
      </c>
      <c r="J515" s="2">
        <f>DATEDIF(Sheet1[[#This Row],[Fecha ingreso]],Sheet1[[#This Row],[Fecha último pago]],"M")+1</f>
        <v>12</v>
      </c>
      <c r="K515" s="2">
        <f>Sheet1[[#This Row],[Ingresos mensuales]]*Sheet1[[#This Row],[Meses contratados]]</f>
        <v>195.24</v>
      </c>
      <c r="L515" t="s">
        <v>1813</v>
      </c>
      <c r="M515">
        <v>66</v>
      </c>
      <c r="N515" t="s">
        <v>1822</v>
      </c>
      <c r="O515" t="s">
        <v>1825</v>
      </c>
      <c r="P515" t="s">
        <v>1828</v>
      </c>
      <c r="Q515" cm="1">
        <f t="array" ref="Q515">_xlfn.IFS(P515="2 Years", 24,P515="1 Year",12, P515="6 Months",6, P515="1 Month",1)</f>
        <v>6</v>
      </c>
      <c r="R515" t="str" cm="1">
        <f t="array" ref="R515">_xlfn.IFS(Q515=1,"Mensual",Q515=6,"Semestral",Q515=12,"Anual",Q515=24,"Bienal")</f>
        <v>Semestral</v>
      </c>
      <c r="S515">
        <f>IFERROR(VLOOKUP(Sheet1[[#This Row],[ID usuario]],A516:$A$907,1,FALSE),0)</f>
        <v>0</v>
      </c>
    </row>
    <row r="516" spans="1:19" x14ac:dyDescent="0.25">
      <c r="A516" t="s">
        <v>514</v>
      </c>
      <c r="B516" t="s">
        <v>1419</v>
      </c>
      <c r="C516" t="s">
        <v>1811</v>
      </c>
      <c r="D516">
        <v>28.23</v>
      </c>
      <c r="E516" s="1">
        <v>44916</v>
      </c>
      <c r="F516" s="1" t="str">
        <f>TEXT(Sheet1[[#This Row],[Fecha ingreso]],"mmmm")</f>
        <v>diciembre</v>
      </c>
      <c r="G516" s="2">
        <f>YEAR(Sheet1[[#This Row],[Fecha ingreso]])</f>
        <v>2022</v>
      </c>
      <c r="H516" s="1" t="str">
        <f>TEXT(Sheet1[[#This Row],[Fecha ingreso]],"dddd")</f>
        <v>miércoles</v>
      </c>
      <c r="I516" s="1">
        <v>45283</v>
      </c>
      <c r="J516" s="2">
        <f>DATEDIF(Sheet1[[#This Row],[Fecha ingreso]],Sheet1[[#This Row],[Fecha último pago]],"M")+1</f>
        <v>13</v>
      </c>
      <c r="K516" s="2">
        <f>Sheet1[[#This Row],[Ingresos mensuales]]*Sheet1[[#This Row],[Meses contratados]]</f>
        <v>366.99</v>
      </c>
      <c r="L516" t="s">
        <v>1814</v>
      </c>
      <c r="M516">
        <v>61</v>
      </c>
      <c r="N516" t="s">
        <v>1820</v>
      </c>
      <c r="O516" t="s">
        <v>1825</v>
      </c>
      <c r="P516" t="s">
        <v>1826</v>
      </c>
      <c r="Q516" cm="1">
        <f t="array" ref="Q516">_xlfn.IFS(P516="2 Years", 24,P516="1 Year",12, P516="6 Months",6, P516="1 Month",1)</f>
        <v>24</v>
      </c>
      <c r="R516" t="str" cm="1">
        <f t="array" ref="R516">_xlfn.IFS(Q516=1,"Mensual",Q516=6,"Semestral",Q516=12,"Anual",Q516=24,"Bienal")</f>
        <v>Bienal</v>
      </c>
      <c r="S516">
        <f>IFERROR(VLOOKUP(Sheet1[[#This Row],[ID usuario]],A517:$A$907,1,FALSE),0)</f>
        <v>0</v>
      </c>
    </row>
    <row r="517" spans="1:19" x14ac:dyDescent="0.25">
      <c r="A517" t="s">
        <v>515</v>
      </c>
      <c r="B517" t="s">
        <v>1420</v>
      </c>
      <c r="C517" t="s">
        <v>1812</v>
      </c>
      <c r="D517">
        <v>48.53</v>
      </c>
      <c r="E517" s="1">
        <v>44638</v>
      </c>
      <c r="F517" s="1" t="str">
        <f>TEXT(Sheet1[[#This Row],[Fecha ingreso]],"mmmm")</f>
        <v>marzo</v>
      </c>
      <c r="G517" s="2">
        <f>YEAR(Sheet1[[#This Row],[Fecha ingreso]])</f>
        <v>2022</v>
      </c>
      <c r="H517" s="1" t="str">
        <f>TEXT(Sheet1[[#This Row],[Fecha ingreso]],"dddd")</f>
        <v>viernes</v>
      </c>
      <c r="I517" s="1">
        <v>44965</v>
      </c>
      <c r="J517" s="2">
        <f>DATEDIF(Sheet1[[#This Row],[Fecha ingreso]],Sheet1[[#This Row],[Fecha último pago]],"M")+1</f>
        <v>11</v>
      </c>
      <c r="K517" s="2">
        <f>Sheet1[[#This Row],[Ingresos mensuales]]*Sheet1[[#This Row],[Meses contratados]]</f>
        <v>533.83000000000004</v>
      </c>
      <c r="L517" t="s">
        <v>1813</v>
      </c>
      <c r="M517">
        <v>46</v>
      </c>
      <c r="N517" t="s">
        <v>1820</v>
      </c>
      <c r="O517" t="s">
        <v>1823</v>
      </c>
      <c r="P517" t="s">
        <v>1829</v>
      </c>
      <c r="Q517" cm="1">
        <f t="array" ref="Q517">_xlfn.IFS(P517="2 Years", 24,P517="1 Year",12, P517="6 Months",6, P517="1 Month",1)</f>
        <v>1</v>
      </c>
      <c r="R517" t="str" cm="1">
        <f t="array" ref="R517">_xlfn.IFS(Q517=1,"Mensual",Q517=6,"Semestral",Q517=12,"Anual",Q517=24,"Bienal")</f>
        <v>Mensual</v>
      </c>
      <c r="S517">
        <f>IFERROR(VLOOKUP(Sheet1[[#This Row],[ID usuario]],A518:$A$907,1,FALSE),0)</f>
        <v>0</v>
      </c>
    </row>
    <row r="518" spans="1:19" x14ac:dyDescent="0.25">
      <c r="A518" t="s">
        <v>516</v>
      </c>
      <c r="B518" t="s">
        <v>1421</v>
      </c>
      <c r="C518" t="s">
        <v>1812</v>
      </c>
      <c r="D518">
        <v>76.95</v>
      </c>
      <c r="E518" s="1">
        <v>44890</v>
      </c>
      <c r="F518" s="1" t="str">
        <f>TEXT(Sheet1[[#This Row],[Fecha ingreso]],"mmmm")</f>
        <v>noviembre</v>
      </c>
      <c r="G518" s="2">
        <f>YEAR(Sheet1[[#This Row],[Fecha ingreso]])</f>
        <v>2022</v>
      </c>
      <c r="H518" s="1" t="str">
        <f>TEXT(Sheet1[[#This Row],[Fecha ingreso]],"dddd")</f>
        <v>viernes</v>
      </c>
      <c r="I518" s="1">
        <v>45196</v>
      </c>
      <c r="J518" s="2">
        <f>DATEDIF(Sheet1[[#This Row],[Fecha ingreso]],Sheet1[[#This Row],[Fecha último pago]],"M")+1</f>
        <v>11</v>
      </c>
      <c r="K518" s="2">
        <f>Sheet1[[#This Row],[Ingresos mensuales]]*Sheet1[[#This Row],[Meses contratados]]</f>
        <v>846.45</v>
      </c>
      <c r="L518" t="s">
        <v>1815</v>
      </c>
      <c r="M518">
        <v>18</v>
      </c>
      <c r="N518" t="s">
        <v>1821</v>
      </c>
      <c r="O518" t="s">
        <v>1825</v>
      </c>
      <c r="P518" t="s">
        <v>1828</v>
      </c>
      <c r="Q518" cm="1">
        <f t="array" ref="Q518">_xlfn.IFS(P518="2 Years", 24,P518="1 Year",12, P518="6 Months",6, P518="1 Month",1)</f>
        <v>6</v>
      </c>
      <c r="R518" t="str" cm="1">
        <f t="array" ref="R518">_xlfn.IFS(Q518=1,"Mensual",Q518=6,"Semestral",Q518=12,"Anual",Q518=24,"Bienal")</f>
        <v>Semestral</v>
      </c>
      <c r="S518">
        <f>IFERROR(VLOOKUP(Sheet1[[#This Row],[ID usuario]],A519:$A$907,1,FALSE),0)</f>
        <v>0</v>
      </c>
    </row>
    <row r="519" spans="1:19" x14ac:dyDescent="0.25">
      <c r="A519" t="s">
        <v>517</v>
      </c>
      <c r="B519" t="s">
        <v>1422</v>
      </c>
      <c r="C519" t="s">
        <v>1810</v>
      </c>
      <c r="D519">
        <v>24.34</v>
      </c>
      <c r="E519" s="1">
        <v>44601</v>
      </c>
      <c r="F519" s="1" t="str">
        <f>TEXT(Sheet1[[#This Row],[Fecha ingreso]],"mmmm")</f>
        <v>febrero</v>
      </c>
      <c r="G519" s="2">
        <f>YEAR(Sheet1[[#This Row],[Fecha ingreso]])</f>
        <v>2022</v>
      </c>
      <c r="H519" s="1" t="str">
        <f>TEXT(Sheet1[[#This Row],[Fecha ingreso]],"dddd")</f>
        <v>miércoles</v>
      </c>
      <c r="I519" s="1">
        <v>45063</v>
      </c>
      <c r="J519" s="2">
        <f>DATEDIF(Sheet1[[#This Row],[Fecha ingreso]],Sheet1[[#This Row],[Fecha último pago]],"M")+1</f>
        <v>16</v>
      </c>
      <c r="K519" s="2">
        <f>Sheet1[[#This Row],[Ingresos mensuales]]*Sheet1[[#This Row],[Meses contratados]]</f>
        <v>389.44</v>
      </c>
      <c r="L519" t="s">
        <v>1814</v>
      </c>
      <c r="M519">
        <v>62</v>
      </c>
      <c r="N519" t="s">
        <v>1822</v>
      </c>
      <c r="O519" t="s">
        <v>1825</v>
      </c>
      <c r="P519" t="s">
        <v>1828</v>
      </c>
      <c r="Q519" cm="1">
        <f t="array" ref="Q519">_xlfn.IFS(P519="2 Years", 24,P519="1 Year",12, P519="6 Months",6, P519="1 Month",1)</f>
        <v>6</v>
      </c>
      <c r="R519" t="str" cm="1">
        <f t="array" ref="R519">_xlfn.IFS(Q519=1,"Mensual",Q519=6,"Semestral",Q519=12,"Anual",Q519=24,"Bienal")</f>
        <v>Semestral</v>
      </c>
      <c r="S519">
        <f>IFERROR(VLOOKUP(Sheet1[[#This Row],[ID usuario]],A520:$A$907,1,FALSE),0)</f>
        <v>0</v>
      </c>
    </row>
    <row r="520" spans="1:19" x14ac:dyDescent="0.25">
      <c r="A520" t="s">
        <v>518</v>
      </c>
      <c r="B520" t="s">
        <v>1423</v>
      </c>
      <c r="C520" t="s">
        <v>1812</v>
      </c>
      <c r="D520">
        <v>58.8</v>
      </c>
      <c r="E520" s="1">
        <v>45421</v>
      </c>
      <c r="F520" s="1" t="str">
        <f>TEXT(Sheet1[[#This Row],[Fecha ingreso]],"mmmm")</f>
        <v>mayo</v>
      </c>
      <c r="G520" s="2">
        <f>YEAR(Sheet1[[#This Row],[Fecha ingreso]])</f>
        <v>2024</v>
      </c>
      <c r="H520" s="1" t="str">
        <f>TEXT(Sheet1[[#This Row],[Fecha ingreso]],"dddd")</f>
        <v>jueves</v>
      </c>
      <c r="I520" s="1">
        <v>45453</v>
      </c>
      <c r="J520" s="2">
        <f>DATEDIF(Sheet1[[#This Row],[Fecha ingreso]],Sheet1[[#This Row],[Fecha último pago]],"M")+1</f>
        <v>2</v>
      </c>
      <c r="K520" s="2">
        <f>Sheet1[[#This Row],[Ingresos mensuales]]*Sheet1[[#This Row],[Meses contratados]]</f>
        <v>117.6</v>
      </c>
      <c r="L520" t="s">
        <v>1815</v>
      </c>
      <c r="M520">
        <v>20</v>
      </c>
      <c r="N520" t="s">
        <v>1821</v>
      </c>
      <c r="O520" t="s">
        <v>1823</v>
      </c>
      <c r="P520" t="s">
        <v>1829</v>
      </c>
      <c r="Q520" cm="1">
        <f t="array" ref="Q520">_xlfn.IFS(P520="2 Years", 24,P520="1 Year",12, P520="6 Months",6, P520="1 Month",1)</f>
        <v>1</v>
      </c>
      <c r="R520" t="str" cm="1">
        <f t="array" ref="R520">_xlfn.IFS(Q520=1,"Mensual",Q520=6,"Semestral",Q520=12,"Anual",Q520=24,"Bienal")</f>
        <v>Mensual</v>
      </c>
      <c r="S520">
        <f>IFERROR(VLOOKUP(Sheet1[[#This Row],[ID usuario]],A521:$A$907,1,FALSE),0)</f>
        <v>0</v>
      </c>
    </row>
    <row r="521" spans="1:19" x14ac:dyDescent="0.25">
      <c r="A521" t="s">
        <v>519</v>
      </c>
      <c r="B521" t="s">
        <v>1424</v>
      </c>
      <c r="C521" t="s">
        <v>1811</v>
      </c>
      <c r="D521">
        <v>22.65</v>
      </c>
      <c r="E521" s="1">
        <v>45056</v>
      </c>
      <c r="F521" s="1" t="str">
        <f>TEXT(Sheet1[[#This Row],[Fecha ingreso]],"mmmm")</f>
        <v>mayo</v>
      </c>
      <c r="G521" s="2">
        <f>YEAR(Sheet1[[#This Row],[Fecha ingreso]])</f>
        <v>2023</v>
      </c>
      <c r="H521" s="1" t="str">
        <f>TEXT(Sheet1[[#This Row],[Fecha ingreso]],"dddd")</f>
        <v>miércoles</v>
      </c>
      <c r="I521" s="1">
        <v>45292</v>
      </c>
      <c r="J521" s="2">
        <f>DATEDIF(Sheet1[[#This Row],[Fecha ingreso]],Sheet1[[#This Row],[Fecha último pago]],"M")+1</f>
        <v>8</v>
      </c>
      <c r="K521" s="2">
        <f>Sheet1[[#This Row],[Ingresos mensuales]]*Sheet1[[#This Row],[Meses contratados]]</f>
        <v>181.2</v>
      </c>
      <c r="L521" t="s">
        <v>1813</v>
      </c>
      <c r="M521">
        <v>40</v>
      </c>
      <c r="N521" t="s">
        <v>1820</v>
      </c>
      <c r="O521" t="s">
        <v>1823</v>
      </c>
      <c r="P521" t="s">
        <v>1829</v>
      </c>
      <c r="Q521" cm="1">
        <f t="array" ref="Q521">_xlfn.IFS(P521="2 Years", 24,P521="1 Year",12, P521="6 Months",6, P521="1 Month",1)</f>
        <v>1</v>
      </c>
      <c r="R521" t="str" cm="1">
        <f t="array" ref="R521">_xlfn.IFS(Q521=1,"Mensual",Q521=6,"Semestral",Q521=12,"Anual",Q521=24,"Bienal")</f>
        <v>Mensual</v>
      </c>
      <c r="S521">
        <f>IFERROR(VLOOKUP(Sheet1[[#This Row],[ID usuario]],A522:$A$907,1,FALSE),0)</f>
        <v>0</v>
      </c>
    </row>
    <row r="522" spans="1:19" x14ac:dyDescent="0.25">
      <c r="A522" t="s">
        <v>520</v>
      </c>
      <c r="B522" t="s">
        <v>1425</v>
      </c>
      <c r="C522" t="s">
        <v>1812</v>
      </c>
      <c r="D522">
        <v>14.95</v>
      </c>
      <c r="E522" s="1">
        <v>45398</v>
      </c>
      <c r="F522" s="1" t="str">
        <f>TEXT(Sheet1[[#This Row],[Fecha ingreso]],"mmmm")</f>
        <v>abril</v>
      </c>
      <c r="G522" s="2">
        <f>YEAR(Sheet1[[#This Row],[Fecha ingreso]])</f>
        <v>2024</v>
      </c>
      <c r="H522" s="1" t="str">
        <f>TEXT(Sheet1[[#This Row],[Fecha ingreso]],"dddd")</f>
        <v>martes</v>
      </c>
      <c r="I522" s="1">
        <v>45428</v>
      </c>
      <c r="J522" s="2">
        <f>DATEDIF(Sheet1[[#This Row],[Fecha ingreso]],Sheet1[[#This Row],[Fecha último pago]],"M")+1</f>
        <v>2</v>
      </c>
      <c r="K522" s="2">
        <f>Sheet1[[#This Row],[Ingresos mensuales]]*Sheet1[[#This Row],[Meses contratados]]</f>
        <v>29.9</v>
      </c>
      <c r="L522" t="s">
        <v>1814</v>
      </c>
      <c r="M522">
        <v>42</v>
      </c>
      <c r="N522" t="s">
        <v>1820</v>
      </c>
      <c r="O522" t="s">
        <v>1823</v>
      </c>
      <c r="P522" t="s">
        <v>1826</v>
      </c>
      <c r="Q522" cm="1">
        <f t="array" ref="Q522">_xlfn.IFS(P522="2 Years", 24,P522="1 Year",12, P522="6 Months",6, P522="1 Month",1)</f>
        <v>24</v>
      </c>
      <c r="R522" t="str" cm="1">
        <f t="array" ref="R522">_xlfn.IFS(Q522=1,"Mensual",Q522=6,"Semestral",Q522=12,"Anual",Q522=24,"Bienal")</f>
        <v>Bienal</v>
      </c>
      <c r="S522">
        <f>IFERROR(VLOOKUP(Sheet1[[#This Row],[ID usuario]],A523:$A$907,1,FALSE),0)</f>
        <v>0</v>
      </c>
    </row>
    <row r="523" spans="1:19" x14ac:dyDescent="0.25">
      <c r="A523" t="s">
        <v>521</v>
      </c>
      <c r="B523" t="s">
        <v>1426</v>
      </c>
      <c r="C523" t="s">
        <v>1810</v>
      </c>
      <c r="D523">
        <v>16.07</v>
      </c>
      <c r="E523" s="1">
        <v>44855</v>
      </c>
      <c r="F523" s="1" t="str">
        <f>TEXT(Sheet1[[#This Row],[Fecha ingreso]],"mmmm")</f>
        <v>octubre</v>
      </c>
      <c r="G523" s="2">
        <f>YEAR(Sheet1[[#This Row],[Fecha ingreso]])</f>
        <v>2022</v>
      </c>
      <c r="H523" s="1" t="str">
        <f>TEXT(Sheet1[[#This Row],[Fecha ingreso]],"dddd")</f>
        <v>viernes</v>
      </c>
      <c r="I523" s="1">
        <v>44944</v>
      </c>
      <c r="J523" s="2">
        <f>DATEDIF(Sheet1[[#This Row],[Fecha ingreso]],Sheet1[[#This Row],[Fecha último pago]],"M")+1</f>
        <v>3</v>
      </c>
      <c r="K523" s="2">
        <f>Sheet1[[#This Row],[Ingresos mensuales]]*Sheet1[[#This Row],[Meses contratados]]</f>
        <v>48.21</v>
      </c>
      <c r="L523" t="s">
        <v>1818</v>
      </c>
      <c r="M523">
        <v>62</v>
      </c>
      <c r="N523" t="s">
        <v>1822</v>
      </c>
      <c r="O523" t="s">
        <v>1824</v>
      </c>
      <c r="P523" t="s">
        <v>1826</v>
      </c>
      <c r="Q523" cm="1">
        <f t="array" ref="Q523">_xlfn.IFS(P523="2 Years", 24,P523="1 Year",12, P523="6 Months",6, P523="1 Month",1)</f>
        <v>24</v>
      </c>
      <c r="R523" t="str" cm="1">
        <f t="array" ref="R523">_xlfn.IFS(Q523=1,"Mensual",Q523=6,"Semestral",Q523=12,"Anual",Q523=24,"Bienal")</f>
        <v>Bienal</v>
      </c>
      <c r="S523">
        <f>IFERROR(VLOOKUP(Sheet1[[#This Row],[ID usuario]],A524:$A$907,1,FALSE),0)</f>
        <v>0</v>
      </c>
    </row>
    <row r="524" spans="1:19" x14ac:dyDescent="0.25">
      <c r="A524" t="s">
        <v>522</v>
      </c>
      <c r="B524" t="s">
        <v>1427</v>
      </c>
      <c r="C524" t="s">
        <v>1811</v>
      </c>
      <c r="D524">
        <v>38.979999999999997</v>
      </c>
      <c r="E524" s="1">
        <v>44613</v>
      </c>
      <c r="F524" s="1" t="str">
        <f>TEXT(Sheet1[[#This Row],[Fecha ingreso]],"mmmm")</f>
        <v>febrero</v>
      </c>
      <c r="G524" s="2">
        <f>YEAR(Sheet1[[#This Row],[Fecha ingreso]])</f>
        <v>2022</v>
      </c>
      <c r="H524" s="1" t="str">
        <f>TEXT(Sheet1[[#This Row],[Fecha ingreso]],"dddd")</f>
        <v>lunes</v>
      </c>
      <c r="I524" s="1">
        <v>45302</v>
      </c>
      <c r="J524" s="2">
        <f>DATEDIF(Sheet1[[#This Row],[Fecha ingreso]],Sheet1[[#This Row],[Fecha último pago]],"M")+1</f>
        <v>23</v>
      </c>
      <c r="K524" s="2">
        <f>Sheet1[[#This Row],[Ingresos mensuales]]*Sheet1[[#This Row],[Meses contratados]]</f>
        <v>896.54</v>
      </c>
      <c r="L524" t="s">
        <v>1813</v>
      </c>
      <c r="M524">
        <v>37</v>
      </c>
      <c r="N524" t="s">
        <v>1821</v>
      </c>
      <c r="O524" t="s">
        <v>1824</v>
      </c>
      <c r="P524" t="s">
        <v>1828</v>
      </c>
      <c r="Q524" cm="1">
        <f t="array" ref="Q524">_xlfn.IFS(P524="2 Years", 24,P524="1 Year",12, P524="6 Months",6, P524="1 Month",1)</f>
        <v>6</v>
      </c>
      <c r="R524" t="str" cm="1">
        <f t="array" ref="R524">_xlfn.IFS(Q524=1,"Mensual",Q524=6,"Semestral",Q524=12,"Anual",Q524=24,"Bienal")</f>
        <v>Semestral</v>
      </c>
      <c r="S524">
        <f>IFERROR(VLOOKUP(Sheet1[[#This Row],[ID usuario]],A525:$A$907,1,FALSE),0)</f>
        <v>0</v>
      </c>
    </row>
    <row r="525" spans="1:19" x14ac:dyDescent="0.25">
      <c r="A525" t="s">
        <v>523</v>
      </c>
      <c r="B525" t="s">
        <v>1428</v>
      </c>
      <c r="C525" t="s">
        <v>1812</v>
      </c>
      <c r="D525">
        <v>5.44</v>
      </c>
      <c r="E525" s="1">
        <v>44592</v>
      </c>
      <c r="F525" s="1" t="str">
        <f>TEXT(Sheet1[[#This Row],[Fecha ingreso]],"mmmm")</f>
        <v>enero</v>
      </c>
      <c r="G525" s="2">
        <f>YEAR(Sheet1[[#This Row],[Fecha ingreso]])</f>
        <v>2022</v>
      </c>
      <c r="H525" s="1" t="str">
        <f>TEXT(Sheet1[[#This Row],[Fecha ingreso]],"dddd")</f>
        <v>lunes</v>
      </c>
      <c r="I525" s="1">
        <v>44840</v>
      </c>
      <c r="J525" s="2">
        <f>DATEDIF(Sheet1[[#This Row],[Fecha ingreso]],Sheet1[[#This Row],[Fecha último pago]],"M")+1</f>
        <v>9</v>
      </c>
      <c r="K525" s="2">
        <f>Sheet1[[#This Row],[Ingresos mensuales]]*Sheet1[[#This Row],[Meses contratados]]</f>
        <v>48.96</v>
      </c>
      <c r="L525" t="s">
        <v>1818</v>
      </c>
      <c r="M525">
        <v>48</v>
      </c>
      <c r="N525" t="s">
        <v>1822</v>
      </c>
      <c r="O525" t="s">
        <v>1823</v>
      </c>
      <c r="P525" t="s">
        <v>1826</v>
      </c>
      <c r="Q525" cm="1">
        <f t="array" ref="Q525">_xlfn.IFS(P525="2 Years", 24,P525="1 Year",12, P525="6 Months",6, P525="1 Month",1)</f>
        <v>24</v>
      </c>
      <c r="R525" t="str" cm="1">
        <f t="array" ref="R525">_xlfn.IFS(Q525=1,"Mensual",Q525=6,"Semestral",Q525=12,"Anual",Q525=24,"Bienal")</f>
        <v>Bienal</v>
      </c>
      <c r="S525">
        <f>IFERROR(VLOOKUP(Sheet1[[#This Row],[ID usuario]],A526:$A$907,1,FALSE),0)</f>
        <v>0</v>
      </c>
    </row>
    <row r="526" spans="1:19" x14ac:dyDescent="0.25">
      <c r="A526" t="s">
        <v>524</v>
      </c>
      <c r="B526" t="s">
        <v>1429</v>
      </c>
      <c r="C526" t="s">
        <v>1810</v>
      </c>
      <c r="D526">
        <v>45.36</v>
      </c>
      <c r="E526" s="1">
        <v>45048</v>
      </c>
      <c r="F526" s="1" t="str">
        <f>TEXT(Sheet1[[#This Row],[Fecha ingreso]],"mmmm")</f>
        <v>mayo</v>
      </c>
      <c r="G526" s="2">
        <f>YEAR(Sheet1[[#This Row],[Fecha ingreso]])</f>
        <v>2023</v>
      </c>
      <c r="H526" s="1" t="str">
        <f>TEXT(Sheet1[[#This Row],[Fecha ingreso]],"dddd")</f>
        <v>martes</v>
      </c>
      <c r="I526" s="1">
        <v>45118</v>
      </c>
      <c r="J526" s="2">
        <f>DATEDIF(Sheet1[[#This Row],[Fecha ingreso]],Sheet1[[#This Row],[Fecha último pago]],"M")+1</f>
        <v>3</v>
      </c>
      <c r="K526" s="2">
        <f>Sheet1[[#This Row],[Ingresos mensuales]]*Sheet1[[#This Row],[Meses contratados]]</f>
        <v>136.07999999999998</v>
      </c>
      <c r="L526" t="s">
        <v>1815</v>
      </c>
      <c r="M526">
        <v>31</v>
      </c>
      <c r="N526" t="s">
        <v>1820</v>
      </c>
      <c r="O526" t="s">
        <v>1823</v>
      </c>
      <c r="P526" t="s">
        <v>1828</v>
      </c>
      <c r="Q526" cm="1">
        <f t="array" ref="Q526">_xlfn.IFS(P526="2 Years", 24,P526="1 Year",12, P526="6 Months",6, P526="1 Month",1)</f>
        <v>6</v>
      </c>
      <c r="R526" t="str" cm="1">
        <f t="array" ref="R526">_xlfn.IFS(Q526=1,"Mensual",Q526=6,"Semestral",Q526=12,"Anual",Q526=24,"Bienal")</f>
        <v>Semestral</v>
      </c>
      <c r="S526">
        <f>IFERROR(VLOOKUP(Sheet1[[#This Row],[ID usuario]],A527:$A$907,1,FALSE),0)</f>
        <v>0</v>
      </c>
    </row>
    <row r="527" spans="1:19" x14ac:dyDescent="0.25">
      <c r="A527" t="s">
        <v>525</v>
      </c>
      <c r="B527" t="s">
        <v>1430</v>
      </c>
      <c r="C527" t="s">
        <v>1812</v>
      </c>
      <c r="D527">
        <v>68.099999999999994</v>
      </c>
      <c r="E527" s="1">
        <v>45016</v>
      </c>
      <c r="F527" s="1" t="str">
        <f>TEXT(Sheet1[[#This Row],[Fecha ingreso]],"mmmm")</f>
        <v>marzo</v>
      </c>
      <c r="G527" s="2">
        <f>YEAR(Sheet1[[#This Row],[Fecha ingreso]])</f>
        <v>2023</v>
      </c>
      <c r="H527" s="1" t="str">
        <f>TEXT(Sheet1[[#This Row],[Fecha ingreso]],"dddd")</f>
        <v>viernes</v>
      </c>
      <c r="I527" s="1">
        <v>45085</v>
      </c>
      <c r="J527" s="2">
        <f>DATEDIF(Sheet1[[#This Row],[Fecha ingreso]],Sheet1[[#This Row],[Fecha último pago]],"M")+1</f>
        <v>3</v>
      </c>
      <c r="K527" s="2">
        <f>Sheet1[[#This Row],[Ingresos mensuales]]*Sheet1[[#This Row],[Meses contratados]]</f>
        <v>204.29999999999998</v>
      </c>
      <c r="L527" t="s">
        <v>1818</v>
      </c>
      <c r="M527">
        <v>25</v>
      </c>
      <c r="N527" t="s">
        <v>1820</v>
      </c>
      <c r="O527" t="s">
        <v>1824</v>
      </c>
      <c r="P527" t="s">
        <v>1829</v>
      </c>
      <c r="Q527" cm="1">
        <f t="array" ref="Q527">_xlfn.IFS(P527="2 Years", 24,P527="1 Year",12, P527="6 Months",6, P527="1 Month",1)</f>
        <v>1</v>
      </c>
      <c r="R527" t="str" cm="1">
        <f t="array" ref="R527">_xlfn.IFS(Q527=1,"Mensual",Q527=6,"Semestral",Q527=12,"Anual",Q527=24,"Bienal")</f>
        <v>Mensual</v>
      </c>
      <c r="S527">
        <f>IFERROR(VLOOKUP(Sheet1[[#This Row],[ID usuario]],A528:$A$907,1,FALSE),0)</f>
        <v>0</v>
      </c>
    </row>
    <row r="528" spans="1:19" x14ac:dyDescent="0.25">
      <c r="A528" t="s">
        <v>526</v>
      </c>
      <c r="B528" t="s">
        <v>1431</v>
      </c>
      <c r="C528" t="s">
        <v>1811</v>
      </c>
      <c r="D528">
        <v>43.16</v>
      </c>
      <c r="E528" s="1">
        <v>45257</v>
      </c>
      <c r="F528" s="1" t="str">
        <f>TEXT(Sheet1[[#This Row],[Fecha ingreso]],"mmmm")</f>
        <v>noviembre</v>
      </c>
      <c r="G528" s="2">
        <f>YEAR(Sheet1[[#This Row],[Fecha ingreso]])</f>
        <v>2023</v>
      </c>
      <c r="H528" s="1" t="str">
        <f>TEXT(Sheet1[[#This Row],[Fecha ingreso]],"dddd")</f>
        <v>lunes</v>
      </c>
      <c r="I528" s="1">
        <v>45445</v>
      </c>
      <c r="J528" s="2">
        <f>DATEDIF(Sheet1[[#This Row],[Fecha ingreso]],Sheet1[[#This Row],[Fecha último pago]],"M")+1</f>
        <v>7</v>
      </c>
      <c r="K528" s="2">
        <f>Sheet1[[#This Row],[Ingresos mensuales]]*Sheet1[[#This Row],[Meses contratados]]</f>
        <v>302.12</v>
      </c>
      <c r="L528" t="s">
        <v>1814</v>
      </c>
      <c r="M528">
        <v>37</v>
      </c>
      <c r="N528" t="s">
        <v>1822</v>
      </c>
      <c r="O528" t="s">
        <v>1823</v>
      </c>
      <c r="P528" t="s">
        <v>1828</v>
      </c>
      <c r="Q528" cm="1">
        <f t="array" ref="Q528">_xlfn.IFS(P528="2 Years", 24,P528="1 Year",12, P528="6 Months",6, P528="1 Month",1)</f>
        <v>6</v>
      </c>
      <c r="R528" t="str" cm="1">
        <f t="array" ref="R528">_xlfn.IFS(Q528=1,"Mensual",Q528=6,"Semestral",Q528=12,"Anual",Q528=24,"Bienal")</f>
        <v>Semestral</v>
      </c>
      <c r="S528">
        <f>IFERROR(VLOOKUP(Sheet1[[#This Row],[ID usuario]],A529:$A$907,1,FALSE),0)</f>
        <v>0</v>
      </c>
    </row>
    <row r="529" spans="1:19" x14ac:dyDescent="0.25">
      <c r="A529" t="s">
        <v>527</v>
      </c>
      <c r="B529" t="s">
        <v>1432</v>
      </c>
      <c r="C529" t="s">
        <v>1812</v>
      </c>
      <c r="D529">
        <v>13.15</v>
      </c>
      <c r="E529" s="1">
        <v>45292</v>
      </c>
      <c r="F529" s="1" t="str">
        <f>TEXT(Sheet1[[#This Row],[Fecha ingreso]],"mmmm")</f>
        <v>enero</v>
      </c>
      <c r="G529" s="2">
        <f>YEAR(Sheet1[[#This Row],[Fecha ingreso]])</f>
        <v>2024</v>
      </c>
      <c r="H529" s="1" t="str">
        <f>TEXT(Sheet1[[#This Row],[Fecha ingreso]],"dddd")</f>
        <v>lunes</v>
      </c>
      <c r="I529" s="1">
        <v>45373</v>
      </c>
      <c r="J529" s="2">
        <f>DATEDIF(Sheet1[[#This Row],[Fecha ingreso]],Sheet1[[#This Row],[Fecha último pago]],"M")+1</f>
        <v>3</v>
      </c>
      <c r="K529" s="2">
        <f>Sheet1[[#This Row],[Ingresos mensuales]]*Sheet1[[#This Row],[Meses contratados]]</f>
        <v>39.450000000000003</v>
      </c>
      <c r="L529" t="s">
        <v>1814</v>
      </c>
      <c r="M529">
        <v>53</v>
      </c>
      <c r="N529" t="s">
        <v>1822</v>
      </c>
      <c r="O529" t="s">
        <v>1823</v>
      </c>
      <c r="P529" t="s">
        <v>1827</v>
      </c>
      <c r="Q529" cm="1">
        <f t="array" ref="Q529">_xlfn.IFS(P529="2 Years", 24,P529="1 Year",12, P529="6 Months",6, P529="1 Month",1)</f>
        <v>12</v>
      </c>
      <c r="R529" t="str" cm="1">
        <f t="array" ref="R529">_xlfn.IFS(Q529=1,"Mensual",Q529=6,"Semestral",Q529=12,"Anual",Q529=24,"Bienal")</f>
        <v>Anual</v>
      </c>
      <c r="S529">
        <f>IFERROR(VLOOKUP(Sheet1[[#This Row],[ID usuario]],A530:$A$907,1,FALSE),0)</f>
        <v>0</v>
      </c>
    </row>
    <row r="530" spans="1:19" x14ac:dyDescent="0.25">
      <c r="A530" t="s">
        <v>528</v>
      </c>
      <c r="B530" t="s">
        <v>1433</v>
      </c>
      <c r="C530" t="s">
        <v>1810</v>
      </c>
      <c r="D530">
        <v>31.42</v>
      </c>
      <c r="E530" s="1">
        <v>44973</v>
      </c>
      <c r="F530" s="1" t="str">
        <f>TEXT(Sheet1[[#This Row],[Fecha ingreso]],"mmmm")</f>
        <v>febrero</v>
      </c>
      <c r="G530" s="2">
        <f>YEAR(Sheet1[[#This Row],[Fecha ingreso]])</f>
        <v>2023</v>
      </c>
      <c r="H530" s="1" t="str">
        <f>TEXT(Sheet1[[#This Row],[Fecha ingreso]],"dddd")</f>
        <v>jueves</v>
      </c>
      <c r="I530" s="1">
        <v>45305</v>
      </c>
      <c r="J530" s="2">
        <f>DATEDIF(Sheet1[[#This Row],[Fecha ingreso]],Sheet1[[#This Row],[Fecha último pago]],"M")+1</f>
        <v>11</v>
      </c>
      <c r="K530" s="2">
        <f>Sheet1[[#This Row],[Ingresos mensuales]]*Sheet1[[#This Row],[Meses contratados]]</f>
        <v>345.62</v>
      </c>
      <c r="L530" t="s">
        <v>1816</v>
      </c>
      <c r="M530">
        <v>38</v>
      </c>
      <c r="N530" t="s">
        <v>1822</v>
      </c>
      <c r="O530" t="s">
        <v>1825</v>
      </c>
      <c r="P530" t="s">
        <v>1826</v>
      </c>
      <c r="Q530" cm="1">
        <f t="array" ref="Q530">_xlfn.IFS(P530="2 Years", 24,P530="1 Year",12, P530="6 Months",6, P530="1 Month",1)</f>
        <v>24</v>
      </c>
      <c r="R530" t="str" cm="1">
        <f t="array" ref="R530">_xlfn.IFS(Q530=1,"Mensual",Q530=6,"Semestral",Q530=12,"Anual",Q530=24,"Bienal")</f>
        <v>Bienal</v>
      </c>
      <c r="S530">
        <f>IFERROR(VLOOKUP(Sheet1[[#This Row],[ID usuario]],A531:$A$907,1,FALSE),0)</f>
        <v>0</v>
      </c>
    </row>
    <row r="531" spans="1:19" x14ac:dyDescent="0.25">
      <c r="A531" t="s">
        <v>529</v>
      </c>
      <c r="B531" t="s">
        <v>1434</v>
      </c>
      <c r="C531" t="s">
        <v>1810</v>
      </c>
      <c r="D531">
        <v>21.08</v>
      </c>
      <c r="E531" s="1">
        <v>45219</v>
      </c>
      <c r="F531" s="1" t="str">
        <f>TEXT(Sheet1[[#This Row],[Fecha ingreso]],"mmmm")</f>
        <v>octubre</v>
      </c>
      <c r="G531" s="2">
        <f>YEAR(Sheet1[[#This Row],[Fecha ingreso]])</f>
        <v>2023</v>
      </c>
      <c r="H531" s="1" t="str">
        <f>TEXT(Sheet1[[#This Row],[Fecha ingreso]],"dddd")</f>
        <v>viernes</v>
      </c>
      <c r="I531" s="1">
        <v>45407</v>
      </c>
      <c r="J531" s="2">
        <f>DATEDIF(Sheet1[[#This Row],[Fecha ingreso]],Sheet1[[#This Row],[Fecha último pago]],"M")+1</f>
        <v>7</v>
      </c>
      <c r="K531" s="2">
        <f>Sheet1[[#This Row],[Ingresos mensuales]]*Sheet1[[#This Row],[Meses contratados]]</f>
        <v>147.56</v>
      </c>
      <c r="L531" t="s">
        <v>1818</v>
      </c>
      <c r="M531">
        <v>26</v>
      </c>
      <c r="N531" t="s">
        <v>1821</v>
      </c>
      <c r="O531" t="s">
        <v>1824</v>
      </c>
      <c r="P531" t="s">
        <v>1828</v>
      </c>
      <c r="Q531" cm="1">
        <f t="array" ref="Q531">_xlfn.IFS(P531="2 Years", 24,P531="1 Year",12, P531="6 Months",6, P531="1 Month",1)</f>
        <v>6</v>
      </c>
      <c r="R531" t="str" cm="1">
        <f t="array" ref="R531">_xlfn.IFS(Q531=1,"Mensual",Q531=6,"Semestral",Q531=12,"Anual",Q531=24,"Bienal")</f>
        <v>Semestral</v>
      </c>
      <c r="S531">
        <f>IFERROR(VLOOKUP(Sheet1[[#This Row],[ID usuario]],A532:$A$907,1,FALSE),0)</f>
        <v>0</v>
      </c>
    </row>
    <row r="532" spans="1:19" x14ac:dyDescent="0.25">
      <c r="A532" t="s">
        <v>530</v>
      </c>
      <c r="B532" t="s">
        <v>1435</v>
      </c>
      <c r="C532" t="s">
        <v>1811</v>
      </c>
      <c r="D532">
        <v>96.68</v>
      </c>
      <c r="E532" s="1">
        <v>45434</v>
      </c>
      <c r="F532" s="1" t="str">
        <f>TEXT(Sheet1[[#This Row],[Fecha ingreso]],"mmmm")</f>
        <v>mayo</v>
      </c>
      <c r="G532" s="2">
        <f>YEAR(Sheet1[[#This Row],[Fecha ingreso]])</f>
        <v>2024</v>
      </c>
      <c r="H532" s="1" t="str">
        <f>TEXT(Sheet1[[#This Row],[Fecha ingreso]],"dddd")</f>
        <v>miércoles</v>
      </c>
      <c r="I532" s="1">
        <v>45452</v>
      </c>
      <c r="J532" s="2">
        <f>DATEDIF(Sheet1[[#This Row],[Fecha ingreso]],Sheet1[[#This Row],[Fecha último pago]],"M")+1</f>
        <v>1</v>
      </c>
      <c r="K532" s="2">
        <f>Sheet1[[#This Row],[Ingresos mensuales]]*Sheet1[[#This Row],[Meses contratados]]</f>
        <v>96.68</v>
      </c>
      <c r="L532" t="s">
        <v>1817</v>
      </c>
      <c r="M532">
        <v>28</v>
      </c>
      <c r="N532" t="s">
        <v>1820</v>
      </c>
      <c r="O532" t="s">
        <v>1823</v>
      </c>
      <c r="P532" t="s">
        <v>1827</v>
      </c>
      <c r="Q532" cm="1">
        <f t="array" ref="Q532">_xlfn.IFS(P532="2 Years", 24,P532="1 Year",12, P532="6 Months",6, P532="1 Month",1)</f>
        <v>12</v>
      </c>
      <c r="R532" t="str" cm="1">
        <f t="array" ref="R532">_xlfn.IFS(Q532=1,"Mensual",Q532=6,"Semestral",Q532=12,"Anual",Q532=24,"Bienal")</f>
        <v>Anual</v>
      </c>
      <c r="S532">
        <f>IFERROR(VLOOKUP(Sheet1[[#This Row],[ID usuario]],A533:$A$907,1,FALSE),0)</f>
        <v>0</v>
      </c>
    </row>
    <row r="533" spans="1:19" x14ac:dyDescent="0.25">
      <c r="A533" t="s">
        <v>531</v>
      </c>
      <c r="B533" t="s">
        <v>1436</v>
      </c>
      <c r="C533" t="s">
        <v>1810</v>
      </c>
      <c r="D533">
        <v>19.37</v>
      </c>
      <c r="E533" s="1">
        <v>44894</v>
      </c>
      <c r="F533" s="1" t="str">
        <f>TEXT(Sheet1[[#This Row],[Fecha ingreso]],"mmmm")</f>
        <v>noviembre</v>
      </c>
      <c r="G533" s="2">
        <f>YEAR(Sheet1[[#This Row],[Fecha ingreso]])</f>
        <v>2022</v>
      </c>
      <c r="H533" s="1" t="str">
        <f>TEXT(Sheet1[[#This Row],[Fecha ingreso]],"dddd")</f>
        <v>martes</v>
      </c>
      <c r="I533" s="1">
        <v>45199</v>
      </c>
      <c r="J533" s="2">
        <f>DATEDIF(Sheet1[[#This Row],[Fecha ingreso]],Sheet1[[#This Row],[Fecha último pago]],"M")+1</f>
        <v>11</v>
      </c>
      <c r="K533" s="2">
        <f>Sheet1[[#This Row],[Ingresos mensuales]]*Sheet1[[#This Row],[Meses contratados]]</f>
        <v>213.07000000000002</v>
      </c>
      <c r="L533" t="s">
        <v>1815</v>
      </c>
      <c r="M533">
        <v>59</v>
      </c>
      <c r="N533" t="s">
        <v>1822</v>
      </c>
      <c r="O533" t="s">
        <v>1823</v>
      </c>
      <c r="P533" t="s">
        <v>1829</v>
      </c>
      <c r="Q533" cm="1">
        <f t="array" ref="Q533">_xlfn.IFS(P533="2 Years", 24,P533="1 Year",12, P533="6 Months",6, P533="1 Month",1)</f>
        <v>1</v>
      </c>
      <c r="R533" t="str" cm="1">
        <f t="array" ref="R533">_xlfn.IFS(Q533=1,"Mensual",Q533=6,"Semestral",Q533=12,"Anual",Q533=24,"Bienal")</f>
        <v>Mensual</v>
      </c>
      <c r="S533">
        <f>IFERROR(VLOOKUP(Sheet1[[#This Row],[ID usuario]],A534:$A$907,1,FALSE),0)</f>
        <v>0</v>
      </c>
    </row>
    <row r="534" spans="1:19" x14ac:dyDescent="0.25">
      <c r="A534" t="s">
        <v>532</v>
      </c>
      <c r="B534" t="s">
        <v>1437</v>
      </c>
      <c r="C534" t="s">
        <v>1812</v>
      </c>
      <c r="D534">
        <v>81.52</v>
      </c>
      <c r="E534" s="1">
        <v>44524</v>
      </c>
      <c r="F534" s="1" t="str">
        <f>TEXT(Sheet1[[#This Row],[Fecha ingreso]],"mmmm")</f>
        <v>noviembre</v>
      </c>
      <c r="G534" s="2">
        <f>YEAR(Sheet1[[#This Row],[Fecha ingreso]])</f>
        <v>2021</v>
      </c>
      <c r="H534" s="1" t="str">
        <f>TEXT(Sheet1[[#This Row],[Fecha ingreso]],"dddd")</f>
        <v>miércoles</v>
      </c>
      <c r="I534" s="1">
        <v>45076</v>
      </c>
      <c r="J534" s="2">
        <f>DATEDIF(Sheet1[[#This Row],[Fecha ingreso]],Sheet1[[#This Row],[Fecha último pago]],"M")+1</f>
        <v>19</v>
      </c>
      <c r="K534" s="2">
        <f>Sheet1[[#This Row],[Ingresos mensuales]]*Sheet1[[#This Row],[Meses contratados]]</f>
        <v>1548.8799999999999</v>
      </c>
      <c r="L534" t="s">
        <v>1815</v>
      </c>
      <c r="M534">
        <v>52</v>
      </c>
      <c r="N534" t="s">
        <v>1822</v>
      </c>
      <c r="O534" t="s">
        <v>1825</v>
      </c>
      <c r="P534" t="s">
        <v>1826</v>
      </c>
      <c r="Q534" cm="1">
        <f t="array" ref="Q534">_xlfn.IFS(P534="2 Years", 24,P534="1 Year",12, P534="6 Months",6, P534="1 Month",1)</f>
        <v>24</v>
      </c>
      <c r="R534" t="str" cm="1">
        <f t="array" ref="R534">_xlfn.IFS(Q534=1,"Mensual",Q534=6,"Semestral",Q534=12,"Anual",Q534=24,"Bienal")</f>
        <v>Bienal</v>
      </c>
      <c r="S534">
        <f>IFERROR(VLOOKUP(Sheet1[[#This Row],[ID usuario]],A535:$A$907,1,FALSE),0)</f>
        <v>0</v>
      </c>
    </row>
    <row r="535" spans="1:19" x14ac:dyDescent="0.25">
      <c r="A535" t="s">
        <v>533</v>
      </c>
      <c r="B535" t="s">
        <v>1438</v>
      </c>
      <c r="C535" t="s">
        <v>1810</v>
      </c>
      <c r="D535">
        <v>60.68</v>
      </c>
      <c r="E535" s="1">
        <v>45340</v>
      </c>
      <c r="F535" s="1" t="str">
        <f>TEXT(Sheet1[[#This Row],[Fecha ingreso]],"mmmm")</f>
        <v>febrero</v>
      </c>
      <c r="G535" s="2">
        <f>YEAR(Sheet1[[#This Row],[Fecha ingreso]])</f>
        <v>2024</v>
      </c>
      <c r="H535" s="1" t="str">
        <f>TEXT(Sheet1[[#This Row],[Fecha ingreso]],"dddd")</f>
        <v>domingo</v>
      </c>
      <c r="I535" s="1">
        <v>45386</v>
      </c>
      <c r="J535" s="2">
        <f>DATEDIF(Sheet1[[#This Row],[Fecha ingreso]],Sheet1[[#This Row],[Fecha último pago]],"M")+1</f>
        <v>2</v>
      </c>
      <c r="K535" s="2">
        <f>Sheet1[[#This Row],[Ingresos mensuales]]*Sheet1[[#This Row],[Meses contratados]]</f>
        <v>121.36</v>
      </c>
      <c r="L535" t="s">
        <v>1815</v>
      </c>
      <c r="M535">
        <v>64</v>
      </c>
      <c r="N535" t="s">
        <v>1821</v>
      </c>
      <c r="O535" t="s">
        <v>1823</v>
      </c>
      <c r="P535" t="s">
        <v>1829</v>
      </c>
      <c r="Q535" cm="1">
        <f t="array" ref="Q535">_xlfn.IFS(P535="2 Years", 24,P535="1 Year",12, P535="6 Months",6, P535="1 Month",1)</f>
        <v>1</v>
      </c>
      <c r="R535" t="str" cm="1">
        <f t="array" ref="R535">_xlfn.IFS(Q535=1,"Mensual",Q535=6,"Semestral",Q535=12,"Anual",Q535=24,"Bienal")</f>
        <v>Mensual</v>
      </c>
      <c r="S535">
        <f>IFERROR(VLOOKUP(Sheet1[[#This Row],[ID usuario]],A536:$A$907,1,FALSE),0)</f>
        <v>0</v>
      </c>
    </row>
    <row r="536" spans="1:19" x14ac:dyDescent="0.25">
      <c r="A536" t="s">
        <v>534</v>
      </c>
      <c r="B536" t="s">
        <v>1439</v>
      </c>
      <c r="C536" t="s">
        <v>1811</v>
      </c>
      <c r="D536">
        <v>59.08</v>
      </c>
      <c r="E536" s="1">
        <v>44416</v>
      </c>
      <c r="F536" s="1" t="str">
        <f>TEXT(Sheet1[[#This Row],[Fecha ingreso]],"mmmm")</f>
        <v>agosto</v>
      </c>
      <c r="G536" s="2">
        <f>YEAR(Sheet1[[#This Row],[Fecha ingreso]])</f>
        <v>2021</v>
      </c>
      <c r="H536" s="1" t="str">
        <f>TEXT(Sheet1[[#This Row],[Fecha ingreso]],"dddd")</f>
        <v>domingo</v>
      </c>
      <c r="I536" s="1">
        <v>44606</v>
      </c>
      <c r="J536" s="2">
        <f>DATEDIF(Sheet1[[#This Row],[Fecha ingreso]],Sheet1[[#This Row],[Fecha último pago]],"M")+1</f>
        <v>7</v>
      </c>
      <c r="K536" s="2">
        <f>Sheet1[[#This Row],[Ingresos mensuales]]*Sheet1[[#This Row],[Meses contratados]]</f>
        <v>413.56</v>
      </c>
      <c r="L536" t="s">
        <v>1816</v>
      </c>
      <c r="M536">
        <v>29</v>
      </c>
      <c r="N536" t="s">
        <v>1821</v>
      </c>
      <c r="O536" t="s">
        <v>1823</v>
      </c>
      <c r="P536" t="s">
        <v>1828</v>
      </c>
      <c r="Q536" cm="1">
        <f t="array" ref="Q536">_xlfn.IFS(P536="2 Years", 24,P536="1 Year",12, P536="6 Months",6, P536="1 Month",1)</f>
        <v>6</v>
      </c>
      <c r="R536" t="str" cm="1">
        <f t="array" ref="R536">_xlfn.IFS(Q536=1,"Mensual",Q536=6,"Semestral",Q536=12,"Anual",Q536=24,"Bienal")</f>
        <v>Semestral</v>
      </c>
      <c r="S536">
        <f>IFERROR(VLOOKUP(Sheet1[[#This Row],[ID usuario]],A537:$A$907,1,FALSE),0)</f>
        <v>0</v>
      </c>
    </row>
    <row r="537" spans="1:19" x14ac:dyDescent="0.25">
      <c r="A537" t="s">
        <v>535</v>
      </c>
      <c r="B537" t="s">
        <v>1440</v>
      </c>
      <c r="C537" t="s">
        <v>1812</v>
      </c>
      <c r="D537">
        <v>53.65</v>
      </c>
      <c r="E537" s="1">
        <v>44887</v>
      </c>
      <c r="F537" s="1" t="str">
        <f>TEXT(Sheet1[[#This Row],[Fecha ingreso]],"mmmm")</f>
        <v>noviembre</v>
      </c>
      <c r="G537" s="2">
        <f>YEAR(Sheet1[[#This Row],[Fecha ingreso]])</f>
        <v>2022</v>
      </c>
      <c r="H537" s="1" t="str">
        <f>TEXT(Sheet1[[#This Row],[Fecha ingreso]],"dddd")</f>
        <v>martes</v>
      </c>
      <c r="I537" s="1">
        <v>45303</v>
      </c>
      <c r="J537" s="2">
        <f>DATEDIF(Sheet1[[#This Row],[Fecha ingreso]],Sheet1[[#This Row],[Fecha último pago]],"M")+1</f>
        <v>14</v>
      </c>
      <c r="K537" s="2">
        <f>Sheet1[[#This Row],[Ingresos mensuales]]*Sheet1[[#This Row],[Meses contratados]]</f>
        <v>751.1</v>
      </c>
      <c r="L537" t="s">
        <v>1815</v>
      </c>
      <c r="M537">
        <v>26</v>
      </c>
      <c r="N537" t="s">
        <v>1821</v>
      </c>
      <c r="O537" t="s">
        <v>1824</v>
      </c>
      <c r="P537" t="s">
        <v>1827</v>
      </c>
      <c r="Q537" cm="1">
        <f t="array" ref="Q537">_xlfn.IFS(P537="2 Years", 24,P537="1 Year",12, P537="6 Months",6, P537="1 Month",1)</f>
        <v>12</v>
      </c>
      <c r="R537" t="str" cm="1">
        <f t="array" ref="R537">_xlfn.IFS(Q537=1,"Mensual",Q537=6,"Semestral",Q537=12,"Anual",Q537=24,"Bienal")</f>
        <v>Anual</v>
      </c>
      <c r="S537">
        <f>IFERROR(VLOOKUP(Sheet1[[#This Row],[ID usuario]],A538:$A$907,1,FALSE),0)</f>
        <v>0</v>
      </c>
    </row>
    <row r="538" spans="1:19" x14ac:dyDescent="0.25">
      <c r="A538" t="s">
        <v>536</v>
      </c>
      <c r="B538" t="s">
        <v>1441</v>
      </c>
      <c r="C538" t="s">
        <v>1810</v>
      </c>
      <c r="D538">
        <v>97.32</v>
      </c>
      <c r="E538" s="1">
        <v>44904</v>
      </c>
      <c r="F538" s="1" t="str">
        <f>TEXT(Sheet1[[#This Row],[Fecha ingreso]],"mmmm")</f>
        <v>diciembre</v>
      </c>
      <c r="G538" s="2">
        <f>YEAR(Sheet1[[#This Row],[Fecha ingreso]])</f>
        <v>2022</v>
      </c>
      <c r="H538" s="1" t="str">
        <f>TEXT(Sheet1[[#This Row],[Fecha ingreso]],"dddd")</f>
        <v>viernes</v>
      </c>
      <c r="I538" s="1">
        <v>45287</v>
      </c>
      <c r="J538" s="2">
        <f>DATEDIF(Sheet1[[#This Row],[Fecha ingreso]],Sheet1[[#This Row],[Fecha último pago]],"M")+1</f>
        <v>13</v>
      </c>
      <c r="K538" s="2">
        <f>Sheet1[[#This Row],[Ingresos mensuales]]*Sheet1[[#This Row],[Meses contratados]]</f>
        <v>1265.1599999999999</v>
      </c>
      <c r="L538" t="s">
        <v>1816</v>
      </c>
      <c r="M538">
        <v>39</v>
      </c>
      <c r="N538" t="s">
        <v>1820</v>
      </c>
      <c r="O538" t="s">
        <v>1824</v>
      </c>
      <c r="P538" t="s">
        <v>1828</v>
      </c>
      <c r="Q538" cm="1">
        <f t="array" ref="Q538">_xlfn.IFS(P538="2 Years", 24,P538="1 Year",12, P538="6 Months",6, P538="1 Month",1)</f>
        <v>6</v>
      </c>
      <c r="R538" t="str" cm="1">
        <f t="array" ref="R538">_xlfn.IFS(Q538=1,"Mensual",Q538=6,"Semestral",Q538=12,"Anual",Q538=24,"Bienal")</f>
        <v>Semestral</v>
      </c>
      <c r="S538">
        <f>IFERROR(VLOOKUP(Sheet1[[#This Row],[ID usuario]],A539:$A$907,1,FALSE),0)</f>
        <v>0</v>
      </c>
    </row>
    <row r="539" spans="1:19" x14ac:dyDescent="0.25">
      <c r="A539" t="s">
        <v>537</v>
      </c>
      <c r="B539" t="s">
        <v>1442</v>
      </c>
      <c r="C539" t="s">
        <v>1810</v>
      </c>
      <c r="D539">
        <v>79.849999999999994</v>
      </c>
      <c r="E539" s="1">
        <v>44453</v>
      </c>
      <c r="F539" s="1" t="str">
        <f>TEXT(Sheet1[[#This Row],[Fecha ingreso]],"mmmm")</f>
        <v>septiembre</v>
      </c>
      <c r="G539" s="2">
        <f>YEAR(Sheet1[[#This Row],[Fecha ingreso]])</f>
        <v>2021</v>
      </c>
      <c r="H539" s="1" t="str">
        <f>TEXT(Sheet1[[#This Row],[Fecha ingreso]],"dddd")</f>
        <v>martes</v>
      </c>
      <c r="I539" s="1">
        <v>44572</v>
      </c>
      <c r="J539" s="2">
        <f>DATEDIF(Sheet1[[#This Row],[Fecha ingreso]],Sheet1[[#This Row],[Fecha último pago]],"M")+1</f>
        <v>4</v>
      </c>
      <c r="K539" s="2">
        <f>Sheet1[[#This Row],[Ingresos mensuales]]*Sheet1[[#This Row],[Meses contratados]]</f>
        <v>319.39999999999998</v>
      </c>
      <c r="L539" t="s">
        <v>1814</v>
      </c>
      <c r="M539">
        <v>65</v>
      </c>
      <c r="N539" t="s">
        <v>1822</v>
      </c>
      <c r="O539" t="s">
        <v>1823</v>
      </c>
      <c r="P539" t="s">
        <v>1827</v>
      </c>
      <c r="Q539" cm="1">
        <f t="array" ref="Q539">_xlfn.IFS(P539="2 Years", 24,P539="1 Year",12, P539="6 Months",6, P539="1 Month",1)</f>
        <v>12</v>
      </c>
      <c r="R539" t="str" cm="1">
        <f t="array" ref="R539">_xlfn.IFS(Q539=1,"Mensual",Q539=6,"Semestral",Q539=12,"Anual",Q539=24,"Bienal")</f>
        <v>Anual</v>
      </c>
      <c r="S539">
        <f>IFERROR(VLOOKUP(Sheet1[[#This Row],[ID usuario]],A540:$A$907,1,FALSE),0)</f>
        <v>0</v>
      </c>
    </row>
    <row r="540" spans="1:19" x14ac:dyDescent="0.25">
      <c r="A540" t="s">
        <v>538</v>
      </c>
      <c r="B540" t="s">
        <v>1443</v>
      </c>
      <c r="C540" t="s">
        <v>1810</v>
      </c>
      <c r="D540">
        <v>57.75</v>
      </c>
      <c r="E540" s="1">
        <v>44638</v>
      </c>
      <c r="F540" s="1" t="str">
        <f>TEXT(Sheet1[[#This Row],[Fecha ingreso]],"mmmm")</f>
        <v>marzo</v>
      </c>
      <c r="G540" s="2">
        <f>YEAR(Sheet1[[#This Row],[Fecha ingreso]])</f>
        <v>2022</v>
      </c>
      <c r="H540" s="1" t="str">
        <f>TEXT(Sheet1[[#This Row],[Fecha ingreso]],"dddd")</f>
        <v>viernes</v>
      </c>
      <c r="I540" s="1">
        <v>45126</v>
      </c>
      <c r="J540" s="2">
        <f>DATEDIF(Sheet1[[#This Row],[Fecha ingreso]],Sheet1[[#This Row],[Fecha último pago]],"M")+1</f>
        <v>17</v>
      </c>
      <c r="K540" s="2">
        <f>Sheet1[[#This Row],[Ingresos mensuales]]*Sheet1[[#This Row],[Meses contratados]]</f>
        <v>981.75</v>
      </c>
      <c r="L540" t="s">
        <v>1818</v>
      </c>
      <c r="M540">
        <v>25</v>
      </c>
      <c r="N540" t="s">
        <v>1821</v>
      </c>
      <c r="O540" t="s">
        <v>1823</v>
      </c>
      <c r="P540" t="s">
        <v>1828</v>
      </c>
      <c r="Q540" cm="1">
        <f t="array" ref="Q540">_xlfn.IFS(P540="2 Years", 24,P540="1 Year",12, P540="6 Months",6, P540="1 Month",1)</f>
        <v>6</v>
      </c>
      <c r="R540" t="str" cm="1">
        <f t="array" ref="R540">_xlfn.IFS(Q540=1,"Mensual",Q540=6,"Semestral",Q540=12,"Anual",Q540=24,"Bienal")</f>
        <v>Semestral</v>
      </c>
      <c r="S540">
        <f>IFERROR(VLOOKUP(Sheet1[[#This Row],[ID usuario]],A541:$A$907,1,FALSE),0)</f>
        <v>0</v>
      </c>
    </row>
    <row r="541" spans="1:19" x14ac:dyDescent="0.25">
      <c r="A541" t="s">
        <v>539</v>
      </c>
      <c r="B541" t="s">
        <v>1444</v>
      </c>
      <c r="C541" t="s">
        <v>1811</v>
      </c>
      <c r="D541">
        <v>42.59</v>
      </c>
      <c r="E541" s="1">
        <v>44615</v>
      </c>
      <c r="F541" s="1" t="str">
        <f>TEXT(Sheet1[[#This Row],[Fecha ingreso]],"mmmm")</f>
        <v>febrero</v>
      </c>
      <c r="G541" s="2">
        <f>YEAR(Sheet1[[#This Row],[Fecha ingreso]])</f>
        <v>2022</v>
      </c>
      <c r="H541" s="1" t="str">
        <f>TEXT(Sheet1[[#This Row],[Fecha ingreso]],"dddd")</f>
        <v>miércoles</v>
      </c>
      <c r="I541" s="1">
        <v>44699</v>
      </c>
      <c r="J541" s="2">
        <f>DATEDIF(Sheet1[[#This Row],[Fecha ingreso]],Sheet1[[#This Row],[Fecha último pago]],"M")+1</f>
        <v>3</v>
      </c>
      <c r="K541" s="2">
        <f>Sheet1[[#This Row],[Ingresos mensuales]]*Sheet1[[#This Row],[Meses contratados]]</f>
        <v>127.77000000000001</v>
      </c>
      <c r="L541" t="s">
        <v>1815</v>
      </c>
      <c r="M541">
        <v>39</v>
      </c>
      <c r="N541" t="s">
        <v>1820</v>
      </c>
      <c r="O541" t="s">
        <v>1823</v>
      </c>
      <c r="P541" t="s">
        <v>1826</v>
      </c>
      <c r="Q541" cm="1">
        <f t="array" ref="Q541">_xlfn.IFS(P541="2 Years", 24,P541="1 Year",12, P541="6 Months",6, P541="1 Month",1)</f>
        <v>24</v>
      </c>
      <c r="R541" t="str" cm="1">
        <f t="array" ref="R541">_xlfn.IFS(Q541=1,"Mensual",Q541=6,"Semestral",Q541=12,"Anual",Q541=24,"Bienal")</f>
        <v>Bienal</v>
      </c>
      <c r="S541">
        <f>IFERROR(VLOOKUP(Sheet1[[#This Row],[ID usuario]],A542:$A$907,1,FALSE),0)</f>
        <v>0</v>
      </c>
    </row>
    <row r="542" spans="1:19" x14ac:dyDescent="0.25">
      <c r="A542" t="s">
        <v>540</v>
      </c>
      <c r="B542" t="s">
        <v>1445</v>
      </c>
      <c r="C542" t="s">
        <v>1810</v>
      </c>
      <c r="D542">
        <v>95.77</v>
      </c>
      <c r="E542" s="1">
        <v>44672</v>
      </c>
      <c r="F542" s="1" t="str">
        <f>TEXT(Sheet1[[#This Row],[Fecha ingreso]],"mmmm")</f>
        <v>abril</v>
      </c>
      <c r="G542" s="2">
        <f>YEAR(Sheet1[[#This Row],[Fecha ingreso]])</f>
        <v>2022</v>
      </c>
      <c r="H542" s="1" t="str">
        <f>TEXT(Sheet1[[#This Row],[Fecha ingreso]],"dddd")</f>
        <v>jueves</v>
      </c>
      <c r="I542" s="1">
        <v>44823</v>
      </c>
      <c r="J542" s="2">
        <f>DATEDIF(Sheet1[[#This Row],[Fecha ingreso]],Sheet1[[#This Row],[Fecha último pago]],"M")+1</f>
        <v>5</v>
      </c>
      <c r="K542" s="2">
        <f>Sheet1[[#This Row],[Ingresos mensuales]]*Sheet1[[#This Row],[Meses contratados]]</f>
        <v>478.84999999999997</v>
      </c>
      <c r="L542" t="s">
        <v>1817</v>
      </c>
      <c r="M542">
        <v>40</v>
      </c>
      <c r="N542" t="s">
        <v>1822</v>
      </c>
      <c r="O542" t="s">
        <v>1825</v>
      </c>
      <c r="P542" t="s">
        <v>1829</v>
      </c>
      <c r="Q542" cm="1">
        <f t="array" ref="Q542">_xlfn.IFS(P542="2 Years", 24,P542="1 Year",12, P542="6 Months",6, P542="1 Month",1)</f>
        <v>1</v>
      </c>
      <c r="R542" t="str" cm="1">
        <f t="array" ref="R542">_xlfn.IFS(Q542=1,"Mensual",Q542=6,"Semestral",Q542=12,"Anual",Q542=24,"Bienal")</f>
        <v>Mensual</v>
      </c>
      <c r="S542">
        <f>IFERROR(VLOOKUP(Sheet1[[#This Row],[ID usuario]],A543:$A$907,1,FALSE),0)</f>
        <v>0</v>
      </c>
    </row>
    <row r="543" spans="1:19" x14ac:dyDescent="0.25">
      <c r="A543" t="s">
        <v>541</v>
      </c>
      <c r="B543" t="s">
        <v>1446</v>
      </c>
      <c r="C543" t="s">
        <v>1811</v>
      </c>
      <c r="D543">
        <v>61.84</v>
      </c>
      <c r="E543" s="1">
        <v>44771</v>
      </c>
      <c r="F543" s="1" t="str">
        <f>TEXT(Sheet1[[#This Row],[Fecha ingreso]],"mmmm")</f>
        <v>julio</v>
      </c>
      <c r="G543" s="2">
        <f>YEAR(Sheet1[[#This Row],[Fecha ingreso]])</f>
        <v>2022</v>
      </c>
      <c r="H543" s="1" t="str">
        <f>TEXT(Sheet1[[#This Row],[Fecha ingreso]],"dddd")</f>
        <v>viernes</v>
      </c>
      <c r="I543" s="1">
        <v>45388</v>
      </c>
      <c r="J543" s="2">
        <f>DATEDIF(Sheet1[[#This Row],[Fecha ingreso]],Sheet1[[#This Row],[Fecha último pago]],"M")+1</f>
        <v>21</v>
      </c>
      <c r="K543" s="2">
        <f>Sheet1[[#This Row],[Ingresos mensuales]]*Sheet1[[#This Row],[Meses contratados]]</f>
        <v>1298.6400000000001</v>
      </c>
      <c r="L543" t="s">
        <v>1815</v>
      </c>
      <c r="M543">
        <v>24</v>
      </c>
      <c r="N543" t="s">
        <v>1820</v>
      </c>
      <c r="O543" t="s">
        <v>1824</v>
      </c>
      <c r="P543" t="s">
        <v>1826</v>
      </c>
      <c r="Q543" cm="1">
        <f t="array" ref="Q543">_xlfn.IFS(P543="2 Years", 24,P543="1 Year",12, P543="6 Months",6, P543="1 Month",1)</f>
        <v>24</v>
      </c>
      <c r="R543" t="str" cm="1">
        <f t="array" ref="R543">_xlfn.IFS(Q543=1,"Mensual",Q543=6,"Semestral",Q543=12,"Anual",Q543=24,"Bienal")</f>
        <v>Bienal</v>
      </c>
      <c r="S543">
        <f>IFERROR(VLOOKUP(Sheet1[[#This Row],[ID usuario]],A544:$A$907,1,FALSE),0)</f>
        <v>0</v>
      </c>
    </row>
    <row r="544" spans="1:19" x14ac:dyDescent="0.25">
      <c r="A544" t="s">
        <v>542</v>
      </c>
      <c r="B544" t="s">
        <v>1447</v>
      </c>
      <c r="C544" t="s">
        <v>1810</v>
      </c>
      <c r="D544">
        <v>16.3</v>
      </c>
      <c r="E544" s="1">
        <v>45431</v>
      </c>
      <c r="F544" s="1" t="str">
        <f>TEXT(Sheet1[[#This Row],[Fecha ingreso]],"mmmm")</f>
        <v>mayo</v>
      </c>
      <c r="G544" s="2">
        <f>YEAR(Sheet1[[#This Row],[Fecha ingreso]])</f>
        <v>2024</v>
      </c>
      <c r="H544" s="1" t="str">
        <f>TEXT(Sheet1[[#This Row],[Fecha ingreso]],"dddd")</f>
        <v>domingo</v>
      </c>
      <c r="I544" s="1">
        <v>45450</v>
      </c>
      <c r="J544" s="2">
        <f>DATEDIF(Sheet1[[#This Row],[Fecha ingreso]],Sheet1[[#This Row],[Fecha último pago]],"M")+1</f>
        <v>1</v>
      </c>
      <c r="K544" s="2">
        <f>Sheet1[[#This Row],[Ingresos mensuales]]*Sheet1[[#This Row],[Meses contratados]]</f>
        <v>16.3</v>
      </c>
      <c r="L544" t="s">
        <v>1817</v>
      </c>
      <c r="M544">
        <v>37</v>
      </c>
      <c r="N544" t="s">
        <v>1821</v>
      </c>
      <c r="O544" t="s">
        <v>1824</v>
      </c>
      <c r="P544" t="s">
        <v>1827</v>
      </c>
      <c r="Q544" cm="1">
        <f t="array" ref="Q544">_xlfn.IFS(P544="2 Years", 24,P544="1 Year",12, P544="6 Months",6, P544="1 Month",1)</f>
        <v>12</v>
      </c>
      <c r="R544" t="str" cm="1">
        <f t="array" ref="R544">_xlfn.IFS(Q544=1,"Mensual",Q544=6,"Semestral",Q544=12,"Anual",Q544=24,"Bienal")</f>
        <v>Anual</v>
      </c>
      <c r="S544">
        <f>IFERROR(VLOOKUP(Sheet1[[#This Row],[ID usuario]],A545:$A$907,1,FALSE),0)</f>
        <v>0</v>
      </c>
    </row>
    <row r="545" spans="1:19" x14ac:dyDescent="0.25">
      <c r="A545" t="s">
        <v>543</v>
      </c>
      <c r="B545" t="s">
        <v>1448</v>
      </c>
      <c r="C545" t="s">
        <v>1812</v>
      </c>
      <c r="D545">
        <v>44.67</v>
      </c>
      <c r="E545" s="1">
        <v>45097</v>
      </c>
      <c r="F545" s="1" t="str">
        <f>TEXT(Sheet1[[#This Row],[Fecha ingreso]],"mmmm")</f>
        <v>junio</v>
      </c>
      <c r="G545" s="2">
        <f>YEAR(Sheet1[[#This Row],[Fecha ingreso]])</f>
        <v>2023</v>
      </c>
      <c r="H545" s="1" t="str">
        <f>TEXT(Sheet1[[#This Row],[Fecha ingreso]],"dddd")</f>
        <v>martes</v>
      </c>
      <c r="I545" s="1">
        <v>45214</v>
      </c>
      <c r="J545" s="2">
        <f>DATEDIF(Sheet1[[#This Row],[Fecha ingreso]],Sheet1[[#This Row],[Fecha último pago]],"M")+1</f>
        <v>4</v>
      </c>
      <c r="K545" s="2">
        <f>Sheet1[[#This Row],[Ingresos mensuales]]*Sheet1[[#This Row],[Meses contratados]]</f>
        <v>178.68</v>
      </c>
      <c r="L545" t="s">
        <v>1813</v>
      </c>
      <c r="M545">
        <v>61</v>
      </c>
      <c r="N545" t="s">
        <v>1821</v>
      </c>
      <c r="O545" t="s">
        <v>1823</v>
      </c>
      <c r="P545" t="s">
        <v>1826</v>
      </c>
      <c r="Q545" cm="1">
        <f t="array" ref="Q545">_xlfn.IFS(P545="2 Years", 24,P545="1 Year",12, P545="6 Months",6, P545="1 Month",1)</f>
        <v>24</v>
      </c>
      <c r="R545" t="str" cm="1">
        <f t="array" ref="R545">_xlfn.IFS(Q545=1,"Mensual",Q545=6,"Semestral",Q545=12,"Anual",Q545=24,"Bienal")</f>
        <v>Bienal</v>
      </c>
      <c r="S545">
        <f>IFERROR(VLOOKUP(Sheet1[[#This Row],[ID usuario]],A546:$A$907,1,FALSE),0)</f>
        <v>0</v>
      </c>
    </row>
    <row r="546" spans="1:19" x14ac:dyDescent="0.25">
      <c r="A546" t="s">
        <v>544</v>
      </c>
      <c r="B546" t="s">
        <v>1449</v>
      </c>
      <c r="C546" t="s">
        <v>1812</v>
      </c>
      <c r="D546">
        <v>70.91</v>
      </c>
      <c r="E546" s="1">
        <v>45148</v>
      </c>
      <c r="F546" s="1" t="str">
        <f>TEXT(Sheet1[[#This Row],[Fecha ingreso]],"mmmm")</f>
        <v>agosto</v>
      </c>
      <c r="G546" s="2">
        <f>YEAR(Sheet1[[#This Row],[Fecha ingreso]])</f>
        <v>2023</v>
      </c>
      <c r="H546" s="1" t="str">
        <f>TEXT(Sheet1[[#This Row],[Fecha ingreso]],"dddd")</f>
        <v>jueves</v>
      </c>
      <c r="I546" s="1">
        <v>45424</v>
      </c>
      <c r="J546" s="2">
        <f>DATEDIF(Sheet1[[#This Row],[Fecha ingreso]],Sheet1[[#This Row],[Fecha último pago]],"M")+1</f>
        <v>10</v>
      </c>
      <c r="K546" s="2">
        <f>Sheet1[[#This Row],[Ingresos mensuales]]*Sheet1[[#This Row],[Meses contratados]]</f>
        <v>709.09999999999991</v>
      </c>
      <c r="L546" t="s">
        <v>1813</v>
      </c>
      <c r="M546">
        <v>50</v>
      </c>
      <c r="N546" t="s">
        <v>1820</v>
      </c>
      <c r="O546" t="s">
        <v>1823</v>
      </c>
      <c r="P546" t="s">
        <v>1828</v>
      </c>
      <c r="Q546" cm="1">
        <f t="array" ref="Q546">_xlfn.IFS(P546="2 Years", 24,P546="1 Year",12, P546="6 Months",6, P546="1 Month",1)</f>
        <v>6</v>
      </c>
      <c r="R546" t="str" cm="1">
        <f t="array" ref="R546">_xlfn.IFS(Q546=1,"Mensual",Q546=6,"Semestral",Q546=12,"Anual",Q546=24,"Bienal")</f>
        <v>Semestral</v>
      </c>
      <c r="S546">
        <f>IFERROR(VLOOKUP(Sheet1[[#This Row],[ID usuario]],A547:$A$907,1,FALSE),0)</f>
        <v>0</v>
      </c>
    </row>
    <row r="547" spans="1:19" x14ac:dyDescent="0.25">
      <c r="A547" t="s">
        <v>545</v>
      </c>
      <c r="B547" t="s">
        <v>1450</v>
      </c>
      <c r="C547" t="s">
        <v>1811</v>
      </c>
      <c r="D547">
        <v>92.05</v>
      </c>
      <c r="E547" s="1">
        <v>45395</v>
      </c>
      <c r="F547" s="1" t="str">
        <f>TEXT(Sheet1[[#This Row],[Fecha ingreso]],"mmmm")</f>
        <v>abril</v>
      </c>
      <c r="G547" s="2">
        <f>YEAR(Sheet1[[#This Row],[Fecha ingreso]])</f>
        <v>2024</v>
      </c>
      <c r="H547" s="1" t="str">
        <f>TEXT(Sheet1[[#This Row],[Fecha ingreso]],"dddd")</f>
        <v>sábado</v>
      </c>
      <c r="I547" s="1">
        <v>45403</v>
      </c>
      <c r="J547" s="2">
        <f>DATEDIF(Sheet1[[#This Row],[Fecha ingreso]],Sheet1[[#This Row],[Fecha último pago]],"M")+1</f>
        <v>1</v>
      </c>
      <c r="K547" s="2">
        <f>Sheet1[[#This Row],[Ingresos mensuales]]*Sheet1[[#This Row],[Meses contratados]]</f>
        <v>92.05</v>
      </c>
      <c r="L547" t="s">
        <v>1818</v>
      </c>
      <c r="M547">
        <v>55</v>
      </c>
      <c r="N547" t="s">
        <v>1820</v>
      </c>
      <c r="O547" t="s">
        <v>1824</v>
      </c>
      <c r="P547" t="s">
        <v>1828</v>
      </c>
      <c r="Q547" cm="1">
        <f t="array" ref="Q547">_xlfn.IFS(P547="2 Years", 24,P547="1 Year",12, P547="6 Months",6, P547="1 Month",1)</f>
        <v>6</v>
      </c>
      <c r="R547" t="str" cm="1">
        <f t="array" ref="R547">_xlfn.IFS(Q547=1,"Mensual",Q547=6,"Semestral",Q547=12,"Anual",Q547=24,"Bienal")</f>
        <v>Semestral</v>
      </c>
      <c r="S547">
        <f>IFERROR(VLOOKUP(Sheet1[[#This Row],[ID usuario]],A548:$A$907,1,FALSE),0)</f>
        <v>0</v>
      </c>
    </row>
    <row r="548" spans="1:19" x14ac:dyDescent="0.25">
      <c r="A548" t="s">
        <v>546</v>
      </c>
      <c r="B548" t="s">
        <v>1451</v>
      </c>
      <c r="C548" t="s">
        <v>1810</v>
      </c>
      <c r="D548">
        <v>29.64</v>
      </c>
      <c r="E548" s="1">
        <v>45046</v>
      </c>
      <c r="F548" s="1" t="str">
        <f>TEXT(Sheet1[[#This Row],[Fecha ingreso]],"mmmm")</f>
        <v>abril</v>
      </c>
      <c r="G548" s="2">
        <f>YEAR(Sheet1[[#This Row],[Fecha ingreso]])</f>
        <v>2023</v>
      </c>
      <c r="H548" s="1" t="str">
        <f>TEXT(Sheet1[[#This Row],[Fecha ingreso]],"dddd")</f>
        <v>domingo</v>
      </c>
      <c r="I548" s="1">
        <v>45368</v>
      </c>
      <c r="J548" s="2">
        <f>DATEDIF(Sheet1[[#This Row],[Fecha ingreso]],Sheet1[[#This Row],[Fecha último pago]],"M")+1</f>
        <v>11</v>
      </c>
      <c r="K548" s="2">
        <f>Sheet1[[#This Row],[Ingresos mensuales]]*Sheet1[[#This Row],[Meses contratados]]</f>
        <v>326.04000000000002</v>
      </c>
      <c r="L548" t="s">
        <v>1816</v>
      </c>
      <c r="M548">
        <v>40</v>
      </c>
      <c r="N548" t="s">
        <v>1820</v>
      </c>
      <c r="O548" t="s">
        <v>1823</v>
      </c>
      <c r="P548" t="s">
        <v>1826</v>
      </c>
      <c r="Q548" cm="1">
        <f t="array" ref="Q548">_xlfn.IFS(P548="2 Years", 24,P548="1 Year",12, P548="6 Months",6, P548="1 Month",1)</f>
        <v>24</v>
      </c>
      <c r="R548" t="str" cm="1">
        <f t="array" ref="R548">_xlfn.IFS(Q548=1,"Mensual",Q548=6,"Semestral",Q548=12,"Anual",Q548=24,"Bienal")</f>
        <v>Bienal</v>
      </c>
      <c r="S548">
        <f>IFERROR(VLOOKUP(Sheet1[[#This Row],[ID usuario]],A549:$A$907,1,FALSE),0)</f>
        <v>0</v>
      </c>
    </row>
    <row r="549" spans="1:19" x14ac:dyDescent="0.25">
      <c r="A549" t="s">
        <v>547</v>
      </c>
      <c r="B549" t="s">
        <v>1452</v>
      </c>
      <c r="C549" t="s">
        <v>1812</v>
      </c>
      <c r="D549">
        <v>77.03</v>
      </c>
      <c r="E549" s="1">
        <v>44593</v>
      </c>
      <c r="F549" s="1" t="str">
        <f>TEXT(Sheet1[[#This Row],[Fecha ingreso]],"mmmm")</f>
        <v>febrero</v>
      </c>
      <c r="G549" s="2">
        <f>YEAR(Sheet1[[#This Row],[Fecha ingreso]])</f>
        <v>2022</v>
      </c>
      <c r="H549" s="1" t="str">
        <f>TEXT(Sheet1[[#This Row],[Fecha ingreso]],"dddd")</f>
        <v>martes</v>
      </c>
      <c r="I549" s="1">
        <v>45376</v>
      </c>
      <c r="J549" s="2">
        <f>DATEDIF(Sheet1[[#This Row],[Fecha ingreso]],Sheet1[[#This Row],[Fecha último pago]],"M")+1</f>
        <v>26</v>
      </c>
      <c r="K549" s="2">
        <f>Sheet1[[#This Row],[Ingresos mensuales]]*Sheet1[[#This Row],[Meses contratados]]</f>
        <v>2002.78</v>
      </c>
      <c r="L549" t="s">
        <v>1817</v>
      </c>
      <c r="M549">
        <v>59</v>
      </c>
      <c r="N549" t="s">
        <v>1820</v>
      </c>
      <c r="O549" t="s">
        <v>1823</v>
      </c>
      <c r="P549" t="s">
        <v>1829</v>
      </c>
      <c r="Q549" cm="1">
        <f t="array" ref="Q549">_xlfn.IFS(P549="2 Years", 24,P549="1 Year",12, P549="6 Months",6, P549="1 Month",1)</f>
        <v>1</v>
      </c>
      <c r="R549" t="str" cm="1">
        <f t="array" ref="R549">_xlfn.IFS(Q549=1,"Mensual",Q549=6,"Semestral",Q549=12,"Anual",Q549=24,"Bienal")</f>
        <v>Mensual</v>
      </c>
      <c r="S549">
        <f>IFERROR(VLOOKUP(Sheet1[[#This Row],[ID usuario]],A550:$A$907,1,FALSE),0)</f>
        <v>0</v>
      </c>
    </row>
    <row r="550" spans="1:19" x14ac:dyDescent="0.25">
      <c r="A550" t="s">
        <v>548</v>
      </c>
      <c r="B550" t="s">
        <v>1453</v>
      </c>
      <c r="C550" t="s">
        <v>1810</v>
      </c>
      <c r="D550">
        <v>48.69</v>
      </c>
      <c r="E550" s="1">
        <v>44412</v>
      </c>
      <c r="F550" s="1" t="str">
        <f>TEXT(Sheet1[[#This Row],[Fecha ingreso]],"mmmm")</f>
        <v>agosto</v>
      </c>
      <c r="G550" s="2">
        <f>YEAR(Sheet1[[#This Row],[Fecha ingreso]])</f>
        <v>2021</v>
      </c>
      <c r="H550" s="1" t="str">
        <f>TEXT(Sheet1[[#This Row],[Fecha ingreso]],"dddd")</f>
        <v>miércoles</v>
      </c>
      <c r="I550" s="1">
        <v>44636</v>
      </c>
      <c r="J550" s="2">
        <f>DATEDIF(Sheet1[[#This Row],[Fecha ingreso]],Sheet1[[#This Row],[Fecha último pago]],"M")+1</f>
        <v>8</v>
      </c>
      <c r="K550" s="2">
        <f>Sheet1[[#This Row],[Ingresos mensuales]]*Sheet1[[#This Row],[Meses contratados]]</f>
        <v>389.52</v>
      </c>
      <c r="L550" t="s">
        <v>1817</v>
      </c>
      <c r="M550">
        <v>39</v>
      </c>
      <c r="N550" t="s">
        <v>1820</v>
      </c>
      <c r="O550" t="s">
        <v>1825</v>
      </c>
      <c r="P550" t="s">
        <v>1826</v>
      </c>
      <c r="Q550" cm="1">
        <f t="array" ref="Q550">_xlfn.IFS(P550="2 Years", 24,P550="1 Year",12, P550="6 Months",6, P550="1 Month",1)</f>
        <v>24</v>
      </c>
      <c r="R550" t="str" cm="1">
        <f t="array" ref="R550">_xlfn.IFS(Q550=1,"Mensual",Q550=6,"Semestral",Q550=12,"Anual",Q550=24,"Bienal")</f>
        <v>Bienal</v>
      </c>
      <c r="S550">
        <f>IFERROR(VLOOKUP(Sheet1[[#This Row],[ID usuario]],A551:$A$907,1,FALSE),0)</f>
        <v>0</v>
      </c>
    </row>
    <row r="551" spans="1:19" x14ac:dyDescent="0.25">
      <c r="A551" t="s">
        <v>549</v>
      </c>
      <c r="B551" t="s">
        <v>1454</v>
      </c>
      <c r="C551" t="s">
        <v>1812</v>
      </c>
      <c r="D551">
        <v>59.49</v>
      </c>
      <c r="E551" s="1">
        <v>45245</v>
      </c>
      <c r="F551" s="1" t="str">
        <f>TEXT(Sheet1[[#This Row],[Fecha ingreso]],"mmmm")</f>
        <v>noviembre</v>
      </c>
      <c r="G551" s="2">
        <f>YEAR(Sheet1[[#This Row],[Fecha ingreso]])</f>
        <v>2023</v>
      </c>
      <c r="H551" s="1" t="str">
        <f>TEXT(Sheet1[[#This Row],[Fecha ingreso]],"dddd")</f>
        <v>miércoles</v>
      </c>
      <c r="I551" s="1">
        <v>45435</v>
      </c>
      <c r="J551" s="2">
        <f>DATEDIF(Sheet1[[#This Row],[Fecha ingreso]],Sheet1[[#This Row],[Fecha último pago]],"M")+1</f>
        <v>7</v>
      </c>
      <c r="K551" s="2">
        <f>Sheet1[[#This Row],[Ingresos mensuales]]*Sheet1[[#This Row],[Meses contratados]]</f>
        <v>416.43</v>
      </c>
      <c r="L551" t="s">
        <v>1813</v>
      </c>
      <c r="M551">
        <v>29</v>
      </c>
      <c r="N551" t="s">
        <v>1821</v>
      </c>
      <c r="O551" t="s">
        <v>1824</v>
      </c>
      <c r="P551" t="s">
        <v>1829</v>
      </c>
      <c r="Q551" cm="1">
        <f t="array" ref="Q551">_xlfn.IFS(P551="2 Years", 24,P551="1 Year",12, P551="6 Months",6, P551="1 Month",1)</f>
        <v>1</v>
      </c>
      <c r="R551" t="str" cm="1">
        <f t="array" ref="R551">_xlfn.IFS(Q551=1,"Mensual",Q551=6,"Semestral",Q551=12,"Anual",Q551=24,"Bienal")</f>
        <v>Mensual</v>
      </c>
      <c r="S551">
        <f>IFERROR(VLOOKUP(Sheet1[[#This Row],[ID usuario]],A552:$A$907,1,FALSE),0)</f>
        <v>0</v>
      </c>
    </row>
    <row r="552" spans="1:19" x14ac:dyDescent="0.25">
      <c r="A552" t="s">
        <v>550</v>
      </c>
      <c r="B552" t="s">
        <v>1455</v>
      </c>
      <c r="C552" t="s">
        <v>1810</v>
      </c>
      <c r="D552">
        <v>95.73</v>
      </c>
      <c r="E552" s="1">
        <v>44541</v>
      </c>
      <c r="F552" s="1" t="str">
        <f>TEXT(Sheet1[[#This Row],[Fecha ingreso]],"mmmm")</f>
        <v>diciembre</v>
      </c>
      <c r="G552" s="2">
        <f>YEAR(Sheet1[[#This Row],[Fecha ingreso]])</f>
        <v>2021</v>
      </c>
      <c r="H552" s="1" t="str">
        <f>TEXT(Sheet1[[#This Row],[Fecha ingreso]],"dddd")</f>
        <v>sábado</v>
      </c>
      <c r="I552" s="1">
        <v>44547</v>
      </c>
      <c r="J552" s="2">
        <f>DATEDIF(Sheet1[[#This Row],[Fecha ingreso]],Sheet1[[#This Row],[Fecha último pago]],"M")+1</f>
        <v>1</v>
      </c>
      <c r="K552" s="2">
        <f>Sheet1[[#This Row],[Ingresos mensuales]]*Sheet1[[#This Row],[Meses contratados]]</f>
        <v>95.73</v>
      </c>
      <c r="L552" t="s">
        <v>1814</v>
      </c>
      <c r="M552">
        <v>61</v>
      </c>
      <c r="N552" t="s">
        <v>1820</v>
      </c>
      <c r="O552" t="s">
        <v>1825</v>
      </c>
      <c r="P552" t="s">
        <v>1827</v>
      </c>
      <c r="Q552" cm="1">
        <f t="array" ref="Q552">_xlfn.IFS(P552="2 Years", 24,P552="1 Year",12, P552="6 Months",6, P552="1 Month",1)</f>
        <v>12</v>
      </c>
      <c r="R552" t="str" cm="1">
        <f t="array" ref="R552">_xlfn.IFS(Q552=1,"Mensual",Q552=6,"Semestral",Q552=12,"Anual",Q552=24,"Bienal")</f>
        <v>Anual</v>
      </c>
      <c r="S552">
        <f>IFERROR(VLOOKUP(Sheet1[[#This Row],[ID usuario]],A553:$A$907,1,FALSE),0)</f>
        <v>0</v>
      </c>
    </row>
    <row r="553" spans="1:19" x14ac:dyDescent="0.25">
      <c r="A553" t="s">
        <v>551</v>
      </c>
      <c r="B553" t="s">
        <v>1456</v>
      </c>
      <c r="C553" t="s">
        <v>1812</v>
      </c>
      <c r="D553">
        <v>98.03</v>
      </c>
      <c r="E553" s="1">
        <v>45222</v>
      </c>
      <c r="F553" s="1" t="str">
        <f>TEXT(Sheet1[[#This Row],[Fecha ingreso]],"mmmm")</f>
        <v>octubre</v>
      </c>
      <c r="G553" s="2">
        <f>YEAR(Sheet1[[#This Row],[Fecha ingreso]])</f>
        <v>2023</v>
      </c>
      <c r="H553" s="1" t="str">
        <f>TEXT(Sheet1[[#This Row],[Fecha ingreso]],"dddd")</f>
        <v>lunes</v>
      </c>
      <c r="I553" s="1">
        <v>45393</v>
      </c>
      <c r="J553" s="2">
        <f>DATEDIF(Sheet1[[#This Row],[Fecha ingreso]],Sheet1[[#This Row],[Fecha último pago]],"M")+1</f>
        <v>6</v>
      </c>
      <c r="K553" s="2">
        <f>Sheet1[[#This Row],[Ingresos mensuales]]*Sheet1[[#This Row],[Meses contratados]]</f>
        <v>588.18000000000006</v>
      </c>
      <c r="L553" t="s">
        <v>1814</v>
      </c>
      <c r="M553">
        <v>21</v>
      </c>
      <c r="N553" t="s">
        <v>1820</v>
      </c>
      <c r="O553" t="s">
        <v>1823</v>
      </c>
      <c r="P553" t="s">
        <v>1827</v>
      </c>
      <c r="Q553" cm="1">
        <f t="array" ref="Q553">_xlfn.IFS(P553="2 Years", 24,P553="1 Year",12, P553="6 Months",6, P553="1 Month",1)</f>
        <v>12</v>
      </c>
      <c r="R553" t="str" cm="1">
        <f t="array" ref="R553">_xlfn.IFS(Q553=1,"Mensual",Q553=6,"Semestral",Q553=12,"Anual",Q553=24,"Bienal")</f>
        <v>Anual</v>
      </c>
      <c r="S553">
        <f>IFERROR(VLOOKUP(Sheet1[[#This Row],[ID usuario]],A554:$A$907,1,FALSE),0)</f>
        <v>0</v>
      </c>
    </row>
    <row r="554" spans="1:19" x14ac:dyDescent="0.25">
      <c r="A554" t="s">
        <v>552</v>
      </c>
      <c r="B554" t="s">
        <v>1457</v>
      </c>
      <c r="C554" t="s">
        <v>1812</v>
      </c>
      <c r="D554">
        <v>86.85</v>
      </c>
      <c r="E554" s="1">
        <v>45121</v>
      </c>
      <c r="F554" s="1" t="str">
        <f>TEXT(Sheet1[[#This Row],[Fecha ingreso]],"mmmm")</f>
        <v>julio</v>
      </c>
      <c r="G554" s="2">
        <f>YEAR(Sheet1[[#This Row],[Fecha ingreso]])</f>
        <v>2023</v>
      </c>
      <c r="H554" s="1" t="str">
        <f>TEXT(Sheet1[[#This Row],[Fecha ingreso]],"dddd")</f>
        <v>viernes</v>
      </c>
      <c r="I554" s="1">
        <v>45227</v>
      </c>
      <c r="J554" s="2">
        <f>DATEDIF(Sheet1[[#This Row],[Fecha ingreso]],Sheet1[[#This Row],[Fecha último pago]],"M")+1</f>
        <v>4</v>
      </c>
      <c r="K554" s="2">
        <f>Sheet1[[#This Row],[Ingresos mensuales]]*Sheet1[[#This Row],[Meses contratados]]</f>
        <v>347.4</v>
      </c>
      <c r="L554" t="s">
        <v>1813</v>
      </c>
      <c r="M554">
        <v>50</v>
      </c>
      <c r="N554" t="s">
        <v>1822</v>
      </c>
      <c r="O554" t="s">
        <v>1825</v>
      </c>
      <c r="P554" t="s">
        <v>1829</v>
      </c>
      <c r="Q554" cm="1">
        <f t="array" ref="Q554">_xlfn.IFS(P554="2 Years", 24,P554="1 Year",12, P554="6 Months",6, P554="1 Month",1)</f>
        <v>1</v>
      </c>
      <c r="R554" t="str" cm="1">
        <f t="array" ref="R554">_xlfn.IFS(Q554=1,"Mensual",Q554=6,"Semestral",Q554=12,"Anual",Q554=24,"Bienal")</f>
        <v>Mensual</v>
      </c>
      <c r="S554">
        <f>IFERROR(VLOOKUP(Sheet1[[#This Row],[ID usuario]],A555:$A$907,1,FALSE),0)</f>
        <v>0</v>
      </c>
    </row>
    <row r="555" spans="1:19" x14ac:dyDescent="0.25">
      <c r="A555" t="s">
        <v>553</v>
      </c>
      <c r="B555" t="s">
        <v>1458</v>
      </c>
      <c r="C555" t="s">
        <v>1810</v>
      </c>
      <c r="D555">
        <v>39.11</v>
      </c>
      <c r="E555" s="1">
        <v>45067</v>
      </c>
      <c r="F555" s="1" t="str">
        <f>TEXT(Sheet1[[#This Row],[Fecha ingreso]],"mmmm")</f>
        <v>mayo</v>
      </c>
      <c r="G555" s="2">
        <f>YEAR(Sheet1[[#This Row],[Fecha ingreso]])</f>
        <v>2023</v>
      </c>
      <c r="H555" s="1" t="str">
        <f>TEXT(Sheet1[[#This Row],[Fecha ingreso]],"dddd")</f>
        <v>domingo</v>
      </c>
      <c r="I555" s="1">
        <v>45124</v>
      </c>
      <c r="J555" s="2">
        <f>DATEDIF(Sheet1[[#This Row],[Fecha ingreso]],Sheet1[[#This Row],[Fecha último pago]],"M")+1</f>
        <v>2</v>
      </c>
      <c r="K555" s="2">
        <f>Sheet1[[#This Row],[Ingresos mensuales]]*Sheet1[[#This Row],[Meses contratados]]</f>
        <v>78.22</v>
      </c>
      <c r="L555" t="s">
        <v>1814</v>
      </c>
      <c r="M555">
        <v>47</v>
      </c>
      <c r="N555" t="s">
        <v>1821</v>
      </c>
      <c r="O555" t="s">
        <v>1825</v>
      </c>
      <c r="P555" t="s">
        <v>1827</v>
      </c>
      <c r="Q555" cm="1">
        <f t="array" ref="Q555">_xlfn.IFS(P555="2 Years", 24,P555="1 Year",12, P555="6 Months",6, P555="1 Month",1)</f>
        <v>12</v>
      </c>
      <c r="R555" t="str" cm="1">
        <f t="array" ref="R555">_xlfn.IFS(Q555=1,"Mensual",Q555=6,"Semestral",Q555=12,"Anual",Q555=24,"Bienal")</f>
        <v>Anual</v>
      </c>
      <c r="S555">
        <f>IFERROR(VLOOKUP(Sheet1[[#This Row],[ID usuario]],A556:$A$907,1,FALSE),0)</f>
        <v>0</v>
      </c>
    </row>
    <row r="556" spans="1:19" x14ac:dyDescent="0.25">
      <c r="A556" t="s">
        <v>554</v>
      </c>
      <c r="B556" t="s">
        <v>1459</v>
      </c>
      <c r="C556" t="s">
        <v>1810</v>
      </c>
      <c r="D556">
        <v>89.33</v>
      </c>
      <c r="E556" s="1">
        <v>45243</v>
      </c>
      <c r="F556" s="1" t="str">
        <f>TEXT(Sheet1[[#This Row],[Fecha ingreso]],"mmmm")</f>
        <v>noviembre</v>
      </c>
      <c r="G556" s="2">
        <f>YEAR(Sheet1[[#This Row],[Fecha ingreso]])</f>
        <v>2023</v>
      </c>
      <c r="H556" s="1" t="str">
        <f>TEXT(Sheet1[[#This Row],[Fecha ingreso]],"dddd")</f>
        <v>lunes</v>
      </c>
      <c r="I556" s="1">
        <v>45386</v>
      </c>
      <c r="J556" s="2">
        <f>DATEDIF(Sheet1[[#This Row],[Fecha ingreso]],Sheet1[[#This Row],[Fecha último pago]],"M")+1</f>
        <v>5</v>
      </c>
      <c r="K556" s="2">
        <f>Sheet1[[#This Row],[Ingresos mensuales]]*Sheet1[[#This Row],[Meses contratados]]</f>
        <v>446.65</v>
      </c>
      <c r="L556" t="s">
        <v>1818</v>
      </c>
      <c r="M556">
        <v>39</v>
      </c>
      <c r="N556" t="s">
        <v>1821</v>
      </c>
      <c r="O556" t="s">
        <v>1824</v>
      </c>
      <c r="P556" t="s">
        <v>1826</v>
      </c>
      <c r="Q556" cm="1">
        <f t="array" ref="Q556">_xlfn.IFS(P556="2 Years", 24,P556="1 Year",12, P556="6 Months",6, P556="1 Month",1)</f>
        <v>24</v>
      </c>
      <c r="R556" t="str" cm="1">
        <f t="array" ref="R556">_xlfn.IFS(Q556=1,"Mensual",Q556=6,"Semestral",Q556=12,"Anual",Q556=24,"Bienal")</f>
        <v>Bienal</v>
      </c>
      <c r="S556">
        <f>IFERROR(VLOOKUP(Sheet1[[#This Row],[ID usuario]],A557:$A$907,1,FALSE),0)</f>
        <v>0</v>
      </c>
    </row>
    <row r="557" spans="1:19" x14ac:dyDescent="0.25">
      <c r="A557" t="s">
        <v>555</v>
      </c>
      <c r="B557" t="s">
        <v>1460</v>
      </c>
      <c r="C557" t="s">
        <v>1812</v>
      </c>
      <c r="D557">
        <v>65.67</v>
      </c>
      <c r="E557" s="1">
        <v>44679</v>
      </c>
      <c r="F557" s="1" t="str">
        <f>TEXT(Sheet1[[#This Row],[Fecha ingreso]],"mmmm")</f>
        <v>abril</v>
      </c>
      <c r="G557" s="2">
        <f>YEAR(Sheet1[[#This Row],[Fecha ingreso]])</f>
        <v>2022</v>
      </c>
      <c r="H557" s="1" t="str">
        <f>TEXT(Sheet1[[#This Row],[Fecha ingreso]],"dddd")</f>
        <v>jueves</v>
      </c>
      <c r="I557" s="1">
        <v>45097</v>
      </c>
      <c r="J557" s="2">
        <f>DATEDIF(Sheet1[[#This Row],[Fecha ingreso]],Sheet1[[#This Row],[Fecha último pago]],"M")+1</f>
        <v>14</v>
      </c>
      <c r="K557" s="2">
        <f>Sheet1[[#This Row],[Ingresos mensuales]]*Sheet1[[#This Row],[Meses contratados]]</f>
        <v>919.38</v>
      </c>
      <c r="L557" t="s">
        <v>1816</v>
      </c>
      <c r="M557">
        <v>35</v>
      </c>
      <c r="N557" t="s">
        <v>1821</v>
      </c>
      <c r="O557" t="s">
        <v>1825</v>
      </c>
      <c r="P557" t="s">
        <v>1826</v>
      </c>
      <c r="Q557" cm="1">
        <f t="array" ref="Q557">_xlfn.IFS(P557="2 Years", 24,P557="1 Year",12, P557="6 Months",6, P557="1 Month",1)</f>
        <v>24</v>
      </c>
      <c r="R557" t="str" cm="1">
        <f t="array" ref="R557">_xlfn.IFS(Q557=1,"Mensual",Q557=6,"Semestral",Q557=12,"Anual",Q557=24,"Bienal")</f>
        <v>Bienal</v>
      </c>
      <c r="S557">
        <f>IFERROR(VLOOKUP(Sheet1[[#This Row],[ID usuario]],A558:$A$907,1,FALSE),0)</f>
        <v>0</v>
      </c>
    </row>
    <row r="558" spans="1:19" x14ac:dyDescent="0.25">
      <c r="A558" t="s">
        <v>556</v>
      </c>
      <c r="B558" t="s">
        <v>1461</v>
      </c>
      <c r="C558" t="s">
        <v>1811</v>
      </c>
      <c r="D558">
        <v>45.85</v>
      </c>
      <c r="E558" s="1">
        <v>44913</v>
      </c>
      <c r="F558" s="1" t="str">
        <f>TEXT(Sheet1[[#This Row],[Fecha ingreso]],"mmmm")</f>
        <v>diciembre</v>
      </c>
      <c r="G558" s="2">
        <f>YEAR(Sheet1[[#This Row],[Fecha ingreso]])</f>
        <v>2022</v>
      </c>
      <c r="H558" s="1" t="str">
        <f>TEXT(Sheet1[[#This Row],[Fecha ingreso]],"dddd")</f>
        <v>domingo</v>
      </c>
      <c r="I558" s="1">
        <v>45123</v>
      </c>
      <c r="J558" s="2">
        <f>DATEDIF(Sheet1[[#This Row],[Fecha ingreso]],Sheet1[[#This Row],[Fecha último pago]],"M")+1</f>
        <v>7</v>
      </c>
      <c r="K558" s="2">
        <f>Sheet1[[#This Row],[Ingresos mensuales]]*Sheet1[[#This Row],[Meses contratados]]</f>
        <v>320.95</v>
      </c>
      <c r="L558" t="s">
        <v>1815</v>
      </c>
      <c r="M558">
        <v>23</v>
      </c>
      <c r="N558" t="s">
        <v>1820</v>
      </c>
      <c r="O558" t="s">
        <v>1823</v>
      </c>
      <c r="P558" t="s">
        <v>1829</v>
      </c>
      <c r="Q558" cm="1">
        <f t="array" ref="Q558">_xlfn.IFS(P558="2 Years", 24,P558="1 Year",12, P558="6 Months",6, P558="1 Month",1)</f>
        <v>1</v>
      </c>
      <c r="R558" t="str" cm="1">
        <f t="array" ref="R558">_xlfn.IFS(Q558=1,"Mensual",Q558=6,"Semestral",Q558=12,"Anual",Q558=24,"Bienal")</f>
        <v>Mensual</v>
      </c>
      <c r="S558">
        <f>IFERROR(VLOOKUP(Sheet1[[#This Row],[ID usuario]],A559:$A$907,1,FALSE),0)</f>
        <v>0</v>
      </c>
    </row>
    <row r="559" spans="1:19" x14ac:dyDescent="0.25">
      <c r="A559" t="s">
        <v>557</v>
      </c>
      <c r="B559" t="s">
        <v>1462</v>
      </c>
      <c r="C559" t="s">
        <v>1811</v>
      </c>
      <c r="D559">
        <v>78.16</v>
      </c>
      <c r="E559" s="1">
        <v>44833</v>
      </c>
      <c r="F559" s="1" t="str">
        <f>TEXT(Sheet1[[#This Row],[Fecha ingreso]],"mmmm")</f>
        <v>septiembre</v>
      </c>
      <c r="G559" s="2">
        <f>YEAR(Sheet1[[#This Row],[Fecha ingreso]])</f>
        <v>2022</v>
      </c>
      <c r="H559" s="1" t="str">
        <f>TEXT(Sheet1[[#This Row],[Fecha ingreso]],"dddd")</f>
        <v>jueves</v>
      </c>
      <c r="I559" s="1">
        <v>45277</v>
      </c>
      <c r="J559" s="2">
        <f>DATEDIF(Sheet1[[#This Row],[Fecha ingreso]],Sheet1[[#This Row],[Fecha último pago]],"M")+1</f>
        <v>15</v>
      </c>
      <c r="K559" s="2">
        <f>Sheet1[[#This Row],[Ingresos mensuales]]*Sheet1[[#This Row],[Meses contratados]]</f>
        <v>1172.3999999999999</v>
      </c>
      <c r="L559" t="s">
        <v>1816</v>
      </c>
      <c r="M559">
        <v>45</v>
      </c>
      <c r="N559" t="s">
        <v>1820</v>
      </c>
      <c r="O559" t="s">
        <v>1823</v>
      </c>
      <c r="P559" t="s">
        <v>1826</v>
      </c>
      <c r="Q559" cm="1">
        <f t="array" ref="Q559">_xlfn.IFS(P559="2 Years", 24,P559="1 Year",12, P559="6 Months",6, P559="1 Month",1)</f>
        <v>24</v>
      </c>
      <c r="R559" t="str" cm="1">
        <f t="array" ref="R559">_xlfn.IFS(Q559=1,"Mensual",Q559=6,"Semestral",Q559=12,"Anual",Q559=24,"Bienal")</f>
        <v>Bienal</v>
      </c>
      <c r="S559">
        <f>IFERROR(VLOOKUP(Sheet1[[#This Row],[ID usuario]],A560:$A$907,1,FALSE),0)</f>
        <v>0</v>
      </c>
    </row>
    <row r="560" spans="1:19" x14ac:dyDescent="0.25">
      <c r="A560" t="s">
        <v>558</v>
      </c>
      <c r="B560" t="s">
        <v>1463</v>
      </c>
      <c r="C560" t="s">
        <v>1811</v>
      </c>
      <c r="D560">
        <v>52.7</v>
      </c>
      <c r="E560" s="1">
        <v>44550</v>
      </c>
      <c r="F560" s="1" t="str">
        <f>TEXT(Sheet1[[#This Row],[Fecha ingreso]],"mmmm")</f>
        <v>diciembre</v>
      </c>
      <c r="G560" s="2">
        <f>YEAR(Sheet1[[#This Row],[Fecha ingreso]])</f>
        <v>2021</v>
      </c>
      <c r="H560" s="1" t="str">
        <f>TEXT(Sheet1[[#This Row],[Fecha ingreso]],"dddd")</f>
        <v>lunes</v>
      </c>
      <c r="I560" s="1">
        <v>44834</v>
      </c>
      <c r="J560" s="2">
        <f>DATEDIF(Sheet1[[#This Row],[Fecha ingreso]],Sheet1[[#This Row],[Fecha último pago]],"M")+1</f>
        <v>10</v>
      </c>
      <c r="K560" s="2">
        <f>Sheet1[[#This Row],[Ingresos mensuales]]*Sheet1[[#This Row],[Meses contratados]]</f>
        <v>527</v>
      </c>
      <c r="L560" t="s">
        <v>1817</v>
      </c>
      <c r="M560">
        <v>19</v>
      </c>
      <c r="N560" t="s">
        <v>1820</v>
      </c>
      <c r="O560" t="s">
        <v>1823</v>
      </c>
      <c r="P560" t="s">
        <v>1826</v>
      </c>
      <c r="Q560" cm="1">
        <f t="array" ref="Q560">_xlfn.IFS(P560="2 Years", 24,P560="1 Year",12, P560="6 Months",6, P560="1 Month",1)</f>
        <v>24</v>
      </c>
      <c r="R560" t="str" cm="1">
        <f t="array" ref="R560">_xlfn.IFS(Q560=1,"Mensual",Q560=6,"Semestral",Q560=12,"Anual",Q560=24,"Bienal")</f>
        <v>Bienal</v>
      </c>
      <c r="S560">
        <f>IFERROR(VLOOKUP(Sheet1[[#This Row],[ID usuario]],A561:$A$907,1,FALSE),0)</f>
        <v>0</v>
      </c>
    </row>
    <row r="561" spans="1:19" x14ac:dyDescent="0.25">
      <c r="A561" t="s">
        <v>559</v>
      </c>
      <c r="B561" t="s">
        <v>1464</v>
      </c>
      <c r="C561" t="s">
        <v>1810</v>
      </c>
      <c r="D561">
        <v>79.69</v>
      </c>
      <c r="E561" s="1">
        <v>44551</v>
      </c>
      <c r="F561" s="1" t="str">
        <f>TEXT(Sheet1[[#This Row],[Fecha ingreso]],"mmmm")</f>
        <v>diciembre</v>
      </c>
      <c r="G561" s="2">
        <f>YEAR(Sheet1[[#This Row],[Fecha ingreso]])</f>
        <v>2021</v>
      </c>
      <c r="H561" s="1" t="str">
        <f>TEXT(Sheet1[[#This Row],[Fecha ingreso]],"dddd")</f>
        <v>martes</v>
      </c>
      <c r="I561" s="1">
        <v>45006</v>
      </c>
      <c r="J561" s="2">
        <f>DATEDIF(Sheet1[[#This Row],[Fecha ingreso]],Sheet1[[#This Row],[Fecha último pago]],"M")+1</f>
        <v>16</v>
      </c>
      <c r="K561" s="2">
        <f>Sheet1[[#This Row],[Ingresos mensuales]]*Sheet1[[#This Row],[Meses contratados]]</f>
        <v>1275.04</v>
      </c>
      <c r="L561" t="s">
        <v>1817</v>
      </c>
      <c r="M561">
        <v>51</v>
      </c>
      <c r="N561" t="s">
        <v>1822</v>
      </c>
      <c r="O561" t="s">
        <v>1824</v>
      </c>
      <c r="P561" t="s">
        <v>1828</v>
      </c>
      <c r="Q561" cm="1">
        <f t="array" ref="Q561">_xlfn.IFS(P561="2 Years", 24,P561="1 Year",12, P561="6 Months",6, P561="1 Month",1)</f>
        <v>6</v>
      </c>
      <c r="R561" t="str" cm="1">
        <f t="array" ref="R561">_xlfn.IFS(Q561=1,"Mensual",Q561=6,"Semestral",Q561=12,"Anual",Q561=24,"Bienal")</f>
        <v>Semestral</v>
      </c>
      <c r="S561">
        <f>IFERROR(VLOOKUP(Sheet1[[#This Row],[ID usuario]],A562:$A$907,1,FALSE),0)</f>
        <v>0</v>
      </c>
    </row>
    <row r="562" spans="1:19" x14ac:dyDescent="0.25">
      <c r="A562" t="s">
        <v>560</v>
      </c>
      <c r="B562" t="s">
        <v>1465</v>
      </c>
      <c r="C562" t="s">
        <v>1812</v>
      </c>
      <c r="D562">
        <v>76.06</v>
      </c>
      <c r="E562" s="1">
        <v>44512</v>
      </c>
      <c r="F562" s="1" t="str">
        <f>TEXT(Sheet1[[#This Row],[Fecha ingreso]],"mmmm")</f>
        <v>noviembre</v>
      </c>
      <c r="G562" s="2">
        <f>YEAR(Sheet1[[#This Row],[Fecha ingreso]])</f>
        <v>2021</v>
      </c>
      <c r="H562" s="1" t="str">
        <f>TEXT(Sheet1[[#This Row],[Fecha ingreso]],"dddd")</f>
        <v>viernes</v>
      </c>
      <c r="I562" s="1">
        <v>45009</v>
      </c>
      <c r="J562" s="2">
        <f>DATEDIF(Sheet1[[#This Row],[Fecha ingreso]],Sheet1[[#This Row],[Fecha último pago]],"M")+1</f>
        <v>17</v>
      </c>
      <c r="K562" s="2">
        <f>Sheet1[[#This Row],[Ingresos mensuales]]*Sheet1[[#This Row],[Meses contratados]]</f>
        <v>1293.02</v>
      </c>
      <c r="L562" t="s">
        <v>1815</v>
      </c>
      <c r="M562">
        <v>58</v>
      </c>
      <c r="N562" t="s">
        <v>1820</v>
      </c>
      <c r="O562" t="s">
        <v>1823</v>
      </c>
      <c r="P562" t="s">
        <v>1827</v>
      </c>
      <c r="Q562" cm="1">
        <f t="array" ref="Q562">_xlfn.IFS(P562="2 Years", 24,P562="1 Year",12, P562="6 Months",6, P562="1 Month",1)</f>
        <v>12</v>
      </c>
      <c r="R562" t="str" cm="1">
        <f t="array" ref="R562">_xlfn.IFS(Q562=1,"Mensual",Q562=6,"Semestral",Q562=12,"Anual",Q562=24,"Bienal")</f>
        <v>Anual</v>
      </c>
      <c r="S562">
        <f>IFERROR(VLOOKUP(Sheet1[[#This Row],[ID usuario]],A563:$A$907,1,FALSE),0)</f>
        <v>0</v>
      </c>
    </row>
    <row r="563" spans="1:19" x14ac:dyDescent="0.25">
      <c r="A563" t="s">
        <v>561</v>
      </c>
      <c r="B563" t="s">
        <v>1466</v>
      </c>
      <c r="C563" t="s">
        <v>1811</v>
      </c>
      <c r="D563">
        <v>80.39</v>
      </c>
      <c r="E563" s="1">
        <v>45388</v>
      </c>
      <c r="F563" s="1" t="str">
        <f>TEXT(Sheet1[[#This Row],[Fecha ingreso]],"mmmm")</f>
        <v>abril</v>
      </c>
      <c r="G563" s="2">
        <f>YEAR(Sheet1[[#This Row],[Fecha ingreso]])</f>
        <v>2024</v>
      </c>
      <c r="H563" s="1" t="str">
        <f>TEXT(Sheet1[[#This Row],[Fecha ingreso]],"dddd")</f>
        <v>sábado</v>
      </c>
      <c r="I563" s="1">
        <v>45436</v>
      </c>
      <c r="J563" s="2">
        <f>DATEDIF(Sheet1[[#This Row],[Fecha ingreso]],Sheet1[[#This Row],[Fecha último pago]],"M")+1</f>
        <v>2</v>
      </c>
      <c r="K563" s="2">
        <f>Sheet1[[#This Row],[Ingresos mensuales]]*Sheet1[[#This Row],[Meses contratados]]</f>
        <v>160.78</v>
      </c>
      <c r="L563" t="s">
        <v>1818</v>
      </c>
      <c r="M563">
        <v>61</v>
      </c>
      <c r="N563" t="s">
        <v>1820</v>
      </c>
      <c r="O563" t="s">
        <v>1824</v>
      </c>
      <c r="P563" t="s">
        <v>1828</v>
      </c>
      <c r="Q563" cm="1">
        <f t="array" ref="Q563">_xlfn.IFS(P563="2 Years", 24,P563="1 Year",12, P563="6 Months",6, P563="1 Month",1)</f>
        <v>6</v>
      </c>
      <c r="R563" t="str" cm="1">
        <f t="array" ref="R563">_xlfn.IFS(Q563=1,"Mensual",Q563=6,"Semestral",Q563=12,"Anual",Q563=24,"Bienal")</f>
        <v>Semestral</v>
      </c>
      <c r="S563">
        <f>IFERROR(VLOOKUP(Sheet1[[#This Row],[ID usuario]],A564:$A$907,1,FALSE),0)</f>
        <v>0</v>
      </c>
    </row>
    <row r="564" spans="1:19" x14ac:dyDescent="0.25">
      <c r="A564" t="s">
        <v>562</v>
      </c>
      <c r="B564" t="s">
        <v>1467</v>
      </c>
      <c r="C564" t="s">
        <v>1811</v>
      </c>
      <c r="D564">
        <v>57.14</v>
      </c>
      <c r="E564" s="1">
        <v>44591</v>
      </c>
      <c r="F564" s="1" t="str">
        <f>TEXT(Sheet1[[#This Row],[Fecha ingreso]],"mmmm")</f>
        <v>enero</v>
      </c>
      <c r="G564" s="2">
        <f>YEAR(Sheet1[[#This Row],[Fecha ingreso]])</f>
        <v>2022</v>
      </c>
      <c r="H564" s="1" t="str">
        <f>TEXT(Sheet1[[#This Row],[Fecha ingreso]],"dddd")</f>
        <v>domingo</v>
      </c>
      <c r="I564" s="1">
        <v>45359</v>
      </c>
      <c r="J564" s="2">
        <f>DATEDIF(Sheet1[[#This Row],[Fecha ingreso]],Sheet1[[#This Row],[Fecha último pago]],"M")+1</f>
        <v>26</v>
      </c>
      <c r="K564" s="2">
        <f>Sheet1[[#This Row],[Ingresos mensuales]]*Sheet1[[#This Row],[Meses contratados]]</f>
        <v>1485.64</v>
      </c>
      <c r="L564" t="s">
        <v>1814</v>
      </c>
      <c r="M564">
        <v>69</v>
      </c>
      <c r="N564" t="s">
        <v>1820</v>
      </c>
      <c r="O564" t="s">
        <v>1823</v>
      </c>
      <c r="P564" t="s">
        <v>1828</v>
      </c>
      <c r="Q564" cm="1">
        <f t="array" ref="Q564">_xlfn.IFS(P564="2 Years", 24,P564="1 Year",12, P564="6 Months",6, P564="1 Month",1)</f>
        <v>6</v>
      </c>
      <c r="R564" t="str" cm="1">
        <f t="array" ref="R564">_xlfn.IFS(Q564=1,"Mensual",Q564=6,"Semestral",Q564=12,"Anual",Q564=24,"Bienal")</f>
        <v>Semestral</v>
      </c>
      <c r="S564">
        <f>IFERROR(VLOOKUP(Sheet1[[#This Row],[ID usuario]],A565:$A$907,1,FALSE),0)</f>
        <v>0</v>
      </c>
    </row>
    <row r="565" spans="1:19" x14ac:dyDescent="0.25">
      <c r="A565" t="s">
        <v>563</v>
      </c>
      <c r="B565" t="s">
        <v>1468</v>
      </c>
      <c r="C565" t="s">
        <v>1812</v>
      </c>
      <c r="D565">
        <v>49.97</v>
      </c>
      <c r="E565" s="1">
        <v>44794</v>
      </c>
      <c r="F565" s="1" t="str">
        <f>TEXT(Sheet1[[#This Row],[Fecha ingreso]],"mmmm")</f>
        <v>agosto</v>
      </c>
      <c r="G565" s="2">
        <f>YEAR(Sheet1[[#This Row],[Fecha ingreso]])</f>
        <v>2022</v>
      </c>
      <c r="H565" s="1" t="str">
        <f>TEXT(Sheet1[[#This Row],[Fecha ingreso]],"dddd")</f>
        <v>domingo</v>
      </c>
      <c r="I565" s="1">
        <v>45311</v>
      </c>
      <c r="J565" s="2">
        <f>DATEDIF(Sheet1[[#This Row],[Fecha ingreso]],Sheet1[[#This Row],[Fecha último pago]],"M")+1</f>
        <v>17</v>
      </c>
      <c r="K565" s="2">
        <f>Sheet1[[#This Row],[Ingresos mensuales]]*Sheet1[[#This Row],[Meses contratados]]</f>
        <v>849.49</v>
      </c>
      <c r="L565" t="s">
        <v>1815</v>
      </c>
      <c r="M565">
        <v>55</v>
      </c>
      <c r="N565" t="s">
        <v>1822</v>
      </c>
      <c r="O565" t="s">
        <v>1824</v>
      </c>
      <c r="P565" t="s">
        <v>1826</v>
      </c>
      <c r="Q565" cm="1">
        <f t="array" ref="Q565">_xlfn.IFS(P565="2 Years", 24,P565="1 Year",12, P565="6 Months",6, P565="1 Month",1)</f>
        <v>24</v>
      </c>
      <c r="R565" t="str" cm="1">
        <f t="array" ref="R565">_xlfn.IFS(Q565=1,"Mensual",Q565=6,"Semestral",Q565=12,"Anual",Q565=24,"Bienal")</f>
        <v>Bienal</v>
      </c>
      <c r="S565">
        <f>IFERROR(VLOOKUP(Sheet1[[#This Row],[ID usuario]],A566:$A$907,1,FALSE),0)</f>
        <v>0</v>
      </c>
    </row>
    <row r="566" spans="1:19" x14ac:dyDescent="0.25">
      <c r="A566" t="s">
        <v>564</v>
      </c>
      <c r="B566" t="s">
        <v>1469</v>
      </c>
      <c r="C566" t="s">
        <v>1812</v>
      </c>
      <c r="D566">
        <v>7.03</v>
      </c>
      <c r="E566" s="1">
        <v>45251</v>
      </c>
      <c r="F566" s="1" t="str">
        <f>TEXT(Sheet1[[#This Row],[Fecha ingreso]],"mmmm")</f>
        <v>noviembre</v>
      </c>
      <c r="G566" s="2">
        <f>YEAR(Sheet1[[#This Row],[Fecha ingreso]])</f>
        <v>2023</v>
      </c>
      <c r="H566" s="1" t="str">
        <f>TEXT(Sheet1[[#This Row],[Fecha ingreso]],"dddd")</f>
        <v>martes</v>
      </c>
      <c r="I566" s="1">
        <v>45287</v>
      </c>
      <c r="J566" s="2">
        <f>DATEDIF(Sheet1[[#This Row],[Fecha ingreso]],Sheet1[[#This Row],[Fecha último pago]],"M")+1</f>
        <v>2</v>
      </c>
      <c r="K566" s="2">
        <f>Sheet1[[#This Row],[Ingresos mensuales]]*Sheet1[[#This Row],[Meses contratados]]</f>
        <v>14.06</v>
      </c>
      <c r="L566" t="s">
        <v>1814</v>
      </c>
      <c r="M566">
        <v>36</v>
      </c>
      <c r="N566" t="s">
        <v>1820</v>
      </c>
      <c r="O566" t="s">
        <v>1825</v>
      </c>
      <c r="P566" t="s">
        <v>1826</v>
      </c>
      <c r="Q566" cm="1">
        <f t="array" ref="Q566">_xlfn.IFS(P566="2 Years", 24,P566="1 Year",12, P566="6 Months",6, P566="1 Month",1)</f>
        <v>24</v>
      </c>
      <c r="R566" t="str" cm="1">
        <f t="array" ref="R566">_xlfn.IFS(Q566=1,"Mensual",Q566=6,"Semestral",Q566=12,"Anual",Q566=24,"Bienal")</f>
        <v>Bienal</v>
      </c>
      <c r="S566">
        <f>IFERROR(VLOOKUP(Sheet1[[#This Row],[ID usuario]],A567:$A$907,1,FALSE),0)</f>
        <v>0</v>
      </c>
    </row>
    <row r="567" spans="1:19" x14ac:dyDescent="0.25">
      <c r="A567" t="s">
        <v>565</v>
      </c>
      <c r="B567" t="s">
        <v>1470</v>
      </c>
      <c r="C567" t="s">
        <v>1811</v>
      </c>
      <c r="D567">
        <v>14.72</v>
      </c>
      <c r="E567" s="1">
        <v>45334</v>
      </c>
      <c r="F567" s="1" t="str">
        <f>TEXT(Sheet1[[#This Row],[Fecha ingreso]],"mmmm")</f>
        <v>febrero</v>
      </c>
      <c r="G567" s="2">
        <f>YEAR(Sheet1[[#This Row],[Fecha ingreso]])</f>
        <v>2024</v>
      </c>
      <c r="H567" s="1" t="str">
        <f>TEXT(Sheet1[[#This Row],[Fecha ingreso]],"dddd")</f>
        <v>lunes</v>
      </c>
      <c r="I567" s="1">
        <v>45338</v>
      </c>
      <c r="J567" s="2">
        <f>DATEDIF(Sheet1[[#This Row],[Fecha ingreso]],Sheet1[[#This Row],[Fecha último pago]],"M")+1</f>
        <v>1</v>
      </c>
      <c r="K567" s="2">
        <f>Sheet1[[#This Row],[Ingresos mensuales]]*Sheet1[[#This Row],[Meses contratados]]</f>
        <v>14.72</v>
      </c>
      <c r="L567" t="s">
        <v>1813</v>
      </c>
      <c r="M567">
        <v>33</v>
      </c>
      <c r="N567" t="s">
        <v>1820</v>
      </c>
      <c r="O567" t="s">
        <v>1823</v>
      </c>
      <c r="P567" t="s">
        <v>1829</v>
      </c>
      <c r="Q567" cm="1">
        <f t="array" ref="Q567">_xlfn.IFS(P567="2 Years", 24,P567="1 Year",12, P567="6 Months",6, P567="1 Month",1)</f>
        <v>1</v>
      </c>
      <c r="R567" t="str" cm="1">
        <f t="array" ref="R567">_xlfn.IFS(Q567=1,"Mensual",Q567=6,"Semestral",Q567=12,"Anual",Q567=24,"Bienal")</f>
        <v>Mensual</v>
      </c>
      <c r="S567">
        <f>IFERROR(VLOOKUP(Sheet1[[#This Row],[ID usuario]],A568:$A$907,1,FALSE),0)</f>
        <v>0</v>
      </c>
    </row>
    <row r="568" spans="1:19" x14ac:dyDescent="0.25">
      <c r="A568" t="s">
        <v>566</v>
      </c>
      <c r="B568" t="s">
        <v>1471</v>
      </c>
      <c r="C568" t="s">
        <v>1811</v>
      </c>
      <c r="D568">
        <v>32.76</v>
      </c>
      <c r="E568" s="1">
        <v>44941</v>
      </c>
      <c r="F568" s="1" t="str">
        <f>TEXT(Sheet1[[#This Row],[Fecha ingreso]],"mmmm")</f>
        <v>enero</v>
      </c>
      <c r="G568" s="2">
        <f>YEAR(Sheet1[[#This Row],[Fecha ingreso]])</f>
        <v>2023</v>
      </c>
      <c r="H568" s="1" t="str">
        <f>TEXT(Sheet1[[#This Row],[Fecha ingreso]],"dddd")</f>
        <v>domingo</v>
      </c>
      <c r="I568" s="1">
        <v>45221</v>
      </c>
      <c r="J568" s="2">
        <f>DATEDIF(Sheet1[[#This Row],[Fecha ingreso]],Sheet1[[#This Row],[Fecha último pago]],"M")+1</f>
        <v>10</v>
      </c>
      <c r="K568" s="2">
        <f>Sheet1[[#This Row],[Ingresos mensuales]]*Sheet1[[#This Row],[Meses contratados]]</f>
        <v>327.59999999999997</v>
      </c>
      <c r="L568" t="s">
        <v>1814</v>
      </c>
      <c r="M568">
        <v>69</v>
      </c>
      <c r="N568" t="s">
        <v>1821</v>
      </c>
      <c r="O568" t="s">
        <v>1825</v>
      </c>
      <c r="P568" t="s">
        <v>1826</v>
      </c>
      <c r="Q568" cm="1">
        <f t="array" ref="Q568">_xlfn.IFS(P568="2 Years", 24,P568="1 Year",12, P568="6 Months",6, P568="1 Month",1)</f>
        <v>24</v>
      </c>
      <c r="R568" t="str" cm="1">
        <f t="array" ref="R568">_xlfn.IFS(Q568=1,"Mensual",Q568=6,"Semestral",Q568=12,"Anual",Q568=24,"Bienal")</f>
        <v>Bienal</v>
      </c>
      <c r="S568">
        <f>IFERROR(VLOOKUP(Sheet1[[#This Row],[ID usuario]],A569:$A$907,1,FALSE),0)</f>
        <v>0</v>
      </c>
    </row>
    <row r="569" spans="1:19" x14ac:dyDescent="0.25">
      <c r="A569" t="s">
        <v>567</v>
      </c>
      <c r="B569" t="s">
        <v>1472</v>
      </c>
      <c r="C569" t="s">
        <v>1811</v>
      </c>
      <c r="D569">
        <v>98.38</v>
      </c>
      <c r="E569" s="1">
        <v>45392</v>
      </c>
      <c r="F569" s="1" t="str">
        <f>TEXT(Sheet1[[#This Row],[Fecha ingreso]],"mmmm")</f>
        <v>abril</v>
      </c>
      <c r="G569" s="2">
        <f>YEAR(Sheet1[[#This Row],[Fecha ingreso]])</f>
        <v>2024</v>
      </c>
      <c r="H569" s="1" t="str">
        <f>TEXT(Sheet1[[#This Row],[Fecha ingreso]],"dddd")</f>
        <v>miércoles</v>
      </c>
      <c r="I569" s="1">
        <v>45409</v>
      </c>
      <c r="J569" s="2">
        <f>DATEDIF(Sheet1[[#This Row],[Fecha ingreso]],Sheet1[[#This Row],[Fecha último pago]],"M")+1</f>
        <v>1</v>
      </c>
      <c r="K569" s="2">
        <f>Sheet1[[#This Row],[Ingresos mensuales]]*Sheet1[[#This Row],[Meses contratados]]</f>
        <v>98.38</v>
      </c>
      <c r="L569" t="s">
        <v>1817</v>
      </c>
      <c r="M569">
        <v>63</v>
      </c>
      <c r="N569" t="s">
        <v>1820</v>
      </c>
      <c r="O569" t="s">
        <v>1825</v>
      </c>
      <c r="P569" t="s">
        <v>1826</v>
      </c>
      <c r="Q569" cm="1">
        <f t="array" ref="Q569">_xlfn.IFS(P569="2 Years", 24,P569="1 Year",12, P569="6 Months",6, P569="1 Month",1)</f>
        <v>24</v>
      </c>
      <c r="R569" t="str" cm="1">
        <f t="array" ref="R569">_xlfn.IFS(Q569=1,"Mensual",Q569=6,"Semestral",Q569=12,"Anual",Q569=24,"Bienal")</f>
        <v>Bienal</v>
      </c>
      <c r="S569">
        <f>IFERROR(VLOOKUP(Sheet1[[#This Row],[ID usuario]],A570:$A$907,1,FALSE),0)</f>
        <v>0</v>
      </c>
    </row>
    <row r="570" spans="1:19" x14ac:dyDescent="0.25">
      <c r="A570" t="s">
        <v>568</v>
      </c>
      <c r="B570" t="s">
        <v>1473</v>
      </c>
      <c r="C570" t="s">
        <v>1812</v>
      </c>
      <c r="D570">
        <v>36.409999999999997</v>
      </c>
      <c r="E570" s="1">
        <v>44439</v>
      </c>
      <c r="F570" s="1" t="str">
        <f>TEXT(Sheet1[[#This Row],[Fecha ingreso]],"mmmm")</f>
        <v>agosto</v>
      </c>
      <c r="G570" s="2">
        <f>YEAR(Sheet1[[#This Row],[Fecha ingreso]])</f>
        <v>2021</v>
      </c>
      <c r="H570" s="1" t="str">
        <f>TEXT(Sheet1[[#This Row],[Fecha ingreso]],"dddd")</f>
        <v>martes</v>
      </c>
      <c r="I570" s="1">
        <v>45257</v>
      </c>
      <c r="J570" s="2">
        <f>DATEDIF(Sheet1[[#This Row],[Fecha ingreso]],Sheet1[[#This Row],[Fecha último pago]],"M")+1</f>
        <v>27</v>
      </c>
      <c r="K570" s="2">
        <f>Sheet1[[#This Row],[Ingresos mensuales]]*Sheet1[[#This Row],[Meses contratados]]</f>
        <v>983.06999999999994</v>
      </c>
      <c r="L570" t="s">
        <v>1813</v>
      </c>
      <c r="M570">
        <v>47</v>
      </c>
      <c r="N570" t="s">
        <v>1820</v>
      </c>
      <c r="O570" t="s">
        <v>1825</v>
      </c>
      <c r="P570" t="s">
        <v>1828</v>
      </c>
      <c r="Q570" cm="1">
        <f t="array" ref="Q570">_xlfn.IFS(P570="2 Years", 24,P570="1 Year",12, P570="6 Months",6, P570="1 Month",1)</f>
        <v>6</v>
      </c>
      <c r="R570" t="str" cm="1">
        <f t="array" ref="R570">_xlfn.IFS(Q570=1,"Mensual",Q570=6,"Semestral",Q570=12,"Anual",Q570=24,"Bienal")</f>
        <v>Semestral</v>
      </c>
      <c r="S570">
        <f>IFERROR(VLOOKUP(Sheet1[[#This Row],[ID usuario]],A571:$A$907,1,FALSE),0)</f>
        <v>0</v>
      </c>
    </row>
    <row r="571" spans="1:19" x14ac:dyDescent="0.25">
      <c r="A571" t="s">
        <v>569</v>
      </c>
      <c r="B571" t="s">
        <v>1474</v>
      </c>
      <c r="C571" t="s">
        <v>1810</v>
      </c>
      <c r="D571">
        <v>9.85</v>
      </c>
      <c r="E571" s="1">
        <v>44978</v>
      </c>
      <c r="F571" s="1" t="str">
        <f>TEXT(Sheet1[[#This Row],[Fecha ingreso]],"mmmm")</f>
        <v>febrero</v>
      </c>
      <c r="G571" s="2">
        <f>YEAR(Sheet1[[#This Row],[Fecha ingreso]])</f>
        <v>2023</v>
      </c>
      <c r="H571" s="1" t="str">
        <f>TEXT(Sheet1[[#This Row],[Fecha ingreso]],"dddd")</f>
        <v>martes</v>
      </c>
      <c r="I571" s="1">
        <v>45438</v>
      </c>
      <c r="J571" s="2">
        <f>DATEDIF(Sheet1[[#This Row],[Fecha ingreso]],Sheet1[[#This Row],[Fecha último pago]],"M")+1</f>
        <v>16</v>
      </c>
      <c r="K571" s="2">
        <f>Sheet1[[#This Row],[Ingresos mensuales]]*Sheet1[[#This Row],[Meses contratados]]</f>
        <v>157.6</v>
      </c>
      <c r="L571" t="s">
        <v>1817</v>
      </c>
      <c r="M571">
        <v>22</v>
      </c>
      <c r="N571" t="s">
        <v>1821</v>
      </c>
      <c r="O571" t="s">
        <v>1824</v>
      </c>
      <c r="P571" t="s">
        <v>1826</v>
      </c>
      <c r="Q571" cm="1">
        <f t="array" ref="Q571">_xlfn.IFS(P571="2 Years", 24,P571="1 Year",12, P571="6 Months",6, P571="1 Month",1)</f>
        <v>24</v>
      </c>
      <c r="R571" t="str" cm="1">
        <f t="array" ref="R571">_xlfn.IFS(Q571=1,"Mensual",Q571=6,"Semestral",Q571=12,"Anual",Q571=24,"Bienal")</f>
        <v>Bienal</v>
      </c>
      <c r="S571">
        <f>IFERROR(VLOOKUP(Sheet1[[#This Row],[ID usuario]],A572:$A$907,1,FALSE),0)</f>
        <v>0</v>
      </c>
    </row>
    <row r="572" spans="1:19" x14ac:dyDescent="0.25">
      <c r="A572" t="s">
        <v>570</v>
      </c>
      <c r="B572" t="s">
        <v>1475</v>
      </c>
      <c r="C572" t="s">
        <v>1812</v>
      </c>
      <c r="D572">
        <v>35.43</v>
      </c>
      <c r="E572" s="1">
        <v>44423</v>
      </c>
      <c r="F572" s="1" t="str">
        <f>TEXT(Sheet1[[#This Row],[Fecha ingreso]],"mmmm")</f>
        <v>agosto</v>
      </c>
      <c r="G572" s="2">
        <f>YEAR(Sheet1[[#This Row],[Fecha ingreso]])</f>
        <v>2021</v>
      </c>
      <c r="H572" s="1" t="str">
        <f>TEXT(Sheet1[[#This Row],[Fecha ingreso]],"dddd")</f>
        <v>domingo</v>
      </c>
      <c r="I572" s="1">
        <v>45225</v>
      </c>
      <c r="J572" s="2">
        <f>DATEDIF(Sheet1[[#This Row],[Fecha ingreso]],Sheet1[[#This Row],[Fecha último pago]],"M")+1</f>
        <v>27</v>
      </c>
      <c r="K572" s="2">
        <f>Sheet1[[#This Row],[Ingresos mensuales]]*Sheet1[[#This Row],[Meses contratados]]</f>
        <v>956.61</v>
      </c>
      <c r="L572" t="s">
        <v>1815</v>
      </c>
      <c r="M572">
        <v>60</v>
      </c>
      <c r="N572" t="s">
        <v>1822</v>
      </c>
      <c r="O572" t="s">
        <v>1823</v>
      </c>
      <c r="P572" t="s">
        <v>1828</v>
      </c>
      <c r="Q572" cm="1">
        <f t="array" ref="Q572">_xlfn.IFS(P572="2 Years", 24,P572="1 Year",12, P572="6 Months",6, P572="1 Month",1)</f>
        <v>6</v>
      </c>
      <c r="R572" t="str" cm="1">
        <f t="array" ref="R572">_xlfn.IFS(Q572=1,"Mensual",Q572=6,"Semestral",Q572=12,"Anual",Q572=24,"Bienal")</f>
        <v>Semestral</v>
      </c>
      <c r="S572">
        <f>IFERROR(VLOOKUP(Sheet1[[#This Row],[ID usuario]],A573:$A$907,1,FALSE),0)</f>
        <v>0</v>
      </c>
    </row>
    <row r="573" spans="1:19" x14ac:dyDescent="0.25">
      <c r="A573" t="s">
        <v>571</v>
      </c>
      <c r="B573" t="s">
        <v>1476</v>
      </c>
      <c r="C573" t="s">
        <v>1811</v>
      </c>
      <c r="D573">
        <v>94.95</v>
      </c>
      <c r="E573" s="1">
        <v>45156</v>
      </c>
      <c r="F573" s="1" t="str">
        <f>TEXT(Sheet1[[#This Row],[Fecha ingreso]],"mmmm")</f>
        <v>agosto</v>
      </c>
      <c r="G573" s="2">
        <f>YEAR(Sheet1[[#This Row],[Fecha ingreso]])</f>
        <v>2023</v>
      </c>
      <c r="H573" s="1" t="str">
        <f>TEXT(Sheet1[[#This Row],[Fecha ingreso]],"dddd")</f>
        <v>viernes</v>
      </c>
      <c r="I573" s="1">
        <v>45435</v>
      </c>
      <c r="J573" s="2">
        <f>DATEDIF(Sheet1[[#This Row],[Fecha ingreso]],Sheet1[[#This Row],[Fecha último pago]],"M")+1</f>
        <v>10</v>
      </c>
      <c r="K573" s="2">
        <f>Sheet1[[#This Row],[Ingresos mensuales]]*Sheet1[[#This Row],[Meses contratados]]</f>
        <v>949.5</v>
      </c>
      <c r="L573" t="s">
        <v>1817</v>
      </c>
      <c r="M573">
        <v>38</v>
      </c>
      <c r="N573" t="s">
        <v>1820</v>
      </c>
      <c r="O573" t="s">
        <v>1823</v>
      </c>
      <c r="P573" t="s">
        <v>1827</v>
      </c>
      <c r="Q573" cm="1">
        <f t="array" ref="Q573">_xlfn.IFS(P573="2 Years", 24,P573="1 Year",12, P573="6 Months",6, P573="1 Month",1)</f>
        <v>12</v>
      </c>
      <c r="R573" t="str" cm="1">
        <f t="array" ref="R573">_xlfn.IFS(Q573=1,"Mensual",Q573=6,"Semestral",Q573=12,"Anual",Q573=24,"Bienal")</f>
        <v>Anual</v>
      </c>
      <c r="S573">
        <f>IFERROR(VLOOKUP(Sheet1[[#This Row],[ID usuario]],A574:$A$907,1,FALSE),0)</f>
        <v>0</v>
      </c>
    </row>
    <row r="574" spans="1:19" x14ac:dyDescent="0.25">
      <c r="A574" t="s">
        <v>572</v>
      </c>
      <c r="B574" t="s">
        <v>1477</v>
      </c>
      <c r="C574" t="s">
        <v>1811</v>
      </c>
      <c r="D574">
        <v>85.29</v>
      </c>
      <c r="E574" s="1">
        <v>44649</v>
      </c>
      <c r="F574" s="1" t="str">
        <f>TEXT(Sheet1[[#This Row],[Fecha ingreso]],"mmmm")</f>
        <v>marzo</v>
      </c>
      <c r="G574" s="2">
        <f>YEAR(Sheet1[[#This Row],[Fecha ingreso]])</f>
        <v>2022</v>
      </c>
      <c r="H574" s="1" t="str">
        <f>TEXT(Sheet1[[#This Row],[Fecha ingreso]],"dddd")</f>
        <v>martes</v>
      </c>
      <c r="I574" s="1">
        <v>44845</v>
      </c>
      <c r="J574" s="2">
        <f>DATEDIF(Sheet1[[#This Row],[Fecha ingreso]],Sheet1[[#This Row],[Fecha último pago]],"M")+1</f>
        <v>7</v>
      </c>
      <c r="K574" s="2">
        <f>Sheet1[[#This Row],[Ingresos mensuales]]*Sheet1[[#This Row],[Meses contratados]]</f>
        <v>597.03000000000009</v>
      </c>
      <c r="L574" t="s">
        <v>1813</v>
      </c>
      <c r="M574">
        <v>34</v>
      </c>
      <c r="N574" t="s">
        <v>1822</v>
      </c>
      <c r="O574" t="s">
        <v>1825</v>
      </c>
      <c r="P574" t="s">
        <v>1826</v>
      </c>
      <c r="Q574" cm="1">
        <f t="array" ref="Q574">_xlfn.IFS(P574="2 Years", 24,P574="1 Year",12, P574="6 Months",6, P574="1 Month",1)</f>
        <v>24</v>
      </c>
      <c r="R574" t="str" cm="1">
        <f t="array" ref="R574">_xlfn.IFS(Q574=1,"Mensual",Q574=6,"Semestral",Q574=12,"Anual",Q574=24,"Bienal")</f>
        <v>Bienal</v>
      </c>
      <c r="S574">
        <f>IFERROR(VLOOKUP(Sheet1[[#This Row],[ID usuario]],A575:$A$907,1,FALSE),0)</f>
        <v>0</v>
      </c>
    </row>
    <row r="575" spans="1:19" x14ac:dyDescent="0.25">
      <c r="A575" t="s">
        <v>573</v>
      </c>
      <c r="B575" t="s">
        <v>1478</v>
      </c>
      <c r="C575" t="s">
        <v>1811</v>
      </c>
      <c r="D575">
        <v>41.36</v>
      </c>
      <c r="E575" s="1">
        <v>44921</v>
      </c>
      <c r="F575" s="1" t="str">
        <f>TEXT(Sheet1[[#This Row],[Fecha ingreso]],"mmmm")</f>
        <v>diciembre</v>
      </c>
      <c r="G575" s="2">
        <f>YEAR(Sheet1[[#This Row],[Fecha ingreso]])</f>
        <v>2022</v>
      </c>
      <c r="H575" s="1" t="str">
        <f>TEXT(Sheet1[[#This Row],[Fecha ingreso]],"dddd")</f>
        <v>lunes</v>
      </c>
      <c r="I575" s="1">
        <v>45153</v>
      </c>
      <c r="J575" s="2">
        <f>DATEDIF(Sheet1[[#This Row],[Fecha ingreso]],Sheet1[[#This Row],[Fecha último pago]],"M")+1</f>
        <v>8</v>
      </c>
      <c r="K575" s="2">
        <f>Sheet1[[#This Row],[Ingresos mensuales]]*Sheet1[[#This Row],[Meses contratados]]</f>
        <v>330.88</v>
      </c>
      <c r="L575" t="s">
        <v>1815</v>
      </c>
      <c r="M575">
        <v>39</v>
      </c>
      <c r="N575" t="s">
        <v>1820</v>
      </c>
      <c r="O575" t="s">
        <v>1825</v>
      </c>
      <c r="P575" t="s">
        <v>1827</v>
      </c>
      <c r="Q575" cm="1">
        <f t="array" ref="Q575">_xlfn.IFS(P575="2 Years", 24,P575="1 Year",12, P575="6 Months",6, P575="1 Month",1)</f>
        <v>12</v>
      </c>
      <c r="R575" t="str" cm="1">
        <f t="array" ref="R575">_xlfn.IFS(Q575=1,"Mensual",Q575=6,"Semestral",Q575=12,"Anual",Q575=24,"Bienal")</f>
        <v>Anual</v>
      </c>
      <c r="S575">
        <f>IFERROR(VLOOKUP(Sheet1[[#This Row],[ID usuario]],A576:$A$907,1,FALSE),0)</f>
        <v>0</v>
      </c>
    </row>
    <row r="576" spans="1:19" x14ac:dyDescent="0.25">
      <c r="A576" t="s">
        <v>574</v>
      </c>
      <c r="B576" t="s">
        <v>1479</v>
      </c>
      <c r="C576" t="s">
        <v>1812</v>
      </c>
      <c r="D576">
        <v>7.35</v>
      </c>
      <c r="E576" s="1">
        <v>44847</v>
      </c>
      <c r="F576" s="1" t="str">
        <f>TEXT(Sheet1[[#This Row],[Fecha ingreso]],"mmmm")</f>
        <v>octubre</v>
      </c>
      <c r="G576" s="2">
        <f>YEAR(Sheet1[[#This Row],[Fecha ingreso]])</f>
        <v>2022</v>
      </c>
      <c r="H576" s="1" t="str">
        <f>TEXT(Sheet1[[#This Row],[Fecha ingreso]],"dddd")</f>
        <v>jueves</v>
      </c>
      <c r="I576" s="1">
        <v>45386</v>
      </c>
      <c r="J576" s="2">
        <f>DATEDIF(Sheet1[[#This Row],[Fecha ingreso]],Sheet1[[#This Row],[Fecha último pago]],"M")+1</f>
        <v>18</v>
      </c>
      <c r="K576" s="2">
        <f>Sheet1[[#This Row],[Ingresos mensuales]]*Sheet1[[#This Row],[Meses contratados]]</f>
        <v>132.29999999999998</v>
      </c>
      <c r="L576" t="s">
        <v>1815</v>
      </c>
      <c r="M576">
        <v>20</v>
      </c>
      <c r="N576" t="s">
        <v>1821</v>
      </c>
      <c r="O576" t="s">
        <v>1825</v>
      </c>
      <c r="P576" t="s">
        <v>1828</v>
      </c>
      <c r="Q576" cm="1">
        <f t="array" ref="Q576">_xlfn.IFS(P576="2 Years", 24,P576="1 Year",12, P576="6 Months",6, P576="1 Month",1)</f>
        <v>6</v>
      </c>
      <c r="R576" t="str" cm="1">
        <f t="array" ref="R576">_xlfn.IFS(Q576=1,"Mensual",Q576=6,"Semestral",Q576=12,"Anual",Q576=24,"Bienal")</f>
        <v>Semestral</v>
      </c>
      <c r="S576">
        <f>IFERROR(VLOOKUP(Sheet1[[#This Row],[ID usuario]],A577:$A$907,1,FALSE),0)</f>
        <v>0</v>
      </c>
    </row>
    <row r="577" spans="1:19" x14ac:dyDescent="0.25">
      <c r="A577" t="s">
        <v>575</v>
      </c>
      <c r="B577" t="s">
        <v>1480</v>
      </c>
      <c r="C577" t="s">
        <v>1812</v>
      </c>
      <c r="D577">
        <v>67.75</v>
      </c>
      <c r="E577" s="1">
        <v>45242</v>
      </c>
      <c r="F577" s="1" t="str">
        <f>TEXT(Sheet1[[#This Row],[Fecha ingreso]],"mmmm")</f>
        <v>noviembre</v>
      </c>
      <c r="G577" s="2">
        <f>YEAR(Sheet1[[#This Row],[Fecha ingreso]])</f>
        <v>2023</v>
      </c>
      <c r="H577" s="1" t="str">
        <f>TEXT(Sheet1[[#This Row],[Fecha ingreso]],"dddd")</f>
        <v>domingo</v>
      </c>
      <c r="I577" s="1">
        <v>45357</v>
      </c>
      <c r="J577" s="2">
        <f>DATEDIF(Sheet1[[#This Row],[Fecha ingreso]],Sheet1[[#This Row],[Fecha último pago]],"M")+1</f>
        <v>4</v>
      </c>
      <c r="K577" s="2">
        <f>Sheet1[[#This Row],[Ingresos mensuales]]*Sheet1[[#This Row],[Meses contratados]]</f>
        <v>271</v>
      </c>
      <c r="L577" t="s">
        <v>1819</v>
      </c>
      <c r="M577">
        <v>63</v>
      </c>
      <c r="N577" t="s">
        <v>1821</v>
      </c>
      <c r="O577" t="s">
        <v>1825</v>
      </c>
      <c r="P577" t="s">
        <v>1829</v>
      </c>
      <c r="Q577" cm="1">
        <f t="array" ref="Q577">_xlfn.IFS(P577="2 Years", 24,P577="1 Year",12, P577="6 Months",6, P577="1 Month",1)</f>
        <v>1</v>
      </c>
      <c r="R577" t="str" cm="1">
        <f t="array" ref="R577">_xlfn.IFS(Q577=1,"Mensual",Q577=6,"Semestral",Q577=12,"Anual",Q577=24,"Bienal")</f>
        <v>Mensual</v>
      </c>
      <c r="S577">
        <f>IFERROR(VLOOKUP(Sheet1[[#This Row],[ID usuario]],A578:$A$907,1,FALSE),0)</f>
        <v>0</v>
      </c>
    </row>
    <row r="578" spans="1:19" x14ac:dyDescent="0.25">
      <c r="A578" t="s">
        <v>576</v>
      </c>
      <c r="B578" t="s">
        <v>1481</v>
      </c>
      <c r="C578" t="s">
        <v>1812</v>
      </c>
      <c r="D578">
        <v>19.47</v>
      </c>
      <c r="E578" s="1">
        <v>45267</v>
      </c>
      <c r="F578" s="1" t="str">
        <f>TEXT(Sheet1[[#This Row],[Fecha ingreso]],"mmmm")</f>
        <v>diciembre</v>
      </c>
      <c r="G578" s="2">
        <f>YEAR(Sheet1[[#This Row],[Fecha ingreso]])</f>
        <v>2023</v>
      </c>
      <c r="H578" s="1" t="str">
        <f>TEXT(Sheet1[[#This Row],[Fecha ingreso]],"dddd")</f>
        <v>jueves</v>
      </c>
      <c r="I578" s="1">
        <v>45373</v>
      </c>
      <c r="J578" s="2">
        <f>DATEDIF(Sheet1[[#This Row],[Fecha ingreso]],Sheet1[[#This Row],[Fecha último pago]],"M")+1</f>
        <v>4</v>
      </c>
      <c r="K578" s="2">
        <f>Sheet1[[#This Row],[Ingresos mensuales]]*Sheet1[[#This Row],[Meses contratados]]</f>
        <v>77.88</v>
      </c>
      <c r="L578" t="s">
        <v>1813</v>
      </c>
      <c r="M578">
        <v>42</v>
      </c>
      <c r="N578" t="s">
        <v>1822</v>
      </c>
      <c r="O578" t="s">
        <v>1824</v>
      </c>
      <c r="P578" t="s">
        <v>1827</v>
      </c>
      <c r="Q578" cm="1">
        <f t="array" ref="Q578">_xlfn.IFS(P578="2 Years", 24,P578="1 Year",12, P578="6 Months",6, P578="1 Month",1)</f>
        <v>12</v>
      </c>
      <c r="R578" t="str" cm="1">
        <f t="array" ref="R578">_xlfn.IFS(Q578=1,"Mensual",Q578=6,"Semestral",Q578=12,"Anual",Q578=24,"Bienal")</f>
        <v>Anual</v>
      </c>
      <c r="S578">
        <f>IFERROR(VLOOKUP(Sheet1[[#This Row],[ID usuario]],A579:$A$907,1,FALSE),0)</f>
        <v>0</v>
      </c>
    </row>
    <row r="579" spans="1:19" x14ac:dyDescent="0.25">
      <c r="A579" t="s">
        <v>577</v>
      </c>
      <c r="B579" t="s">
        <v>1482</v>
      </c>
      <c r="C579" t="s">
        <v>1812</v>
      </c>
      <c r="D579">
        <v>99.63</v>
      </c>
      <c r="E579" s="1">
        <v>44909</v>
      </c>
      <c r="F579" s="1" t="str">
        <f>TEXT(Sheet1[[#This Row],[Fecha ingreso]],"mmmm")</f>
        <v>diciembre</v>
      </c>
      <c r="G579" s="2">
        <f>YEAR(Sheet1[[#This Row],[Fecha ingreso]])</f>
        <v>2022</v>
      </c>
      <c r="H579" s="1" t="str">
        <f>TEXT(Sheet1[[#This Row],[Fecha ingreso]],"dddd")</f>
        <v>miércoles</v>
      </c>
      <c r="I579" s="1">
        <v>45134</v>
      </c>
      <c r="J579" s="2">
        <f>DATEDIF(Sheet1[[#This Row],[Fecha ingreso]],Sheet1[[#This Row],[Fecha último pago]],"M")+1</f>
        <v>8</v>
      </c>
      <c r="K579" s="2">
        <f>Sheet1[[#This Row],[Ingresos mensuales]]*Sheet1[[#This Row],[Meses contratados]]</f>
        <v>797.04</v>
      </c>
      <c r="L579" t="s">
        <v>1814</v>
      </c>
      <c r="M579">
        <v>61</v>
      </c>
      <c r="N579" t="s">
        <v>1821</v>
      </c>
      <c r="O579" t="s">
        <v>1823</v>
      </c>
      <c r="P579" t="s">
        <v>1828</v>
      </c>
      <c r="Q579" cm="1">
        <f t="array" ref="Q579">_xlfn.IFS(P579="2 Years", 24,P579="1 Year",12, P579="6 Months",6, P579="1 Month",1)</f>
        <v>6</v>
      </c>
      <c r="R579" t="str" cm="1">
        <f t="array" ref="R579">_xlfn.IFS(Q579=1,"Mensual",Q579=6,"Semestral",Q579=12,"Anual",Q579=24,"Bienal")</f>
        <v>Semestral</v>
      </c>
      <c r="S579">
        <f>IFERROR(VLOOKUP(Sheet1[[#This Row],[ID usuario]],A580:$A$907,1,FALSE),0)</f>
        <v>0</v>
      </c>
    </row>
    <row r="580" spans="1:19" x14ac:dyDescent="0.25">
      <c r="A580" t="s">
        <v>578</v>
      </c>
      <c r="B580" t="s">
        <v>1483</v>
      </c>
      <c r="C580" t="s">
        <v>1812</v>
      </c>
      <c r="D580">
        <v>14.52</v>
      </c>
      <c r="E580" s="1">
        <v>45326</v>
      </c>
      <c r="F580" s="1" t="str">
        <f>TEXT(Sheet1[[#This Row],[Fecha ingreso]],"mmmm")</f>
        <v>febrero</v>
      </c>
      <c r="G580" s="2">
        <f>YEAR(Sheet1[[#This Row],[Fecha ingreso]])</f>
        <v>2024</v>
      </c>
      <c r="H580" s="1" t="str">
        <f>TEXT(Sheet1[[#This Row],[Fecha ingreso]],"dddd")</f>
        <v>domingo</v>
      </c>
      <c r="I580" s="1">
        <v>45452</v>
      </c>
      <c r="J580" s="2">
        <f>DATEDIF(Sheet1[[#This Row],[Fecha ingreso]],Sheet1[[#This Row],[Fecha último pago]],"M")+1</f>
        <v>5</v>
      </c>
      <c r="K580" s="2">
        <f>Sheet1[[#This Row],[Ingresos mensuales]]*Sheet1[[#This Row],[Meses contratados]]</f>
        <v>72.599999999999994</v>
      </c>
      <c r="L580" t="s">
        <v>1815</v>
      </c>
      <c r="M580">
        <v>38</v>
      </c>
      <c r="N580" t="s">
        <v>1821</v>
      </c>
      <c r="O580" t="s">
        <v>1823</v>
      </c>
      <c r="P580" t="s">
        <v>1827</v>
      </c>
      <c r="Q580" cm="1">
        <f t="array" ref="Q580">_xlfn.IFS(P580="2 Years", 24,P580="1 Year",12, P580="6 Months",6, P580="1 Month",1)</f>
        <v>12</v>
      </c>
      <c r="R580" t="str" cm="1">
        <f t="array" ref="R580">_xlfn.IFS(Q580=1,"Mensual",Q580=6,"Semestral",Q580=12,"Anual",Q580=24,"Bienal")</f>
        <v>Anual</v>
      </c>
      <c r="S580">
        <f>IFERROR(VLOOKUP(Sheet1[[#This Row],[ID usuario]],A581:$A$907,1,FALSE),0)</f>
        <v>0</v>
      </c>
    </row>
    <row r="581" spans="1:19" x14ac:dyDescent="0.25">
      <c r="A581" t="s">
        <v>579</v>
      </c>
      <c r="B581" t="s">
        <v>1484</v>
      </c>
      <c r="C581" t="s">
        <v>1812</v>
      </c>
      <c r="D581">
        <v>87.38</v>
      </c>
      <c r="E581" s="1">
        <v>45143</v>
      </c>
      <c r="F581" s="1" t="str">
        <f>TEXT(Sheet1[[#This Row],[Fecha ingreso]],"mmmm")</f>
        <v>agosto</v>
      </c>
      <c r="G581" s="2">
        <f>YEAR(Sheet1[[#This Row],[Fecha ingreso]])</f>
        <v>2023</v>
      </c>
      <c r="H581" s="1" t="str">
        <f>TEXT(Sheet1[[#This Row],[Fecha ingreso]],"dddd")</f>
        <v>sábado</v>
      </c>
      <c r="I581" s="1">
        <v>45411</v>
      </c>
      <c r="J581" s="2">
        <f>DATEDIF(Sheet1[[#This Row],[Fecha ingreso]],Sheet1[[#This Row],[Fecha último pago]],"M")+1</f>
        <v>9</v>
      </c>
      <c r="K581" s="2">
        <f>Sheet1[[#This Row],[Ingresos mensuales]]*Sheet1[[#This Row],[Meses contratados]]</f>
        <v>786.42</v>
      </c>
      <c r="L581" t="s">
        <v>1814</v>
      </c>
      <c r="M581">
        <v>63</v>
      </c>
      <c r="N581" t="s">
        <v>1820</v>
      </c>
      <c r="O581" t="s">
        <v>1824</v>
      </c>
      <c r="P581" t="s">
        <v>1827</v>
      </c>
      <c r="Q581" cm="1">
        <f t="array" ref="Q581">_xlfn.IFS(P581="2 Years", 24,P581="1 Year",12, P581="6 Months",6, P581="1 Month",1)</f>
        <v>12</v>
      </c>
      <c r="R581" t="str" cm="1">
        <f t="array" ref="R581">_xlfn.IFS(Q581=1,"Mensual",Q581=6,"Semestral",Q581=12,"Anual",Q581=24,"Bienal")</f>
        <v>Anual</v>
      </c>
      <c r="S581">
        <f>IFERROR(VLOOKUP(Sheet1[[#This Row],[ID usuario]],A582:$A$907,1,FALSE),0)</f>
        <v>0</v>
      </c>
    </row>
    <row r="582" spans="1:19" x14ac:dyDescent="0.25">
      <c r="A582" t="s">
        <v>580</v>
      </c>
      <c r="B582" t="s">
        <v>1485</v>
      </c>
      <c r="C582" t="s">
        <v>1810</v>
      </c>
      <c r="D582">
        <v>32.96</v>
      </c>
      <c r="E582" s="1">
        <v>45069</v>
      </c>
      <c r="F582" s="1" t="str">
        <f>TEXT(Sheet1[[#This Row],[Fecha ingreso]],"mmmm")</f>
        <v>mayo</v>
      </c>
      <c r="G582" s="2">
        <f>YEAR(Sheet1[[#This Row],[Fecha ingreso]])</f>
        <v>2023</v>
      </c>
      <c r="H582" s="1" t="str">
        <f>TEXT(Sheet1[[#This Row],[Fecha ingreso]],"dddd")</f>
        <v>martes</v>
      </c>
      <c r="I582" s="1">
        <v>45347</v>
      </c>
      <c r="J582" s="2">
        <f>DATEDIF(Sheet1[[#This Row],[Fecha ingreso]],Sheet1[[#This Row],[Fecha último pago]],"M")+1</f>
        <v>10</v>
      </c>
      <c r="K582" s="2">
        <f>Sheet1[[#This Row],[Ingresos mensuales]]*Sheet1[[#This Row],[Meses contratados]]</f>
        <v>329.6</v>
      </c>
      <c r="L582" t="s">
        <v>1815</v>
      </c>
      <c r="M582">
        <v>33</v>
      </c>
      <c r="N582" t="s">
        <v>1820</v>
      </c>
      <c r="O582" t="s">
        <v>1824</v>
      </c>
      <c r="P582" t="s">
        <v>1827</v>
      </c>
      <c r="Q582" cm="1">
        <f t="array" ref="Q582">_xlfn.IFS(P582="2 Years", 24,P582="1 Year",12, P582="6 Months",6, P582="1 Month",1)</f>
        <v>12</v>
      </c>
      <c r="R582" t="str" cm="1">
        <f t="array" ref="R582">_xlfn.IFS(Q582=1,"Mensual",Q582=6,"Semestral",Q582=12,"Anual",Q582=24,"Bienal")</f>
        <v>Anual</v>
      </c>
      <c r="S582">
        <f>IFERROR(VLOOKUP(Sheet1[[#This Row],[ID usuario]],A583:$A$907,1,FALSE),0)</f>
        <v>0</v>
      </c>
    </row>
    <row r="583" spans="1:19" x14ac:dyDescent="0.25">
      <c r="A583" t="s">
        <v>581</v>
      </c>
      <c r="B583" t="s">
        <v>1486</v>
      </c>
      <c r="C583" t="s">
        <v>1811</v>
      </c>
      <c r="D583">
        <v>46.36</v>
      </c>
      <c r="E583" s="1">
        <v>44542</v>
      </c>
      <c r="F583" s="1" t="str">
        <f>TEXT(Sheet1[[#This Row],[Fecha ingreso]],"mmmm")</f>
        <v>diciembre</v>
      </c>
      <c r="G583" s="2">
        <f>YEAR(Sheet1[[#This Row],[Fecha ingreso]])</f>
        <v>2021</v>
      </c>
      <c r="H583" s="1" t="str">
        <f>TEXT(Sheet1[[#This Row],[Fecha ingreso]],"dddd")</f>
        <v>domingo</v>
      </c>
      <c r="I583" s="1">
        <v>44750</v>
      </c>
      <c r="J583" s="2">
        <f>DATEDIF(Sheet1[[#This Row],[Fecha ingreso]],Sheet1[[#This Row],[Fecha último pago]],"M")+1</f>
        <v>7</v>
      </c>
      <c r="K583" s="2">
        <f>Sheet1[[#This Row],[Ingresos mensuales]]*Sheet1[[#This Row],[Meses contratados]]</f>
        <v>324.52</v>
      </c>
      <c r="L583" t="s">
        <v>1817</v>
      </c>
      <c r="M583">
        <v>51</v>
      </c>
      <c r="N583" t="s">
        <v>1822</v>
      </c>
      <c r="O583" t="s">
        <v>1824</v>
      </c>
      <c r="P583" t="s">
        <v>1829</v>
      </c>
      <c r="Q583" cm="1">
        <f t="array" ref="Q583">_xlfn.IFS(P583="2 Years", 24,P583="1 Year",12, P583="6 Months",6, P583="1 Month",1)</f>
        <v>1</v>
      </c>
      <c r="R583" t="str" cm="1">
        <f t="array" ref="R583">_xlfn.IFS(Q583=1,"Mensual",Q583=6,"Semestral",Q583=12,"Anual",Q583=24,"Bienal")</f>
        <v>Mensual</v>
      </c>
      <c r="S583">
        <f>IFERROR(VLOOKUP(Sheet1[[#This Row],[ID usuario]],A584:$A$907,1,FALSE),0)</f>
        <v>0</v>
      </c>
    </row>
    <row r="584" spans="1:19" x14ac:dyDescent="0.25">
      <c r="A584" t="s">
        <v>582</v>
      </c>
      <c r="B584" t="s">
        <v>1487</v>
      </c>
      <c r="C584" t="s">
        <v>1811</v>
      </c>
      <c r="D584">
        <v>80.569999999999993</v>
      </c>
      <c r="E584" s="1">
        <v>44410</v>
      </c>
      <c r="F584" s="1" t="str">
        <f>TEXT(Sheet1[[#This Row],[Fecha ingreso]],"mmmm")</f>
        <v>agosto</v>
      </c>
      <c r="G584" s="2">
        <f>YEAR(Sheet1[[#This Row],[Fecha ingreso]])</f>
        <v>2021</v>
      </c>
      <c r="H584" s="1" t="str">
        <f>TEXT(Sheet1[[#This Row],[Fecha ingreso]],"dddd")</f>
        <v>lunes</v>
      </c>
      <c r="I584" s="1">
        <v>45107</v>
      </c>
      <c r="J584" s="2">
        <f>DATEDIF(Sheet1[[#This Row],[Fecha ingreso]],Sheet1[[#This Row],[Fecha último pago]],"M")+1</f>
        <v>23</v>
      </c>
      <c r="K584" s="2">
        <f>Sheet1[[#This Row],[Ingresos mensuales]]*Sheet1[[#This Row],[Meses contratados]]</f>
        <v>1853.11</v>
      </c>
      <c r="L584" t="s">
        <v>1816</v>
      </c>
      <c r="M584">
        <v>42</v>
      </c>
      <c r="N584" t="s">
        <v>1821</v>
      </c>
      <c r="O584" t="s">
        <v>1823</v>
      </c>
      <c r="P584" t="s">
        <v>1826</v>
      </c>
      <c r="Q584" cm="1">
        <f t="array" ref="Q584">_xlfn.IFS(P584="2 Years", 24,P584="1 Year",12, P584="6 Months",6, P584="1 Month",1)</f>
        <v>24</v>
      </c>
      <c r="R584" t="str" cm="1">
        <f t="array" ref="R584">_xlfn.IFS(Q584=1,"Mensual",Q584=6,"Semestral",Q584=12,"Anual",Q584=24,"Bienal")</f>
        <v>Bienal</v>
      </c>
      <c r="S584">
        <f>IFERROR(VLOOKUP(Sheet1[[#This Row],[ID usuario]],A585:$A$907,1,FALSE),0)</f>
        <v>0</v>
      </c>
    </row>
    <row r="585" spans="1:19" x14ac:dyDescent="0.25">
      <c r="A585" t="s">
        <v>583</v>
      </c>
      <c r="B585" t="s">
        <v>1488</v>
      </c>
      <c r="C585" t="s">
        <v>1812</v>
      </c>
      <c r="D585">
        <v>69.36</v>
      </c>
      <c r="E585" s="1">
        <v>44487</v>
      </c>
      <c r="F585" s="1" t="str">
        <f>TEXT(Sheet1[[#This Row],[Fecha ingreso]],"mmmm")</f>
        <v>octubre</v>
      </c>
      <c r="G585" s="2">
        <f>YEAR(Sheet1[[#This Row],[Fecha ingreso]])</f>
        <v>2021</v>
      </c>
      <c r="H585" s="1" t="str">
        <f>TEXT(Sheet1[[#This Row],[Fecha ingreso]],"dddd")</f>
        <v>lunes</v>
      </c>
      <c r="I585" s="1">
        <v>44792</v>
      </c>
      <c r="J585" s="2">
        <f>DATEDIF(Sheet1[[#This Row],[Fecha ingreso]],Sheet1[[#This Row],[Fecha último pago]],"M")+1</f>
        <v>11</v>
      </c>
      <c r="K585" s="2">
        <f>Sheet1[[#This Row],[Ingresos mensuales]]*Sheet1[[#This Row],[Meses contratados]]</f>
        <v>762.96</v>
      </c>
      <c r="L585" t="s">
        <v>1813</v>
      </c>
      <c r="M585">
        <v>42</v>
      </c>
      <c r="N585" t="s">
        <v>1822</v>
      </c>
      <c r="O585" t="s">
        <v>1823</v>
      </c>
      <c r="P585" t="s">
        <v>1828</v>
      </c>
      <c r="Q585" cm="1">
        <f t="array" ref="Q585">_xlfn.IFS(P585="2 Years", 24,P585="1 Year",12, P585="6 Months",6, P585="1 Month",1)</f>
        <v>6</v>
      </c>
      <c r="R585" t="str" cm="1">
        <f t="array" ref="R585">_xlfn.IFS(Q585=1,"Mensual",Q585=6,"Semestral",Q585=12,"Anual",Q585=24,"Bienal")</f>
        <v>Semestral</v>
      </c>
      <c r="S585">
        <f>IFERROR(VLOOKUP(Sheet1[[#This Row],[ID usuario]],A586:$A$907,1,FALSE),0)</f>
        <v>0</v>
      </c>
    </row>
    <row r="586" spans="1:19" x14ac:dyDescent="0.25">
      <c r="A586" t="s">
        <v>584</v>
      </c>
      <c r="B586" t="s">
        <v>1489</v>
      </c>
      <c r="C586" t="s">
        <v>1812</v>
      </c>
      <c r="D586">
        <v>94.1</v>
      </c>
      <c r="E586" s="1">
        <v>45445</v>
      </c>
      <c r="F586" s="1" t="str">
        <f>TEXT(Sheet1[[#This Row],[Fecha ingreso]],"mmmm")</f>
        <v>junio</v>
      </c>
      <c r="G586" s="2">
        <f>YEAR(Sheet1[[#This Row],[Fecha ingreso]])</f>
        <v>2024</v>
      </c>
      <c r="H586" s="1" t="str">
        <f>TEXT(Sheet1[[#This Row],[Fecha ingreso]],"dddd")</f>
        <v>domingo</v>
      </c>
      <c r="I586" s="1">
        <v>45453</v>
      </c>
      <c r="J586" s="2">
        <f>DATEDIF(Sheet1[[#This Row],[Fecha ingreso]],Sheet1[[#This Row],[Fecha último pago]],"M")+1</f>
        <v>1</v>
      </c>
      <c r="K586" s="2">
        <f>Sheet1[[#This Row],[Ingresos mensuales]]*Sheet1[[#This Row],[Meses contratados]]</f>
        <v>94.1</v>
      </c>
      <c r="L586" t="s">
        <v>1817</v>
      </c>
      <c r="M586">
        <v>58</v>
      </c>
      <c r="N586" t="s">
        <v>1820</v>
      </c>
      <c r="O586" t="s">
        <v>1825</v>
      </c>
      <c r="P586" t="s">
        <v>1828</v>
      </c>
      <c r="Q586" cm="1">
        <f t="array" ref="Q586">_xlfn.IFS(P586="2 Years", 24,P586="1 Year",12, P586="6 Months",6, P586="1 Month",1)</f>
        <v>6</v>
      </c>
      <c r="R586" t="str" cm="1">
        <f t="array" ref="R586">_xlfn.IFS(Q586=1,"Mensual",Q586=6,"Semestral",Q586=12,"Anual",Q586=24,"Bienal")</f>
        <v>Semestral</v>
      </c>
      <c r="S586">
        <f>IFERROR(VLOOKUP(Sheet1[[#This Row],[ID usuario]],A587:$A$907,1,FALSE),0)</f>
        <v>0</v>
      </c>
    </row>
    <row r="587" spans="1:19" x14ac:dyDescent="0.25">
      <c r="A587" t="s">
        <v>585</v>
      </c>
      <c r="B587" t="s">
        <v>1490</v>
      </c>
      <c r="C587" t="s">
        <v>1811</v>
      </c>
      <c r="D587">
        <v>14.29</v>
      </c>
      <c r="E587" s="1">
        <v>44490</v>
      </c>
      <c r="F587" s="1" t="str">
        <f>TEXT(Sheet1[[#This Row],[Fecha ingreso]],"mmmm")</f>
        <v>octubre</v>
      </c>
      <c r="G587" s="2">
        <f>YEAR(Sheet1[[#This Row],[Fecha ingreso]])</f>
        <v>2021</v>
      </c>
      <c r="H587" s="1" t="str">
        <f>TEXT(Sheet1[[#This Row],[Fecha ingreso]],"dddd")</f>
        <v>jueves</v>
      </c>
      <c r="I587" s="1">
        <v>44925</v>
      </c>
      <c r="J587" s="2">
        <f>DATEDIF(Sheet1[[#This Row],[Fecha ingreso]],Sheet1[[#This Row],[Fecha último pago]],"M")+1</f>
        <v>15</v>
      </c>
      <c r="K587" s="2">
        <f>Sheet1[[#This Row],[Ingresos mensuales]]*Sheet1[[#This Row],[Meses contratados]]</f>
        <v>214.35</v>
      </c>
      <c r="L587" t="s">
        <v>1813</v>
      </c>
      <c r="M587">
        <v>21</v>
      </c>
      <c r="N587" t="s">
        <v>1820</v>
      </c>
      <c r="O587" t="s">
        <v>1823</v>
      </c>
      <c r="P587" t="s">
        <v>1828</v>
      </c>
      <c r="Q587" cm="1">
        <f t="array" ref="Q587">_xlfn.IFS(P587="2 Years", 24,P587="1 Year",12, P587="6 Months",6, P587="1 Month",1)</f>
        <v>6</v>
      </c>
      <c r="R587" t="str" cm="1">
        <f t="array" ref="R587">_xlfn.IFS(Q587=1,"Mensual",Q587=6,"Semestral",Q587=12,"Anual",Q587=24,"Bienal")</f>
        <v>Semestral</v>
      </c>
      <c r="S587">
        <f>IFERROR(VLOOKUP(Sheet1[[#This Row],[ID usuario]],A588:$A$907,1,FALSE),0)</f>
        <v>0</v>
      </c>
    </row>
    <row r="588" spans="1:19" x14ac:dyDescent="0.25">
      <c r="A588" t="s">
        <v>586</v>
      </c>
      <c r="B588" t="s">
        <v>1491</v>
      </c>
      <c r="C588" t="s">
        <v>1811</v>
      </c>
      <c r="D588">
        <v>89.01</v>
      </c>
      <c r="E588" s="1">
        <v>45273</v>
      </c>
      <c r="F588" s="1" t="str">
        <f>TEXT(Sheet1[[#This Row],[Fecha ingreso]],"mmmm")</f>
        <v>diciembre</v>
      </c>
      <c r="G588" s="2">
        <f>YEAR(Sheet1[[#This Row],[Fecha ingreso]])</f>
        <v>2023</v>
      </c>
      <c r="H588" s="1" t="str">
        <f>TEXT(Sheet1[[#This Row],[Fecha ingreso]],"dddd")</f>
        <v>miércoles</v>
      </c>
      <c r="I588" s="1">
        <v>45438</v>
      </c>
      <c r="J588" s="2">
        <f>DATEDIF(Sheet1[[#This Row],[Fecha ingreso]],Sheet1[[#This Row],[Fecha último pago]],"M")+1</f>
        <v>6</v>
      </c>
      <c r="K588" s="2">
        <f>Sheet1[[#This Row],[Ingresos mensuales]]*Sheet1[[#This Row],[Meses contratados]]</f>
        <v>534.06000000000006</v>
      </c>
      <c r="L588" t="s">
        <v>1813</v>
      </c>
      <c r="M588">
        <v>37</v>
      </c>
      <c r="N588" t="s">
        <v>1822</v>
      </c>
      <c r="O588" t="s">
        <v>1823</v>
      </c>
      <c r="P588" t="s">
        <v>1829</v>
      </c>
      <c r="Q588" cm="1">
        <f t="array" ref="Q588">_xlfn.IFS(P588="2 Years", 24,P588="1 Year",12, P588="6 Months",6, P588="1 Month",1)</f>
        <v>1</v>
      </c>
      <c r="R588" t="str" cm="1">
        <f t="array" ref="R588">_xlfn.IFS(Q588=1,"Mensual",Q588=6,"Semestral",Q588=12,"Anual",Q588=24,"Bienal")</f>
        <v>Mensual</v>
      </c>
      <c r="S588">
        <f>IFERROR(VLOOKUP(Sheet1[[#This Row],[ID usuario]],A589:$A$907,1,FALSE),0)</f>
        <v>0</v>
      </c>
    </row>
    <row r="589" spans="1:19" x14ac:dyDescent="0.25">
      <c r="A589" t="s">
        <v>587</v>
      </c>
      <c r="B589" t="s">
        <v>1492</v>
      </c>
      <c r="C589" t="s">
        <v>1811</v>
      </c>
      <c r="D589">
        <v>78.069999999999993</v>
      </c>
      <c r="E589" s="1">
        <v>44423</v>
      </c>
      <c r="F589" s="1" t="str">
        <f>TEXT(Sheet1[[#This Row],[Fecha ingreso]],"mmmm")</f>
        <v>agosto</v>
      </c>
      <c r="G589" s="2">
        <f>YEAR(Sheet1[[#This Row],[Fecha ingreso]])</f>
        <v>2021</v>
      </c>
      <c r="H589" s="1" t="str">
        <f>TEXT(Sheet1[[#This Row],[Fecha ingreso]],"dddd")</f>
        <v>domingo</v>
      </c>
      <c r="I589" s="1">
        <v>44744</v>
      </c>
      <c r="J589" s="2">
        <f>DATEDIF(Sheet1[[#This Row],[Fecha ingreso]],Sheet1[[#This Row],[Fecha último pago]],"M")+1</f>
        <v>11</v>
      </c>
      <c r="K589" s="2">
        <f>Sheet1[[#This Row],[Ingresos mensuales]]*Sheet1[[#This Row],[Meses contratados]]</f>
        <v>858.77</v>
      </c>
      <c r="L589" t="s">
        <v>1816</v>
      </c>
      <c r="M589">
        <v>30</v>
      </c>
      <c r="N589" t="s">
        <v>1821</v>
      </c>
      <c r="O589" t="s">
        <v>1825</v>
      </c>
      <c r="P589" t="s">
        <v>1829</v>
      </c>
      <c r="Q589" cm="1">
        <f t="array" ref="Q589">_xlfn.IFS(P589="2 Years", 24,P589="1 Year",12, P589="6 Months",6, P589="1 Month",1)</f>
        <v>1</v>
      </c>
      <c r="R589" t="str" cm="1">
        <f t="array" ref="R589">_xlfn.IFS(Q589=1,"Mensual",Q589=6,"Semestral",Q589=12,"Anual",Q589=24,"Bienal")</f>
        <v>Mensual</v>
      </c>
      <c r="S589">
        <f>IFERROR(VLOOKUP(Sheet1[[#This Row],[ID usuario]],A590:$A$907,1,FALSE),0)</f>
        <v>0</v>
      </c>
    </row>
    <row r="590" spans="1:19" x14ac:dyDescent="0.25">
      <c r="A590" t="s">
        <v>588</v>
      </c>
      <c r="B590" t="s">
        <v>1493</v>
      </c>
      <c r="C590" t="s">
        <v>1812</v>
      </c>
      <c r="D590">
        <v>72.63</v>
      </c>
      <c r="E590" s="1">
        <v>45165</v>
      </c>
      <c r="F590" s="1" t="str">
        <f>TEXT(Sheet1[[#This Row],[Fecha ingreso]],"mmmm")</f>
        <v>agosto</v>
      </c>
      <c r="G590" s="2">
        <f>YEAR(Sheet1[[#This Row],[Fecha ingreso]])</f>
        <v>2023</v>
      </c>
      <c r="H590" s="1" t="str">
        <f>TEXT(Sheet1[[#This Row],[Fecha ingreso]],"dddd")</f>
        <v>domingo</v>
      </c>
      <c r="I590" s="1">
        <v>45418</v>
      </c>
      <c r="J590" s="2">
        <f>DATEDIF(Sheet1[[#This Row],[Fecha ingreso]],Sheet1[[#This Row],[Fecha último pago]],"M")+1</f>
        <v>9</v>
      </c>
      <c r="K590" s="2">
        <f>Sheet1[[#This Row],[Ingresos mensuales]]*Sheet1[[#This Row],[Meses contratados]]</f>
        <v>653.66999999999996</v>
      </c>
      <c r="L590" t="s">
        <v>1814</v>
      </c>
      <c r="M590">
        <v>68</v>
      </c>
      <c r="N590" t="s">
        <v>1820</v>
      </c>
      <c r="O590" t="s">
        <v>1825</v>
      </c>
      <c r="P590" t="s">
        <v>1826</v>
      </c>
      <c r="Q590" cm="1">
        <f t="array" ref="Q590">_xlfn.IFS(P590="2 Years", 24,P590="1 Year",12, P590="6 Months",6, P590="1 Month",1)</f>
        <v>24</v>
      </c>
      <c r="R590" t="str" cm="1">
        <f t="array" ref="R590">_xlfn.IFS(Q590=1,"Mensual",Q590=6,"Semestral",Q590=12,"Anual",Q590=24,"Bienal")</f>
        <v>Bienal</v>
      </c>
      <c r="S590">
        <f>IFERROR(VLOOKUP(Sheet1[[#This Row],[ID usuario]],A591:$A$907,1,FALSE),0)</f>
        <v>0</v>
      </c>
    </row>
    <row r="591" spans="1:19" x14ac:dyDescent="0.25">
      <c r="A591" t="s">
        <v>589</v>
      </c>
      <c r="B591" t="s">
        <v>1494</v>
      </c>
      <c r="C591" t="s">
        <v>1811</v>
      </c>
      <c r="D591">
        <v>42.64</v>
      </c>
      <c r="E591" s="1">
        <v>44461</v>
      </c>
      <c r="F591" s="1" t="str">
        <f>TEXT(Sheet1[[#This Row],[Fecha ingreso]],"mmmm")</f>
        <v>septiembre</v>
      </c>
      <c r="G591" s="2">
        <f>YEAR(Sheet1[[#This Row],[Fecha ingreso]])</f>
        <v>2021</v>
      </c>
      <c r="H591" s="1" t="str">
        <f>TEXT(Sheet1[[#This Row],[Fecha ingreso]],"dddd")</f>
        <v>miércoles</v>
      </c>
      <c r="I591" s="1">
        <v>44867</v>
      </c>
      <c r="J591" s="2">
        <f>DATEDIF(Sheet1[[#This Row],[Fecha ingreso]],Sheet1[[#This Row],[Fecha último pago]],"M")+1</f>
        <v>14</v>
      </c>
      <c r="K591" s="2">
        <f>Sheet1[[#This Row],[Ingresos mensuales]]*Sheet1[[#This Row],[Meses contratados]]</f>
        <v>596.96</v>
      </c>
      <c r="L591" t="s">
        <v>1813</v>
      </c>
      <c r="M591">
        <v>28</v>
      </c>
      <c r="N591" t="s">
        <v>1821</v>
      </c>
      <c r="O591" t="s">
        <v>1824</v>
      </c>
      <c r="P591" t="s">
        <v>1826</v>
      </c>
      <c r="Q591" cm="1">
        <f t="array" ref="Q591">_xlfn.IFS(P591="2 Years", 24,P591="1 Year",12, P591="6 Months",6, P591="1 Month",1)</f>
        <v>24</v>
      </c>
      <c r="R591" t="str" cm="1">
        <f t="array" ref="R591">_xlfn.IFS(Q591=1,"Mensual",Q591=6,"Semestral",Q591=12,"Anual",Q591=24,"Bienal")</f>
        <v>Bienal</v>
      </c>
      <c r="S591">
        <f>IFERROR(VLOOKUP(Sheet1[[#This Row],[ID usuario]],A592:$A$907,1,FALSE),0)</f>
        <v>0</v>
      </c>
    </row>
    <row r="592" spans="1:19" x14ac:dyDescent="0.25">
      <c r="A592" t="s">
        <v>590</v>
      </c>
      <c r="B592" t="s">
        <v>1495</v>
      </c>
      <c r="C592" t="s">
        <v>1812</v>
      </c>
      <c r="D592">
        <v>20.91</v>
      </c>
      <c r="E592" s="1">
        <v>45290</v>
      </c>
      <c r="F592" s="1" t="str">
        <f>TEXT(Sheet1[[#This Row],[Fecha ingreso]],"mmmm")</f>
        <v>diciembre</v>
      </c>
      <c r="G592" s="2">
        <f>YEAR(Sheet1[[#This Row],[Fecha ingreso]])</f>
        <v>2023</v>
      </c>
      <c r="H592" s="1" t="str">
        <f>TEXT(Sheet1[[#This Row],[Fecha ingreso]],"dddd")</f>
        <v>sábado</v>
      </c>
      <c r="I592" s="1">
        <v>45434</v>
      </c>
      <c r="J592" s="2">
        <f>DATEDIF(Sheet1[[#This Row],[Fecha ingreso]],Sheet1[[#This Row],[Fecha último pago]],"M")+1</f>
        <v>5</v>
      </c>
      <c r="K592" s="2">
        <f>Sheet1[[#This Row],[Ingresos mensuales]]*Sheet1[[#This Row],[Meses contratados]]</f>
        <v>104.55</v>
      </c>
      <c r="L592" t="s">
        <v>1815</v>
      </c>
      <c r="M592">
        <v>27</v>
      </c>
      <c r="N592" t="s">
        <v>1822</v>
      </c>
      <c r="O592" t="s">
        <v>1825</v>
      </c>
      <c r="P592" t="s">
        <v>1829</v>
      </c>
      <c r="Q592" cm="1">
        <f t="array" ref="Q592">_xlfn.IFS(P592="2 Years", 24,P592="1 Year",12, P592="6 Months",6, P592="1 Month",1)</f>
        <v>1</v>
      </c>
      <c r="R592" t="str" cm="1">
        <f t="array" ref="R592">_xlfn.IFS(Q592=1,"Mensual",Q592=6,"Semestral",Q592=12,"Anual",Q592=24,"Bienal")</f>
        <v>Mensual</v>
      </c>
      <c r="S592">
        <f>IFERROR(VLOOKUP(Sheet1[[#This Row],[ID usuario]],A593:$A$907,1,FALSE),0)</f>
        <v>0</v>
      </c>
    </row>
    <row r="593" spans="1:19" x14ac:dyDescent="0.25">
      <c r="A593" t="s">
        <v>591</v>
      </c>
      <c r="B593" t="s">
        <v>1496</v>
      </c>
      <c r="C593" t="s">
        <v>1810</v>
      </c>
      <c r="D593">
        <v>83.08</v>
      </c>
      <c r="E593" s="1">
        <v>44744</v>
      </c>
      <c r="F593" s="1" t="str">
        <f>TEXT(Sheet1[[#This Row],[Fecha ingreso]],"mmmm")</f>
        <v>julio</v>
      </c>
      <c r="G593" s="2">
        <f>YEAR(Sheet1[[#This Row],[Fecha ingreso]])</f>
        <v>2022</v>
      </c>
      <c r="H593" s="1" t="str">
        <f>TEXT(Sheet1[[#This Row],[Fecha ingreso]],"dddd")</f>
        <v>sábado</v>
      </c>
      <c r="I593" s="1">
        <v>44992</v>
      </c>
      <c r="J593" s="2">
        <f>DATEDIF(Sheet1[[#This Row],[Fecha ingreso]],Sheet1[[#This Row],[Fecha último pago]],"M")+1</f>
        <v>9</v>
      </c>
      <c r="K593" s="2">
        <f>Sheet1[[#This Row],[Ingresos mensuales]]*Sheet1[[#This Row],[Meses contratados]]</f>
        <v>747.72</v>
      </c>
      <c r="L593" t="s">
        <v>1818</v>
      </c>
      <c r="M593">
        <v>46</v>
      </c>
      <c r="N593" t="s">
        <v>1820</v>
      </c>
      <c r="O593" t="s">
        <v>1823</v>
      </c>
      <c r="P593" t="s">
        <v>1828</v>
      </c>
      <c r="Q593" cm="1">
        <f t="array" ref="Q593">_xlfn.IFS(P593="2 Years", 24,P593="1 Year",12, P593="6 Months",6, P593="1 Month",1)</f>
        <v>6</v>
      </c>
      <c r="R593" t="str" cm="1">
        <f t="array" ref="R593">_xlfn.IFS(Q593=1,"Mensual",Q593=6,"Semestral",Q593=12,"Anual",Q593=24,"Bienal")</f>
        <v>Semestral</v>
      </c>
      <c r="S593">
        <f>IFERROR(VLOOKUP(Sheet1[[#This Row],[ID usuario]],A594:$A$907,1,FALSE),0)</f>
        <v>0</v>
      </c>
    </row>
    <row r="594" spans="1:19" x14ac:dyDescent="0.25">
      <c r="A594" t="s">
        <v>592</v>
      </c>
      <c r="B594" t="s">
        <v>1497</v>
      </c>
      <c r="C594" t="s">
        <v>1811</v>
      </c>
      <c r="D594">
        <v>71.55</v>
      </c>
      <c r="E594" s="1">
        <v>44377</v>
      </c>
      <c r="F594" s="1" t="str">
        <f>TEXT(Sheet1[[#This Row],[Fecha ingreso]],"mmmm")</f>
        <v>junio</v>
      </c>
      <c r="G594" s="2">
        <f>YEAR(Sheet1[[#This Row],[Fecha ingreso]])</f>
        <v>2021</v>
      </c>
      <c r="H594" s="1" t="str">
        <f>TEXT(Sheet1[[#This Row],[Fecha ingreso]],"dddd")</f>
        <v>miércoles</v>
      </c>
      <c r="I594" s="1">
        <v>45176</v>
      </c>
      <c r="J594" s="2">
        <f>DATEDIF(Sheet1[[#This Row],[Fecha ingreso]],Sheet1[[#This Row],[Fecha último pago]],"M")+1</f>
        <v>27</v>
      </c>
      <c r="K594" s="2">
        <f>Sheet1[[#This Row],[Ingresos mensuales]]*Sheet1[[#This Row],[Meses contratados]]</f>
        <v>1931.85</v>
      </c>
      <c r="L594" t="s">
        <v>1817</v>
      </c>
      <c r="M594">
        <v>64</v>
      </c>
      <c r="N594" t="s">
        <v>1821</v>
      </c>
      <c r="O594" t="s">
        <v>1825</v>
      </c>
      <c r="P594" t="s">
        <v>1827</v>
      </c>
      <c r="Q594" cm="1">
        <f t="array" ref="Q594">_xlfn.IFS(P594="2 Years", 24,P594="1 Year",12, P594="6 Months",6, P594="1 Month",1)</f>
        <v>12</v>
      </c>
      <c r="R594" t="str" cm="1">
        <f t="array" ref="R594">_xlfn.IFS(Q594=1,"Mensual",Q594=6,"Semestral",Q594=12,"Anual",Q594=24,"Bienal")</f>
        <v>Anual</v>
      </c>
      <c r="S594">
        <f>IFERROR(VLOOKUP(Sheet1[[#This Row],[ID usuario]],A595:$A$907,1,FALSE),0)</f>
        <v>0</v>
      </c>
    </row>
    <row r="595" spans="1:19" x14ac:dyDescent="0.25">
      <c r="A595" t="s">
        <v>593</v>
      </c>
      <c r="B595" t="s">
        <v>1498</v>
      </c>
      <c r="C595" t="s">
        <v>1811</v>
      </c>
      <c r="D595">
        <v>88.89</v>
      </c>
      <c r="E595" s="1">
        <v>44939</v>
      </c>
      <c r="F595" s="1" t="str">
        <f>TEXT(Sheet1[[#This Row],[Fecha ingreso]],"mmmm")</f>
        <v>enero</v>
      </c>
      <c r="G595" s="2">
        <f>YEAR(Sheet1[[#This Row],[Fecha ingreso]])</f>
        <v>2023</v>
      </c>
      <c r="H595" s="1" t="str">
        <f>TEXT(Sheet1[[#This Row],[Fecha ingreso]],"dddd")</f>
        <v>viernes</v>
      </c>
      <c r="I595" s="1">
        <v>45358</v>
      </c>
      <c r="J595" s="2">
        <f>DATEDIF(Sheet1[[#This Row],[Fecha ingreso]],Sheet1[[#This Row],[Fecha último pago]],"M")+1</f>
        <v>14</v>
      </c>
      <c r="K595" s="2">
        <f>Sheet1[[#This Row],[Ingresos mensuales]]*Sheet1[[#This Row],[Meses contratados]]</f>
        <v>1244.46</v>
      </c>
      <c r="L595" t="s">
        <v>1818</v>
      </c>
      <c r="M595">
        <v>49</v>
      </c>
      <c r="N595" t="s">
        <v>1822</v>
      </c>
      <c r="O595" t="s">
        <v>1824</v>
      </c>
      <c r="P595" t="s">
        <v>1829</v>
      </c>
      <c r="Q595" cm="1">
        <f t="array" ref="Q595">_xlfn.IFS(P595="2 Years", 24,P595="1 Year",12, P595="6 Months",6, P595="1 Month",1)</f>
        <v>1</v>
      </c>
      <c r="R595" t="str" cm="1">
        <f t="array" ref="R595">_xlfn.IFS(Q595=1,"Mensual",Q595=6,"Semestral",Q595=12,"Anual",Q595=24,"Bienal")</f>
        <v>Mensual</v>
      </c>
      <c r="S595">
        <f>IFERROR(VLOOKUP(Sheet1[[#This Row],[ID usuario]],A596:$A$907,1,FALSE),0)</f>
        <v>0</v>
      </c>
    </row>
    <row r="596" spans="1:19" x14ac:dyDescent="0.25">
      <c r="A596" t="s">
        <v>594</v>
      </c>
      <c r="B596" t="s">
        <v>1499</v>
      </c>
      <c r="C596" t="s">
        <v>1812</v>
      </c>
      <c r="D596">
        <v>96.82</v>
      </c>
      <c r="E596" s="1">
        <v>44466</v>
      </c>
      <c r="F596" s="1" t="str">
        <f>TEXT(Sheet1[[#This Row],[Fecha ingreso]],"mmmm")</f>
        <v>septiembre</v>
      </c>
      <c r="G596" s="2">
        <f>YEAR(Sheet1[[#This Row],[Fecha ingreso]])</f>
        <v>2021</v>
      </c>
      <c r="H596" s="1" t="str">
        <f>TEXT(Sheet1[[#This Row],[Fecha ingreso]],"dddd")</f>
        <v>lunes</v>
      </c>
      <c r="I596" s="1">
        <v>45239</v>
      </c>
      <c r="J596" s="2">
        <f>DATEDIF(Sheet1[[#This Row],[Fecha ingreso]],Sheet1[[#This Row],[Fecha último pago]],"M")+1</f>
        <v>26</v>
      </c>
      <c r="K596" s="2">
        <f>Sheet1[[#This Row],[Ingresos mensuales]]*Sheet1[[#This Row],[Meses contratados]]</f>
        <v>2517.3199999999997</v>
      </c>
      <c r="L596" t="s">
        <v>1813</v>
      </c>
      <c r="M596">
        <v>41</v>
      </c>
      <c r="N596" t="s">
        <v>1820</v>
      </c>
      <c r="O596" t="s">
        <v>1823</v>
      </c>
      <c r="P596" t="s">
        <v>1827</v>
      </c>
      <c r="Q596" cm="1">
        <f t="array" ref="Q596">_xlfn.IFS(P596="2 Years", 24,P596="1 Year",12, P596="6 Months",6, P596="1 Month",1)</f>
        <v>12</v>
      </c>
      <c r="R596" t="str" cm="1">
        <f t="array" ref="R596">_xlfn.IFS(Q596=1,"Mensual",Q596=6,"Semestral",Q596=12,"Anual",Q596=24,"Bienal")</f>
        <v>Anual</v>
      </c>
      <c r="S596">
        <f>IFERROR(VLOOKUP(Sheet1[[#This Row],[ID usuario]],A597:$A$907,1,FALSE),0)</f>
        <v>0</v>
      </c>
    </row>
    <row r="597" spans="1:19" x14ac:dyDescent="0.25">
      <c r="A597" t="s">
        <v>595</v>
      </c>
      <c r="B597" t="s">
        <v>1500</v>
      </c>
      <c r="C597" t="s">
        <v>1811</v>
      </c>
      <c r="D597">
        <v>99.45</v>
      </c>
      <c r="E597" s="1">
        <v>45365</v>
      </c>
      <c r="F597" s="1" t="str">
        <f>TEXT(Sheet1[[#This Row],[Fecha ingreso]],"mmmm")</f>
        <v>marzo</v>
      </c>
      <c r="G597" s="2">
        <f>YEAR(Sheet1[[#This Row],[Fecha ingreso]])</f>
        <v>2024</v>
      </c>
      <c r="H597" s="1" t="str">
        <f>TEXT(Sheet1[[#This Row],[Fecha ingreso]],"dddd")</f>
        <v>jueves</v>
      </c>
      <c r="I597" s="1">
        <v>45420</v>
      </c>
      <c r="J597" s="2">
        <f>DATEDIF(Sheet1[[#This Row],[Fecha ingreso]],Sheet1[[#This Row],[Fecha último pago]],"M")+1</f>
        <v>2</v>
      </c>
      <c r="K597" s="2">
        <f>Sheet1[[#This Row],[Ingresos mensuales]]*Sheet1[[#This Row],[Meses contratados]]</f>
        <v>198.9</v>
      </c>
      <c r="L597" t="s">
        <v>1816</v>
      </c>
      <c r="M597">
        <v>23</v>
      </c>
      <c r="N597" t="s">
        <v>1820</v>
      </c>
      <c r="O597" t="s">
        <v>1825</v>
      </c>
      <c r="P597" t="s">
        <v>1829</v>
      </c>
      <c r="Q597" cm="1">
        <f t="array" ref="Q597">_xlfn.IFS(P597="2 Years", 24,P597="1 Year",12, P597="6 Months",6, P597="1 Month",1)</f>
        <v>1</v>
      </c>
      <c r="R597" t="str" cm="1">
        <f t="array" ref="R597">_xlfn.IFS(Q597=1,"Mensual",Q597=6,"Semestral",Q597=12,"Anual",Q597=24,"Bienal")</f>
        <v>Mensual</v>
      </c>
      <c r="S597">
        <f>IFERROR(VLOOKUP(Sheet1[[#This Row],[ID usuario]],A598:$A$907,1,FALSE),0)</f>
        <v>0</v>
      </c>
    </row>
    <row r="598" spans="1:19" x14ac:dyDescent="0.25">
      <c r="A598" t="s">
        <v>596</v>
      </c>
      <c r="B598" t="s">
        <v>1501</v>
      </c>
      <c r="C598" t="s">
        <v>1810</v>
      </c>
      <c r="D598">
        <v>63.4</v>
      </c>
      <c r="E598" s="1">
        <v>44834</v>
      </c>
      <c r="F598" s="1" t="str">
        <f>TEXT(Sheet1[[#This Row],[Fecha ingreso]],"mmmm")</f>
        <v>septiembre</v>
      </c>
      <c r="G598" s="2">
        <f>YEAR(Sheet1[[#This Row],[Fecha ingreso]])</f>
        <v>2022</v>
      </c>
      <c r="H598" s="1" t="str">
        <f>TEXT(Sheet1[[#This Row],[Fecha ingreso]],"dddd")</f>
        <v>viernes</v>
      </c>
      <c r="I598" s="1">
        <v>45139</v>
      </c>
      <c r="J598" s="2">
        <f>DATEDIF(Sheet1[[#This Row],[Fecha ingreso]],Sheet1[[#This Row],[Fecha último pago]],"M")+1</f>
        <v>11</v>
      </c>
      <c r="K598" s="2">
        <f>Sheet1[[#This Row],[Ingresos mensuales]]*Sheet1[[#This Row],[Meses contratados]]</f>
        <v>697.4</v>
      </c>
      <c r="L598" t="s">
        <v>1818</v>
      </c>
      <c r="M598">
        <v>63</v>
      </c>
      <c r="N598" t="s">
        <v>1821</v>
      </c>
      <c r="O598" t="s">
        <v>1824</v>
      </c>
      <c r="P598" t="s">
        <v>1826</v>
      </c>
      <c r="Q598" cm="1">
        <f t="array" ref="Q598">_xlfn.IFS(P598="2 Years", 24,P598="1 Year",12, P598="6 Months",6, P598="1 Month",1)</f>
        <v>24</v>
      </c>
      <c r="R598" t="str" cm="1">
        <f t="array" ref="R598">_xlfn.IFS(Q598=1,"Mensual",Q598=6,"Semestral",Q598=12,"Anual",Q598=24,"Bienal")</f>
        <v>Bienal</v>
      </c>
      <c r="S598">
        <f>IFERROR(VLOOKUP(Sheet1[[#This Row],[ID usuario]],A599:$A$907,1,FALSE),0)</f>
        <v>0</v>
      </c>
    </row>
    <row r="599" spans="1:19" x14ac:dyDescent="0.25">
      <c r="A599" t="s">
        <v>597</v>
      </c>
      <c r="B599" t="s">
        <v>1502</v>
      </c>
      <c r="C599" t="s">
        <v>1810</v>
      </c>
      <c r="D599">
        <v>8.5299999999999994</v>
      </c>
      <c r="E599" s="1">
        <v>45157</v>
      </c>
      <c r="F599" s="1" t="str">
        <f>TEXT(Sheet1[[#This Row],[Fecha ingreso]],"mmmm")</f>
        <v>agosto</v>
      </c>
      <c r="G599" s="2">
        <f>YEAR(Sheet1[[#This Row],[Fecha ingreso]])</f>
        <v>2023</v>
      </c>
      <c r="H599" s="1" t="str">
        <f>TEXT(Sheet1[[#This Row],[Fecha ingreso]],"dddd")</f>
        <v>sábado</v>
      </c>
      <c r="I599" s="1">
        <v>45435</v>
      </c>
      <c r="J599" s="2">
        <f>DATEDIF(Sheet1[[#This Row],[Fecha ingreso]],Sheet1[[#This Row],[Fecha último pago]],"M")+1</f>
        <v>10</v>
      </c>
      <c r="K599" s="2">
        <f>Sheet1[[#This Row],[Ingresos mensuales]]*Sheet1[[#This Row],[Meses contratados]]</f>
        <v>85.3</v>
      </c>
      <c r="L599" t="s">
        <v>1816</v>
      </c>
      <c r="M599">
        <v>58</v>
      </c>
      <c r="N599" t="s">
        <v>1822</v>
      </c>
      <c r="O599" t="s">
        <v>1824</v>
      </c>
      <c r="P599" t="s">
        <v>1829</v>
      </c>
      <c r="Q599" cm="1">
        <f t="array" ref="Q599">_xlfn.IFS(P599="2 Years", 24,P599="1 Year",12, P599="6 Months",6, P599="1 Month",1)</f>
        <v>1</v>
      </c>
      <c r="R599" t="str" cm="1">
        <f t="array" ref="R599">_xlfn.IFS(Q599=1,"Mensual",Q599=6,"Semestral",Q599=12,"Anual",Q599=24,"Bienal")</f>
        <v>Mensual</v>
      </c>
      <c r="S599">
        <f>IFERROR(VLOOKUP(Sheet1[[#This Row],[ID usuario]],A600:$A$907,1,FALSE),0)</f>
        <v>0</v>
      </c>
    </row>
    <row r="600" spans="1:19" x14ac:dyDescent="0.25">
      <c r="A600" t="s">
        <v>598</v>
      </c>
      <c r="B600" t="s">
        <v>1503</v>
      </c>
      <c r="C600" t="s">
        <v>1812</v>
      </c>
      <c r="D600">
        <v>6.35</v>
      </c>
      <c r="E600" s="1">
        <v>44686</v>
      </c>
      <c r="F600" s="1" t="str">
        <f>TEXT(Sheet1[[#This Row],[Fecha ingreso]],"mmmm")</f>
        <v>mayo</v>
      </c>
      <c r="G600" s="2">
        <f>YEAR(Sheet1[[#This Row],[Fecha ingreso]])</f>
        <v>2022</v>
      </c>
      <c r="H600" s="1" t="str">
        <f>TEXT(Sheet1[[#This Row],[Fecha ingreso]],"dddd")</f>
        <v>jueves</v>
      </c>
      <c r="I600" s="1">
        <v>45034</v>
      </c>
      <c r="J600" s="2">
        <f>DATEDIF(Sheet1[[#This Row],[Fecha ingreso]],Sheet1[[#This Row],[Fecha último pago]],"M")+1</f>
        <v>12</v>
      </c>
      <c r="K600" s="2">
        <f>Sheet1[[#This Row],[Ingresos mensuales]]*Sheet1[[#This Row],[Meses contratados]]</f>
        <v>76.199999999999989</v>
      </c>
      <c r="L600" t="s">
        <v>1816</v>
      </c>
      <c r="M600">
        <v>25</v>
      </c>
      <c r="N600" t="s">
        <v>1820</v>
      </c>
      <c r="O600" t="s">
        <v>1825</v>
      </c>
      <c r="P600" t="s">
        <v>1828</v>
      </c>
      <c r="Q600" cm="1">
        <f t="array" ref="Q600">_xlfn.IFS(P600="2 Years", 24,P600="1 Year",12, P600="6 Months",6, P600="1 Month",1)</f>
        <v>6</v>
      </c>
      <c r="R600" t="str" cm="1">
        <f t="array" ref="R600">_xlfn.IFS(Q600=1,"Mensual",Q600=6,"Semestral",Q600=12,"Anual",Q600=24,"Bienal")</f>
        <v>Semestral</v>
      </c>
      <c r="S600">
        <f>IFERROR(VLOOKUP(Sheet1[[#This Row],[ID usuario]],A601:$A$907,1,FALSE),0)</f>
        <v>0</v>
      </c>
    </row>
    <row r="601" spans="1:19" x14ac:dyDescent="0.25">
      <c r="A601" t="s">
        <v>599</v>
      </c>
      <c r="B601" t="s">
        <v>1504</v>
      </c>
      <c r="C601" t="s">
        <v>1811</v>
      </c>
      <c r="D601">
        <v>87.28</v>
      </c>
      <c r="E601" s="1">
        <v>45034</v>
      </c>
      <c r="F601" s="1" t="str">
        <f>TEXT(Sheet1[[#This Row],[Fecha ingreso]],"mmmm")</f>
        <v>abril</v>
      </c>
      <c r="G601" s="2">
        <f>YEAR(Sheet1[[#This Row],[Fecha ingreso]])</f>
        <v>2023</v>
      </c>
      <c r="H601" s="1" t="str">
        <f>TEXT(Sheet1[[#This Row],[Fecha ingreso]],"dddd")</f>
        <v>martes</v>
      </c>
      <c r="I601" s="1">
        <v>45267</v>
      </c>
      <c r="J601" s="2">
        <f>DATEDIF(Sheet1[[#This Row],[Fecha ingreso]],Sheet1[[#This Row],[Fecha último pago]],"M")+1</f>
        <v>8</v>
      </c>
      <c r="K601" s="2">
        <f>Sheet1[[#This Row],[Ingresos mensuales]]*Sheet1[[#This Row],[Meses contratados]]</f>
        <v>698.24</v>
      </c>
      <c r="L601" t="s">
        <v>1814</v>
      </c>
      <c r="M601">
        <v>34</v>
      </c>
      <c r="N601" t="s">
        <v>1821</v>
      </c>
      <c r="O601" t="s">
        <v>1825</v>
      </c>
      <c r="P601" t="s">
        <v>1829</v>
      </c>
      <c r="Q601" cm="1">
        <f t="array" ref="Q601">_xlfn.IFS(P601="2 Years", 24,P601="1 Year",12, P601="6 Months",6, P601="1 Month",1)</f>
        <v>1</v>
      </c>
      <c r="R601" t="str" cm="1">
        <f t="array" ref="R601">_xlfn.IFS(Q601=1,"Mensual",Q601=6,"Semestral",Q601=12,"Anual",Q601=24,"Bienal")</f>
        <v>Mensual</v>
      </c>
      <c r="S601">
        <f>IFERROR(VLOOKUP(Sheet1[[#This Row],[ID usuario]],A602:$A$907,1,FALSE),0)</f>
        <v>0</v>
      </c>
    </row>
    <row r="602" spans="1:19" x14ac:dyDescent="0.25">
      <c r="A602" t="s">
        <v>600</v>
      </c>
      <c r="B602" t="s">
        <v>1505</v>
      </c>
      <c r="C602" t="s">
        <v>1812</v>
      </c>
      <c r="D602">
        <v>96.28</v>
      </c>
      <c r="E602" s="1">
        <v>44562</v>
      </c>
      <c r="F602" s="1" t="str">
        <f>TEXT(Sheet1[[#This Row],[Fecha ingreso]],"mmmm")</f>
        <v>enero</v>
      </c>
      <c r="G602" s="2">
        <f>YEAR(Sheet1[[#This Row],[Fecha ingreso]])</f>
        <v>2022</v>
      </c>
      <c r="H602" s="1" t="str">
        <f>TEXT(Sheet1[[#This Row],[Fecha ingreso]],"dddd")</f>
        <v>sábado</v>
      </c>
      <c r="I602" s="1">
        <v>44818</v>
      </c>
      <c r="J602" s="2">
        <f>DATEDIF(Sheet1[[#This Row],[Fecha ingreso]],Sheet1[[#This Row],[Fecha último pago]],"M")+1</f>
        <v>9</v>
      </c>
      <c r="K602" s="2">
        <f>Sheet1[[#This Row],[Ingresos mensuales]]*Sheet1[[#This Row],[Meses contratados]]</f>
        <v>866.52</v>
      </c>
      <c r="L602" t="s">
        <v>1818</v>
      </c>
      <c r="M602">
        <v>68</v>
      </c>
      <c r="N602" t="s">
        <v>1820</v>
      </c>
      <c r="O602" t="s">
        <v>1824</v>
      </c>
      <c r="P602" t="s">
        <v>1829</v>
      </c>
      <c r="Q602" cm="1">
        <f t="array" ref="Q602">_xlfn.IFS(P602="2 Years", 24,P602="1 Year",12, P602="6 Months",6, P602="1 Month",1)</f>
        <v>1</v>
      </c>
      <c r="R602" t="str" cm="1">
        <f t="array" ref="R602">_xlfn.IFS(Q602=1,"Mensual",Q602=6,"Semestral",Q602=12,"Anual",Q602=24,"Bienal")</f>
        <v>Mensual</v>
      </c>
      <c r="S602">
        <f>IFERROR(VLOOKUP(Sheet1[[#This Row],[ID usuario]],A603:$A$907,1,FALSE),0)</f>
        <v>0</v>
      </c>
    </row>
    <row r="603" spans="1:19" x14ac:dyDescent="0.25">
      <c r="A603" t="s">
        <v>601</v>
      </c>
      <c r="B603" t="s">
        <v>1506</v>
      </c>
      <c r="C603" t="s">
        <v>1811</v>
      </c>
      <c r="D603">
        <v>11.19</v>
      </c>
      <c r="E603" s="1">
        <v>44709</v>
      </c>
      <c r="F603" s="1" t="str">
        <f>TEXT(Sheet1[[#This Row],[Fecha ingreso]],"mmmm")</f>
        <v>mayo</v>
      </c>
      <c r="G603" s="2">
        <f>YEAR(Sheet1[[#This Row],[Fecha ingreso]])</f>
        <v>2022</v>
      </c>
      <c r="H603" s="1" t="str">
        <f>TEXT(Sheet1[[#This Row],[Fecha ingreso]],"dddd")</f>
        <v>sábado</v>
      </c>
      <c r="I603" s="1">
        <v>44732</v>
      </c>
      <c r="J603" s="2">
        <f>DATEDIF(Sheet1[[#This Row],[Fecha ingreso]],Sheet1[[#This Row],[Fecha último pago]],"M")+1</f>
        <v>1</v>
      </c>
      <c r="K603" s="2">
        <f>Sheet1[[#This Row],[Ingresos mensuales]]*Sheet1[[#This Row],[Meses contratados]]</f>
        <v>11.19</v>
      </c>
      <c r="L603" t="s">
        <v>1815</v>
      </c>
      <c r="M603">
        <v>57</v>
      </c>
      <c r="N603" t="s">
        <v>1820</v>
      </c>
      <c r="O603" t="s">
        <v>1824</v>
      </c>
      <c r="P603" t="s">
        <v>1827</v>
      </c>
      <c r="Q603" cm="1">
        <f t="array" ref="Q603">_xlfn.IFS(P603="2 Years", 24,P603="1 Year",12, P603="6 Months",6, P603="1 Month",1)</f>
        <v>12</v>
      </c>
      <c r="R603" t="str" cm="1">
        <f t="array" ref="R603">_xlfn.IFS(Q603=1,"Mensual",Q603=6,"Semestral",Q603=12,"Anual",Q603=24,"Bienal")</f>
        <v>Anual</v>
      </c>
      <c r="S603">
        <f>IFERROR(VLOOKUP(Sheet1[[#This Row],[ID usuario]],A604:$A$907,1,FALSE),0)</f>
        <v>0</v>
      </c>
    </row>
    <row r="604" spans="1:19" x14ac:dyDescent="0.25">
      <c r="A604" t="s">
        <v>602</v>
      </c>
      <c r="B604" t="s">
        <v>1507</v>
      </c>
      <c r="C604" t="s">
        <v>1812</v>
      </c>
      <c r="D604">
        <v>9.23</v>
      </c>
      <c r="E604" s="1">
        <v>44500</v>
      </c>
      <c r="F604" s="1" t="str">
        <f>TEXT(Sheet1[[#This Row],[Fecha ingreso]],"mmmm")</f>
        <v>octubre</v>
      </c>
      <c r="G604" s="2">
        <f>YEAR(Sheet1[[#This Row],[Fecha ingreso]])</f>
        <v>2021</v>
      </c>
      <c r="H604" s="1" t="str">
        <f>TEXT(Sheet1[[#This Row],[Fecha ingreso]],"dddd")</f>
        <v>domingo</v>
      </c>
      <c r="I604" s="1">
        <v>44818</v>
      </c>
      <c r="J604" s="2">
        <f>DATEDIF(Sheet1[[#This Row],[Fecha ingreso]],Sheet1[[#This Row],[Fecha último pago]],"M")+1</f>
        <v>11</v>
      </c>
      <c r="K604" s="2">
        <f>Sheet1[[#This Row],[Ingresos mensuales]]*Sheet1[[#This Row],[Meses contratados]]</f>
        <v>101.53</v>
      </c>
      <c r="L604" t="s">
        <v>1816</v>
      </c>
      <c r="M604">
        <v>53</v>
      </c>
      <c r="N604" t="s">
        <v>1820</v>
      </c>
      <c r="O604" t="s">
        <v>1825</v>
      </c>
      <c r="P604" t="s">
        <v>1829</v>
      </c>
      <c r="Q604" cm="1">
        <f t="array" ref="Q604">_xlfn.IFS(P604="2 Years", 24,P604="1 Year",12, P604="6 Months",6, P604="1 Month",1)</f>
        <v>1</v>
      </c>
      <c r="R604" t="str" cm="1">
        <f t="array" ref="R604">_xlfn.IFS(Q604=1,"Mensual",Q604=6,"Semestral",Q604=12,"Anual",Q604=24,"Bienal")</f>
        <v>Mensual</v>
      </c>
      <c r="S604">
        <f>IFERROR(VLOOKUP(Sheet1[[#This Row],[ID usuario]],A605:$A$907,1,FALSE),0)</f>
        <v>0</v>
      </c>
    </row>
    <row r="605" spans="1:19" x14ac:dyDescent="0.25">
      <c r="A605" t="s">
        <v>603</v>
      </c>
      <c r="B605" t="s">
        <v>1508</v>
      </c>
      <c r="C605" t="s">
        <v>1811</v>
      </c>
      <c r="D605">
        <v>91.76</v>
      </c>
      <c r="E605" s="1">
        <v>45413</v>
      </c>
      <c r="F605" s="1" t="str">
        <f>TEXT(Sheet1[[#This Row],[Fecha ingreso]],"mmmm")</f>
        <v>mayo</v>
      </c>
      <c r="G605" s="2">
        <f>YEAR(Sheet1[[#This Row],[Fecha ingreso]])</f>
        <v>2024</v>
      </c>
      <c r="H605" s="1" t="str">
        <f>TEXT(Sheet1[[#This Row],[Fecha ingreso]],"dddd")</f>
        <v>miércoles</v>
      </c>
      <c r="I605" s="1">
        <v>45457</v>
      </c>
      <c r="J605" s="2">
        <f>DATEDIF(Sheet1[[#This Row],[Fecha ingreso]],Sheet1[[#This Row],[Fecha último pago]],"M")+1</f>
        <v>2</v>
      </c>
      <c r="K605" s="2">
        <f>Sheet1[[#This Row],[Ingresos mensuales]]*Sheet1[[#This Row],[Meses contratados]]</f>
        <v>183.52</v>
      </c>
      <c r="L605" t="s">
        <v>1816</v>
      </c>
      <c r="M605">
        <v>60</v>
      </c>
      <c r="N605" t="s">
        <v>1821</v>
      </c>
      <c r="O605" t="s">
        <v>1824</v>
      </c>
      <c r="P605" t="s">
        <v>1829</v>
      </c>
      <c r="Q605" cm="1">
        <f t="array" ref="Q605">_xlfn.IFS(P605="2 Years", 24,P605="1 Year",12, P605="6 Months",6, P605="1 Month",1)</f>
        <v>1</v>
      </c>
      <c r="R605" t="str" cm="1">
        <f t="array" ref="R605">_xlfn.IFS(Q605=1,"Mensual",Q605=6,"Semestral",Q605=12,"Anual",Q605=24,"Bienal")</f>
        <v>Mensual</v>
      </c>
      <c r="S605">
        <f>IFERROR(VLOOKUP(Sheet1[[#This Row],[ID usuario]],A606:$A$907,1,FALSE),0)</f>
        <v>0</v>
      </c>
    </row>
    <row r="606" spans="1:19" x14ac:dyDescent="0.25">
      <c r="A606" t="s">
        <v>604</v>
      </c>
      <c r="B606" t="s">
        <v>1509</v>
      </c>
      <c r="C606" t="s">
        <v>1811</v>
      </c>
      <c r="D606">
        <v>33.979999999999997</v>
      </c>
      <c r="E606" s="1">
        <v>45230</v>
      </c>
      <c r="F606" s="1" t="str">
        <f>TEXT(Sheet1[[#This Row],[Fecha ingreso]],"mmmm")</f>
        <v>octubre</v>
      </c>
      <c r="G606" s="2">
        <f>YEAR(Sheet1[[#This Row],[Fecha ingreso]])</f>
        <v>2023</v>
      </c>
      <c r="H606" s="1" t="str">
        <f>TEXT(Sheet1[[#This Row],[Fecha ingreso]],"dddd")</f>
        <v>martes</v>
      </c>
      <c r="I606" s="1">
        <v>45351</v>
      </c>
      <c r="J606" s="2">
        <f>DATEDIF(Sheet1[[#This Row],[Fecha ingreso]],Sheet1[[#This Row],[Fecha último pago]],"M")+1</f>
        <v>4</v>
      </c>
      <c r="K606" s="2">
        <f>Sheet1[[#This Row],[Ingresos mensuales]]*Sheet1[[#This Row],[Meses contratados]]</f>
        <v>135.91999999999999</v>
      </c>
      <c r="L606" t="s">
        <v>1814</v>
      </c>
      <c r="M606">
        <v>46</v>
      </c>
      <c r="N606" t="s">
        <v>1822</v>
      </c>
      <c r="O606" t="s">
        <v>1823</v>
      </c>
      <c r="P606" t="s">
        <v>1827</v>
      </c>
      <c r="Q606" cm="1">
        <f t="array" ref="Q606">_xlfn.IFS(P606="2 Years", 24,P606="1 Year",12, P606="6 Months",6, P606="1 Month",1)</f>
        <v>12</v>
      </c>
      <c r="R606" t="str" cm="1">
        <f t="array" ref="R606">_xlfn.IFS(Q606=1,"Mensual",Q606=6,"Semestral",Q606=12,"Anual",Q606=24,"Bienal")</f>
        <v>Anual</v>
      </c>
      <c r="S606">
        <f>IFERROR(VLOOKUP(Sheet1[[#This Row],[ID usuario]],A607:$A$907,1,FALSE),0)</f>
        <v>0</v>
      </c>
    </row>
    <row r="607" spans="1:19" x14ac:dyDescent="0.25">
      <c r="A607" t="s">
        <v>605</v>
      </c>
      <c r="B607" t="s">
        <v>1510</v>
      </c>
      <c r="C607" t="s">
        <v>1812</v>
      </c>
      <c r="D607">
        <v>58.01</v>
      </c>
      <c r="E607" s="1">
        <v>45260</v>
      </c>
      <c r="F607" s="1" t="str">
        <f>TEXT(Sheet1[[#This Row],[Fecha ingreso]],"mmmm")</f>
        <v>noviembre</v>
      </c>
      <c r="G607" s="2">
        <f>YEAR(Sheet1[[#This Row],[Fecha ingreso]])</f>
        <v>2023</v>
      </c>
      <c r="H607" s="1" t="str">
        <f>TEXT(Sheet1[[#This Row],[Fecha ingreso]],"dddd")</f>
        <v>jueves</v>
      </c>
      <c r="I607" s="1">
        <v>45399</v>
      </c>
      <c r="J607" s="2">
        <f>DATEDIF(Sheet1[[#This Row],[Fecha ingreso]],Sheet1[[#This Row],[Fecha último pago]],"M")+1</f>
        <v>5</v>
      </c>
      <c r="K607" s="2">
        <f>Sheet1[[#This Row],[Ingresos mensuales]]*Sheet1[[#This Row],[Meses contratados]]</f>
        <v>290.05</v>
      </c>
      <c r="L607" t="s">
        <v>1815</v>
      </c>
      <c r="M607">
        <v>35</v>
      </c>
      <c r="N607" t="s">
        <v>1820</v>
      </c>
      <c r="O607" t="s">
        <v>1825</v>
      </c>
      <c r="P607" t="s">
        <v>1829</v>
      </c>
      <c r="Q607" cm="1">
        <f t="array" ref="Q607">_xlfn.IFS(P607="2 Years", 24,P607="1 Year",12, P607="6 Months",6, P607="1 Month",1)</f>
        <v>1</v>
      </c>
      <c r="R607" t="str" cm="1">
        <f t="array" ref="R607">_xlfn.IFS(Q607=1,"Mensual",Q607=6,"Semestral",Q607=12,"Anual",Q607=24,"Bienal")</f>
        <v>Mensual</v>
      </c>
      <c r="S607">
        <f>IFERROR(VLOOKUP(Sheet1[[#This Row],[ID usuario]],A608:$A$907,1,FALSE),0)</f>
        <v>0</v>
      </c>
    </row>
    <row r="608" spans="1:19" x14ac:dyDescent="0.25">
      <c r="A608" t="s">
        <v>606</v>
      </c>
      <c r="B608" t="s">
        <v>1511</v>
      </c>
      <c r="C608" t="s">
        <v>1810</v>
      </c>
      <c r="D608">
        <v>98.33</v>
      </c>
      <c r="E608" s="1">
        <v>45199</v>
      </c>
      <c r="F608" s="1" t="str">
        <f>TEXT(Sheet1[[#This Row],[Fecha ingreso]],"mmmm")</f>
        <v>septiembre</v>
      </c>
      <c r="G608" s="2">
        <f>YEAR(Sheet1[[#This Row],[Fecha ingreso]])</f>
        <v>2023</v>
      </c>
      <c r="H608" s="1" t="str">
        <f>TEXT(Sheet1[[#This Row],[Fecha ingreso]],"dddd")</f>
        <v>sábado</v>
      </c>
      <c r="I608" s="1">
        <v>45234</v>
      </c>
      <c r="J608" s="2">
        <f>DATEDIF(Sheet1[[#This Row],[Fecha ingreso]],Sheet1[[#This Row],[Fecha último pago]],"M")+1</f>
        <v>2</v>
      </c>
      <c r="K608" s="2">
        <f>Sheet1[[#This Row],[Ingresos mensuales]]*Sheet1[[#This Row],[Meses contratados]]</f>
        <v>196.66</v>
      </c>
      <c r="L608" t="s">
        <v>1818</v>
      </c>
      <c r="M608">
        <v>55</v>
      </c>
      <c r="N608" t="s">
        <v>1822</v>
      </c>
      <c r="O608" t="s">
        <v>1823</v>
      </c>
      <c r="P608" t="s">
        <v>1826</v>
      </c>
      <c r="Q608" cm="1">
        <f t="array" ref="Q608">_xlfn.IFS(P608="2 Years", 24,P608="1 Year",12, P608="6 Months",6, P608="1 Month",1)</f>
        <v>24</v>
      </c>
      <c r="R608" t="str" cm="1">
        <f t="array" ref="R608">_xlfn.IFS(Q608=1,"Mensual",Q608=6,"Semestral",Q608=12,"Anual",Q608=24,"Bienal")</f>
        <v>Bienal</v>
      </c>
      <c r="S608">
        <f>IFERROR(VLOOKUP(Sheet1[[#This Row],[ID usuario]],A609:$A$907,1,FALSE),0)</f>
        <v>0</v>
      </c>
    </row>
    <row r="609" spans="1:19" x14ac:dyDescent="0.25">
      <c r="A609" t="s">
        <v>607</v>
      </c>
      <c r="B609" t="s">
        <v>1512</v>
      </c>
      <c r="C609" t="s">
        <v>1811</v>
      </c>
      <c r="D609">
        <v>68.260000000000005</v>
      </c>
      <c r="E609" s="1">
        <v>44476</v>
      </c>
      <c r="F609" s="1" t="str">
        <f>TEXT(Sheet1[[#This Row],[Fecha ingreso]],"mmmm")</f>
        <v>octubre</v>
      </c>
      <c r="G609" s="2">
        <f>YEAR(Sheet1[[#This Row],[Fecha ingreso]])</f>
        <v>2021</v>
      </c>
      <c r="H609" s="1" t="str">
        <f>TEXT(Sheet1[[#This Row],[Fecha ingreso]],"dddd")</f>
        <v>jueves</v>
      </c>
      <c r="I609" s="1">
        <v>44508</v>
      </c>
      <c r="J609" s="2">
        <f>DATEDIF(Sheet1[[#This Row],[Fecha ingreso]],Sheet1[[#This Row],[Fecha último pago]],"M")+1</f>
        <v>2</v>
      </c>
      <c r="K609" s="2">
        <f>Sheet1[[#This Row],[Ingresos mensuales]]*Sheet1[[#This Row],[Meses contratados]]</f>
        <v>136.52000000000001</v>
      </c>
      <c r="L609" t="s">
        <v>1815</v>
      </c>
      <c r="M609">
        <v>35</v>
      </c>
      <c r="N609" t="s">
        <v>1822</v>
      </c>
      <c r="O609" t="s">
        <v>1823</v>
      </c>
      <c r="P609" t="s">
        <v>1826</v>
      </c>
      <c r="Q609" cm="1">
        <f t="array" ref="Q609">_xlfn.IFS(P609="2 Years", 24,P609="1 Year",12, P609="6 Months",6, P609="1 Month",1)</f>
        <v>24</v>
      </c>
      <c r="R609" t="str" cm="1">
        <f t="array" ref="R609">_xlfn.IFS(Q609=1,"Mensual",Q609=6,"Semestral",Q609=12,"Anual",Q609=24,"Bienal")</f>
        <v>Bienal</v>
      </c>
      <c r="S609">
        <f>IFERROR(VLOOKUP(Sheet1[[#This Row],[ID usuario]],A610:$A$907,1,FALSE),0)</f>
        <v>0</v>
      </c>
    </row>
    <row r="610" spans="1:19" x14ac:dyDescent="0.25">
      <c r="A610" t="s">
        <v>608</v>
      </c>
      <c r="B610" t="s">
        <v>1513</v>
      </c>
      <c r="C610" t="s">
        <v>1811</v>
      </c>
      <c r="D610">
        <v>43.08</v>
      </c>
      <c r="E610" s="1">
        <v>44417</v>
      </c>
      <c r="F610" s="1" t="str">
        <f>TEXT(Sheet1[[#This Row],[Fecha ingreso]],"mmmm")</f>
        <v>agosto</v>
      </c>
      <c r="G610" s="2">
        <f>YEAR(Sheet1[[#This Row],[Fecha ingreso]])</f>
        <v>2021</v>
      </c>
      <c r="H610" s="1" t="str">
        <f>TEXT(Sheet1[[#This Row],[Fecha ingreso]],"dddd")</f>
        <v>lunes</v>
      </c>
      <c r="I610" s="1">
        <v>44881</v>
      </c>
      <c r="J610" s="2">
        <f>DATEDIF(Sheet1[[#This Row],[Fecha ingreso]],Sheet1[[#This Row],[Fecha último pago]],"M")+1</f>
        <v>16</v>
      </c>
      <c r="K610" s="2">
        <f>Sheet1[[#This Row],[Ingresos mensuales]]*Sheet1[[#This Row],[Meses contratados]]</f>
        <v>689.28</v>
      </c>
      <c r="L610" t="s">
        <v>1817</v>
      </c>
      <c r="M610">
        <v>48</v>
      </c>
      <c r="N610" t="s">
        <v>1820</v>
      </c>
      <c r="O610" t="s">
        <v>1825</v>
      </c>
      <c r="P610" t="s">
        <v>1829</v>
      </c>
      <c r="Q610" cm="1">
        <f t="array" ref="Q610">_xlfn.IFS(P610="2 Years", 24,P610="1 Year",12, P610="6 Months",6, P610="1 Month",1)</f>
        <v>1</v>
      </c>
      <c r="R610" t="str" cm="1">
        <f t="array" ref="R610">_xlfn.IFS(Q610=1,"Mensual",Q610=6,"Semestral",Q610=12,"Anual",Q610=24,"Bienal")</f>
        <v>Mensual</v>
      </c>
      <c r="S610">
        <f>IFERROR(VLOOKUP(Sheet1[[#This Row],[ID usuario]],A611:$A$907,1,FALSE),0)</f>
        <v>0</v>
      </c>
    </row>
    <row r="611" spans="1:19" x14ac:dyDescent="0.25">
      <c r="A611" t="s">
        <v>609</v>
      </c>
      <c r="B611" t="s">
        <v>1514</v>
      </c>
      <c r="C611" t="s">
        <v>1811</v>
      </c>
      <c r="D611">
        <v>77.98</v>
      </c>
      <c r="E611" s="1">
        <v>45057</v>
      </c>
      <c r="F611" s="1" t="str">
        <f>TEXT(Sheet1[[#This Row],[Fecha ingreso]],"mmmm")</f>
        <v>mayo</v>
      </c>
      <c r="G611" s="2">
        <f>YEAR(Sheet1[[#This Row],[Fecha ingreso]])</f>
        <v>2023</v>
      </c>
      <c r="H611" s="1" t="str">
        <f>TEXT(Sheet1[[#This Row],[Fecha ingreso]],"dddd")</f>
        <v>jueves</v>
      </c>
      <c r="I611" s="1">
        <v>45238</v>
      </c>
      <c r="J611" s="2">
        <f>DATEDIF(Sheet1[[#This Row],[Fecha ingreso]],Sheet1[[#This Row],[Fecha último pago]],"M")+1</f>
        <v>6</v>
      </c>
      <c r="K611" s="2">
        <f>Sheet1[[#This Row],[Ingresos mensuales]]*Sheet1[[#This Row],[Meses contratados]]</f>
        <v>467.88</v>
      </c>
      <c r="L611" t="s">
        <v>1818</v>
      </c>
      <c r="M611">
        <v>52</v>
      </c>
      <c r="N611" t="s">
        <v>1820</v>
      </c>
      <c r="O611" t="s">
        <v>1825</v>
      </c>
      <c r="P611" t="s">
        <v>1828</v>
      </c>
      <c r="Q611" cm="1">
        <f t="array" ref="Q611">_xlfn.IFS(P611="2 Years", 24,P611="1 Year",12, P611="6 Months",6, P611="1 Month",1)</f>
        <v>6</v>
      </c>
      <c r="R611" t="str" cm="1">
        <f t="array" ref="R611">_xlfn.IFS(Q611=1,"Mensual",Q611=6,"Semestral",Q611=12,"Anual",Q611=24,"Bienal")</f>
        <v>Semestral</v>
      </c>
      <c r="S611">
        <f>IFERROR(VLOOKUP(Sheet1[[#This Row],[ID usuario]],A612:$A$907,1,FALSE),0)</f>
        <v>0</v>
      </c>
    </row>
    <row r="612" spans="1:19" x14ac:dyDescent="0.25">
      <c r="A612" t="s">
        <v>610</v>
      </c>
      <c r="B612" t="s">
        <v>1515</v>
      </c>
      <c r="C612" t="s">
        <v>1810</v>
      </c>
      <c r="D612">
        <v>55.13</v>
      </c>
      <c r="E612" s="1">
        <v>45314</v>
      </c>
      <c r="F612" s="1" t="str">
        <f>TEXT(Sheet1[[#This Row],[Fecha ingreso]],"mmmm")</f>
        <v>enero</v>
      </c>
      <c r="G612" s="2">
        <f>YEAR(Sheet1[[#This Row],[Fecha ingreso]])</f>
        <v>2024</v>
      </c>
      <c r="H612" s="1" t="str">
        <f>TEXT(Sheet1[[#This Row],[Fecha ingreso]],"dddd")</f>
        <v>martes</v>
      </c>
      <c r="I612" s="1">
        <v>45322</v>
      </c>
      <c r="J612" s="2">
        <f>DATEDIF(Sheet1[[#This Row],[Fecha ingreso]],Sheet1[[#This Row],[Fecha último pago]],"M")+1</f>
        <v>1</v>
      </c>
      <c r="K612" s="2">
        <f>Sheet1[[#This Row],[Ingresos mensuales]]*Sheet1[[#This Row],[Meses contratados]]</f>
        <v>55.13</v>
      </c>
      <c r="L612" t="s">
        <v>1817</v>
      </c>
      <c r="M612">
        <v>21</v>
      </c>
      <c r="N612" t="s">
        <v>1820</v>
      </c>
      <c r="O612" t="s">
        <v>1823</v>
      </c>
      <c r="P612" t="s">
        <v>1829</v>
      </c>
      <c r="Q612" cm="1">
        <f t="array" ref="Q612">_xlfn.IFS(P612="2 Years", 24,P612="1 Year",12, P612="6 Months",6, P612="1 Month",1)</f>
        <v>1</v>
      </c>
      <c r="R612" t="str" cm="1">
        <f t="array" ref="R612">_xlfn.IFS(Q612=1,"Mensual",Q612=6,"Semestral",Q612=12,"Anual",Q612=24,"Bienal")</f>
        <v>Mensual</v>
      </c>
      <c r="S612">
        <f>IFERROR(VLOOKUP(Sheet1[[#This Row],[ID usuario]],A613:$A$907,1,FALSE),0)</f>
        <v>0</v>
      </c>
    </row>
    <row r="613" spans="1:19" x14ac:dyDescent="0.25">
      <c r="A613" t="s">
        <v>611</v>
      </c>
      <c r="B613" t="s">
        <v>1516</v>
      </c>
      <c r="C613" t="s">
        <v>1812</v>
      </c>
      <c r="D613">
        <v>27.56</v>
      </c>
      <c r="E613" s="1">
        <v>44427</v>
      </c>
      <c r="F613" s="1" t="str">
        <f>TEXT(Sheet1[[#This Row],[Fecha ingreso]],"mmmm")</f>
        <v>agosto</v>
      </c>
      <c r="G613" s="2">
        <f>YEAR(Sheet1[[#This Row],[Fecha ingreso]])</f>
        <v>2021</v>
      </c>
      <c r="H613" s="1" t="str">
        <f>TEXT(Sheet1[[#This Row],[Fecha ingreso]],"dddd")</f>
        <v>jueves</v>
      </c>
      <c r="I613" s="1">
        <v>45273</v>
      </c>
      <c r="J613" s="2">
        <f>DATEDIF(Sheet1[[#This Row],[Fecha ingreso]],Sheet1[[#This Row],[Fecha último pago]],"M")+1</f>
        <v>28</v>
      </c>
      <c r="K613" s="2">
        <f>Sheet1[[#This Row],[Ingresos mensuales]]*Sheet1[[#This Row],[Meses contratados]]</f>
        <v>771.68</v>
      </c>
      <c r="L613" t="s">
        <v>1816</v>
      </c>
      <c r="M613">
        <v>51</v>
      </c>
      <c r="N613" t="s">
        <v>1821</v>
      </c>
      <c r="O613" t="s">
        <v>1825</v>
      </c>
      <c r="P613" t="s">
        <v>1828</v>
      </c>
      <c r="Q613" cm="1">
        <f t="array" ref="Q613">_xlfn.IFS(P613="2 Years", 24,P613="1 Year",12, P613="6 Months",6, P613="1 Month",1)</f>
        <v>6</v>
      </c>
      <c r="R613" t="str" cm="1">
        <f t="array" ref="R613">_xlfn.IFS(Q613=1,"Mensual",Q613=6,"Semestral",Q613=12,"Anual",Q613=24,"Bienal")</f>
        <v>Semestral</v>
      </c>
      <c r="S613">
        <f>IFERROR(VLOOKUP(Sheet1[[#This Row],[ID usuario]],A614:$A$907,1,FALSE),0)</f>
        <v>0</v>
      </c>
    </row>
    <row r="614" spans="1:19" x14ac:dyDescent="0.25">
      <c r="A614" t="s">
        <v>612</v>
      </c>
      <c r="B614" t="s">
        <v>1517</v>
      </c>
      <c r="C614" t="s">
        <v>1812</v>
      </c>
      <c r="D614">
        <v>30.77</v>
      </c>
      <c r="E614" s="1">
        <v>44880</v>
      </c>
      <c r="F614" s="1" t="str">
        <f>TEXT(Sheet1[[#This Row],[Fecha ingreso]],"mmmm")</f>
        <v>noviembre</v>
      </c>
      <c r="G614" s="2">
        <f>YEAR(Sheet1[[#This Row],[Fecha ingreso]])</f>
        <v>2022</v>
      </c>
      <c r="H614" s="1" t="str">
        <f>TEXT(Sheet1[[#This Row],[Fecha ingreso]],"dddd")</f>
        <v>martes</v>
      </c>
      <c r="I614" s="1">
        <v>44932</v>
      </c>
      <c r="J614" s="2">
        <f>DATEDIF(Sheet1[[#This Row],[Fecha ingreso]],Sheet1[[#This Row],[Fecha último pago]],"M")+1</f>
        <v>2</v>
      </c>
      <c r="K614" s="2">
        <f>Sheet1[[#This Row],[Ingresos mensuales]]*Sheet1[[#This Row],[Meses contratados]]</f>
        <v>61.54</v>
      </c>
      <c r="L614" t="s">
        <v>1817</v>
      </c>
      <c r="M614">
        <v>61</v>
      </c>
      <c r="N614" t="s">
        <v>1821</v>
      </c>
      <c r="O614" t="s">
        <v>1823</v>
      </c>
      <c r="P614" t="s">
        <v>1829</v>
      </c>
      <c r="Q614" cm="1">
        <f t="array" ref="Q614">_xlfn.IFS(P614="2 Years", 24,P614="1 Year",12, P614="6 Months",6, P614="1 Month",1)</f>
        <v>1</v>
      </c>
      <c r="R614" t="str" cm="1">
        <f t="array" ref="R614">_xlfn.IFS(Q614=1,"Mensual",Q614=6,"Semestral",Q614=12,"Anual",Q614=24,"Bienal")</f>
        <v>Mensual</v>
      </c>
      <c r="S614">
        <f>IFERROR(VLOOKUP(Sheet1[[#This Row],[ID usuario]],A615:$A$907,1,FALSE),0)</f>
        <v>0</v>
      </c>
    </row>
    <row r="615" spans="1:19" x14ac:dyDescent="0.25">
      <c r="A615" t="s">
        <v>613</v>
      </c>
      <c r="B615" t="s">
        <v>1518</v>
      </c>
      <c r="C615" t="s">
        <v>1812</v>
      </c>
      <c r="D615">
        <v>29.52</v>
      </c>
      <c r="E615" s="1">
        <v>44783</v>
      </c>
      <c r="F615" s="1" t="str">
        <f>TEXT(Sheet1[[#This Row],[Fecha ingreso]],"mmmm")</f>
        <v>agosto</v>
      </c>
      <c r="G615" s="2">
        <f>YEAR(Sheet1[[#This Row],[Fecha ingreso]])</f>
        <v>2022</v>
      </c>
      <c r="H615" s="1" t="str">
        <f>TEXT(Sheet1[[#This Row],[Fecha ingreso]],"dddd")</f>
        <v>miércoles</v>
      </c>
      <c r="I615" s="1">
        <v>44907</v>
      </c>
      <c r="J615" s="2">
        <f>DATEDIF(Sheet1[[#This Row],[Fecha ingreso]],Sheet1[[#This Row],[Fecha último pago]],"M")+1</f>
        <v>5</v>
      </c>
      <c r="K615" s="2">
        <f>Sheet1[[#This Row],[Ingresos mensuales]]*Sheet1[[#This Row],[Meses contratados]]</f>
        <v>147.6</v>
      </c>
      <c r="L615" t="s">
        <v>1818</v>
      </c>
      <c r="M615">
        <v>43</v>
      </c>
      <c r="N615" t="s">
        <v>1821</v>
      </c>
      <c r="O615" t="s">
        <v>1823</v>
      </c>
      <c r="P615" t="s">
        <v>1827</v>
      </c>
      <c r="Q615" cm="1">
        <f t="array" ref="Q615">_xlfn.IFS(P615="2 Years", 24,P615="1 Year",12, P615="6 Months",6, P615="1 Month",1)</f>
        <v>12</v>
      </c>
      <c r="R615" t="str" cm="1">
        <f t="array" ref="R615">_xlfn.IFS(Q615=1,"Mensual",Q615=6,"Semestral",Q615=12,"Anual",Q615=24,"Bienal")</f>
        <v>Anual</v>
      </c>
      <c r="S615">
        <f>IFERROR(VLOOKUP(Sheet1[[#This Row],[ID usuario]],A616:$A$907,1,FALSE),0)</f>
        <v>0</v>
      </c>
    </row>
    <row r="616" spans="1:19" x14ac:dyDescent="0.25">
      <c r="A616" t="s">
        <v>614</v>
      </c>
      <c r="B616" t="s">
        <v>1519</v>
      </c>
      <c r="C616" t="s">
        <v>1810</v>
      </c>
      <c r="D616">
        <v>55.57</v>
      </c>
      <c r="E616" s="1">
        <v>45141</v>
      </c>
      <c r="F616" s="1" t="str">
        <f>TEXT(Sheet1[[#This Row],[Fecha ingreso]],"mmmm")</f>
        <v>agosto</v>
      </c>
      <c r="G616" s="2">
        <f>YEAR(Sheet1[[#This Row],[Fecha ingreso]])</f>
        <v>2023</v>
      </c>
      <c r="H616" s="1" t="str">
        <f>TEXT(Sheet1[[#This Row],[Fecha ingreso]],"dddd")</f>
        <v>jueves</v>
      </c>
      <c r="I616" s="1">
        <v>45317</v>
      </c>
      <c r="J616" s="2">
        <f>DATEDIF(Sheet1[[#This Row],[Fecha ingreso]],Sheet1[[#This Row],[Fecha último pago]],"M")+1</f>
        <v>6</v>
      </c>
      <c r="K616" s="2">
        <f>Sheet1[[#This Row],[Ingresos mensuales]]*Sheet1[[#This Row],[Meses contratados]]</f>
        <v>333.42</v>
      </c>
      <c r="L616" t="s">
        <v>1814</v>
      </c>
      <c r="M616">
        <v>19</v>
      </c>
      <c r="N616" t="s">
        <v>1822</v>
      </c>
      <c r="O616" t="s">
        <v>1824</v>
      </c>
      <c r="P616" t="s">
        <v>1829</v>
      </c>
      <c r="Q616" cm="1">
        <f t="array" ref="Q616">_xlfn.IFS(P616="2 Years", 24,P616="1 Year",12, P616="6 Months",6, P616="1 Month",1)</f>
        <v>1</v>
      </c>
      <c r="R616" t="str" cm="1">
        <f t="array" ref="R616">_xlfn.IFS(Q616=1,"Mensual",Q616=6,"Semestral",Q616=12,"Anual",Q616=24,"Bienal")</f>
        <v>Mensual</v>
      </c>
      <c r="S616">
        <f>IFERROR(VLOOKUP(Sheet1[[#This Row],[ID usuario]],A617:$A$907,1,FALSE),0)</f>
        <v>0</v>
      </c>
    </row>
    <row r="617" spans="1:19" x14ac:dyDescent="0.25">
      <c r="A617" t="s">
        <v>615</v>
      </c>
      <c r="B617" t="s">
        <v>1520</v>
      </c>
      <c r="C617" t="s">
        <v>1810</v>
      </c>
      <c r="D617">
        <v>95.18</v>
      </c>
      <c r="E617" s="1">
        <v>44486</v>
      </c>
      <c r="F617" s="1" t="str">
        <f>TEXT(Sheet1[[#This Row],[Fecha ingreso]],"mmmm")</f>
        <v>octubre</v>
      </c>
      <c r="G617" s="2">
        <f>YEAR(Sheet1[[#This Row],[Fecha ingreso]])</f>
        <v>2021</v>
      </c>
      <c r="H617" s="1" t="str">
        <f>TEXT(Sheet1[[#This Row],[Fecha ingreso]],"dddd")</f>
        <v>domingo</v>
      </c>
      <c r="I617" s="1">
        <v>44834</v>
      </c>
      <c r="J617" s="2">
        <f>DATEDIF(Sheet1[[#This Row],[Fecha ingreso]],Sheet1[[#This Row],[Fecha último pago]],"M")+1</f>
        <v>12</v>
      </c>
      <c r="K617" s="2">
        <f>Sheet1[[#This Row],[Ingresos mensuales]]*Sheet1[[#This Row],[Meses contratados]]</f>
        <v>1142.1600000000001</v>
      </c>
      <c r="L617" t="s">
        <v>1814</v>
      </c>
      <c r="M617">
        <v>67</v>
      </c>
      <c r="N617" t="s">
        <v>1821</v>
      </c>
      <c r="O617" t="s">
        <v>1825</v>
      </c>
      <c r="P617" t="s">
        <v>1829</v>
      </c>
      <c r="Q617" cm="1">
        <f t="array" ref="Q617">_xlfn.IFS(P617="2 Years", 24,P617="1 Year",12, P617="6 Months",6, P617="1 Month",1)</f>
        <v>1</v>
      </c>
      <c r="R617" t="str" cm="1">
        <f t="array" ref="R617">_xlfn.IFS(Q617=1,"Mensual",Q617=6,"Semestral",Q617=12,"Anual",Q617=24,"Bienal")</f>
        <v>Mensual</v>
      </c>
      <c r="S617">
        <f>IFERROR(VLOOKUP(Sheet1[[#This Row],[ID usuario]],A618:$A$907,1,FALSE),0)</f>
        <v>0</v>
      </c>
    </row>
    <row r="618" spans="1:19" x14ac:dyDescent="0.25">
      <c r="A618" t="s">
        <v>616</v>
      </c>
      <c r="B618" t="s">
        <v>1521</v>
      </c>
      <c r="C618" t="s">
        <v>1811</v>
      </c>
      <c r="D618">
        <v>70.94</v>
      </c>
      <c r="E618" s="1">
        <v>45009</v>
      </c>
      <c r="F618" s="1" t="str">
        <f>TEXT(Sheet1[[#This Row],[Fecha ingreso]],"mmmm")</f>
        <v>marzo</v>
      </c>
      <c r="G618" s="2">
        <f>YEAR(Sheet1[[#This Row],[Fecha ingreso]])</f>
        <v>2023</v>
      </c>
      <c r="H618" s="1" t="str">
        <f>TEXT(Sheet1[[#This Row],[Fecha ingreso]],"dddd")</f>
        <v>viernes</v>
      </c>
      <c r="I618" s="1">
        <v>45450</v>
      </c>
      <c r="J618" s="2">
        <f>DATEDIF(Sheet1[[#This Row],[Fecha ingreso]],Sheet1[[#This Row],[Fecha último pago]],"M")+1</f>
        <v>15</v>
      </c>
      <c r="K618" s="2">
        <f>Sheet1[[#This Row],[Ingresos mensuales]]*Sheet1[[#This Row],[Meses contratados]]</f>
        <v>1064.0999999999999</v>
      </c>
      <c r="L618" t="s">
        <v>1816</v>
      </c>
      <c r="M618">
        <v>57</v>
      </c>
      <c r="N618" t="s">
        <v>1821</v>
      </c>
      <c r="O618" t="s">
        <v>1823</v>
      </c>
      <c r="P618" t="s">
        <v>1829</v>
      </c>
      <c r="Q618" cm="1">
        <f t="array" ref="Q618">_xlfn.IFS(P618="2 Years", 24,P618="1 Year",12, P618="6 Months",6, P618="1 Month",1)</f>
        <v>1</v>
      </c>
      <c r="R618" t="str" cm="1">
        <f t="array" ref="R618">_xlfn.IFS(Q618=1,"Mensual",Q618=6,"Semestral",Q618=12,"Anual",Q618=24,"Bienal")</f>
        <v>Mensual</v>
      </c>
      <c r="S618">
        <f>IFERROR(VLOOKUP(Sheet1[[#This Row],[ID usuario]],A619:$A$907,1,FALSE),0)</f>
        <v>0</v>
      </c>
    </row>
    <row r="619" spans="1:19" x14ac:dyDescent="0.25">
      <c r="A619" t="s">
        <v>617</v>
      </c>
      <c r="B619" t="s">
        <v>1522</v>
      </c>
      <c r="C619" t="s">
        <v>1812</v>
      </c>
      <c r="D619">
        <v>21.05</v>
      </c>
      <c r="E619" s="1">
        <v>45442</v>
      </c>
      <c r="F619" s="1" t="str">
        <f>TEXT(Sheet1[[#This Row],[Fecha ingreso]],"mmmm")</f>
        <v>mayo</v>
      </c>
      <c r="G619" s="2">
        <f>YEAR(Sheet1[[#This Row],[Fecha ingreso]])</f>
        <v>2024</v>
      </c>
      <c r="H619" s="1" t="str">
        <f>TEXT(Sheet1[[#This Row],[Fecha ingreso]],"dddd")</f>
        <v>jueves</v>
      </c>
      <c r="I619" s="1">
        <v>45442</v>
      </c>
      <c r="J619" s="2">
        <f>DATEDIF(Sheet1[[#This Row],[Fecha ingreso]],Sheet1[[#This Row],[Fecha último pago]],"M")+1</f>
        <v>1</v>
      </c>
      <c r="K619" s="2">
        <f>Sheet1[[#This Row],[Ingresos mensuales]]*Sheet1[[#This Row],[Meses contratados]]</f>
        <v>21.05</v>
      </c>
      <c r="L619" t="s">
        <v>1814</v>
      </c>
      <c r="M619">
        <v>36</v>
      </c>
      <c r="N619" t="s">
        <v>1820</v>
      </c>
      <c r="O619" t="s">
        <v>1824</v>
      </c>
      <c r="P619" t="s">
        <v>1826</v>
      </c>
      <c r="Q619" cm="1">
        <f t="array" ref="Q619">_xlfn.IFS(P619="2 Years", 24,P619="1 Year",12, P619="6 Months",6, P619="1 Month",1)</f>
        <v>24</v>
      </c>
      <c r="R619" t="str" cm="1">
        <f t="array" ref="R619">_xlfn.IFS(Q619=1,"Mensual",Q619=6,"Semestral",Q619=12,"Anual",Q619=24,"Bienal")</f>
        <v>Bienal</v>
      </c>
      <c r="S619">
        <f>IFERROR(VLOOKUP(Sheet1[[#This Row],[ID usuario]],A620:$A$907,1,FALSE),0)</f>
        <v>0</v>
      </c>
    </row>
    <row r="620" spans="1:19" x14ac:dyDescent="0.25">
      <c r="A620" t="s">
        <v>618</v>
      </c>
      <c r="B620" t="s">
        <v>1523</v>
      </c>
      <c r="C620" t="s">
        <v>1810</v>
      </c>
      <c r="D620">
        <v>40.54</v>
      </c>
      <c r="E620" s="1">
        <v>45193</v>
      </c>
      <c r="F620" s="1" t="str">
        <f>TEXT(Sheet1[[#This Row],[Fecha ingreso]],"mmmm")</f>
        <v>septiembre</v>
      </c>
      <c r="G620" s="2">
        <f>YEAR(Sheet1[[#This Row],[Fecha ingreso]])</f>
        <v>2023</v>
      </c>
      <c r="H620" s="1" t="str">
        <f>TEXT(Sheet1[[#This Row],[Fecha ingreso]],"dddd")</f>
        <v>domingo</v>
      </c>
      <c r="I620" s="1">
        <v>45393</v>
      </c>
      <c r="J620" s="2">
        <f>DATEDIF(Sheet1[[#This Row],[Fecha ingreso]],Sheet1[[#This Row],[Fecha último pago]],"M")+1</f>
        <v>7</v>
      </c>
      <c r="K620" s="2">
        <f>Sheet1[[#This Row],[Ingresos mensuales]]*Sheet1[[#This Row],[Meses contratados]]</f>
        <v>283.77999999999997</v>
      </c>
      <c r="L620" t="s">
        <v>1816</v>
      </c>
      <c r="M620">
        <v>59</v>
      </c>
      <c r="N620" t="s">
        <v>1820</v>
      </c>
      <c r="O620" t="s">
        <v>1823</v>
      </c>
      <c r="P620" t="s">
        <v>1828</v>
      </c>
      <c r="Q620" cm="1">
        <f t="array" ref="Q620">_xlfn.IFS(P620="2 Years", 24,P620="1 Year",12, P620="6 Months",6, P620="1 Month",1)</f>
        <v>6</v>
      </c>
      <c r="R620" t="str" cm="1">
        <f t="array" ref="R620">_xlfn.IFS(Q620=1,"Mensual",Q620=6,"Semestral",Q620=12,"Anual",Q620=24,"Bienal")</f>
        <v>Semestral</v>
      </c>
      <c r="S620">
        <f>IFERROR(VLOOKUP(Sheet1[[#This Row],[ID usuario]],A621:$A$907,1,FALSE),0)</f>
        <v>0</v>
      </c>
    </row>
    <row r="621" spans="1:19" x14ac:dyDescent="0.25">
      <c r="A621" t="s">
        <v>619</v>
      </c>
      <c r="B621" t="s">
        <v>1524</v>
      </c>
      <c r="C621" t="s">
        <v>1811</v>
      </c>
      <c r="D621">
        <v>44.31</v>
      </c>
      <c r="E621" s="1">
        <v>44732</v>
      </c>
      <c r="F621" s="1" t="str">
        <f>TEXT(Sheet1[[#This Row],[Fecha ingreso]],"mmmm")</f>
        <v>junio</v>
      </c>
      <c r="G621" s="2">
        <f>YEAR(Sheet1[[#This Row],[Fecha ingreso]])</f>
        <v>2022</v>
      </c>
      <c r="H621" s="1" t="str">
        <f>TEXT(Sheet1[[#This Row],[Fecha ingreso]],"dddd")</f>
        <v>lunes</v>
      </c>
      <c r="I621" s="1">
        <v>44899</v>
      </c>
      <c r="J621" s="2">
        <f>DATEDIF(Sheet1[[#This Row],[Fecha ingreso]],Sheet1[[#This Row],[Fecha último pago]],"M")+1</f>
        <v>6</v>
      </c>
      <c r="K621" s="2">
        <f>Sheet1[[#This Row],[Ingresos mensuales]]*Sheet1[[#This Row],[Meses contratados]]</f>
        <v>265.86</v>
      </c>
      <c r="L621" t="s">
        <v>1818</v>
      </c>
      <c r="M621">
        <v>39</v>
      </c>
      <c r="N621" t="s">
        <v>1822</v>
      </c>
      <c r="O621" t="s">
        <v>1823</v>
      </c>
      <c r="P621" t="s">
        <v>1828</v>
      </c>
      <c r="Q621" cm="1">
        <f t="array" ref="Q621">_xlfn.IFS(P621="2 Years", 24,P621="1 Year",12, P621="6 Months",6, P621="1 Month",1)</f>
        <v>6</v>
      </c>
      <c r="R621" t="str" cm="1">
        <f t="array" ref="R621">_xlfn.IFS(Q621=1,"Mensual",Q621=6,"Semestral",Q621=12,"Anual",Q621=24,"Bienal")</f>
        <v>Semestral</v>
      </c>
      <c r="S621">
        <f>IFERROR(VLOOKUP(Sheet1[[#This Row],[ID usuario]],A622:$A$907,1,FALSE),0)</f>
        <v>0</v>
      </c>
    </row>
    <row r="622" spans="1:19" x14ac:dyDescent="0.25">
      <c r="A622" t="s">
        <v>620</v>
      </c>
      <c r="B622" t="s">
        <v>1525</v>
      </c>
      <c r="C622" t="s">
        <v>1812</v>
      </c>
      <c r="D622">
        <v>70.209999999999994</v>
      </c>
      <c r="E622" s="1">
        <v>44759</v>
      </c>
      <c r="F622" s="1" t="str">
        <f>TEXT(Sheet1[[#This Row],[Fecha ingreso]],"mmmm")</f>
        <v>julio</v>
      </c>
      <c r="G622" s="2">
        <f>YEAR(Sheet1[[#This Row],[Fecha ingreso]])</f>
        <v>2022</v>
      </c>
      <c r="H622" s="1" t="str">
        <f>TEXT(Sheet1[[#This Row],[Fecha ingreso]],"dddd")</f>
        <v>domingo</v>
      </c>
      <c r="I622" s="1">
        <v>45423</v>
      </c>
      <c r="J622" s="2">
        <f>DATEDIF(Sheet1[[#This Row],[Fecha ingreso]],Sheet1[[#This Row],[Fecha último pago]],"M")+1</f>
        <v>22</v>
      </c>
      <c r="K622" s="2">
        <f>Sheet1[[#This Row],[Ingresos mensuales]]*Sheet1[[#This Row],[Meses contratados]]</f>
        <v>1544.62</v>
      </c>
      <c r="L622" t="s">
        <v>1817</v>
      </c>
      <c r="M622">
        <v>65</v>
      </c>
      <c r="N622" t="s">
        <v>1822</v>
      </c>
      <c r="O622" t="s">
        <v>1824</v>
      </c>
      <c r="P622" t="s">
        <v>1829</v>
      </c>
      <c r="Q622" cm="1">
        <f t="array" ref="Q622">_xlfn.IFS(P622="2 Years", 24,P622="1 Year",12, P622="6 Months",6, P622="1 Month",1)</f>
        <v>1</v>
      </c>
      <c r="R622" t="str" cm="1">
        <f t="array" ref="R622">_xlfn.IFS(Q622=1,"Mensual",Q622=6,"Semestral",Q622=12,"Anual",Q622=24,"Bienal")</f>
        <v>Mensual</v>
      </c>
      <c r="S622">
        <f>IFERROR(VLOOKUP(Sheet1[[#This Row],[ID usuario]],A623:$A$907,1,FALSE),0)</f>
        <v>0</v>
      </c>
    </row>
    <row r="623" spans="1:19" x14ac:dyDescent="0.25">
      <c r="A623" t="s">
        <v>621</v>
      </c>
      <c r="B623" t="s">
        <v>1526</v>
      </c>
      <c r="C623" t="s">
        <v>1810</v>
      </c>
      <c r="D623">
        <v>33.81</v>
      </c>
      <c r="E623" s="1">
        <v>45255</v>
      </c>
      <c r="F623" s="1" t="str">
        <f>TEXT(Sheet1[[#This Row],[Fecha ingreso]],"mmmm")</f>
        <v>noviembre</v>
      </c>
      <c r="G623" s="2">
        <f>YEAR(Sheet1[[#This Row],[Fecha ingreso]])</f>
        <v>2023</v>
      </c>
      <c r="H623" s="1" t="str">
        <f>TEXT(Sheet1[[#This Row],[Fecha ingreso]],"dddd")</f>
        <v>sábado</v>
      </c>
      <c r="I623" s="1">
        <v>45270</v>
      </c>
      <c r="J623" s="2">
        <f>DATEDIF(Sheet1[[#This Row],[Fecha ingreso]],Sheet1[[#This Row],[Fecha último pago]],"M")+1</f>
        <v>1</v>
      </c>
      <c r="K623" s="2">
        <f>Sheet1[[#This Row],[Ingresos mensuales]]*Sheet1[[#This Row],[Meses contratados]]</f>
        <v>33.81</v>
      </c>
      <c r="L623" t="s">
        <v>1815</v>
      </c>
      <c r="M623">
        <v>19</v>
      </c>
      <c r="N623" t="s">
        <v>1822</v>
      </c>
      <c r="O623" t="s">
        <v>1825</v>
      </c>
      <c r="P623" t="s">
        <v>1829</v>
      </c>
      <c r="Q623" cm="1">
        <f t="array" ref="Q623">_xlfn.IFS(P623="2 Years", 24,P623="1 Year",12, P623="6 Months",6, P623="1 Month",1)</f>
        <v>1</v>
      </c>
      <c r="R623" t="str" cm="1">
        <f t="array" ref="R623">_xlfn.IFS(Q623=1,"Mensual",Q623=6,"Semestral",Q623=12,"Anual",Q623=24,"Bienal")</f>
        <v>Mensual</v>
      </c>
      <c r="S623">
        <f>IFERROR(VLOOKUP(Sheet1[[#This Row],[ID usuario]],A624:$A$907,1,FALSE),0)</f>
        <v>0</v>
      </c>
    </row>
    <row r="624" spans="1:19" x14ac:dyDescent="0.25">
      <c r="A624" t="s">
        <v>622</v>
      </c>
      <c r="B624" t="s">
        <v>1527</v>
      </c>
      <c r="C624" t="s">
        <v>1811</v>
      </c>
      <c r="D624">
        <v>81.98</v>
      </c>
      <c r="E624" s="1">
        <v>44969</v>
      </c>
      <c r="F624" s="1" t="str">
        <f>TEXT(Sheet1[[#This Row],[Fecha ingreso]],"mmmm")</f>
        <v>febrero</v>
      </c>
      <c r="G624" s="2">
        <f>YEAR(Sheet1[[#This Row],[Fecha ingreso]])</f>
        <v>2023</v>
      </c>
      <c r="H624" s="1" t="str">
        <f>TEXT(Sheet1[[#This Row],[Fecha ingreso]],"dddd")</f>
        <v>domingo</v>
      </c>
      <c r="I624" s="1">
        <v>45029</v>
      </c>
      <c r="J624" s="2">
        <f>DATEDIF(Sheet1[[#This Row],[Fecha ingreso]],Sheet1[[#This Row],[Fecha último pago]],"M")+1</f>
        <v>3</v>
      </c>
      <c r="K624" s="2">
        <f>Sheet1[[#This Row],[Ingresos mensuales]]*Sheet1[[#This Row],[Meses contratados]]</f>
        <v>245.94</v>
      </c>
      <c r="L624" t="s">
        <v>1817</v>
      </c>
      <c r="M624">
        <v>56</v>
      </c>
      <c r="N624" t="s">
        <v>1820</v>
      </c>
      <c r="O624" t="s">
        <v>1823</v>
      </c>
      <c r="P624" t="s">
        <v>1827</v>
      </c>
      <c r="Q624" cm="1">
        <f t="array" ref="Q624">_xlfn.IFS(P624="2 Years", 24,P624="1 Year",12, P624="6 Months",6, P624="1 Month",1)</f>
        <v>12</v>
      </c>
      <c r="R624" t="str" cm="1">
        <f t="array" ref="R624">_xlfn.IFS(Q624=1,"Mensual",Q624=6,"Semestral",Q624=12,"Anual",Q624=24,"Bienal")</f>
        <v>Anual</v>
      </c>
      <c r="S624">
        <f>IFERROR(VLOOKUP(Sheet1[[#This Row],[ID usuario]],A625:$A$907,1,FALSE),0)</f>
        <v>0</v>
      </c>
    </row>
    <row r="625" spans="1:19" x14ac:dyDescent="0.25">
      <c r="A625" t="s">
        <v>623</v>
      </c>
      <c r="B625" t="s">
        <v>1528</v>
      </c>
      <c r="C625" t="s">
        <v>1812</v>
      </c>
      <c r="D625">
        <v>59.87</v>
      </c>
      <c r="E625" s="1">
        <v>44649</v>
      </c>
      <c r="F625" s="1" t="str">
        <f>TEXT(Sheet1[[#This Row],[Fecha ingreso]],"mmmm")</f>
        <v>marzo</v>
      </c>
      <c r="G625" s="2">
        <f>YEAR(Sheet1[[#This Row],[Fecha ingreso]])</f>
        <v>2022</v>
      </c>
      <c r="H625" s="1" t="str">
        <f>TEXT(Sheet1[[#This Row],[Fecha ingreso]],"dddd")</f>
        <v>martes</v>
      </c>
      <c r="I625" s="1">
        <v>45187</v>
      </c>
      <c r="J625" s="2">
        <f>DATEDIF(Sheet1[[#This Row],[Fecha ingreso]],Sheet1[[#This Row],[Fecha último pago]],"M")+1</f>
        <v>18</v>
      </c>
      <c r="K625" s="2">
        <f>Sheet1[[#This Row],[Ingresos mensuales]]*Sheet1[[#This Row],[Meses contratados]]</f>
        <v>1077.6599999999999</v>
      </c>
      <c r="L625" t="s">
        <v>1816</v>
      </c>
      <c r="M625">
        <v>30</v>
      </c>
      <c r="N625" t="s">
        <v>1822</v>
      </c>
      <c r="O625" t="s">
        <v>1824</v>
      </c>
      <c r="P625" t="s">
        <v>1826</v>
      </c>
      <c r="Q625" cm="1">
        <f t="array" ref="Q625">_xlfn.IFS(P625="2 Years", 24,P625="1 Year",12, P625="6 Months",6, P625="1 Month",1)</f>
        <v>24</v>
      </c>
      <c r="R625" t="str" cm="1">
        <f t="array" ref="R625">_xlfn.IFS(Q625=1,"Mensual",Q625=6,"Semestral",Q625=12,"Anual",Q625=24,"Bienal")</f>
        <v>Bienal</v>
      </c>
      <c r="S625">
        <f>IFERROR(VLOOKUP(Sheet1[[#This Row],[ID usuario]],A626:$A$907,1,FALSE),0)</f>
        <v>0</v>
      </c>
    </row>
    <row r="626" spans="1:19" x14ac:dyDescent="0.25">
      <c r="A626" t="s">
        <v>624</v>
      </c>
      <c r="B626" t="s">
        <v>1529</v>
      </c>
      <c r="C626" t="s">
        <v>1810</v>
      </c>
      <c r="D626">
        <v>12.15</v>
      </c>
      <c r="E626" s="1">
        <v>45041</v>
      </c>
      <c r="F626" s="1" t="str">
        <f>TEXT(Sheet1[[#This Row],[Fecha ingreso]],"mmmm")</f>
        <v>abril</v>
      </c>
      <c r="G626" s="2">
        <f>YEAR(Sheet1[[#This Row],[Fecha ingreso]])</f>
        <v>2023</v>
      </c>
      <c r="H626" s="1" t="str">
        <f>TEXT(Sheet1[[#This Row],[Fecha ingreso]],"dddd")</f>
        <v>martes</v>
      </c>
      <c r="I626" s="1">
        <v>45116</v>
      </c>
      <c r="J626" s="2">
        <f>DATEDIF(Sheet1[[#This Row],[Fecha ingreso]],Sheet1[[#This Row],[Fecha último pago]],"M")+1</f>
        <v>3</v>
      </c>
      <c r="K626" s="2">
        <f>Sheet1[[#This Row],[Ingresos mensuales]]*Sheet1[[#This Row],[Meses contratados]]</f>
        <v>36.450000000000003</v>
      </c>
      <c r="L626" t="s">
        <v>1814</v>
      </c>
      <c r="M626">
        <v>33</v>
      </c>
      <c r="N626" t="s">
        <v>1821</v>
      </c>
      <c r="O626" t="s">
        <v>1825</v>
      </c>
      <c r="P626" t="s">
        <v>1829</v>
      </c>
      <c r="Q626" cm="1">
        <f t="array" ref="Q626">_xlfn.IFS(P626="2 Years", 24,P626="1 Year",12, P626="6 Months",6, P626="1 Month",1)</f>
        <v>1</v>
      </c>
      <c r="R626" t="str" cm="1">
        <f t="array" ref="R626">_xlfn.IFS(Q626=1,"Mensual",Q626=6,"Semestral",Q626=12,"Anual",Q626=24,"Bienal")</f>
        <v>Mensual</v>
      </c>
      <c r="S626">
        <f>IFERROR(VLOOKUP(Sheet1[[#This Row],[ID usuario]],A627:$A$907,1,FALSE),0)</f>
        <v>0</v>
      </c>
    </row>
    <row r="627" spans="1:19" x14ac:dyDescent="0.25">
      <c r="A627" t="s">
        <v>625</v>
      </c>
      <c r="B627" t="s">
        <v>1530</v>
      </c>
      <c r="C627" t="s">
        <v>1810</v>
      </c>
      <c r="D627">
        <v>12.43</v>
      </c>
      <c r="E627" s="1">
        <v>45129</v>
      </c>
      <c r="F627" s="1" t="str">
        <f>TEXT(Sheet1[[#This Row],[Fecha ingreso]],"mmmm")</f>
        <v>julio</v>
      </c>
      <c r="G627" s="2">
        <f>YEAR(Sheet1[[#This Row],[Fecha ingreso]])</f>
        <v>2023</v>
      </c>
      <c r="H627" s="1" t="str">
        <f>TEXT(Sheet1[[#This Row],[Fecha ingreso]],"dddd")</f>
        <v>sábado</v>
      </c>
      <c r="I627" s="1">
        <v>45271</v>
      </c>
      <c r="J627" s="2">
        <f>DATEDIF(Sheet1[[#This Row],[Fecha ingreso]],Sheet1[[#This Row],[Fecha último pago]],"M")+1</f>
        <v>5</v>
      </c>
      <c r="K627" s="2">
        <f>Sheet1[[#This Row],[Ingresos mensuales]]*Sheet1[[#This Row],[Meses contratados]]</f>
        <v>62.15</v>
      </c>
      <c r="L627" t="s">
        <v>1817</v>
      </c>
      <c r="M627">
        <v>46</v>
      </c>
      <c r="N627" t="s">
        <v>1821</v>
      </c>
      <c r="O627" t="s">
        <v>1823</v>
      </c>
      <c r="P627" t="s">
        <v>1829</v>
      </c>
      <c r="Q627" cm="1">
        <f t="array" ref="Q627">_xlfn.IFS(P627="2 Years", 24,P627="1 Year",12, P627="6 Months",6, P627="1 Month",1)</f>
        <v>1</v>
      </c>
      <c r="R627" t="str" cm="1">
        <f t="array" ref="R627">_xlfn.IFS(Q627=1,"Mensual",Q627=6,"Semestral",Q627=12,"Anual",Q627=24,"Bienal")</f>
        <v>Mensual</v>
      </c>
      <c r="S627">
        <f>IFERROR(VLOOKUP(Sheet1[[#This Row],[ID usuario]],A628:$A$907,1,FALSE),0)</f>
        <v>0</v>
      </c>
    </row>
    <row r="628" spans="1:19" x14ac:dyDescent="0.25">
      <c r="A628" t="s">
        <v>626</v>
      </c>
      <c r="B628" t="s">
        <v>1531</v>
      </c>
      <c r="C628" t="s">
        <v>1810</v>
      </c>
      <c r="D628">
        <v>40.270000000000003</v>
      </c>
      <c r="E628" s="1">
        <v>45383</v>
      </c>
      <c r="F628" s="1" t="str">
        <f>TEXT(Sheet1[[#This Row],[Fecha ingreso]],"mmmm")</f>
        <v>abril</v>
      </c>
      <c r="G628" s="2">
        <f>YEAR(Sheet1[[#This Row],[Fecha ingreso]])</f>
        <v>2024</v>
      </c>
      <c r="H628" s="1" t="str">
        <f>TEXT(Sheet1[[#This Row],[Fecha ingreso]],"dddd")</f>
        <v>lunes</v>
      </c>
      <c r="I628" s="1">
        <v>45411</v>
      </c>
      <c r="J628" s="2">
        <f>DATEDIF(Sheet1[[#This Row],[Fecha ingreso]],Sheet1[[#This Row],[Fecha último pago]],"M")+1</f>
        <v>1</v>
      </c>
      <c r="K628" s="2">
        <f>Sheet1[[#This Row],[Ingresos mensuales]]*Sheet1[[#This Row],[Meses contratados]]</f>
        <v>40.270000000000003</v>
      </c>
      <c r="L628" t="s">
        <v>1816</v>
      </c>
      <c r="M628">
        <v>43</v>
      </c>
      <c r="N628" t="s">
        <v>1822</v>
      </c>
      <c r="O628" t="s">
        <v>1823</v>
      </c>
      <c r="P628" t="s">
        <v>1826</v>
      </c>
      <c r="Q628" cm="1">
        <f t="array" ref="Q628">_xlfn.IFS(P628="2 Years", 24,P628="1 Year",12, P628="6 Months",6, P628="1 Month",1)</f>
        <v>24</v>
      </c>
      <c r="R628" t="str" cm="1">
        <f t="array" ref="R628">_xlfn.IFS(Q628=1,"Mensual",Q628=6,"Semestral",Q628=12,"Anual",Q628=24,"Bienal")</f>
        <v>Bienal</v>
      </c>
      <c r="S628">
        <f>IFERROR(VLOOKUP(Sheet1[[#This Row],[ID usuario]],A629:$A$907,1,FALSE),0)</f>
        <v>0</v>
      </c>
    </row>
    <row r="629" spans="1:19" x14ac:dyDescent="0.25">
      <c r="A629" t="s">
        <v>627</v>
      </c>
      <c r="B629" t="s">
        <v>1532</v>
      </c>
      <c r="C629" t="s">
        <v>1811</v>
      </c>
      <c r="D629">
        <v>77.83</v>
      </c>
      <c r="E629" s="1">
        <v>45180</v>
      </c>
      <c r="F629" s="1" t="str">
        <f>TEXT(Sheet1[[#This Row],[Fecha ingreso]],"mmmm")</f>
        <v>septiembre</v>
      </c>
      <c r="G629" s="2">
        <f>YEAR(Sheet1[[#This Row],[Fecha ingreso]])</f>
        <v>2023</v>
      </c>
      <c r="H629" s="1" t="str">
        <f>TEXT(Sheet1[[#This Row],[Fecha ingreso]],"dddd")</f>
        <v>lunes</v>
      </c>
      <c r="I629" s="1">
        <v>45280</v>
      </c>
      <c r="J629" s="2">
        <f>DATEDIF(Sheet1[[#This Row],[Fecha ingreso]],Sheet1[[#This Row],[Fecha último pago]],"M")+1</f>
        <v>4</v>
      </c>
      <c r="K629" s="2">
        <f>Sheet1[[#This Row],[Ingresos mensuales]]*Sheet1[[#This Row],[Meses contratados]]</f>
        <v>311.32</v>
      </c>
      <c r="L629" t="s">
        <v>1813</v>
      </c>
      <c r="M629">
        <v>68</v>
      </c>
      <c r="N629" t="s">
        <v>1821</v>
      </c>
      <c r="O629" t="s">
        <v>1824</v>
      </c>
      <c r="P629" t="s">
        <v>1826</v>
      </c>
      <c r="Q629" cm="1">
        <f t="array" ref="Q629">_xlfn.IFS(P629="2 Years", 24,P629="1 Year",12, P629="6 Months",6, P629="1 Month",1)</f>
        <v>24</v>
      </c>
      <c r="R629" t="str" cm="1">
        <f t="array" ref="R629">_xlfn.IFS(Q629=1,"Mensual",Q629=6,"Semestral",Q629=12,"Anual",Q629=24,"Bienal")</f>
        <v>Bienal</v>
      </c>
      <c r="S629">
        <f>IFERROR(VLOOKUP(Sheet1[[#This Row],[ID usuario]],A630:$A$907,1,FALSE),0)</f>
        <v>0</v>
      </c>
    </row>
    <row r="630" spans="1:19" x14ac:dyDescent="0.25">
      <c r="A630" t="s">
        <v>628</v>
      </c>
      <c r="B630" t="s">
        <v>1533</v>
      </c>
      <c r="C630" t="s">
        <v>1810</v>
      </c>
      <c r="D630">
        <v>70.42</v>
      </c>
      <c r="E630" s="1">
        <v>44634</v>
      </c>
      <c r="F630" s="1" t="str">
        <f>TEXT(Sheet1[[#This Row],[Fecha ingreso]],"mmmm")</f>
        <v>marzo</v>
      </c>
      <c r="G630" s="2">
        <f>YEAR(Sheet1[[#This Row],[Fecha ingreso]])</f>
        <v>2022</v>
      </c>
      <c r="H630" s="1" t="str">
        <f>TEXT(Sheet1[[#This Row],[Fecha ingreso]],"dddd")</f>
        <v>lunes</v>
      </c>
      <c r="I630" s="1">
        <v>44874</v>
      </c>
      <c r="J630" s="2">
        <f>DATEDIF(Sheet1[[#This Row],[Fecha ingreso]],Sheet1[[#This Row],[Fecha último pago]],"M")+1</f>
        <v>8</v>
      </c>
      <c r="K630" s="2">
        <f>Sheet1[[#This Row],[Ingresos mensuales]]*Sheet1[[#This Row],[Meses contratados]]</f>
        <v>563.36</v>
      </c>
      <c r="L630" t="s">
        <v>1815</v>
      </c>
      <c r="M630">
        <v>40</v>
      </c>
      <c r="N630" t="s">
        <v>1820</v>
      </c>
      <c r="O630" t="s">
        <v>1824</v>
      </c>
      <c r="P630" t="s">
        <v>1829</v>
      </c>
      <c r="Q630" cm="1">
        <f t="array" ref="Q630">_xlfn.IFS(P630="2 Years", 24,P630="1 Year",12, P630="6 Months",6, P630="1 Month",1)</f>
        <v>1</v>
      </c>
      <c r="R630" t="str" cm="1">
        <f t="array" ref="R630">_xlfn.IFS(Q630=1,"Mensual",Q630=6,"Semestral",Q630=12,"Anual",Q630=24,"Bienal")</f>
        <v>Mensual</v>
      </c>
      <c r="S630">
        <f>IFERROR(VLOOKUP(Sheet1[[#This Row],[ID usuario]],A631:$A$907,1,FALSE),0)</f>
        <v>0</v>
      </c>
    </row>
    <row r="631" spans="1:19" x14ac:dyDescent="0.25">
      <c r="A631" t="s">
        <v>629</v>
      </c>
      <c r="B631" t="s">
        <v>1534</v>
      </c>
      <c r="C631" t="s">
        <v>1811</v>
      </c>
      <c r="D631">
        <v>72.260000000000005</v>
      </c>
      <c r="E631" s="1">
        <v>45014</v>
      </c>
      <c r="F631" s="1" t="str">
        <f>TEXT(Sheet1[[#This Row],[Fecha ingreso]],"mmmm")</f>
        <v>marzo</v>
      </c>
      <c r="G631" s="2">
        <f>YEAR(Sheet1[[#This Row],[Fecha ingreso]])</f>
        <v>2023</v>
      </c>
      <c r="H631" s="1" t="str">
        <f>TEXT(Sheet1[[#This Row],[Fecha ingreso]],"dddd")</f>
        <v>miércoles</v>
      </c>
      <c r="I631" s="1">
        <v>45069</v>
      </c>
      <c r="J631" s="2">
        <f>DATEDIF(Sheet1[[#This Row],[Fecha ingreso]],Sheet1[[#This Row],[Fecha último pago]],"M")+1</f>
        <v>2</v>
      </c>
      <c r="K631" s="2">
        <f>Sheet1[[#This Row],[Ingresos mensuales]]*Sheet1[[#This Row],[Meses contratados]]</f>
        <v>144.52000000000001</v>
      </c>
      <c r="L631" t="s">
        <v>1818</v>
      </c>
      <c r="M631">
        <v>45</v>
      </c>
      <c r="N631" t="s">
        <v>1821</v>
      </c>
      <c r="O631" t="s">
        <v>1824</v>
      </c>
      <c r="P631" t="s">
        <v>1829</v>
      </c>
      <c r="Q631" cm="1">
        <f t="array" ref="Q631">_xlfn.IFS(P631="2 Years", 24,P631="1 Year",12, P631="6 Months",6, P631="1 Month",1)</f>
        <v>1</v>
      </c>
      <c r="R631" t="str" cm="1">
        <f t="array" ref="R631">_xlfn.IFS(Q631=1,"Mensual",Q631=6,"Semestral",Q631=12,"Anual",Q631=24,"Bienal")</f>
        <v>Mensual</v>
      </c>
      <c r="S631">
        <f>IFERROR(VLOOKUP(Sheet1[[#This Row],[ID usuario]],A632:$A$907,1,FALSE),0)</f>
        <v>0</v>
      </c>
    </row>
    <row r="632" spans="1:19" x14ac:dyDescent="0.25">
      <c r="A632" t="s">
        <v>630</v>
      </c>
      <c r="B632" t="s">
        <v>1535</v>
      </c>
      <c r="C632" t="s">
        <v>1810</v>
      </c>
      <c r="D632">
        <v>77.88</v>
      </c>
      <c r="E632" s="1">
        <v>44628</v>
      </c>
      <c r="F632" s="1" t="str">
        <f>TEXT(Sheet1[[#This Row],[Fecha ingreso]],"mmmm")</f>
        <v>marzo</v>
      </c>
      <c r="G632" s="2">
        <f>YEAR(Sheet1[[#This Row],[Fecha ingreso]])</f>
        <v>2022</v>
      </c>
      <c r="H632" s="1" t="str">
        <f>TEXT(Sheet1[[#This Row],[Fecha ingreso]],"dddd")</f>
        <v>martes</v>
      </c>
      <c r="I632" s="1">
        <v>45178</v>
      </c>
      <c r="J632" s="2">
        <f>DATEDIF(Sheet1[[#This Row],[Fecha ingreso]],Sheet1[[#This Row],[Fecha último pago]],"M")+1</f>
        <v>19</v>
      </c>
      <c r="K632" s="2">
        <f>Sheet1[[#This Row],[Ingresos mensuales]]*Sheet1[[#This Row],[Meses contratados]]</f>
        <v>1479.7199999999998</v>
      </c>
      <c r="L632" t="s">
        <v>1817</v>
      </c>
      <c r="M632">
        <v>31</v>
      </c>
      <c r="N632" t="s">
        <v>1820</v>
      </c>
      <c r="O632" t="s">
        <v>1823</v>
      </c>
      <c r="P632" t="s">
        <v>1827</v>
      </c>
      <c r="Q632" cm="1">
        <f t="array" ref="Q632">_xlfn.IFS(P632="2 Years", 24,P632="1 Year",12, P632="6 Months",6, P632="1 Month",1)</f>
        <v>12</v>
      </c>
      <c r="R632" t="str" cm="1">
        <f t="array" ref="R632">_xlfn.IFS(Q632=1,"Mensual",Q632=6,"Semestral",Q632=12,"Anual",Q632=24,"Bienal")</f>
        <v>Anual</v>
      </c>
      <c r="S632">
        <f>IFERROR(VLOOKUP(Sheet1[[#This Row],[ID usuario]],A633:$A$907,1,FALSE),0)</f>
        <v>0</v>
      </c>
    </row>
    <row r="633" spans="1:19" x14ac:dyDescent="0.25">
      <c r="A633" t="s">
        <v>631</v>
      </c>
      <c r="B633" t="s">
        <v>1536</v>
      </c>
      <c r="C633" t="s">
        <v>1811</v>
      </c>
      <c r="D633">
        <v>32.28</v>
      </c>
      <c r="E633" s="1">
        <v>44373</v>
      </c>
      <c r="F633" s="1" t="str">
        <f>TEXT(Sheet1[[#This Row],[Fecha ingreso]],"mmmm")</f>
        <v>junio</v>
      </c>
      <c r="G633" s="2">
        <f>YEAR(Sheet1[[#This Row],[Fecha ingreso]])</f>
        <v>2021</v>
      </c>
      <c r="H633" s="1" t="str">
        <f>TEXT(Sheet1[[#This Row],[Fecha ingreso]],"dddd")</f>
        <v>sábado</v>
      </c>
      <c r="I633" s="1">
        <v>44517</v>
      </c>
      <c r="J633" s="2">
        <f>DATEDIF(Sheet1[[#This Row],[Fecha ingreso]],Sheet1[[#This Row],[Fecha último pago]],"M")+1</f>
        <v>5</v>
      </c>
      <c r="K633" s="2">
        <f>Sheet1[[#This Row],[Ingresos mensuales]]*Sheet1[[#This Row],[Meses contratados]]</f>
        <v>161.4</v>
      </c>
      <c r="L633" t="s">
        <v>1815</v>
      </c>
      <c r="M633">
        <v>51</v>
      </c>
      <c r="N633" t="s">
        <v>1822</v>
      </c>
      <c r="O633" t="s">
        <v>1823</v>
      </c>
      <c r="P633" t="s">
        <v>1828</v>
      </c>
      <c r="Q633" cm="1">
        <f t="array" ref="Q633">_xlfn.IFS(P633="2 Years", 24,P633="1 Year",12, P633="6 Months",6, P633="1 Month",1)</f>
        <v>6</v>
      </c>
      <c r="R633" t="str" cm="1">
        <f t="array" ref="R633">_xlfn.IFS(Q633=1,"Mensual",Q633=6,"Semestral",Q633=12,"Anual",Q633=24,"Bienal")</f>
        <v>Semestral</v>
      </c>
      <c r="S633">
        <f>IFERROR(VLOOKUP(Sheet1[[#This Row],[ID usuario]],A634:$A$907,1,FALSE),0)</f>
        <v>0</v>
      </c>
    </row>
    <row r="634" spans="1:19" x14ac:dyDescent="0.25">
      <c r="A634" t="s">
        <v>632</v>
      </c>
      <c r="B634" t="s">
        <v>1537</v>
      </c>
      <c r="C634" t="s">
        <v>1811</v>
      </c>
      <c r="D634">
        <v>56.62</v>
      </c>
      <c r="E634" s="1">
        <v>45261</v>
      </c>
      <c r="F634" s="1" t="str">
        <f>TEXT(Sheet1[[#This Row],[Fecha ingreso]],"mmmm")</f>
        <v>diciembre</v>
      </c>
      <c r="G634" s="2">
        <f>YEAR(Sheet1[[#This Row],[Fecha ingreso]])</f>
        <v>2023</v>
      </c>
      <c r="H634" s="1" t="str">
        <f>TEXT(Sheet1[[#This Row],[Fecha ingreso]],"dddd")</f>
        <v>viernes</v>
      </c>
      <c r="I634" s="1">
        <v>45263</v>
      </c>
      <c r="J634" s="2">
        <f>DATEDIF(Sheet1[[#This Row],[Fecha ingreso]],Sheet1[[#This Row],[Fecha último pago]],"M")+1</f>
        <v>1</v>
      </c>
      <c r="K634" s="2">
        <f>Sheet1[[#This Row],[Ingresos mensuales]]*Sheet1[[#This Row],[Meses contratados]]</f>
        <v>56.62</v>
      </c>
      <c r="L634" t="s">
        <v>1816</v>
      </c>
      <c r="M634">
        <v>26</v>
      </c>
      <c r="N634" t="s">
        <v>1821</v>
      </c>
      <c r="O634" t="s">
        <v>1824</v>
      </c>
      <c r="P634" t="s">
        <v>1828</v>
      </c>
      <c r="Q634" cm="1">
        <f t="array" ref="Q634">_xlfn.IFS(P634="2 Years", 24,P634="1 Year",12, P634="6 Months",6, P634="1 Month",1)</f>
        <v>6</v>
      </c>
      <c r="R634" t="str" cm="1">
        <f t="array" ref="R634">_xlfn.IFS(Q634=1,"Mensual",Q634=6,"Semestral",Q634=12,"Anual",Q634=24,"Bienal")</f>
        <v>Semestral</v>
      </c>
      <c r="S634">
        <f>IFERROR(VLOOKUP(Sheet1[[#This Row],[ID usuario]],A635:$A$907,1,FALSE),0)</f>
        <v>0</v>
      </c>
    </row>
    <row r="635" spans="1:19" x14ac:dyDescent="0.25">
      <c r="A635" t="s">
        <v>633</v>
      </c>
      <c r="B635" t="s">
        <v>1538</v>
      </c>
      <c r="C635" t="s">
        <v>1812</v>
      </c>
      <c r="D635">
        <v>75.27</v>
      </c>
      <c r="E635" s="1">
        <v>44769</v>
      </c>
      <c r="F635" s="1" t="str">
        <f>TEXT(Sheet1[[#This Row],[Fecha ingreso]],"mmmm")</f>
        <v>julio</v>
      </c>
      <c r="G635" s="2">
        <f>YEAR(Sheet1[[#This Row],[Fecha ingreso]])</f>
        <v>2022</v>
      </c>
      <c r="H635" s="1" t="str">
        <f>TEXT(Sheet1[[#This Row],[Fecha ingreso]],"dddd")</f>
        <v>miércoles</v>
      </c>
      <c r="I635" s="1">
        <v>45336</v>
      </c>
      <c r="J635" s="2">
        <f>DATEDIF(Sheet1[[#This Row],[Fecha ingreso]],Sheet1[[#This Row],[Fecha último pago]],"M")+1</f>
        <v>19</v>
      </c>
      <c r="K635" s="2">
        <f>Sheet1[[#This Row],[Ingresos mensuales]]*Sheet1[[#This Row],[Meses contratados]]</f>
        <v>1430.1299999999999</v>
      </c>
      <c r="L635" t="s">
        <v>1817</v>
      </c>
      <c r="M635">
        <v>22</v>
      </c>
      <c r="N635" t="s">
        <v>1822</v>
      </c>
      <c r="O635" t="s">
        <v>1824</v>
      </c>
      <c r="P635" t="s">
        <v>1826</v>
      </c>
      <c r="Q635" cm="1">
        <f t="array" ref="Q635">_xlfn.IFS(P635="2 Years", 24,P635="1 Year",12, P635="6 Months",6, P635="1 Month",1)</f>
        <v>24</v>
      </c>
      <c r="R635" t="str" cm="1">
        <f t="array" ref="R635">_xlfn.IFS(Q635=1,"Mensual",Q635=6,"Semestral",Q635=12,"Anual",Q635=24,"Bienal")</f>
        <v>Bienal</v>
      </c>
      <c r="S635">
        <f>IFERROR(VLOOKUP(Sheet1[[#This Row],[ID usuario]],A636:$A$907,1,FALSE),0)</f>
        <v>0</v>
      </c>
    </row>
    <row r="636" spans="1:19" x14ac:dyDescent="0.25">
      <c r="A636" t="s">
        <v>634</v>
      </c>
      <c r="B636" t="s">
        <v>1539</v>
      </c>
      <c r="C636" t="s">
        <v>1811</v>
      </c>
      <c r="D636">
        <v>95.9</v>
      </c>
      <c r="E636" s="1">
        <v>44571</v>
      </c>
      <c r="F636" s="1" t="str">
        <f>TEXT(Sheet1[[#This Row],[Fecha ingreso]],"mmmm")</f>
        <v>enero</v>
      </c>
      <c r="G636" s="2">
        <f>YEAR(Sheet1[[#This Row],[Fecha ingreso]])</f>
        <v>2022</v>
      </c>
      <c r="H636" s="1" t="str">
        <f>TEXT(Sheet1[[#This Row],[Fecha ingreso]],"dddd")</f>
        <v>lunes</v>
      </c>
      <c r="I636" s="1">
        <v>44610</v>
      </c>
      <c r="J636" s="2">
        <f>DATEDIF(Sheet1[[#This Row],[Fecha ingreso]],Sheet1[[#This Row],[Fecha último pago]],"M")+1</f>
        <v>2</v>
      </c>
      <c r="K636" s="2">
        <f>Sheet1[[#This Row],[Ingresos mensuales]]*Sheet1[[#This Row],[Meses contratados]]</f>
        <v>191.8</v>
      </c>
      <c r="L636" t="s">
        <v>1814</v>
      </c>
      <c r="M636">
        <v>64</v>
      </c>
      <c r="N636" t="s">
        <v>1822</v>
      </c>
      <c r="O636" t="s">
        <v>1824</v>
      </c>
      <c r="P636" t="s">
        <v>1829</v>
      </c>
      <c r="Q636" cm="1">
        <f t="array" ref="Q636">_xlfn.IFS(P636="2 Years", 24,P636="1 Year",12, P636="6 Months",6, P636="1 Month",1)</f>
        <v>1</v>
      </c>
      <c r="R636" t="str" cm="1">
        <f t="array" ref="R636">_xlfn.IFS(Q636=1,"Mensual",Q636=6,"Semestral",Q636=12,"Anual",Q636=24,"Bienal")</f>
        <v>Mensual</v>
      </c>
      <c r="S636">
        <f>IFERROR(VLOOKUP(Sheet1[[#This Row],[ID usuario]],A637:$A$907,1,FALSE),0)</f>
        <v>0</v>
      </c>
    </row>
    <row r="637" spans="1:19" x14ac:dyDescent="0.25">
      <c r="A637" t="s">
        <v>635</v>
      </c>
      <c r="B637" t="s">
        <v>1540</v>
      </c>
      <c r="C637" t="s">
        <v>1812</v>
      </c>
      <c r="D637">
        <v>31.41</v>
      </c>
      <c r="E637" s="1">
        <v>45175</v>
      </c>
      <c r="F637" s="1" t="str">
        <f>TEXT(Sheet1[[#This Row],[Fecha ingreso]],"mmmm")</f>
        <v>septiembre</v>
      </c>
      <c r="G637" s="2">
        <f>YEAR(Sheet1[[#This Row],[Fecha ingreso]])</f>
        <v>2023</v>
      </c>
      <c r="H637" s="1" t="str">
        <f>TEXT(Sheet1[[#This Row],[Fecha ingreso]],"dddd")</f>
        <v>miércoles</v>
      </c>
      <c r="I637" s="1">
        <v>45205</v>
      </c>
      <c r="J637" s="2">
        <f>DATEDIF(Sheet1[[#This Row],[Fecha ingreso]],Sheet1[[#This Row],[Fecha último pago]],"M")+1</f>
        <v>2</v>
      </c>
      <c r="K637" s="2">
        <f>Sheet1[[#This Row],[Ingresos mensuales]]*Sheet1[[#This Row],[Meses contratados]]</f>
        <v>62.82</v>
      </c>
      <c r="L637" t="s">
        <v>1817</v>
      </c>
      <c r="M637">
        <v>39</v>
      </c>
      <c r="N637" t="s">
        <v>1820</v>
      </c>
      <c r="O637" t="s">
        <v>1823</v>
      </c>
      <c r="P637" t="s">
        <v>1826</v>
      </c>
      <c r="Q637" cm="1">
        <f t="array" ref="Q637">_xlfn.IFS(P637="2 Years", 24,P637="1 Year",12, P637="6 Months",6, P637="1 Month",1)</f>
        <v>24</v>
      </c>
      <c r="R637" t="str" cm="1">
        <f t="array" ref="R637">_xlfn.IFS(Q637=1,"Mensual",Q637=6,"Semestral",Q637=12,"Anual",Q637=24,"Bienal")</f>
        <v>Bienal</v>
      </c>
      <c r="S637">
        <f>IFERROR(VLOOKUP(Sheet1[[#This Row],[ID usuario]],A638:$A$907,1,FALSE),0)</f>
        <v>0</v>
      </c>
    </row>
    <row r="638" spans="1:19" x14ac:dyDescent="0.25">
      <c r="A638" t="s">
        <v>636</v>
      </c>
      <c r="B638" t="s">
        <v>1541</v>
      </c>
      <c r="C638" t="s">
        <v>1811</v>
      </c>
      <c r="D638">
        <v>80.36</v>
      </c>
      <c r="E638" s="1">
        <v>44674</v>
      </c>
      <c r="F638" s="1" t="str">
        <f>TEXT(Sheet1[[#This Row],[Fecha ingreso]],"mmmm")</f>
        <v>abril</v>
      </c>
      <c r="G638" s="2">
        <f>YEAR(Sheet1[[#This Row],[Fecha ingreso]])</f>
        <v>2022</v>
      </c>
      <c r="H638" s="1" t="str">
        <f>TEXT(Sheet1[[#This Row],[Fecha ingreso]],"dddd")</f>
        <v>sábado</v>
      </c>
      <c r="I638" s="1">
        <v>45359</v>
      </c>
      <c r="J638" s="2">
        <f>DATEDIF(Sheet1[[#This Row],[Fecha ingreso]],Sheet1[[#This Row],[Fecha último pago]],"M")+1</f>
        <v>23</v>
      </c>
      <c r="K638" s="2">
        <f>Sheet1[[#This Row],[Ingresos mensuales]]*Sheet1[[#This Row],[Meses contratados]]</f>
        <v>1848.28</v>
      </c>
      <c r="L638" t="s">
        <v>1816</v>
      </c>
      <c r="M638">
        <v>63</v>
      </c>
      <c r="N638" t="s">
        <v>1820</v>
      </c>
      <c r="O638" t="s">
        <v>1825</v>
      </c>
      <c r="P638" t="s">
        <v>1826</v>
      </c>
      <c r="Q638" cm="1">
        <f t="array" ref="Q638">_xlfn.IFS(P638="2 Years", 24,P638="1 Year",12, P638="6 Months",6, P638="1 Month",1)</f>
        <v>24</v>
      </c>
      <c r="R638" t="str" cm="1">
        <f t="array" ref="R638">_xlfn.IFS(Q638=1,"Mensual",Q638=6,"Semestral",Q638=12,"Anual",Q638=24,"Bienal")</f>
        <v>Bienal</v>
      </c>
      <c r="S638">
        <f>IFERROR(VLOOKUP(Sheet1[[#This Row],[ID usuario]],A639:$A$907,1,FALSE),0)</f>
        <v>0</v>
      </c>
    </row>
    <row r="639" spans="1:19" x14ac:dyDescent="0.25">
      <c r="A639" t="s">
        <v>637</v>
      </c>
      <c r="B639" t="s">
        <v>1542</v>
      </c>
      <c r="C639" t="s">
        <v>1812</v>
      </c>
      <c r="D639">
        <v>67.7</v>
      </c>
      <c r="E639" s="1">
        <v>45281</v>
      </c>
      <c r="F639" s="1" t="str">
        <f>TEXT(Sheet1[[#This Row],[Fecha ingreso]],"mmmm")</f>
        <v>diciembre</v>
      </c>
      <c r="G639" s="2">
        <f>YEAR(Sheet1[[#This Row],[Fecha ingreso]])</f>
        <v>2023</v>
      </c>
      <c r="H639" s="1" t="str">
        <f>TEXT(Sheet1[[#This Row],[Fecha ingreso]],"dddd")</f>
        <v>jueves</v>
      </c>
      <c r="I639" s="1">
        <v>45384</v>
      </c>
      <c r="J639" s="2">
        <f>DATEDIF(Sheet1[[#This Row],[Fecha ingreso]],Sheet1[[#This Row],[Fecha último pago]],"M")+1</f>
        <v>4</v>
      </c>
      <c r="K639" s="2">
        <f>Sheet1[[#This Row],[Ingresos mensuales]]*Sheet1[[#This Row],[Meses contratados]]</f>
        <v>270.8</v>
      </c>
      <c r="L639" t="s">
        <v>1818</v>
      </c>
      <c r="M639">
        <v>46</v>
      </c>
      <c r="N639" t="s">
        <v>1822</v>
      </c>
      <c r="O639" t="s">
        <v>1825</v>
      </c>
      <c r="P639" t="s">
        <v>1827</v>
      </c>
      <c r="Q639" cm="1">
        <f t="array" ref="Q639">_xlfn.IFS(P639="2 Years", 24,P639="1 Year",12, P639="6 Months",6, P639="1 Month",1)</f>
        <v>12</v>
      </c>
      <c r="R639" t="str" cm="1">
        <f t="array" ref="R639">_xlfn.IFS(Q639=1,"Mensual",Q639=6,"Semestral",Q639=12,"Anual",Q639=24,"Bienal")</f>
        <v>Anual</v>
      </c>
      <c r="S639">
        <f>IFERROR(VLOOKUP(Sheet1[[#This Row],[ID usuario]],A640:$A$907,1,FALSE),0)</f>
        <v>0</v>
      </c>
    </row>
    <row r="640" spans="1:19" x14ac:dyDescent="0.25">
      <c r="A640" t="s">
        <v>638</v>
      </c>
      <c r="B640" t="s">
        <v>1543</v>
      </c>
      <c r="C640" t="s">
        <v>1810</v>
      </c>
      <c r="D640">
        <v>60.12</v>
      </c>
      <c r="E640" s="1">
        <v>45091</v>
      </c>
      <c r="F640" s="1" t="str">
        <f>TEXT(Sheet1[[#This Row],[Fecha ingreso]],"mmmm")</f>
        <v>junio</v>
      </c>
      <c r="G640" s="2">
        <f>YEAR(Sheet1[[#This Row],[Fecha ingreso]])</f>
        <v>2023</v>
      </c>
      <c r="H640" s="1" t="str">
        <f>TEXT(Sheet1[[#This Row],[Fecha ingreso]],"dddd")</f>
        <v>miércoles</v>
      </c>
      <c r="I640" s="1">
        <v>45217</v>
      </c>
      <c r="J640" s="2">
        <f>DATEDIF(Sheet1[[#This Row],[Fecha ingreso]],Sheet1[[#This Row],[Fecha último pago]],"M")+1</f>
        <v>5</v>
      </c>
      <c r="K640" s="2">
        <f>Sheet1[[#This Row],[Ingresos mensuales]]*Sheet1[[#This Row],[Meses contratados]]</f>
        <v>300.59999999999997</v>
      </c>
      <c r="L640" t="s">
        <v>1813</v>
      </c>
      <c r="M640">
        <v>40</v>
      </c>
      <c r="N640" t="s">
        <v>1822</v>
      </c>
      <c r="O640" t="s">
        <v>1824</v>
      </c>
      <c r="P640" t="s">
        <v>1828</v>
      </c>
      <c r="Q640" cm="1">
        <f t="array" ref="Q640">_xlfn.IFS(P640="2 Years", 24,P640="1 Year",12, P640="6 Months",6, P640="1 Month",1)</f>
        <v>6</v>
      </c>
      <c r="R640" t="str" cm="1">
        <f t="array" ref="R640">_xlfn.IFS(Q640=1,"Mensual",Q640=6,"Semestral",Q640=12,"Anual",Q640=24,"Bienal")</f>
        <v>Semestral</v>
      </c>
      <c r="S640">
        <f>IFERROR(VLOOKUP(Sheet1[[#This Row],[ID usuario]],A641:$A$907,1,FALSE),0)</f>
        <v>0</v>
      </c>
    </row>
    <row r="641" spans="1:19" x14ac:dyDescent="0.25">
      <c r="A641" t="s">
        <v>639</v>
      </c>
      <c r="B641" t="s">
        <v>1544</v>
      </c>
      <c r="C641" t="s">
        <v>1811</v>
      </c>
      <c r="D641">
        <v>94.68</v>
      </c>
      <c r="E641" s="1">
        <v>44977</v>
      </c>
      <c r="F641" s="1" t="str">
        <f>TEXT(Sheet1[[#This Row],[Fecha ingreso]],"mmmm")</f>
        <v>febrero</v>
      </c>
      <c r="G641" s="2">
        <f>YEAR(Sheet1[[#This Row],[Fecha ingreso]])</f>
        <v>2023</v>
      </c>
      <c r="H641" s="1" t="str">
        <f>TEXT(Sheet1[[#This Row],[Fecha ingreso]],"dddd")</f>
        <v>lunes</v>
      </c>
      <c r="I641" s="1">
        <v>45301</v>
      </c>
      <c r="J641" s="2">
        <f>DATEDIF(Sheet1[[#This Row],[Fecha ingreso]],Sheet1[[#This Row],[Fecha último pago]],"M")+1</f>
        <v>11</v>
      </c>
      <c r="K641" s="2">
        <f>Sheet1[[#This Row],[Ingresos mensuales]]*Sheet1[[#This Row],[Meses contratados]]</f>
        <v>1041.48</v>
      </c>
      <c r="L641" t="s">
        <v>1817</v>
      </c>
      <c r="M641">
        <v>18</v>
      </c>
      <c r="N641" t="s">
        <v>1820</v>
      </c>
      <c r="O641" t="s">
        <v>1824</v>
      </c>
      <c r="P641" t="s">
        <v>1827</v>
      </c>
      <c r="Q641" cm="1">
        <f t="array" ref="Q641">_xlfn.IFS(P641="2 Years", 24,P641="1 Year",12, P641="6 Months",6, P641="1 Month",1)</f>
        <v>12</v>
      </c>
      <c r="R641" t="str" cm="1">
        <f t="array" ref="R641">_xlfn.IFS(Q641=1,"Mensual",Q641=6,"Semestral",Q641=12,"Anual",Q641=24,"Bienal")</f>
        <v>Anual</v>
      </c>
      <c r="S641">
        <f>IFERROR(VLOOKUP(Sheet1[[#This Row],[ID usuario]],A642:$A$907,1,FALSE),0)</f>
        <v>0</v>
      </c>
    </row>
    <row r="642" spans="1:19" x14ac:dyDescent="0.25">
      <c r="A642" t="s">
        <v>640</v>
      </c>
      <c r="B642" t="s">
        <v>1545</v>
      </c>
      <c r="C642" t="s">
        <v>1810</v>
      </c>
      <c r="D642">
        <v>8.49</v>
      </c>
      <c r="E642" s="1">
        <v>45427</v>
      </c>
      <c r="F642" s="1" t="str">
        <f>TEXT(Sheet1[[#This Row],[Fecha ingreso]],"mmmm")</f>
        <v>mayo</v>
      </c>
      <c r="G642" s="2">
        <f>YEAR(Sheet1[[#This Row],[Fecha ingreso]])</f>
        <v>2024</v>
      </c>
      <c r="H642" s="1" t="str">
        <f>TEXT(Sheet1[[#This Row],[Fecha ingreso]],"dddd")</f>
        <v>miércoles</v>
      </c>
      <c r="I642" s="1">
        <v>45456</v>
      </c>
      <c r="J642" s="2">
        <f>DATEDIF(Sheet1[[#This Row],[Fecha ingreso]],Sheet1[[#This Row],[Fecha último pago]],"M")+1</f>
        <v>1</v>
      </c>
      <c r="K642" s="2">
        <f>Sheet1[[#This Row],[Ingresos mensuales]]*Sheet1[[#This Row],[Meses contratados]]</f>
        <v>8.49</v>
      </c>
      <c r="L642" t="s">
        <v>1817</v>
      </c>
      <c r="M642">
        <v>68</v>
      </c>
      <c r="N642" t="s">
        <v>1822</v>
      </c>
      <c r="O642" t="s">
        <v>1824</v>
      </c>
      <c r="P642" t="s">
        <v>1829</v>
      </c>
      <c r="Q642" cm="1">
        <f t="array" ref="Q642">_xlfn.IFS(P642="2 Years", 24,P642="1 Year",12, P642="6 Months",6, P642="1 Month",1)</f>
        <v>1</v>
      </c>
      <c r="R642" t="str" cm="1">
        <f t="array" ref="R642">_xlfn.IFS(Q642=1,"Mensual",Q642=6,"Semestral",Q642=12,"Anual",Q642=24,"Bienal")</f>
        <v>Mensual</v>
      </c>
      <c r="S642">
        <f>IFERROR(VLOOKUP(Sheet1[[#This Row],[ID usuario]],A643:$A$907,1,FALSE),0)</f>
        <v>0</v>
      </c>
    </row>
    <row r="643" spans="1:19" x14ac:dyDescent="0.25">
      <c r="A643" t="s">
        <v>641</v>
      </c>
      <c r="B643" t="s">
        <v>1546</v>
      </c>
      <c r="C643" t="s">
        <v>1810</v>
      </c>
      <c r="D643">
        <v>19</v>
      </c>
      <c r="E643" s="1">
        <v>45310</v>
      </c>
      <c r="F643" s="1" t="str">
        <f>TEXT(Sheet1[[#This Row],[Fecha ingreso]],"mmmm")</f>
        <v>enero</v>
      </c>
      <c r="G643" s="2">
        <f>YEAR(Sheet1[[#This Row],[Fecha ingreso]])</f>
        <v>2024</v>
      </c>
      <c r="H643" s="1" t="str">
        <f>TEXT(Sheet1[[#This Row],[Fecha ingreso]],"dddd")</f>
        <v>viernes</v>
      </c>
      <c r="I643" s="1">
        <v>45420</v>
      </c>
      <c r="J643" s="2">
        <f>DATEDIF(Sheet1[[#This Row],[Fecha ingreso]],Sheet1[[#This Row],[Fecha último pago]],"M")+1</f>
        <v>4</v>
      </c>
      <c r="K643" s="2">
        <f>Sheet1[[#This Row],[Ingresos mensuales]]*Sheet1[[#This Row],[Meses contratados]]</f>
        <v>76</v>
      </c>
      <c r="L643" t="s">
        <v>1817</v>
      </c>
      <c r="M643">
        <v>55</v>
      </c>
      <c r="N643" t="s">
        <v>1821</v>
      </c>
      <c r="O643" t="s">
        <v>1825</v>
      </c>
      <c r="P643" t="s">
        <v>1829</v>
      </c>
      <c r="Q643" cm="1">
        <f t="array" ref="Q643">_xlfn.IFS(P643="2 Years", 24,P643="1 Year",12, P643="6 Months",6, P643="1 Month",1)</f>
        <v>1</v>
      </c>
      <c r="R643" t="str" cm="1">
        <f t="array" ref="R643">_xlfn.IFS(Q643=1,"Mensual",Q643=6,"Semestral",Q643=12,"Anual",Q643=24,"Bienal")</f>
        <v>Mensual</v>
      </c>
      <c r="S643">
        <f>IFERROR(VLOOKUP(Sheet1[[#This Row],[ID usuario]],A644:$A$907,1,FALSE),0)</f>
        <v>0</v>
      </c>
    </row>
    <row r="644" spans="1:19" x14ac:dyDescent="0.25">
      <c r="A644" t="s">
        <v>642</v>
      </c>
      <c r="B644" t="s">
        <v>1547</v>
      </c>
      <c r="C644" t="s">
        <v>1812</v>
      </c>
      <c r="D644">
        <v>76.849999999999994</v>
      </c>
      <c r="E644" s="1">
        <v>44644</v>
      </c>
      <c r="F644" s="1" t="str">
        <f>TEXT(Sheet1[[#This Row],[Fecha ingreso]],"mmmm")</f>
        <v>marzo</v>
      </c>
      <c r="G644" s="2">
        <f>YEAR(Sheet1[[#This Row],[Fecha ingreso]])</f>
        <v>2022</v>
      </c>
      <c r="H644" s="1" t="str">
        <f>TEXT(Sheet1[[#This Row],[Fecha ingreso]],"dddd")</f>
        <v>jueves</v>
      </c>
      <c r="I644" s="1">
        <v>45439</v>
      </c>
      <c r="J644" s="2">
        <f>DATEDIF(Sheet1[[#This Row],[Fecha ingreso]],Sheet1[[#This Row],[Fecha último pago]],"M")+1</f>
        <v>27</v>
      </c>
      <c r="K644" s="2">
        <f>Sheet1[[#This Row],[Ingresos mensuales]]*Sheet1[[#This Row],[Meses contratados]]</f>
        <v>2074.9499999999998</v>
      </c>
      <c r="L644" t="s">
        <v>1815</v>
      </c>
      <c r="M644">
        <v>68</v>
      </c>
      <c r="N644" t="s">
        <v>1820</v>
      </c>
      <c r="O644" t="s">
        <v>1825</v>
      </c>
      <c r="P644" t="s">
        <v>1826</v>
      </c>
      <c r="Q644" cm="1">
        <f t="array" ref="Q644">_xlfn.IFS(P644="2 Years", 24,P644="1 Year",12, P644="6 Months",6, P644="1 Month",1)</f>
        <v>24</v>
      </c>
      <c r="R644" t="str" cm="1">
        <f t="array" ref="R644">_xlfn.IFS(Q644=1,"Mensual",Q644=6,"Semestral",Q644=12,"Anual",Q644=24,"Bienal")</f>
        <v>Bienal</v>
      </c>
      <c r="S644">
        <f>IFERROR(VLOOKUP(Sheet1[[#This Row],[ID usuario]],A645:$A$907,1,FALSE),0)</f>
        <v>0</v>
      </c>
    </row>
    <row r="645" spans="1:19" x14ac:dyDescent="0.25">
      <c r="A645" t="s">
        <v>643</v>
      </c>
      <c r="B645" t="s">
        <v>1548</v>
      </c>
      <c r="C645" t="s">
        <v>1812</v>
      </c>
      <c r="D645">
        <v>12.96</v>
      </c>
      <c r="E645" s="1">
        <v>45381</v>
      </c>
      <c r="F645" s="1" t="str">
        <f>TEXT(Sheet1[[#This Row],[Fecha ingreso]],"mmmm")</f>
        <v>marzo</v>
      </c>
      <c r="G645" s="2">
        <f>YEAR(Sheet1[[#This Row],[Fecha ingreso]])</f>
        <v>2024</v>
      </c>
      <c r="H645" s="1" t="str">
        <f>TEXT(Sheet1[[#This Row],[Fecha ingreso]],"dddd")</f>
        <v>sábado</v>
      </c>
      <c r="I645" s="1">
        <v>45432</v>
      </c>
      <c r="J645" s="2">
        <f>DATEDIF(Sheet1[[#This Row],[Fecha ingreso]],Sheet1[[#This Row],[Fecha último pago]],"M")+1</f>
        <v>2</v>
      </c>
      <c r="K645" s="2">
        <f>Sheet1[[#This Row],[Ingresos mensuales]]*Sheet1[[#This Row],[Meses contratados]]</f>
        <v>25.92</v>
      </c>
      <c r="L645" t="s">
        <v>1816</v>
      </c>
      <c r="M645">
        <v>27</v>
      </c>
      <c r="N645" t="s">
        <v>1821</v>
      </c>
      <c r="O645" t="s">
        <v>1823</v>
      </c>
      <c r="P645" t="s">
        <v>1828</v>
      </c>
      <c r="Q645" cm="1">
        <f t="array" ref="Q645">_xlfn.IFS(P645="2 Years", 24,P645="1 Year",12, P645="6 Months",6, P645="1 Month",1)</f>
        <v>6</v>
      </c>
      <c r="R645" t="str" cm="1">
        <f t="array" ref="R645">_xlfn.IFS(Q645=1,"Mensual",Q645=6,"Semestral",Q645=12,"Anual",Q645=24,"Bienal")</f>
        <v>Semestral</v>
      </c>
      <c r="S645">
        <f>IFERROR(VLOOKUP(Sheet1[[#This Row],[ID usuario]],A646:$A$907,1,FALSE),0)</f>
        <v>0</v>
      </c>
    </row>
    <row r="646" spans="1:19" x14ac:dyDescent="0.25">
      <c r="A646" t="s">
        <v>644</v>
      </c>
      <c r="B646" t="s">
        <v>1549</v>
      </c>
      <c r="C646" t="s">
        <v>1812</v>
      </c>
      <c r="D646">
        <v>25.89</v>
      </c>
      <c r="E646" s="1">
        <v>44516</v>
      </c>
      <c r="F646" s="1" t="str">
        <f>TEXT(Sheet1[[#This Row],[Fecha ingreso]],"mmmm")</f>
        <v>noviembre</v>
      </c>
      <c r="G646" s="2">
        <f>YEAR(Sheet1[[#This Row],[Fecha ingreso]])</f>
        <v>2021</v>
      </c>
      <c r="H646" s="1" t="str">
        <f>TEXT(Sheet1[[#This Row],[Fecha ingreso]],"dddd")</f>
        <v>martes</v>
      </c>
      <c r="I646" s="1">
        <v>45051</v>
      </c>
      <c r="J646" s="2">
        <f>DATEDIF(Sheet1[[#This Row],[Fecha ingreso]],Sheet1[[#This Row],[Fecha último pago]],"M")+1</f>
        <v>18</v>
      </c>
      <c r="K646" s="2">
        <f>Sheet1[[#This Row],[Ingresos mensuales]]*Sheet1[[#This Row],[Meses contratados]]</f>
        <v>466.02</v>
      </c>
      <c r="L646" t="s">
        <v>1817</v>
      </c>
      <c r="M646">
        <v>58</v>
      </c>
      <c r="N646" t="s">
        <v>1822</v>
      </c>
      <c r="O646" t="s">
        <v>1824</v>
      </c>
      <c r="P646" t="s">
        <v>1829</v>
      </c>
      <c r="Q646" cm="1">
        <f t="array" ref="Q646">_xlfn.IFS(P646="2 Years", 24,P646="1 Year",12, P646="6 Months",6, P646="1 Month",1)</f>
        <v>1</v>
      </c>
      <c r="R646" t="str" cm="1">
        <f t="array" ref="R646">_xlfn.IFS(Q646=1,"Mensual",Q646=6,"Semestral",Q646=12,"Anual",Q646=24,"Bienal")</f>
        <v>Mensual</v>
      </c>
      <c r="S646">
        <f>IFERROR(VLOOKUP(Sheet1[[#This Row],[ID usuario]],A647:$A$907,1,FALSE),0)</f>
        <v>0</v>
      </c>
    </row>
    <row r="647" spans="1:19" x14ac:dyDescent="0.25">
      <c r="A647" t="s">
        <v>645</v>
      </c>
      <c r="B647" t="s">
        <v>1550</v>
      </c>
      <c r="C647" t="s">
        <v>1810</v>
      </c>
      <c r="D647">
        <v>31.06</v>
      </c>
      <c r="E647" s="1">
        <v>45296</v>
      </c>
      <c r="F647" s="1" t="str">
        <f>TEXT(Sheet1[[#This Row],[Fecha ingreso]],"mmmm")</f>
        <v>enero</v>
      </c>
      <c r="G647" s="2">
        <f>YEAR(Sheet1[[#This Row],[Fecha ingreso]])</f>
        <v>2024</v>
      </c>
      <c r="H647" s="1" t="str">
        <f>TEXT(Sheet1[[#This Row],[Fecha ingreso]],"dddd")</f>
        <v>viernes</v>
      </c>
      <c r="I647" s="1">
        <v>45425</v>
      </c>
      <c r="J647" s="2">
        <f>DATEDIF(Sheet1[[#This Row],[Fecha ingreso]],Sheet1[[#This Row],[Fecha último pago]],"M")+1</f>
        <v>5</v>
      </c>
      <c r="K647" s="2">
        <f>Sheet1[[#This Row],[Ingresos mensuales]]*Sheet1[[#This Row],[Meses contratados]]</f>
        <v>155.29999999999998</v>
      </c>
      <c r="L647" t="s">
        <v>1816</v>
      </c>
      <c r="M647">
        <v>58</v>
      </c>
      <c r="N647" t="s">
        <v>1822</v>
      </c>
      <c r="O647" t="s">
        <v>1823</v>
      </c>
      <c r="P647" t="s">
        <v>1828</v>
      </c>
      <c r="Q647" cm="1">
        <f t="array" ref="Q647">_xlfn.IFS(P647="2 Years", 24,P647="1 Year",12, P647="6 Months",6, P647="1 Month",1)</f>
        <v>6</v>
      </c>
      <c r="R647" t="str" cm="1">
        <f t="array" ref="R647">_xlfn.IFS(Q647=1,"Mensual",Q647=6,"Semestral",Q647=12,"Anual",Q647=24,"Bienal")</f>
        <v>Semestral</v>
      </c>
      <c r="S647">
        <f>IFERROR(VLOOKUP(Sheet1[[#This Row],[ID usuario]],A648:$A$907,1,FALSE),0)</f>
        <v>0</v>
      </c>
    </row>
    <row r="648" spans="1:19" x14ac:dyDescent="0.25">
      <c r="A648" t="s">
        <v>646</v>
      </c>
      <c r="B648" t="s">
        <v>1551</v>
      </c>
      <c r="C648" t="s">
        <v>1810</v>
      </c>
      <c r="D648">
        <v>71.67</v>
      </c>
      <c r="E648" s="1">
        <v>45281</v>
      </c>
      <c r="F648" s="1" t="str">
        <f>TEXT(Sheet1[[#This Row],[Fecha ingreso]],"mmmm")</f>
        <v>diciembre</v>
      </c>
      <c r="G648" s="2">
        <f>YEAR(Sheet1[[#This Row],[Fecha ingreso]])</f>
        <v>2023</v>
      </c>
      <c r="H648" s="1" t="str">
        <f>TEXT(Sheet1[[#This Row],[Fecha ingreso]],"dddd")</f>
        <v>jueves</v>
      </c>
      <c r="I648" s="1">
        <v>45378</v>
      </c>
      <c r="J648" s="2">
        <f>DATEDIF(Sheet1[[#This Row],[Fecha ingreso]],Sheet1[[#This Row],[Fecha último pago]],"M")+1</f>
        <v>4</v>
      </c>
      <c r="K648" s="2">
        <f>Sheet1[[#This Row],[Ingresos mensuales]]*Sheet1[[#This Row],[Meses contratados]]</f>
        <v>286.68</v>
      </c>
      <c r="L648" t="s">
        <v>1814</v>
      </c>
      <c r="M648">
        <v>69</v>
      </c>
      <c r="N648" t="s">
        <v>1820</v>
      </c>
      <c r="O648" t="s">
        <v>1824</v>
      </c>
      <c r="P648" t="s">
        <v>1827</v>
      </c>
      <c r="Q648" cm="1">
        <f t="array" ref="Q648">_xlfn.IFS(P648="2 Years", 24,P648="1 Year",12, P648="6 Months",6, P648="1 Month",1)</f>
        <v>12</v>
      </c>
      <c r="R648" t="str" cm="1">
        <f t="array" ref="R648">_xlfn.IFS(Q648=1,"Mensual",Q648=6,"Semestral",Q648=12,"Anual",Q648=24,"Bienal")</f>
        <v>Anual</v>
      </c>
      <c r="S648">
        <f>IFERROR(VLOOKUP(Sheet1[[#This Row],[ID usuario]],A649:$A$907,1,FALSE),0)</f>
        <v>0</v>
      </c>
    </row>
    <row r="649" spans="1:19" x14ac:dyDescent="0.25">
      <c r="A649" t="s">
        <v>647</v>
      </c>
      <c r="B649" t="s">
        <v>1552</v>
      </c>
      <c r="C649" t="s">
        <v>1812</v>
      </c>
      <c r="D649">
        <v>7.87</v>
      </c>
      <c r="E649" s="1">
        <v>44403</v>
      </c>
      <c r="F649" s="1" t="str">
        <f>TEXT(Sheet1[[#This Row],[Fecha ingreso]],"mmmm")</f>
        <v>julio</v>
      </c>
      <c r="G649" s="2">
        <f>YEAR(Sheet1[[#This Row],[Fecha ingreso]])</f>
        <v>2021</v>
      </c>
      <c r="H649" s="1" t="str">
        <f>TEXT(Sheet1[[#This Row],[Fecha ingreso]],"dddd")</f>
        <v>lunes</v>
      </c>
      <c r="I649" s="1">
        <v>44633</v>
      </c>
      <c r="J649" s="2">
        <f>DATEDIF(Sheet1[[#This Row],[Fecha ingreso]],Sheet1[[#This Row],[Fecha último pago]],"M")+1</f>
        <v>8</v>
      </c>
      <c r="K649" s="2">
        <f>Sheet1[[#This Row],[Ingresos mensuales]]*Sheet1[[#This Row],[Meses contratados]]</f>
        <v>62.96</v>
      </c>
      <c r="L649" t="s">
        <v>1817</v>
      </c>
      <c r="M649">
        <v>25</v>
      </c>
      <c r="N649" t="s">
        <v>1820</v>
      </c>
      <c r="O649" t="s">
        <v>1823</v>
      </c>
      <c r="P649" t="s">
        <v>1829</v>
      </c>
      <c r="Q649" cm="1">
        <f t="array" ref="Q649">_xlfn.IFS(P649="2 Years", 24,P649="1 Year",12, P649="6 Months",6, P649="1 Month",1)</f>
        <v>1</v>
      </c>
      <c r="R649" t="str" cm="1">
        <f t="array" ref="R649">_xlfn.IFS(Q649=1,"Mensual",Q649=6,"Semestral",Q649=12,"Anual",Q649=24,"Bienal")</f>
        <v>Mensual</v>
      </c>
      <c r="S649">
        <f>IFERROR(VLOOKUP(Sheet1[[#This Row],[ID usuario]],A650:$A$907,1,FALSE),0)</f>
        <v>0</v>
      </c>
    </row>
    <row r="650" spans="1:19" x14ac:dyDescent="0.25">
      <c r="A650" t="s">
        <v>648</v>
      </c>
      <c r="B650" t="s">
        <v>1553</v>
      </c>
      <c r="C650" t="s">
        <v>1812</v>
      </c>
      <c r="D650">
        <v>87.97</v>
      </c>
      <c r="E650" s="1">
        <v>45040</v>
      </c>
      <c r="F650" s="1" t="str">
        <f>TEXT(Sheet1[[#This Row],[Fecha ingreso]],"mmmm")</f>
        <v>abril</v>
      </c>
      <c r="G650" s="2">
        <f>YEAR(Sheet1[[#This Row],[Fecha ingreso]])</f>
        <v>2023</v>
      </c>
      <c r="H650" s="1" t="str">
        <f>TEXT(Sheet1[[#This Row],[Fecha ingreso]],"dddd")</f>
        <v>lunes</v>
      </c>
      <c r="I650" s="1">
        <v>45453</v>
      </c>
      <c r="J650" s="2">
        <f>DATEDIF(Sheet1[[#This Row],[Fecha ingreso]],Sheet1[[#This Row],[Fecha último pago]],"M")+1</f>
        <v>14</v>
      </c>
      <c r="K650" s="2">
        <f>Sheet1[[#This Row],[Ingresos mensuales]]*Sheet1[[#This Row],[Meses contratados]]</f>
        <v>1231.58</v>
      </c>
      <c r="L650" t="s">
        <v>1818</v>
      </c>
      <c r="M650">
        <v>44</v>
      </c>
      <c r="N650" t="s">
        <v>1822</v>
      </c>
      <c r="O650" t="s">
        <v>1823</v>
      </c>
      <c r="P650" t="s">
        <v>1828</v>
      </c>
      <c r="Q650" cm="1">
        <f t="array" ref="Q650">_xlfn.IFS(P650="2 Years", 24,P650="1 Year",12, P650="6 Months",6, P650="1 Month",1)</f>
        <v>6</v>
      </c>
      <c r="R650" t="str" cm="1">
        <f t="array" ref="R650">_xlfn.IFS(Q650=1,"Mensual",Q650=6,"Semestral",Q650=12,"Anual",Q650=24,"Bienal")</f>
        <v>Semestral</v>
      </c>
      <c r="S650">
        <f>IFERROR(VLOOKUP(Sheet1[[#This Row],[ID usuario]],A651:$A$907,1,FALSE),0)</f>
        <v>0</v>
      </c>
    </row>
    <row r="651" spans="1:19" x14ac:dyDescent="0.25">
      <c r="A651" t="s">
        <v>649</v>
      </c>
      <c r="B651" t="s">
        <v>1554</v>
      </c>
      <c r="C651" t="s">
        <v>1812</v>
      </c>
      <c r="D651">
        <v>52.73</v>
      </c>
      <c r="E651" s="1">
        <v>44790</v>
      </c>
      <c r="F651" s="1" t="str">
        <f>TEXT(Sheet1[[#This Row],[Fecha ingreso]],"mmmm")</f>
        <v>agosto</v>
      </c>
      <c r="G651" s="2">
        <f>YEAR(Sheet1[[#This Row],[Fecha ingreso]])</f>
        <v>2022</v>
      </c>
      <c r="H651" s="1" t="str">
        <f>TEXT(Sheet1[[#This Row],[Fecha ingreso]],"dddd")</f>
        <v>miércoles</v>
      </c>
      <c r="I651" s="1">
        <v>44810</v>
      </c>
      <c r="J651" s="2">
        <f>DATEDIF(Sheet1[[#This Row],[Fecha ingreso]],Sheet1[[#This Row],[Fecha último pago]],"M")+1</f>
        <v>1</v>
      </c>
      <c r="K651" s="2">
        <f>Sheet1[[#This Row],[Ingresos mensuales]]*Sheet1[[#This Row],[Meses contratados]]</f>
        <v>52.73</v>
      </c>
      <c r="L651" t="s">
        <v>1813</v>
      </c>
      <c r="M651">
        <v>68</v>
      </c>
      <c r="N651" t="s">
        <v>1822</v>
      </c>
      <c r="O651" t="s">
        <v>1825</v>
      </c>
      <c r="P651" t="s">
        <v>1826</v>
      </c>
      <c r="Q651" cm="1">
        <f t="array" ref="Q651">_xlfn.IFS(P651="2 Years", 24,P651="1 Year",12, P651="6 Months",6, P651="1 Month",1)</f>
        <v>24</v>
      </c>
      <c r="R651" t="str" cm="1">
        <f t="array" ref="R651">_xlfn.IFS(Q651=1,"Mensual",Q651=6,"Semestral",Q651=12,"Anual",Q651=24,"Bienal")</f>
        <v>Bienal</v>
      </c>
      <c r="S651">
        <f>IFERROR(VLOOKUP(Sheet1[[#This Row],[ID usuario]],A652:$A$907,1,FALSE),0)</f>
        <v>0</v>
      </c>
    </row>
    <row r="652" spans="1:19" x14ac:dyDescent="0.25">
      <c r="A652" t="s">
        <v>650</v>
      </c>
      <c r="B652" t="s">
        <v>1555</v>
      </c>
      <c r="C652" t="s">
        <v>1810</v>
      </c>
      <c r="D652">
        <v>56.3</v>
      </c>
      <c r="E652" s="1">
        <v>45121</v>
      </c>
      <c r="F652" s="1" t="str">
        <f>TEXT(Sheet1[[#This Row],[Fecha ingreso]],"mmmm")</f>
        <v>julio</v>
      </c>
      <c r="G652" s="2">
        <f>YEAR(Sheet1[[#This Row],[Fecha ingreso]])</f>
        <v>2023</v>
      </c>
      <c r="H652" s="1" t="str">
        <f>TEXT(Sheet1[[#This Row],[Fecha ingreso]],"dddd")</f>
        <v>viernes</v>
      </c>
      <c r="I652" s="1">
        <v>45444</v>
      </c>
      <c r="J652" s="2">
        <f>DATEDIF(Sheet1[[#This Row],[Fecha ingreso]],Sheet1[[#This Row],[Fecha último pago]],"M")+1</f>
        <v>11</v>
      </c>
      <c r="K652" s="2">
        <f>Sheet1[[#This Row],[Ingresos mensuales]]*Sheet1[[#This Row],[Meses contratados]]</f>
        <v>619.29999999999995</v>
      </c>
      <c r="L652" t="s">
        <v>1818</v>
      </c>
      <c r="M652">
        <v>35</v>
      </c>
      <c r="N652" t="s">
        <v>1822</v>
      </c>
      <c r="O652" t="s">
        <v>1824</v>
      </c>
      <c r="P652" t="s">
        <v>1829</v>
      </c>
      <c r="Q652" cm="1">
        <f t="array" ref="Q652">_xlfn.IFS(P652="2 Years", 24,P652="1 Year",12, P652="6 Months",6, P652="1 Month",1)</f>
        <v>1</v>
      </c>
      <c r="R652" t="str" cm="1">
        <f t="array" ref="R652">_xlfn.IFS(Q652=1,"Mensual",Q652=6,"Semestral",Q652=12,"Anual",Q652=24,"Bienal")</f>
        <v>Mensual</v>
      </c>
      <c r="S652">
        <f>IFERROR(VLOOKUP(Sheet1[[#This Row],[ID usuario]],A653:$A$907,1,FALSE),0)</f>
        <v>0</v>
      </c>
    </row>
    <row r="653" spans="1:19" x14ac:dyDescent="0.25">
      <c r="A653" t="s">
        <v>651</v>
      </c>
      <c r="B653" t="s">
        <v>1556</v>
      </c>
      <c r="C653" t="s">
        <v>1810</v>
      </c>
      <c r="D653">
        <v>66.33</v>
      </c>
      <c r="E653" s="1">
        <v>44837</v>
      </c>
      <c r="F653" s="1" t="str">
        <f>TEXT(Sheet1[[#This Row],[Fecha ingreso]],"mmmm")</f>
        <v>octubre</v>
      </c>
      <c r="G653" s="2">
        <f>YEAR(Sheet1[[#This Row],[Fecha ingreso]])</f>
        <v>2022</v>
      </c>
      <c r="H653" s="1" t="str">
        <f>TEXT(Sheet1[[#This Row],[Fecha ingreso]],"dddd")</f>
        <v>lunes</v>
      </c>
      <c r="I653" s="1">
        <v>45289</v>
      </c>
      <c r="J653" s="2">
        <f>DATEDIF(Sheet1[[#This Row],[Fecha ingreso]],Sheet1[[#This Row],[Fecha último pago]],"M")+1</f>
        <v>15</v>
      </c>
      <c r="K653" s="2">
        <f>Sheet1[[#This Row],[Ingresos mensuales]]*Sheet1[[#This Row],[Meses contratados]]</f>
        <v>994.94999999999993</v>
      </c>
      <c r="L653" t="s">
        <v>1813</v>
      </c>
      <c r="M653">
        <v>28</v>
      </c>
      <c r="N653" t="s">
        <v>1820</v>
      </c>
      <c r="O653" t="s">
        <v>1825</v>
      </c>
      <c r="P653" t="s">
        <v>1826</v>
      </c>
      <c r="Q653" cm="1">
        <f t="array" ref="Q653">_xlfn.IFS(P653="2 Years", 24,P653="1 Year",12, P653="6 Months",6, P653="1 Month",1)</f>
        <v>24</v>
      </c>
      <c r="R653" t="str" cm="1">
        <f t="array" ref="R653">_xlfn.IFS(Q653=1,"Mensual",Q653=6,"Semestral",Q653=12,"Anual",Q653=24,"Bienal")</f>
        <v>Bienal</v>
      </c>
      <c r="S653">
        <f>IFERROR(VLOOKUP(Sheet1[[#This Row],[ID usuario]],A654:$A$907,1,FALSE),0)</f>
        <v>0</v>
      </c>
    </row>
    <row r="654" spans="1:19" x14ac:dyDescent="0.25">
      <c r="A654" t="s">
        <v>652</v>
      </c>
      <c r="B654" t="s">
        <v>1557</v>
      </c>
      <c r="C654" t="s">
        <v>1811</v>
      </c>
      <c r="D654">
        <v>37.76</v>
      </c>
      <c r="E654" s="1">
        <v>44747</v>
      </c>
      <c r="F654" s="1" t="str">
        <f>TEXT(Sheet1[[#This Row],[Fecha ingreso]],"mmmm")</f>
        <v>julio</v>
      </c>
      <c r="G654" s="2">
        <f>YEAR(Sheet1[[#This Row],[Fecha ingreso]])</f>
        <v>2022</v>
      </c>
      <c r="H654" s="1" t="str">
        <f>TEXT(Sheet1[[#This Row],[Fecha ingreso]],"dddd")</f>
        <v>martes</v>
      </c>
      <c r="I654" s="1">
        <v>45078</v>
      </c>
      <c r="J654" s="2">
        <f>DATEDIF(Sheet1[[#This Row],[Fecha ingreso]],Sheet1[[#This Row],[Fecha último pago]],"M")+1</f>
        <v>11</v>
      </c>
      <c r="K654" s="2">
        <f>Sheet1[[#This Row],[Ingresos mensuales]]*Sheet1[[#This Row],[Meses contratados]]</f>
        <v>415.35999999999996</v>
      </c>
      <c r="L654" t="s">
        <v>1816</v>
      </c>
      <c r="M654">
        <v>61</v>
      </c>
      <c r="N654" t="s">
        <v>1821</v>
      </c>
      <c r="O654" t="s">
        <v>1825</v>
      </c>
      <c r="P654" t="s">
        <v>1826</v>
      </c>
      <c r="Q654" cm="1">
        <f t="array" ref="Q654">_xlfn.IFS(P654="2 Years", 24,P654="1 Year",12, P654="6 Months",6, P654="1 Month",1)</f>
        <v>24</v>
      </c>
      <c r="R654" t="str" cm="1">
        <f t="array" ref="R654">_xlfn.IFS(Q654=1,"Mensual",Q654=6,"Semestral",Q654=12,"Anual",Q654=24,"Bienal")</f>
        <v>Bienal</v>
      </c>
      <c r="S654">
        <f>IFERROR(VLOOKUP(Sheet1[[#This Row],[ID usuario]],A655:$A$907,1,FALSE),0)</f>
        <v>0</v>
      </c>
    </row>
    <row r="655" spans="1:19" x14ac:dyDescent="0.25">
      <c r="A655" t="s">
        <v>653</v>
      </c>
      <c r="B655" t="s">
        <v>1558</v>
      </c>
      <c r="C655" t="s">
        <v>1810</v>
      </c>
      <c r="D655">
        <v>35.25</v>
      </c>
      <c r="E655" s="1">
        <v>45030</v>
      </c>
      <c r="F655" s="1" t="str">
        <f>TEXT(Sheet1[[#This Row],[Fecha ingreso]],"mmmm")</f>
        <v>abril</v>
      </c>
      <c r="G655" s="2">
        <f>YEAR(Sheet1[[#This Row],[Fecha ingreso]])</f>
        <v>2023</v>
      </c>
      <c r="H655" s="1" t="str">
        <f>TEXT(Sheet1[[#This Row],[Fecha ingreso]],"dddd")</f>
        <v>viernes</v>
      </c>
      <c r="I655" s="1">
        <v>45166</v>
      </c>
      <c r="J655" s="2">
        <f>DATEDIF(Sheet1[[#This Row],[Fecha ingreso]],Sheet1[[#This Row],[Fecha último pago]],"M")+1</f>
        <v>5</v>
      </c>
      <c r="K655" s="2">
        <f>Sheet1[[#This Row],[Ingresos mensuales]]*Sheet1[[#This Row],[Meses contratados]]</f>
        <v>176.25</v>
      </c>
      <c r="L655" t="s">
        <v>1813</v>
      </c>
      <c r="M655">
        <v>19</v>
      </c>
      <c r="N655" t="s">
        <v>1820</v>
      </c>
      <c r="O655" t="s">
        <v>1823</v>
      </c>
      <c r="P655" t="s">
        <v>1827</v>
      </c>
      <c r="Q655" cm="1">
        <f t="array" ref="Q655">_xlfn.IFS(P655="2 Years", 24,P655="1 Year",12, P655="6 Months",6, P655="1 Month",1)</f>
        <v>12</v>
      </c>
      <c r="R655" t="str" cm="1">
        <f t="array" ref="R655">_xlfn.IFS(Q655=1,"Mensual",Q655=6,"Semestral",Q655=12,"Anual",Q655=24,"Bienal")</f>
        <v>Anual</v>
      </c>
      <c r="S655">
        <f>IFERROR(VLOOKUP(Sheet1[[#This Row],[ID usuario]],A656:$A$907,1,FALSE),0)</f>
        <v>0</v>
      </c>
    </row>
    <row r="656" spans="1:19" x14ac:dyDescent="0.25">
      <c r="A656" t="s">
        <v>654</v>
      </c>
      <c r="B656" t="s">
        <v>1559</v>
      </c>
      <c r="C656" t="s">
        <v>1811</v>
      </c>
      <c r="D656">
        <v>20.97</v>
      </c>
      <c r="E656" s="1">
        <v>44642</v>
      </c>
      <c r="F656" s="1" t="str">
        <f>TEXT(Sheet1[[#This Row],[Fecha ingreso]],"mmmm")</f>
        <v>marzo</v>
      </c>
      <c r="G656" s="2">
        <f>YEAR(Sheet1[[#This Row],[Fecha ingreso]])</f>
        <v>2022</v>
      </c>
      <c r="H656" s="1" t="str">
        <f>TEXT(Sheet1[[#This Row],[Fecha ingreso]],"dddd")</f>
        <v>martes</v>
      </c>
      <c r="I656" s="1">
        <v>44769</v>
      </c>
      <c r="J656" s="2">
        <f>DATEDIF(Sheet1[[#This Row],[Fecha ingreso]],Sheet1[[#This Row],[Fecha último pago]],"M")+1</f>
        <v>5</v>
      </c>
      <c r="K656" s="2">
        <f>Sheet1[[#This Row],[Ingresos mensuales]]*Sheet1[[#This Row],[Meses contratados]]</f>
        <v>104.85</v>
      </c>
      <c r="L656" t="s">
        <v>1815</v>
      </c>
      <c r="M656">
        <v>56</v>
      </c>
      <c r="N656" t="s">
        <v>1821</v>
      </c>
      <c r="O656" t="s">
        <v>1824</v>
      </c>
      <c r="P656" t="s">
        <v>1827</v>
      </c>
      <c r="Q656" cm="1">
        <f t="array" ref="Q656">_xlfn.IFS(P656="2 Years", 24,P656="1 Year",12, P656="6 Months",6, P656="1 Month",1)</f>
        <v>12</v>
      </c>
      <c r="R656" t="str" cm="1">
        <f t="array" ref="R656">_xlfn.IFS(Q656=1,"Mensual",Q656=6,"Semestral",Q656=12,"Anual",Q656=24,"Bienal")</f>
        <v>Anual</v>
      </c>
      <c r="S656">
        <f>IFERROR(VLOOKUP(Sheet1[[#This Row],[ID usuario]],A657:$A$907,1,FALSE),0)</f>
        <v>0</v>
      </c>
    </row>
    <row r="657" spans="1:19" x14ac:dyDescent="0.25">
      <c r="A657" t="s">
        <v>655</v>
      </c>
      <c r="B657" t="s">
        <v>1560</v>
      </c>
      <c r="C657" t="s">
        <v>1810</v>
      </c>
      <c r="D657">
        <v>57.83</v>
      </c>
      <c r="E657" s="1">
        <v>44914</v>
      </c>
      <c r="F657" s="1" t="str">
        <f>TEXT(Sheet1[[#This Row],[Fecha ingreso]],"mmmm")</f>
        <v>diciembre</v>
      </c>
      <c r="G657" s="2">
        <f>YEAR(Sheet1[[#This Row],[Fecha ingreso]])</f>
        <v>2022</v>
      </c>
      <c r="H657" s="1" t="str">
        <f>TEXT(Sheet1[[#This Row],[Fecha ingreso]],"dddd")</f>
        <v>lunes</v>
      </c>
      <c r="I657" s="1">
        <v>45311</v>
      </c>
      <c r="J657" s="2">
        <f>DATEDIF(Sheet1[[#This Row],[Fecha ingreso]],Sheet1[[#This Row],[Fecha último pago]],"M")+1</f>
        <v>14</v>
      </c>
      <c r="K657" s="2">
        <f>Sheet1[[#This Row],[Ingresos mensuales]]*Sheet1[[#This Row],[Meses contratados]]</f>
        <v>809.62</v>
      </c>
      <c r="L657" t="s">
        <v>1818</v>
      </c>
      <c r="M657">
        <v>37</v>
      </c>
      <c r="N657" t="s">
        <v>1821</v>
      </c>
      <c r="O657" t="s">
        <v>1823</v>
      </c>
      <c r="P657" t="s">
        <v>1826</v>
      </c>
      <c r="Q657" cm="1">
        <f t="array" ref="Q657">_xlfn.IFS(P657="2 Years", 24,P657="1 Year",12, P657="6 Months",6, P657="1 Month",1)</f>
        <v>24</v>
      </c>
      <c r="R657" t="str" cm="1">
        <f t="array" ref="R657">_xlfn.IFS(Q657=1,"Mensual",Q657=6,"Semestral",Q657=12,"Anual",Q657=24,"Bienal")</f>
        <v>Bienal</v>
      </c>
      <c r="S657">
        <f>IFERROR(VLOOKUP(Sheet1[[#This Row],[ID usuario]],A658:$A$907,1,FALSE),0)</f>
        <v>0</v>
      </c>
    </row>
    <row r="658" spans="1:19" x14ac:dyDescent="0.25">
      <c r="A658" t="s">
        <v>656</v>
      </c>
      <c r="B658" t="s">
        <v>1561</v>
      </c>
      <c r="C658" t="s">
        <v>1812</v>
      </c>
      <c r="D658">
        <v>35.21</v>
      </c>
      <c r="E658" s="1">
        <v>45056</v>
      </c>
      <c r="F658" s="1" t="str">
        <f>TEXT(Sheet1[[#This Row],[Fecha ingreso]],"mmmm")</f>
        <v>mayo</v>
      </c>
      <c r="G658" s="2">
        <f>YEAR(Sheet1[[#This Row],[Fecha ingreso]])</f>
        <v>2023</v>
      </c>
      <c r="H658" s="1" t="str">
        <f>TEXT(Sheet1[[#This Row],[Fecha ingreso]],"dddd")</f>
        <v>miércoles</v>
      </c>
      <c r="I658" s="1">
        <v>45240</v>
      </c>
      <c r="J658" s="2">
        <f>DATEDIF(Sheet1[[#This Row],[Fecha ingreso]],Sheet1[[#This Row],[Fecha último pago]],"M")+1</f>
        <v>7</v>
      </c>
      <c r="K658" s="2">
        <f>Sheet1[[#This Row],[Ingresos mensuales]]*Sheet1[[#This Row],[Meses contratados]]</f>
        <v>246.47</v>
      </c>
      <c r="L658" t="s">
        <v>1816</v>
      </c>
      <c r="M658">
        <v>47</v>
      </c>
      <c r="N658" t="s">
        <v>1822</v>
      </c>
      <c r="O658" t="s">
        <v>1824</v>
      </c>
      <c r="P658" t="s">
        <v>1829</v>
      </c>
      <c r="Q658" cm="1">
        <f t="array" ref="Q658">_xlfn.IFS(P658="2 Years", 24,P658="1 Year",12, P658="6 Months",6, P658="1 Month",1)</f>
        <v>1</v>
      </c>
      <c r="R658" t="str" cm="1">
        <f t="array" ref="R658">_xlfn.IFS(Q658=1,"Mensual",Q658=6,"Semestral",Q658=12,"Anual",Q658=24,"Bienal")</f>
        <v>Mensual</v>
      </c>
      <c r="S658">
        <f>IFERROR(VLOOKUP(Sheet1[[#This Row],[ID usuario]],A659:$A$907,1,FALSE),0)</f>
        <v>0</v>
      </c>
    </row>
    <row r="659" spans="1:19" x14ac:dyDescent="0.25">
      <c r="A659" t="s">
        <v>657</v>
      </c>
      <c r="B659" t="s">
        <v>1562</v>
      </c>
      <c r="C659" t="s">
        <v>1810</v>
      </c>
      <c r="D659">
        <v>96.02</v>
      </c>
      <c r="E659" s="1">
        <v>44906</v>
      </c>
      <c r="F659" s="1" t="str">
        <f>TEXT(Sheet1[[#This Row],[Fecha ingreso]],"mmmm")</f>
        <v>diciembre</v>
      </c>
      <c r="G659" s="2">
        <f>YEAR(Sheet1[[#This Row],[Fecha ingreso]])</f>
        <v>2022</v>
      </c>
      <c r="H659" s="1" t="str">
        <f>TEXT(Sheet1[[#This Row],[Fecha ingreso]],"dddd")</f>
        <v>domingo</v>
      </c>
      <c r="I659" s="1">
        <v>45221</v>
      </c>
      <c r="J659" s="2">
        <f>DATEDIF(Sheet1[[#This Row],[Fecha ingreso]],Sheet1[[#This Row],[Fecha último pago]],"M")+1</f>
        <v>11</v>
      </c>
      <c r="K659" s="2">
        <f>Sheet1[[#This Row],[Ingresos mensuales]]*Sheet1[[#This Row],[Meses contratados]]</f>
        <v>1056.22</v>
      </c>
      <c r="L659" t="s">
        <v>1817</v>
      </c>
      <c r="M659">
        <v>24</v>
      </c>
      <c r="N659" t="s">
        <v>1821</v>
      </c>
      <c r="O659" t="s">
        <v>1824</v>
      </c>
      <c r="P659" t="s">
        <v>1826</v>
      </c>
      <c r="Q659" cm="1">
        <f t="array" ref="Q659">_xlfn.IFS(P659="2 Years", 24,P659="1 Year",12, P659="6 Months",6, P659="1 Month",1)</f>
        <v>24</v>
      </c>
      <c r="R659" t="str" cm="1">
        <f t="array" ref="R659">_xlfn.IFS(Q659=1,"Mensual",Q659=6,"Semestral",Q659=12,"Anual",Q659=24,"Bienal")</f>
        <v>Bienal</v>
      </c>
      <c r="S659">
        <f>IFERROR(VLOOKUP(Sheet1[[#This Row],[ID usuario]],A660:$A$907,1,FALSE),0)</f>
        <v>0</v>
      </c>
    </row>
    <row r="660" spans="1:19" x14ac:dyDescent="0.25">
      <c r="A660" t="s">
        <v>658</v>
      </c>
      <c r="B660" t="s">
        <v>1563</v>
      </c>
      <c r="C660" t="s">
        <v>1811</v>
      </c>
      <c r="D660">
        <v>96.74</v>
      </c>
      <c r="E660" s="1">
        <v>44405</v>
      </c>
      <c r="F660" s="1" t="str">
        <f>TEXT(Sheet1[[#This Row],[Fecha ingreso]],"mmmm")</f>
        <v>julio</v>
      </c>
      <c r="G660" s="2">
        <f>YEAR(Sheet1[[#This Row],[Fecha ingreso]])</f>
        <v>2021</v>
      </c>
      <c r="H660" s="1" t="str">
        <f>TEXT(Sheet1[[#This Row],[Fecha ingreso]],"dddd")</f>
        <v>miércoles</v>
      </c>
      <c r="I660" s="1">
        <v>44971</v>
      </c>
      <c r="J660" s="2">
        <f>DATEDIF(Sheet1[[#This Row],[Fecha ingreso]],Sheet1[[#This Row],[Fecha último pago]],"M")+1</f>
        <v>19</v>
      </c>
      <c r="K660" s="2">
        <f>Sheet1[[#This Row],[Ingresos mensuales]]*Sheet1[[#This Row],[Meses contratados]]</f>
        <v>1838.06</v>
      </c>
      <c r="L660" t="s">
        <v>1813</v>
      </c>
      <c r="M660">
        <v>23</v>
      </c>
      <c r="N660" t="s">
        <v>1820</v>
      </c>
      <c r="O660" t="s">
        <v>1824</v>
      </c>
      <c r="P660" t="s">
        <v>1829</v>
      </c>
      <c r="Q660" cm="1">
        <f t="array" ref="Q660">_xlfn.IFS(P660="2 Years", 24,P660="1 Year",12, P660="6 Months",6, P660="1 Month",1)</f>
        <v>1</v>
      </c>
      <c r="R660" t="str" cm="1">
        <f t="array" ref="R660">_xlfn.IFS(Q660=1,"Mensual",Q660=6,"Semestral",Q660=12,"Anual",Q660=24,"Bienal")</f>
        <v>Mensual</v>
      </c>
      <c r="S660">
        <f>IFERROR(VLOOKUP(Sheet1[[#This Row],[ID usuario]],A661:$A$907,1,FALSE),0)</f>
        <v>0</v>
      </c>
    </row>
    <row r="661" spans="1:19" x14ac:dyDescent="0.25">
      <c r="A661" t="s">
        <v>659</v>
      </c>
      <c r="B661" t="s">
        <v>1564</v>
      </c>
      <c r="C661" t="s">
        <v>1812</v>
      </c>
      <c r="D661">
        <v>63.91</v>
      </c>
      <c r="E661" s="1">
        <v>44911</v>
      </c>
      <c r="F661" s="1" t="str">
        <f>TEXT(Sheet1[[#This Row],[Fecha ingreso]],"mmmm")</f>
        <v>diciembre</v>
      </c>
      <c r="G661" s="2">
        <f>YEAR(Sheet1[[#This Row],[Fecha ingreso]])</f>
        <v>2022</v>
      </c>
      <c r="H661" s="1" t="str">
        <f>TEXT(Sheet1[[#This Row],[Fecha ingreso]],"dddd")</f>
        <v>viernes</v>
      </c>
      <c r="I661" s="1">
        <v>45133</v>
      </c>
      <c r="J661" s="2">
        <f>DATEDIF(Sheet1[[#This Row],[Fecha ingreso]],Sheet1[[#This Row],[Fecha último pago]],"M")+1</f>
        <v>8</v>
      </c>
      <c r="K661" s="2">
        <f>Sheet1[[#This Row],[Ingresos mensuales]]*Sheet1[[#This Row],[Meses contratados]]</f>
        <v>511.28</v>
      </c>
      <c r="L661" t="s">
        <v>1819</v>
      </c>
      <c r="M661">
        <v>22</v>
      </c>
      <c r="N661" t="s">
        <v>1822</v>
      </c>
      <c r="O661" t="s">
        <v>1824</v>
      </c>
      <c r="P661" t="s">
        <v>1827</v>
      </c>
      <c r="Q661" cm="1">
        <f t="array" ref="Q661">_xlfn.IFS(P661="2 Years", 24,P661="1 Year",12, P661="6 Months",6, P661="1 Month",1)</f>
        <v>12</v>
      </c>
      <c r="R661" t="str" cm="1">
        <f t="array" ref="R661">_xlfn.IFS(Q661=1,"Mensual",Q661=6,"Semestral",Q661=12,"Anual",Q661=24,"Bienal")</f>
        <v>Anual</v>
      </c>
      <c r="S661">
        <f>IFERROR(VLOOKUP(Sheet1[[#This Row],[ID usuario]],A662:$A$907,1,FALSE),0)</f>
        <v>0</v>
      </c>
    </row>
    <row r="662" spans="1:19" x14ac:dyDescent="0.25">
      <c r="A662" t="s">
        <v>660</v>
      </c>
      <c r="B662" t="s">
        <v>1565</v>
      </c>
      <c r="C662" t="s">
        <v>1810</v>
      </c>
      <c r="D662">
        <v>63.66</v>
      </c>
      <c r="E662" s="1">
        <v>44528</v>
      </c>
      <c r="F662" s="1" t="str">
        <f>TEXT(Sheet1[[#This Row],[Fecha ingreso]],"mmmm")</f>
        <v>noviembre</v>
      </c>
      <c r="G662" s="2">
        <f>YEAR(Sheet1[[#This Row],[Fecha ingreso]])</f>
        <v>2021</v>
      </c>
      <c r="H662" s="1" t="str">
        <f>TEXT(Sheet1[[#This Row],[Fecha ingreso]],"dddd")</f>
        <v>domingo</v>
      </c>
      <c r="I662" s="1">
        <v>45001</v>
      </c>
      <c r="J662" s="2">
        <f>DATEDIF(Sheet1[[#This Row],[Fecha ingreso]],Sheet1[[#This Row],[Fecha último pago]],"M")+1</f>
        <v>16</v>
      </c>
      <c r="K662" s="2">
        <f>Sheet1[[#This Row],[Ingresos mensuales]]*Sheet1[[#This Row],[Meses contratados]]</f>
        <v>1018.56</v>
      </c>
      <c r="L662" t="s">
        <v>1814</v>
      </c>
      <c r="M662">
        <v>20</v>
      </c>
      <c r="N662" t="s">
        <v>1822</v>
      </c>
      <c r="O662" t="s">
        <v>1824</v>
      </c>
      <c r="P662" t="s">
        <v>1829</v>
      </c>
      <c r="Q662" cm="1">
        <f t="array" ref="Q662">_xlfn.IFS(P662="2 Years", 24,P662="1 Year",12, P662="6 Months",6, P662="1 Month",1)</f>
        <v>1</v>
      </c>
      <c r="R662" t="str" cm="1">
        <f t="array" ref="R662">_xlfn.IFS(Q662=1,"Mensual",Q662=6,"Semestral",Q662=12,"Anual",Q662=24,"Bienal")</f>
        <v>Mensual</v>
      </c>
      <c r="S662">
        <f>IFERROR(VLOOKUP(Sheet1[[#This Row],[ID usuario]],A663:$A$907,1,FALSE),0)</f>
        <v>0</v>
      </c>
    </row>
    <row r="663" spans="1:19" x14ac:dyDescent="0.25">
      <c r="A663" t="s">
        <v>661</v>
      </c>
      <c r="B663" t="s">
        <v>1566</v>
      </c>
      <c r="C663" t="s">
        <v>1811</v>
      </c>
      <c r="D663">
        <v>89.29</v>
      </c>
      <c r="E663" s="1">
        <v>45047</v>
      </c>
      <c r="F663" s="1" t="str">
        <f>TEXT(Sheet1[[#This Row],[Fecha ingreso]],"mmmm")</f>
        <v>mayo</v>
      </c>
      <c r="G663" s="2">
        <f>YEAR(Sheet1[[#This Row],[Fecha ingreso]])</f>
        <v>2023</v>
      </c>
      <c r="H663" s="1" t="str">
        <f>TEXT(Sheet1[[#This Row],[Fecha ingreso]],"dddd")</f>
        <v>lunes</v>
      </c>
      <c r="I663" s="1">
        <v>45145</v>
      </c>
      <c r="J663" s="2">
        <f>DATEDIF(Sheet1[[#This Row],[Fecha ingreso]],Sheet1[[#This Row],[Fecha último pago]],"M")+1</f>
        <v>4</v>
      </c>
      <c r="K663" s="2">
        <f>Sheet1[[#This Row],[Ingresos mensuales]]*Sheet1[[#This Row],[Meses contratados]]</f>
        <v>357.16</v>
      </c>
      <c r="L663" t="s">
        <v>1815</v>
      </c>
      <c r="M663">
        <v>58</v>
      </c>
      <c r="N663" t="s">
        <v>1821</v>
      </c>
      <c r="O663" t="s">
        <v>1825</v>
      </c>
      <c r="P663" t="s">
        <v>1827</v>
      </c>
      <c r="Q663" cm="1">
        <f t="array" ref="Q663">_xlfn.IFS(P663="2 Years", 24,P663="1 Year",12, P663="6 Months",6, P663="1 Month",1)</f>
        <v>12</v>
      </c>
      <c r="R663" t="str" cm="1">
        <f t="array" ref="R663">_xlfn.IFS(Q663=1,"Mensual",Q663=6,"Semestral",Q663=12,"Anual",Q663=24,"Bienal")</f>
        <v>Anual</v>
      </c>
      <c r="S663">
        <f>IFERROR(VLOOKUP(Sheet1[[#This Row],[ID usuario]],A664:$A$907,1,FALSE),0)</f>
        <v>0</v>
      </c>
    </row>
    <row r="664" spans="1:19" x14ac:dyDescent="0.25">
      <c r="A664" t="s">
        <v>662</v>
      </c>
      <c r="B664" t="s">
        <v>1567</v>
      </c>
      <c r="C664" t="s">
        <v>1811</v>
      </c>
      <c r="D664">
        <v>77.680000000000007</v>
      </c>
      <c r="E664" s="1">
        <v>44638</v>
      </c>
      <c r="F664" s="1" t="str">
        <f>TEXT(Sheet1[[#This Row],[Fecha ingreso]],"mmmm")</f>
        <v>marzo</v>
      </c>
      <c r="G664" s="2">
        <f>YEAR(Sheet1[[#This Row],[Fecha ingreso]])</f>
        <v>2022</v>
      </c>
      <c r="H664" s="1" t="str">
        <f>TEXT(Sheet1[[#This Row],[Fecha ingreso]],"dddd")</f>
        <v>viernes</v>
      </c>
      <c r="I664" s="1">
        <v>45153</v>
      </c>
      <c r="J664" s="2">
        <f>DATEDIF(Sheet1[[#This Row],[Fecha ingreso]],Sheet1[[#This Row],[Fecha último pago]],"M")+1</f>
        <v>17</v>
      </c>
      <c r="K664" s="2">
        <f>Sheet1[[#This Row],[Ingresos mensuales]]*Sheet1[[#This Row],[Meses contratados]]</f>
        <v>1320.5600000000002</v>
      </c>
      <c r="L664" t="s">
        <v>1816</v>
      </c>
      <c r="M664">
        <v>34</v>
      </c>
      <c r="N664" t="s">
        <v>1822</v>
      </c>
      <c r="O664" t="s">
        <v>1824</v>
      </c>
      <c r="P664" t="s">
        <v>1828</v>
      </c>
      <c r="Q664" cm="1">
        <f t="array" ref="Q664">_xlfn.IFS(P664="2 Years", 24,P664="1 Year",12, P664="6 Months",6, P664="1 Month",1)</f>
        <v>6</v>
      </c>
      <c r="R664" t="str" cm="1">
        <f t="array" ref="R664">_xlfn.IFS(Q664=1,"Mensual",Q664=6,"Semestral",Q664=12,"Anual",Q664=24,"Bienal")</f>
        <v>Semestral</v>
      </c>
      <c r="S664">
        <f>IFERROR(VLOOKUP(Sheet1[[#This Row],[ID usuario]],A665:$A$907,1,FALSE),0)</f>
        <v>0</v>
      </c>
    </row>
    <row r="665" spans="1:19" x14ac:dyDescent="0.25">
      <c r="A665" t="s">
        <v>663</v>
      </c>
      <c r="B665" t="s">
        <v>1568</v>
      </c>
      <c r="C665" t="s">
        <v>1810</v>
      </c>
      <c r="D665">
        <v>34.79</v>
      </c>
      <c r="E665" s="1">
        <v>44373</v>
      </c>
      <c r="F665" s="1" t="str">
        <f>TEXT(Sheet1[[#This Row],[Fecha ingreso]],"mmmm")</f>
        <v>junio</v>
      </c>
      <c r="G665" s="2">
        <f>YEAR(Sheet1[[#This Row],[Fecha ingreso]])</f>
        <v>2021</v>
      </c>
      <c r="H665" s="1" t="str">
        <f>TEXT(Sheet1[[#This Row],[Fecha ingreso]],"dddd")</f>
        <v>sábado</v>
      </c>
      <c r="I665" s="1">
        <v>45107</v>
      </c>
      <c r="J665" s="2">
        <f>DATEDIF(Sheet1[[#This Row],[Fecha ingreso]],Sheet1[[#This Row],[Fecha último pago]],"M")+1</f>
        <v>25</v>
      </c>
      <c r="K665" s="2">
        <f>Sheet1[[#This Row],[Ingresos mensuales]]*Sheet1[[#This Row],[Meses contratados]]</f>
        <v>869.75</v>
      </c>
      <c r="L665" t="s">
        <v>1816</v>
      </c>
      <c r="M665">
        <v>25</v>
      </c>
      <c r="N665" t="s">
        <v>1821</v>
      </c>
      <c r="O665" t="s">
        <v>1825</v>
      </c>
      <c r="P665" t="s">
        <v>1826</v>
      </c>
      <c r="Q665" cm="1">
        <f t="array" ref="Q665">_xlfn.IFS(P665="2 Years", 24,P665="1 Year",12, P665="6 Months",6, P665="1 Month",1)</f>
        <v>24</v>
      </c>
      <c r="R665" t="str" cm="1">
        <f t="array" ref="R665">_xlfn.IFS(Q665=1,"Mensual",Q665=6,"Semestral",Q665=12,"Anual",Q665=24,"Bienal")</f>
        <v>Bienal</v>
      </c>
      <c r="S665">
        <f>IFERROR(VLOOKUP(Sheet1[[#This Row],[ID usuario]],A666:$A$907,1,FALSE),0)</f>
        <v>0</v>
      </c>
    </row>
    <row r="666" spans="1:19" x14ac:dyDescent="0.25">
      <c r="A666" t="s">
        <v>664</v>
      </c>
      <c r="B666" t="s">
        <v>1569</v>
      </c>
      <c r="C666" t="s">
        <v>1812</v>
      </c>
      <c r="D666">
        <v>39.729999999999997</v>
      </c>
      <c r="E666" s="1">
        <v>45007</v>
      </c>
      <c r="F666" s="1" t="str">
        <f>TEXT(Sheet1[[#This Row],[Fecha ingreso]],"mmmm")</f>
        <v>marzo</v>
      </c>
      <c r="G666" s="2">
        <f>YEAR(Sheet1[[#This Row],[Fecha ingreso]])</f>
        <v>2023</v>
      </c>
      <c r="H666" s="1" t="str">
        <f>TEXT(Sheet1[[#This Row],[Fecha ingreso]],"dddd")</f>
        <v>miércoles</v>
      </c>
      <c r="I666" s="1">
        <v>45140</v>
      </c>
      <c r="J666" s="2">
        <f>DATEDIF(Sheet1[[#This Row],[Fecha ingreso]],Sheet1[[#This Row],[Fecha último pago]],"M")+1</f>
        <v>5</v>
      </c>
      <c r="K666" s="2">
        <f>Sheet1[[#This Row],[Ingresos mensuales]]*Sheet1[[#This Row],[Meses contratados]]</f>
        <v>198.64999999999998</v>
      </c>
      <c r="L666" t="s">
        <v>1817</v>
      </c>
      <c r="M666">
        <v>58</v>
      </c>
      <c r="N666" t="s">
        <v>1821</v>
      </c>
      <c r="O666" t="s">
        <v>1824</v>
      </c>
      <c r="P666" t="s">
        <v>1828</v>
      </c>
      <c r="Q666" cm="1">
        <f t="array" ref="Q666">_xlfn.IFS(P666="2 Years", 24,P666="1 Year",12, P666="6 Months",6, P666="1 Month",1)</f>
        <v>6</v>
      </c>
      <c r="R666" t="str" cm="1">
        <f t="array" ref="R666">_xlfn.IFS(Q666=1,"Mensual",Q666=6,"Semestral",Q666=12,"Anual",Q666=24,"Bienal")</f>
        <v>Semestral</v>
      </c>
      <c r="S666">
        <f>IFERROR(VLOOKUP(Sheet1[[#This Row],[ID usuario]],A667:$A$907,1,FALSE),0)</f>
        <v>0</v>
      </c>
    </row>
    <row r="667" spans="1:19" x14ac:dyDescent="0.25">
      <c r="A667" t="s">
        <v>665</v>
      </c>
      <c r="B667" t="s">
        <v>1570</v>
      </c>
      <c r="C667" t="s">
        <v>1811</v>
      </c>
      <c r="D667">
        <v>24.12</v>
      </c>
      <c r="E667" s="1">
        <v>44872</v>
      </c>
      <c r="F667" s="1" t="str">
        <f>TEXT(Sheet1[[#This Row],[Fecha ingreso]],"mmmm")</f>
        <v>noviembre</v>
      </c>
      <c r="G667" s="2">
        <f>YEAR(Sheet1[[#This Row],[Fecha ingreso]])</f>
        <v>2022</v>
      </c>
      <c r="H667" s="1" t="str">
        <f>TEXT(Sheet1[[#This Row],[Fecha ingreso]],"dddd")</f>
        <v>lunes</v>
      </c>
      <c r="I667" s="1">
        <v>45344</v>
      </c>
      <c r="J667" s="2">
        <f>DATEDIF(Sheet1[[#This Row],[Fecha ingreso]],Sheet1[[#This Row],[Fecha último pago]],"M")+1</f>
        <v>16</v>
      </c>
      <c r="K667" s="2">
        <f>Sheet1[[#This Row],[Ingresos mensuales]]*Sheet1[[#This Row],[Meses contratados]]</f>
        <v>385.92</v>
      </c>
      <c r="L667" t="s">
        <v>1813</v>
      </c>
      <c r="M667">
        <v>42</v>
      </c>
      <c r="N667" t="s">
        <v>1821</v>
      </c>
      <c r="O667" t="s">
        <v>1825</v>
      </c>
      <c r="P667" t="s">
        <v>1827</v>
      </c>
      <c r="Q667" cm="1">
        <f t="array" ref="Q667">_xlfn.IFS(P667="2 Years", 24,P667="1 Year",12, P667="6 Months",6, P667="1 Month",1)</f>
        <v>12</v>
      </c>
      <c r="R667" t="str" cm="1">
        <f t="array" ref="R667">_xlfn.IFS(Q667=1,"Mensual",Q667=6,"Semestral",Q667=12,"Anual",Q667=24,"Bienal")</f>
        <v>Anual</v>
      </c>
      <c r="S667">
        <f>IFERROR(VLOOKUP(Sheet1[[#This Row],[ID usuario]],A668:$A$907,1,FALSE),0)</f>
        <v>0</v>
      </c>
    </row>
    <row r="668" spans="1:19" x14ac:dyDescent="0.25">
      <c r="A668" t="s">
        <v>666</v>
      </c>
      <c r="B668" t="s">
        <v>1571</v>
      </c>
      <c r="C668" t="s">
        <v>1812</v>
      </c>
      <c r="D668">
        <v>51.28</v>
      </c>
      <c r="E668" s="1">
        <v>44688</v>
      </c>
      <c r="F668" s="1" t="str">
        <f>TEXT(Sheet1[[#This Row],[Fecha ingreso]],"mmmm")</f>
        <v>mayo</v>
      </c>
      <c r="G668" s="2">
        <f>YEAR(Sheet1[[#This Row],[Fecha ingreso]])</f>
        <v>2022</v>
      </c>
      <c r="H668" s="1" t="str">
        <f>TEXT(Sheet1[[#This Row],[Fecha ingreso]],"dddd")</f>
        <v>sábado</v>
      </c>
      <c r="I668" s="1">
        <v>45460</v>
      </c>
      <c r="J668" s="2">
        <f>DATEDIF(Sheet1[[#This Row],[Fecha ingreso]],Sheet1[[#This Row],[Fecha último pago]],"M")+1</f>
        <v>26</v>
      </c>
      <c r="K668" s="2">
        <f>Sheet1[[#This Row],[Ingresos mensuales]]*Sheet1[[#This Row],[Meses contratados]]</f>
        <v>1333.28</v>
      </c>
      <c r="L668" t="s">
        <v>1815</v>
      </c>
      <c r="M668">
        <v>41</v>
      </c>
      <c r="N668" t="s">
        <v>1820</v>
      </c>
      <c r="O668" t="s">
        <v>1825</v>
      </c>
      <c r="P668" t="s">
        <v>1826</v>
      </c>
      <c r="Q668" cm="1">
        <f t="array" ref="Q668">_xlfn.IFS(P668="2 Years", 24,P668="1 Year",12, P668="6 Months",6, P668="1 Month",1)</f>
        <v>24</v>
      </c>
      <c r="R668" t="str" cm="1">
        <f t="array" ref="R668">_xlfn.IFS(Q668=1,"Mensual",Q668=6,"Semestral",Q668=12,"Anual",Q668=24,"Bienal")</f>
        <v>Bienal</v>
      </c>
      <c r="S668">
        <f>IFERROR(VLOOKUP(Sheet1[[#This Row],[ID usuario]],A669:$A$907,1,FALSE),0)</f>
        <v>0</v>
      </c>
    </row>
    <row r="669" spans="1:19" x14ac:dyDescent="0.25">
      <c r="A669" t="s">
        <v>667</v>
      </c>
      <c r="B669" t="s">
        <v>1572</v>
      </c>
      <c r="C669" t="s">
        <v>1812</v>
      </c>
      <c r="D669">
        <v>91.65</v>
      </c>
      <c r="E669" s="1">
        <v>44991</v>
      </c>
      <c r="F669" s="1" t="str">
        <f>TEXT(Sheet1[[#This Row],[Fecha ingreso]],"mmmm")</f>
        <v>marzo</v>
      </c>
      <c r="G669" s="2">
        <f>YEAR(Sheet1[[#This Row],[Fecha ingreso]])</f>
        <v>2023</v>
      </c>
      <c r="H669" s="1" t="str">
        <f>TEXT(Sheet1[[#This Row],[Fecha ingreso]],"dddd")</f>
        <v>lunes</v>
      </c>
      <c r="I669" s="1">
        <v>45404</v>
      </c>
      <c r="J669" s="2">
        <f>DATEDIF(Sheet1[[#This Row],[Fecha ingreso]],Sheet1[[#This Row],[Fecha último pago]],"M")+1</f>
        <v>14</v>
      </c>
      <c r="K669" s="2">
        <f>Sheet1[[#This Row],[Ingresos mensuales]]*Sheet1[[#This Row],[Meses contratados]]</f>
        <v>1283.1000000000001</v>
      </c>
      <c r="L669" t="s">
        <v>1814</v>
      </c>
      <c r="M669">
        <v>59</v>
      </c>
      <c r="N669" t="s">
        <v>1822</v>
      </c>
      <c r="O669" t="s">
        <v>1823</v>
      </c>
      <c r="P669" t="s">
        <v>1827</v>
      </c>
      <c r="Q669" cm="1">
        <f t="array" ref="Q669">_xlfn.IFS(P669="2 Years", 24,P669="1 Year",12, P669="6 Months",6, P669="1 Month",1)</f>
        <v>12</v>
      </c>
      <c r="R669" t="str" cm="1">
        <f t="array" ref="R669">_xlfn.IFS(Q669=1,"Mensual",Q669=6,"Semestral",Q669=12,"Anual",Q669=24,"Bienal")</f>
        <v>Anual</v>
      </c>
      <c r="S669">
        <f>IFERROR(VLOOKUP(Sheet1[[#This Row],[ID usuario]],A670:$A$907,1,FALSE),0)</f>
        <v>0</v>
      </c>
    </row>
    <row r="670" spans="1:19" x14ac:dyDescent="0.25">
      <c r="A670" t="s">
        <v>668</v>
      </c>
      <c r="B670" t="s">
        <v>1573</v>
      </c>
      <c r="C670" t="s">
        <v>1810</v>
      </c>
      <c r="D670">
        <v>16.239999999999998</v>
      </c>
      <c r="E670" s="1">
        <v>45452</v>
      </c>
      <c r="F670" s="1" t="str">
        <f>TEXT(Sheet1[[#This Row],[Fecha ingreso]],"mmmm")</f>
        <v>junio</v>
      </c>
      <c r="G670" s="2">
        <f>YEAR(Sheet1[[#This Row],[Fecha ingreso]])</f>
        <v>2024</v>
      </c>
      <c r="H670" s="1" t="str">
        <f>TEXT(Sheet1[[#This Row],[Fecha ingreso]],"dddd")</f>
        <v>domingo</v>
      </c>
      <c r="I670" s="1">
        <v>45458</v>
      </c>
      <c r="J670" s="2">
        <f>DATEDIF(Sheet1[[#This Row],[Fecha ingreso]],Sheet1[[#This Row],[Fecha último pago]],"M")+1</f>
        <v>1</v>
      </c>
      <c r="K670" s="2">
        <f>Sheet1[[#This Row],[Ingresos mensuales]]*Sheet1[[#This Row],[Meses contratados]]</f>
        <v>16.239999999999998</v>
      </c>
      <c r="L670" t="s">
        <v>1816</v>
      </c>
      <c r="M670">
        <v>24</v>
      </c>
      <c r="N670" t="s">
        <v>1822</v>
      </c>
      <c r="O670" t="s">
        <v>1823</v>
      </c>
      <c r="P670" t="s">
        <v>1826</v>
      </c>
      <c r="Q670" cm="1">
        <f t="array" ref="Q670">_xlfn.IFS(P670="2 Years", 24,P670="1 Year",12, P670="6 Months",6, P670="1 Month",1)</f>
        <v>24</v>
      </c>
      <c r="R670" t="str" cm="1">
        <f t="array" ref="R670">_xlfn.IFS(Q670=1,"Mensual",Q670=6,"Semestral",Q670=12,"Anual",Q670=24,"Bienal")</f>
        <v>Bienal</v>
      </c>
      <c r="S670">
        <f>IFERROR(VLOOKUP(Sheet1[[#This Row],[ID usuario]],A671:$A$907,1,FALSE),0)</f>
        <v>0</v>
      </c>
    </row>
    <row r="671" spans="1:19" x14ac:dyDescent="0.25">
      <c r="A671" t="s">
        <v>669</v>
      </c>
      <c r="B671" t="s">
        <v>1574</v>
      </c>
      <c r="C671" t="s">
        <v>1810</v>
      </c>
      <c r="D671">
        <v>90.37</v>
      </c>
      <c r="E671" s="1">
        <v>44816</v>
      </c>
      <c r="F671" s="1" t="str">
        <f>TEXT(Sheet1[[#This Row],[Fecha ingreso]],"mmmm")</f>
        <v>septiembre</v>
      </c>
      <c r="G671" s="2">
        <f>YEAR(Sheet1[[#This Row],[Fecha ingreso]])</f>
        <v>2022</v>
      </c>
      <c r="H671" s="1" t="str">
        <f>TEXT(Sheet1[[#This Row],[Fecha ingreso]],"dddd")</f>
        <v>lunes</v>
      </c>
      <c r="I671" s="1">
        <v>45067</v>
      </c>
      <c r="J671" s="2">
        <f>DATEDIF(Sheet1[[#This Row],[Fecha ingreso]],Sheet1[[#This Row],[Fecha último pago]],"M")+1</f>
        <v>9</v>
      </c>
      <c r="K671" s="2">
        <f>Sheet1[[#This Row],[Ingresos mensuales]]*Sheet1[[#This Row],[Meses contratados]]</f>
        <v>813.33</v>
      </c>
      <c r="L671" t="s">
        <v>1816</v>
      </c>
      <c r="M671">
        <v>69</v>
      </c>
      <c r="N671" t="s">
        <v>1822</v>
      </c>
      <c r="O671" t="s">
        <v>1823</v>
      </c>
      <c r="P671" t="s">
        <v>1828</v>
      </c>
      <c r="Q671" cm="1">
        <f t="array" ref="Q671">_xlfn.IFS(P671="2 Years", 24,P671="1 Year",12, P671="6 Months",6, P671="1 Month",1)</f>
        <v>6</v>
      </c>
      <c r="R671" t="str" cm="1">
        <f t="array" ref="R671">_xlfn.IFS(Q671=1,"Mensual",Q671=6,"Semestral",Q671=12,"Anual",Q671=24,"Bienal")</f>
        <v>Semestral</v>
      </c>
      <c r="S671">
        <f>IFERROR(VLOOKUP(Sheet1[[#This Row],[ID usuario]],A672:$A$907,1,FALSE),0)</f>
        <v>0</v>
      </c>
    </row>
    <row r="672" spans="1:19" x14ac:dyDescent="0.25">
      <c r="A672" t="s">
        <v>670</v>
      </c>
      <c r="B672" t="s">
        <v>1575</v>
      </c>
      <c r="C672" t="s">
        <v>1812</v>
      </c>
      <c r="D672">
        <v>56.03</v>
      </c>
      <c r="E672" s="1">
        <v>45339</v>
      </c>
      <c r="F672" s="1" t="str">
        <f>TEXT(Sheet1[[#This Row],[Fecha ingreso]],"mmmm")</f>
        <v>febrero</v>
      </c>
      <c r="G672" s="2">
        <f>YEAR(Sheet1[[#This Row],[Fecha ingreso]])</f>
        <v>2024</v>
      </c>
      <c r="H672" s="1" t="str">
        <f>TEXT(Sheet1[[#This Row],[Fecha ingreso]],"dddd")</f>
        <v>sábado</v>
      </c>
      <c r="I672" s="1">
        <v>45436</v>
      </c>
      <c r="J672" s="2">
        <f>DATEDIF(Sheet1[[#This Row],[Fecha ingreso]],Sheet1[[#This Row],[Fecha último pago]],"M")+1</f>
        <v>4</v>
      </c>
      <c r="K672" s="2">
        <f>Sheet1[[#This Row],[Ingresos mensuales]]*Sheet1[[#This Row],[Meses contratados]]</f>
        <v>224.12</v>
      </c>
      <c r="L672" t="s">
        <v>1817</v>
      </c>
      <c r="M672">
        <v>57</v>
      </c>
      <c r="N672" t="s">
        <v>1821</v>
      </c>
      <c r="O672" t="s">
        <v>1825</v>
      </c>
      <c r="P672" t="s">
        <v>1828</v>
      </c>
      <c r="Q672" cm="1">
        <f t="array" ref="Q672">_xlfn.IFS(P672="2 Years", 24,P672="1 Year",12, P672="6 Months",6, P672="1 Month",1)</f>
        <v>6</v>
      </c>
      <c r="R672" t="str" cm="1">
        <f t="array" ref="R672">_xlfn.IFS(Q672=1,"Mensual",Q672=6,"Semestral",Q672=12,"Anual",Q672=24,"Bienal")</f>
        <v>Semestral</v>
      </c>
      <c r="S672">
        <f>IFERROR(VLOOKUP(Sheet1[[#This Row],[ID usuario]],A673:$A$907,1,FALSE),0)</f>
        <v>0</v>
      </c>
    </row>
    <row r="673" spans="1:19" x14ac:dyDescent="0.25">
      <c r="A673" t="s">
        <v>671</v>
      </c>
      <c r="B673" t="s">
        <v>1576</v>
      </c>
      <c r="C673" t="s">
        <v>1810</v>
      </c>
      <c r="D673">
        <v>24.02</v>
      </c>
      <c r="E673" s="1">
        <v>44630</v>
      </c>
      <c r="F673" s="1" t="str">
        <f>TEXT(Sheet1[[#This Row],[Fecha ingreso]],"mmmm")</f>
        <v>marzo</v>
      </c>
      <c r="G673" s="2">
        <f>YEAR(Sheet1[[#This Row],[Fecha ingreso]])</f>
        <v>2022</v>
      </c>
      <c r="H673" s="1" t="str">
        <f>TEXT(Sheet1[[#This Row],[Fecha ingreso]],"dddd")</f>
        <v>jueves</v>
      </c>
      <c r="I673" s="1">
        <v>45000</v>
      </c>
      <c r="J673" s="2">
        <f>DATEDIF(Sheet1[[#This Row],[Fecha ingreso]],Sheet1[[#This Row],[Fecha último pago]],"M")+1</f>
        <v>13</v>
      </c>
      <c r="K673" s="2">
        <f>Sheet1[[#This Row],[Ingresos mensuales]]*Sheet1[[#This Row],[Meses contratados]]</f>
        <v>312.26</v>
      </c>
      <c r="L673" t="s">
        <v>1815</v>
      </c>
      <c r="M673">
        <v>42</v>
      </c>
      <c r="N673" t="s">
        <v>1822</v>
      </c>
      <c r="O673" t="s">
        <v>1824</v>
      </c>
      <c r="P673" t="s">
        <v>1829</v>
      </c>
      <c r="Q673" cm="1">
        <f t="array" ref="Q673">_xlfn.IFS(P673="2 Years", 24,P673="1 Year",12, P673="6 Months",6, P673="1 Month",1)</f>
        <v>1</v>
      </c>
      <c r="R673" t="str" cm="1">
        <f t="array" ref="R673">_xlfn.IFS(Q673=1,"Mensual",Q673=6,"Semestral",Q673=12,"Anual",Q673=24,"Bienal")</f>
        <v>Mensual</v>
      </c>
      <c r="S673">
        <f>IFERROR(VLOOKUP(Sheet1[[#This Row],[ID usuario]],A674:$A$907,1,FALSE),0)</f>
        <v>0</v>
      </c>
    </row>
    <row r="674" spans="1:19" x14ac:dyDescent="0.25">
      <c r="A674" t="s">
        <v>672</v>
      </c>
      <c r="B674" t="s">
        <v>1577</v>
      </c>
      <c r="C674" t="s">
        <v>1810</v>
      </c>
      <c r="D674">
        <v>69</v>
      </c>
      <c r="E674" s="1">
        <v>45341</v>
      </c>
      <c r="F674" s="1" t="str">
        <f>TEXT(Sheet1[[#This Row],[Fecha ingreso]],"mmmm")</f>
        <v>febrero</v>
      </c>
      <c r="G674" s="2">
        <f>YEAR(Sheet1[[#This Row],[Fecha ingreso]])</f>
        <v>2024</v>
      </c>
      <c r="H674" s="1" t="str">
        <f>TEXT(Sheet1[[#This Row],[Fecha ingreso]],"dddd")</f>
        <v>lunes</v>
      </c>
      <c r="I674" s="1">
        <v>45449</v>
      </c>
      <c r="J674" s="2">
        <f>DATEDIF(Sheet1[[#This Row],[Fecha ingreso]],Sheet1[[#This Row],[Fecha último pago]],"M")+1</f>
        <v>4</v>
      </c>
      <c r="K674" s="2">
        <f>Sheet1[[#This Row],[Ingresos mensuales]]*Sheet1[[#This Row],[Meses contratados]]</f>
        <v>276</v>
      </c>
      <c r="L674" t="s">
        <v>1819</v>
      </c>
      <c r="M674">
        <v>49</v>
      </c>
      <c r="N674" t="s">
        <v>1820</v>
      </c>
      <c r="O674" t="s">
        <v>1824</v>
      </c>
      <c r="P674" t="s">
        <v>1827</v>
      </c>
      <c r="Q674" cm="1">
        <f t="array" ref="Q674">_xlfn.IFS(P674="2 Years", 24,P674="1 Year",12, P674="6 Months",6, P674="1 Month",1)</f>
        <v>12</v>
      </c>
      <c r="R674" t="str" cm="1">
        <f t="array" ref="R674">_xlfn.IFS(Q674=1,"Mensual",Q674=6,"Semestral",Q674=12,"Anual",Q674=24,"Bienal")</f>
        <v>Anual</v>
      </c>
      <c r="S674">
        <f>IFERROR(VLOOKUP(Sheet1[[#This Row],[ID usuario]],A675:$A$907,1,FALSE),0)</f>
        <v>0</v>
      </c>
    </row>
    <row r="675" spans="1:19" x14ac:dyDescent="0.25">
      <c r="A675" t="s">
        <v>673</v>
      </c>
      <c r="B675" t="s">
        <v>1578</v>
      </c>
      <c r="C675" t="s">
        <v>1812</v>
      </c>
      <c r="D675">
        <v>66.2</v>
      </c>
      <c r="E675" s="1">
        <v>44397</v>
      </c>
      <c r="F675" s="1" t="str">
        <f>TEXT(Sheet1[[#This Row],[Fecha ingreso]],"mmmm")</f>
        <v>julio</v>
      </c>
      <c r="G675" s="2">
        <f>YEAR(Sheet1[[#This Row],[Fecha ingreso]])</f>
        <v>2021</v>
      </c>
      <c r="H675" s="1" t="str">
        <f>TEXT(Sheet1[[#This Row],[Fecha ingreso]],"dddd")</f>
        <v>martes</v>
      </c>
      <c r="I675" s="1">
        <v>44640</v>
      </c>
      <c r="J675" s="2">
        <f>DATEDIF(Sheet1[[#This Row],[Fecha ingreso]],Sheet1[[#This Row],[Fecha último pago]],"M")+1</f>
        <v>9</v>
      </c>
      <c r="K675" s="2">
        <f>Sheet1[[#This Row],[Ingresos mensuales]]*Sheet1[[#This Row],[Meses contratados]]</f>
        <v>595.80000000000007</v>
      </c>
      <c r="L675" t="s">
        <v>1814</v>
      </c>
      <c r="M675">
        <v>38</v>
      </c>
      <c r="N675" t="s">
        <v>1821</v>
      </c>
      <c r="O675" t="s">
        <v>1823</v>
      </c>
      <c r="P675" t="s">
        <v>1829</v>
      </c>
      <c r="Q675" cm="1">
        <f t="array" ref="Q675">_xlfn.IFS(P675="2 Years", 24,P675="1 Year",12, P675="6 Months",6, P675="1 Month",1)</f>
        <v>1</v>
      </c>
      <c r="R675" t="str" cm="1">
        <f t="array" ref="R675">_xlfn.IFS(Q675=1,"Mensual",Q675=6,"Semestral",Q675=12,"Anual",Q675=24,"Bienal")</f>
        <v>Mensual</v>
      </c>
      <c r="S675">
        <f>IFERROR(VLOOKUP(Sheet1[[#This Row],[ID usuario]],A676:$A$907,1,FALSE),0)</f>
        <v>0</v>
      </c>
    </row>
    <row r="676" spans="1:19" x14ac:dyDescent="0.25">
      <c r="A676" t="s">
        <v>674</v>
      </c>
      <c r="B676" t="s">
        <v>1579</v>
      </c>
      <c r="C676" t="s">
        <v>1811</v>
      </c>
      <c r="D676">
        <v>16.600000000000001</v>
      </c>
      <c r="E676" s="1">
        <v>44801</v>
      </c>
      <c r="F676" s="1" t="str">
        <f>TEXT(Sheet1[[#This Row],[Fecha ingreso]],"mmmm")</f>
        <v>agosto</v>
      </c>
      <c r="G676" s="2">
        <f>YEAR(Sheet1[[#This Row],[Fecha ingreso]])</f>
        <v>2022</v>
      </c>
      <c r="H676" s="1" t="str">
        <f>TEXT(Sheet1[[#This Row],[Fecha ingreso]],"dddd")</f>
        <v>domingo</v>
      </c>
      <c r="I676" s="1">
        <v>44891</v>
      </c>
      <c r="J676" s="2">
        <f>DATEDIF(Sheet1[[#This Row],[Fecha ingreso]],Sheet1[[#This Row],[Fecha último pago]],"M")+1</f>
        <v>3</v>
      </c>
      <c r="K676" s="2">
        <f>Sheet1[[#This Row],[Ingresos mensuales]]*Sheet1[[#This Row],[Meses contratados]]</f>
        <v>49.800000000000004</v>
      </c>
      <c r="L676" t="s">
        <v>1818</v>
      </c>
      <c r="M676">
        <v>36</v>
      </c>
      <c r="N676" t="s">
        <v>1821</v>
      </c>
      <c r="O676" t="s">
        <v>1824</v>
      </c>
      <c r="P676" t="s">
        <v>1827</v>
      </c>
      <c r="Q676" cm="1">
        <f t="array" ref="Q676">_xlfn.IFS(P676="2 Years", 24,P676="1 Year",12, P676="6 Months",6, P676="1 Month",1)</f>
        <v>12</v>
      </c>
      <c r="R676" t="str" cm="1">
        <f t="array" ref="R676">_xlfn.IFS(Q676=1,"Mensual",Q676=6,"Semestral",Q676=12,"Anual",Q676=24,"Bienal")</f>
        <v>Anual</v>
      </c>
      <c r="S676">
        <f>IFERROR(VLOOKUP(Sheet1[[#This Row],[ID usuario]],A677:$A$907,1,FALSE),0)</f>
        <v>0</v>
      </c>
    </row>
    <row r="677" spans="1:19" x14ac:dyDescent="0.25">
      <c r="A677" t="s">
        <v>675</v>
      </c>
      <c r="B677" t="s">
        <v>1580</v>
      </c>
      <c r="C677" t="s">
        <v>1810</v>
      </c>
      <c r="D677">
        <v>29.66</v>
      </c>
      <c r="E677" s="1">
        <v>45231</v>
      </c>
      <c r="F677" s="1" t="str">
        <f>TEXT(Sheet1[[#This Row],[Fecha ingreso]],"mmmm")</f>
        <v>noviembre</v>
      </c>
      <c r="G677" s="2">
        <f>YEAR(Sheet1[[#This Row],[Fecha ingreso]])</f>
        <v>2023</v>
      </c>
      <c r="H677" s="1" t="str">
        <f>TEXT(Sheet1[[#This Row],[Fecha ingreso]],"dddd")</f>
        <v>miércoles</v>
      </c>
      <c r="I677" s="1">
        <v>45289</v>
      </c>
      <c r="J677" s="2">
        <f>DATEDIF(Sheet1[[#This Row],[Fecha ingreso]],Sheet1[[#This Row],[Fecha último pago]],"M")+1</f>
        <v>2</v>
      </c>
      <c r="K677" s="2">
        <f>Sheet1[[#This Row],[Ingresos mensuales]]*Sheet1[[#This Row],[Meses contratados]]</f>
        <v>59.32</v>
      </c>
      <c r="L677" t="s">
        <v>1814</v>
      </c>
      <c r="M677">
        <v>53</v>
      </c>
      <c r="N677" t="s">
        <v>1820</v>
      </c>
      <c r="O677" t="s">
        <v>1824</v>
      </c>
      <c r="P677" t="s">
        <v>1827</v>
      </c>
      <c r="Q677" cm="1">
        <f t="array" ref="Q677">_xlfn.IFS(P677="2 Years", 24,P677="1 Year",12, P677="6 Months",6, P677="1 Month",1)</f>
        <v>12</v>
      </c>
      <c r="R677" t="str" cm="1">
        <f t="array" ref="R677">_xlfn.IFS(Q677=1,"Mensual",Q677=6,"Semestral",Q677=12,"Anual",Q677=24,"Bienal")</f>
        <v>Anual</v>
      </c>
      <c r="S677">
        <f>IFERROR(VLOOKUP(Sheet1[[#This Row],[ID usuario]],A678:$A$907,1,FALSE),0)</f>
        <v>0</v>
      </c>
    </row>
    <row r="678" spans="1:19" x14ac:dyDescent="0.25">
      <c r="A678" t="s">
        <v>676</v>
      </c>
      <c r="B678" t="s">
        <v>1581</v>
      </c>
      <c r="C678" t="s">
        <v>1812</v>
      </c>
      <c r="D678">
        <v>10.71</v>
      </c>
      <c r="E678" s="1">
        <v>45318</v>
      </c>
      <c r="F678" s="1" t="str">
        <f>TEXT(Sheet1[[#This Row],[Fecha ingreso]],"mmmm")</f>
        <v>enero</v>
      </c>
      <c r="G678" s="2">
        <f>YEAR(Sheet1[[#This Row],[Fecha ingreso]])</f>
        <v>2024</v>
      </c>
      <c r="H678" s="1" t="str">
        <f>TEXT(Sheet1[[#This Row],[Fecha ingreso]],"dddd")</f>
        <v>sábado</v>
      </c>
      <c r="I678" s="1">
        <v>45377</v>
      </c>
      <c r="J678" s="2">
        <f>DATEDIF(Sheet1[[#This Row],[Fecha ingreso]],Sheet1[[#This Row],[Fecha último pago]],"M")+1</f>
        <v>2</v>
      </c>
      <c r="K678" s="2">
        <f>Sheet1[[#This Row],[Ingresos mensuales]]*Sheet1[[#This Row],[Meses contratados]]</f>
        <v>21.42</v>
      </c>
      <c r="L678" t="s">
        <v>1818</v>
      </c>
      <c r="M678">
        <v>50</v>
      </c>
      <c r="N678" t="s">
        <v>1822</v>
      </c>
      <c r="O678" t="s">
        <v>1824</v>
      </c>
      <c r="P678" t="s">
        <v>1828</v>
      </c>
      <c r="Q678" cm="1">
        <f t="array" ref="Q678">_xlfn.IFS(P678="2 Years", 24,P678="1 Year",12, P678="6 Months",6, P678="1 Month",1)</f>
        <v>6</v>
      </c>
      <c r="R678" t="str" cm="1">
        <f t="array" ref="R678">_xlfn.IFS(Q678=1,"Mensual",Q678=6,"Semestral",Q678=12,"Anual",Q678=24,"Bienal")</f>
        <v>Semestral</v>
      </c>
      <c r="S678">
        <f>IFERROR(VLOOKUP(Sheet1[[#This Row],[ID usuario]],A679:$A$907,1,FALSE),0)</f>
        <v>0</v>
      </c>
    </row>
    <row r="679" spans="1:19" x14ac:dyDescent="0.25">
      <c r="A679" t="s">
        <v>677</v>
      </c>
      <c r="B679" t="s">
        <v>1582</v>
      </c>
      <c r="C679" t="s">
        <v>1810</v>
      </c>
      <c r="D679">
        <v>24.94</v>
      </c>
      <c r="E679" s="1">
        <v>44711</v>
      </c>
      <c r="F679" s="1" t="str">
        <f>TEXT(Sheet1[[#This Row],[Fecha ingreso]],"mmmm")</f>
        <v>mayo</v>
      </c>
      <c r="G679" s="2">
        <f>YEAR(Sheet1[[#This Row],[Fecha ingreso]])</f>
        <v>2022</v>
      </c>
      <c r="H679" s="1" t="str">
        <f>TEXT(Sheet1[[#This Row],[Fecha ingreso]],"dddd")</f>
        <v>lunes</v>
      </c>
      <c r="I679" s="1">
        <v>45123</v>
      </c>
      <c r="J679" s="2">
        <f>DATEDIF(Sheet1[[#This Row],[Fecha ingreso]],Sheet1[[#This Row],[Fecha último pago]],"M")+1</f>
        <v>14</v>
      </c>
      <c r="K679" s="2">
        <f>Sheet1[[#This Row],[Ingresos mensuales]]*Sheet1[[#This Row],[Meses contratados]]</f>
        <v>349.16</v>
      </c>
      <c r="L679" t="s">
        <v>1817</v>
      </c>
      <c r="M679">
        <v>38</v>
      </c>
      <c r="N679" t="s">
        <v>1821</v>
      </c>
      <c r="O679" t="s">
        <v>1825</v>
      </c>
      <c r="P679" t="s">
        <v>1826</v>
      </c>
      <c r="Q679" cm="1">
        <f t="array" ref="Q679">_xlfn.IFS(P679="2 Years", 24,P679="1 Year",12, P679="6 Months",6, P679="1 Month",1)</f>
        <v>24</v>
      </c>
      <c r="R679" t="str" cm="1">
        <f t="array" ref="R679">_xlfn.IFS(Q679=1,"Mensual",Q679=6,"Semestral",Q679=12,"Anual",Q679=24,"Bienal")</f>
        <v>Bienal</v>
      </c>
      <c r="S679">
        <f>IFERROR(VLOOKUP(Sheet1[[#This Row],[ID usuario]],A680:$A$907,1,FALSE),0)</f>
        <v>0</v>
      </c>
    </row>
    <row r="680" spans="1:19" x14ac:dyDescent="0.25">
      <c r="A680" t="s">
        <v>678</v>
      </c>
      <c r="B680" t="s">
        <v>1583</v>
      </c>
      <c r="C680" t="s">
        <v>1810</v>
      </c>
      <c r="D680">
        <v>17.57</v>
      </c>
      <c r="E680" s="1">
        <v>44590</v>
      </c>
      <c r="F680" s="1" t="str">
        <f>TEXT(Sheet1[[#This Row],[Fecha ingreso]],"mmmm")</f>
        <v>enero</v>
      </c>
      <c r="G680" s="2">
        <f>YEAR(Sheet1[[#This Row],[Fecha ingreso]])</f>
        <v>2022</v>
      </c>
      <c r="H680" s="1" t="str">
        <f>TEXT(Sheet1[[#This Row],[Fecha ingreso]],"dddd")</f>
        <v>sábado</v>
      </c>
      <c r="I680" s="1">
        <v>45247</v>
      </c>
      <c r="J680" s="2">
        <f>DATEDIF(Sheet1[[#This Row],[Fecha ingreso]],Sheet1[[#This Row],[Fecha último pago]],"M")+1</f>
        <v>22</v>
      </c>
      <c r="K680" s="2">
        <f>Sheet1[[#This Row],[Ingresos mensuales]]*Sheet1[[#This Row],[Meses contratados]]</f>
        <v>386.54</v>
      </c>
      <c r="L680" t="s">
        <v>1816</v>
      </c>
      <c r="M680">
        <v>42</v>
      </c>
      <c r="N680" t="s">
        <v>1822</v>
      </c>
      <c r="O680" t="s">
        <v>1824</v>
      </c>
      <c r="P680" t="s">
        <v>1827</v>
      </c>
      <c r="Q680" cm="1">
        <f t="array" ref="Q680">_xlfn.IFS(P680="2 Years", 24,P680="1 Year",12, P680="6 Months",6, P680="1 Month",1)</f>
        <v>12</v>
      </c>
      <c r="R680" t="str" cm="1">
        <f t="array" ref="R680">_xlfn.IFS(Q680=1,"Mensual",Q680=6,"Semestral",Q680=12,"Anual",Q680=24,"Bienal")</f>
        <v>Anual</v>
      </c>
      <c r="S680">
        <f>IFERROR(VLOOKUP(Sheet1[[#This Row],[ID usuario]],A681:$A$907,1,FALSE),0)</f>
        <v>0</v>
      </c>
    </row>
    <row r="681" spans="1:19" x14ac:dyDescent="0.25">
      <c r="A681" t="s">
        <v>679</v>
      </c>
      <c r="B681" t="s">
        <v>1584</v>
      </c>
      <c r="C681" t="s">
        <v>1812</v>
      </c>
      <c r="D681">
        <v>23.36</v>
      </c>
      <c r="E681" s="1">
        <v>44847</v>
      </c>
      <c r="F681" s="1" t="str">
        <f>TEXT(Sheet1[[#This Row],[Fecha ingreso]],"mmmm")</f>
        <v>octubre</v>
      </c>
      <c r="G681" s="2">
        <f>YEAR(Sheet1[[#This Row],[Fecha ingreso]])</f>
        <v>2022</v>
      </c>
      <c r="H681" s="1" t="str">
        <f>TEXT(Sheet1[[#This Row],[Fecha ingreso]],"dddd")</f>
        <v>jueves</v>
      </c>
      <c r="I681" s="1">
        <v>44972</v>
      </c>
      <c r="J681" s="2">
        <f>DATEDIF(Sheet1[[#This Row],[Fecha ingreso]],Sheet1[[#This Row],[Fecha último pago]],"M")+1</f>
        <v>5</v>
      </c>
      <c r="K681" s="2">
        <f>Sheet1[[#This Row],[Ingresos mensuales]]*Sheet1[[#This Row],[Meses contratados]]</f>
        <v>116.8</v>
      </c>
      <c r="L681" t="s">
        <v>1816</v>
      </c>
      <c r="M681">
        <v>50</v>
      </c>
      <c r="N681" t="s">
        <v>1821</v>
      </c>
      <c r="O681" t="s">
        <v>1824</v>
      </c>
      <c r="P681" t="s">
        <v>1828</v>
      </c>
      <c r="Q681" cm="1">
        <f t="array" ref="Q681">_xlfn.IFS(P681="2 Years", 24,P681="1 Year",12, P681="6 Months",6, P681="1 Month",1)</f>
        <v>6</v>
      </c>
      <c r="R681" t="str" cm="1">
        <f t="array" ref="R681">_xlfn.IFS(Q681=1,"Mensual",Q681=6,"Semestral",Q681=12,"Anual",Q681=24,"Bienal")</f>
        <v>Semestral</v>
      </c>
      <c r="S681">
        <f>IFERROR(VLOOKUP(Sheet1[[#This Row],[ID usuario]],A682:$A$907,1,FALSE),0)</f>
        <v>0</v>
      </c>
    </row>
    <row r="682" spans="1:19" x14ac:dyDescent="0.25">
      <c r="A682" t="s">
        <v>680</v>
      </c>
      <c r="B682" t="s">
        <v>1585</v>
      </c>
      <c r="C682" t="s">
        <v>1810</v>
      </c>
      <c r="D682">
        <v>70.12</v>
      </c>
      <c r="E682" s="1">
        <v>45092</v>
      </c>
      <c r="F682" s="1" t="str">
        <f>TEXT(Sheet1[[#This Row],[Fecha ingreso]],"mmmm")</f>
        <v>junio</v>
      </c>
      <c r="G682" s="2">
        <f>YEAR(Sheet1[[#This Row],[Fecha ingreso]])</f>
        <v>2023</v>
      </c>
      <c r="H682" s="1" t="str">
        <f>TEXT(Sheet1[[#This Row],[Fecha ingreso]],"dddd")</f>
        <v>jueves</v>
      </c>
      <c r="I682" s="1">
        <v>45273</v>
      </c>
      <c r="J682" s="2">
        <f>DATEDIF(Sheet1[[#This Row],[Fecha ingreso]],Sheet1[[#This Row],[Fecha último pago]],"M")+1</f>
        <v>6</v>
      </c>
      <c r="K682" s="2">
        <f>Sheet1[[#This Row],[Ingresos mensuales]]*Sheet1[[#This Row],[Meses contratados]]</f>
        <v>420.72</v>
      </c>
      <c r="L682" t="s">
        <v>1816</v>
      </c>
      <c r="M682">
        <v>45</v>
      </c>
      <c r="N682" t="s">
        <v>1820</v>
      </c>
      <c r="O682" t="s">
        <v>1823</v>
      </c>
      <c r="P682" t="s">
        <v>1828</v>
      </c>
      <c r="Q682" cm="1">
        <f t="array" ref="Q682">_xlfn.IFS(P682="2 Years", 24,P682="1 Year",12, P682="6 Months",6, P682="1 Month",1)</f>
        <v>6</v>
      </c>
      <c r="R682" t="str" cm="1">
        <f t="array" ref="R682">_xlfn.IFS(Q682=1,"Mensual",Q682=6,"Semestral",Q682=12,"Anual",Q682=24,"Bienal")</f>
        <v>Semestral</v>
      </c>
      <c r="S682">
        <f>IFERROR(VLOOKUP(Sheet1[[#This Row],[ID usuario]],A683:$A$907,1,FALSE),0)</f>
        <v>0</v>
      </c>
    </row>
    <row r="683" spans="1:19" x14ac:dyDescent="0.25">
      <c r="A683" t="s">
        <v>681</v>
      </c>
      <c r="B683" t="s">
        <v>1586</v>
      </c>
      <c r="C683" t="s">
        <v>1811</v>
      </c>
      <c r="D683">
        <v>9.6999999999999993</v>
      </c>
      <c r="E683" s="1">
        <v>44555</v>
      </c>
      <c r="F683" s="1" t="str">
        <f>TEXT(Sheet1[[#This Row],[Fecha ingreso]],"mmmm")</f>
        <v>diciembre</v>
      </c>
      <c r="G683" s="2">
        <f>YEAR(Sheet1[[#This Row],[Fecha ingreso]])</f>
        <v>2021</v>
      </c>
      <c r="H683" s="1" t="str">
        <f>TEXT(Sheet1[[#This Row],[Fecha ingreso]],"dddd")</f>
        <v>sábado</v>
      </c>
      <c r="I683" s="1">
        <v>44727</v>
      </c>
      <c r="J683" s="2">
        <f>DATEDIF(Sheet1[[#This Row],[Fecha ingreso]],Sheet1[[#This Row],[Fecha último pago]],"M")+1</f>
        <v>6</v>
      </c>
      <c r="K683" s="2">
        <f>Sheet1[[#This Row],[Ingresos mensuales]]*Sheet1[[#This Row],[Meses contratados]]</f>
        <v>58.199999999999996</v>
      </c>
      <c r="L683" t="s">
        <v>1813</v>
      </c>
      <c r="M683">
        <v>62</v>
      </c>
      <c r="N683" t="s">
        <v>1822</v>
      </c>
      <c r="O683" t="s">
        <v>1825</v>
      </c>
      <c r="P683" t="s">
        <v>1829</v>
      </c>
      <c r="Q683" cm="1">
        <f t="array" ref="Q683">_xlfn.IFS(P683="2 Years", 24,P683="1 Year",12, P683="6 Months",6, P683="1 Month",1)</f>
        <v>1</v>
      </c>
      <c r="R683" t="str" cm="1">
        <f t="array" ref="R683">_xlfn.IFS(Q683=1,"Mensual",Q683=6,"Semestral",Q683=12,"Anual",Q683=24,"Bienal")</f>
        <v>Mensual</v>
      </c>
      <c r="S683">
        <f>IFERROR(VLOOKUP(Sheet1[[#This Row],[ID usuario]],A684:$A$907,1,FALSE),0)</f>
        <v>0</v>
      </c>
    </row>
    <row r="684" spans="1:19" x14ac:dyDescent="0.25">
      <c r="A684" t="s">
        <v>682</v>
      </c>
      <c r="B684" t="s">
        <v>1587</v>
      </c>
      <c r="C684" t="s">
        <v>1812</v>
      </c>
      <c r="D684">
        <v>14.68</v>
      </c>
      <c r="E684" s="1">
        <v>44610</v>
      </c>
      <c r="F684" s="1" t="str">
        <f>TEXT(Sheet1[[#This Row],[Fecha ingreso]],"mmmm")</f>
        <v>febrero</v>
      </c>
      <c r="G684" s="2">
        <f>YEAR(Sheet1[[#This Row],[Fecha ingreso]])</f>
        <v>2022</v>
      </c>
      <c r="H684" s="1" t="str">
        <f>TEXT(Sheet1[[#This Row],[Fecha ingreso]],"dddd")</f>
        <v>viernes</v>
      </c>
      <c r="I684" s="1">
        <v>45170</v>
      </c>
      <c r="J684" s="2">
        <f>DATEDIF(Sheet1[[#This Row],[Fecha ingreso]],Sheet1[[#This Row],[Fecha último pago]],"M")+1</f>
        <v>19</v>
      </c>
      <c r="K684" s="2">
        <f>Sheet1[[#This Row],[Ingresos mensuales]]*Sheet1[[#This Row],[Meses contratados]]</f>
        <v>278.92</v>
      </c>
      <c r="L684" t="s">
        <v>1819</v>
      </c>
      <c r="M684">
        <v>54</v>
      </c>
      <c r="N684" t="s">
        <v>1820</v>
      </c>
      <c r="O684" t="s">
        <v>1825</v>
      </c>
      <c r="P684" t="s">
        <v>1826</v>
      </c>
      <c r="Q684" cm="1">
        <f t="array" ref="Q684">_xlfn.IFS(P684="2 Years", 24,P684="1 Year",12, P684="6 Months",6, P684="1 Month",1)</f>
        <v>24</v>
      </c>
      <c r="R684" t="str" cm="1">
        <f t="array" ref="R684">_xlfn.IFS(Q684=1,"Mensual",Q684=6,"Semestral",Q684=12,"Anual",Q684=24,"Bienal")</f>
        <v>Bienal</v>
      </c>
      <c r="S684">
        <f>IFERROR(VLOOKUP(Sheet1[[#This Row],[ID usuario]],A685:$A$907,1,FALSE),0)</f>
        <v>0</v>
      </c>
    </row>
    <row r="685" spans="1:19" x14ac:dyDescent="0.25">
      <c r="A685" t="s">
        <v>683</v>
      </c>
      <c r="B685" t="s">
        <v>1588</v>
      </c>
      <c r="C685" t="s">
        <v>1810</v>
      </c>
      <c r="D685">
        <v>17.75</v>
      </c>
      <c r="E685" s="1">
        <v>45079</v>
      </c>
      <c r="F685" s="1" t="str">
        <f>TEXT(Sheet1[[#This Row],[Fecha ingreso]],"mmmm")</f>
        <v>junio</v>
      </c>
      <c r="G685" s="2">
        <f>YEAR(Sheet1[[#This Row],[Fecha ingreso]])</f>
        <v>2023</v>
      </c>
      <c r="H685" s="1" t="str">
        <f>TEXT(Sheet1[[#This Row],[Fecha ingreso]],"dddd")</f>
        <v>viernes</v>
      </c>
      <c r="I685" s="1">
        <v>45360</v>
      </c>
      <c r="J685" s="2">
        <f>DATEDIF(Sheet1[[#This Row],[Fecha ingreso]],Sheet1[[#This Row],[Fecha último pago]],"M")+1</f>
        <v>10</v>
      </c>
      <c r="K685" s="2">
        <f>Sheet1[[#This Row],[Ingresos mensuales]]*Sheet1[[#This Row],[Meses contratados]]</f>
        <v>177.5</v>
      </c>
      <c r="L685" t="s">
        <v>1815</v>
      </c>
      <c r="M685">
        <v>36</v>
      </c>
      <c r="N685" t="s">
        <v>1820</v>
      </c>
      <c r="O685" t="s">
        <v>1824</v>
      </c>
      <c r="P685" t="s">
        <v>1826</v>
      </c>
      <c r="Q685" cm="1">
        <f t="array" ref="Q685">_xlfn.IFS(P685="2 Years", 24,P685="1 Year",12, P685="6 Months",6, P685="1 Month",1)</f>
        <v>24</v>
      </c>
      <c r="R685" t="str" cm="1">
        <f t="array" ref="R685">_xlfn.IFS(Q685=1,"Mensual",Q685=6,"Semestral",Q685=12,"Anual",Q685=24,"Bienal")</f>
        <v>Bienal</v>
      </c>
      <c r="S685">
        <f>IFERROR(VLOOKUP(Sheet1[[#This Row],[ID usuario]],A686:$A$907,1,FALSE),0)</f>
        <v>0</v>
      </c>
    </row>
    <row r="686" spans="1:19" x14ac:dyDescent="0.25">
      <c r="A686" t="s">
        <v>684</v>
      </c>
      <c r="B686" t="s">
        <v>1589</v>
      </c>
      <c r="C686" t="s">
        <v>1812</v>
      </c>
      <c r="D686">
        <v>35.07</v>
      </c>
      <c r="E686" s="1">
        <v>44856</v>
      </c>
      <c r="F686" s="1" t="str">
        <f>TEXT(Sheet1[[#This Row],[Fecha ingreso]],"mmmm")</f>
        <v>octubre</v>
      </c>
      <c r="G686" s="2">
        <f>YEAR(Sheet1[[#This Row],[Fecha ingreso]])</f>
        <v>2022</v>
      </c>
      <c r="H686" s="1" t="str">
        <f>TEXT(Sheet1[[#This Row],[Fecha ingreso]],"dddd")</f>
        <v>sábado</v>
      </c>
      <c r="I686" s="1">
        <v>45178</v>
      </c>
      <c r="J686" s="2">
        <f>DATEDIF(Sheet1[[#This Row],[Fecha ingreso]],Sheet1[[#This Row],[Fecha último pago]],"M")+1</f>
        <v>11</v>
      </c>
      <c r="K686" s="2">
        <f>Sheet1[[#This Row],[Ingresos mensuales]]*Sheet1[[#This Row],[Meses contratados]]</f>
        <v>385.77</v>
      </c>
      <c r="L686" t="s">
        <v>1819</v>
      </c>
      <c r="M686">
        <v>40</v>
      </c>
      <c r="N686" t="s">
        <v>1821</v>
      </c>
      <c r="O686" t="s">
        <v>1824</v>
      </c>
      <c r="P686" t="s">
        <v>1826</v>
      </c>
      <c r="Q686" cm="1">
        <f t="array" ref="Q686">_xlfn.IFS(P686="2 Years", 24,P686="1 Year",12, P686="6 Months",6, P686="1 Month",1)</f>
        <v>24</v>
      </c>
      <c r="R686" t="str" cm="1">
        <f t="array" ref="R686">_xlfn.IFS(Q686=1,"Mensual",Q686=6,"Semestral",Q686=12,"Anual",Q686=24,"Bienal")</f>
        <v>Bienal</v>
      </c>
      <c r="S686">
        <f>IFERROR(VLOOKUP(Sheet1[[#This Row],[ID usuario]],A687:$A$907,1,FALSE),0)</f>
        <v>0</v>
      </c>
    </row>
    <row r="687" spans="1:19" x14ac:dyDescent="0.25">
      <c r="A687" t="s">
        <v>685</v>
      </c>
      <c r="B687" t="s">
        <v>1590</v>
      </c>
      <c r="C687" t="s">
        <v>1812</v>
      </c>
      <c r="D687">
        <v>33.380000000000003</v>
      </c>
      <c r="E687" s="1">
        <v>44719</v>
      </c>
      <c r="F687" s="1" t="str">
        <f>TEXT(Sheet1[[#This Row],[Fecha ingreso]],"mmmm")</f>
        <v>junio</v>
      </c>
      <c r="G687" s="2">
        <f>YEAR(Sheet1[[#This Row],[Fecha ingreso]])</f>
        <v>2022</v>
      </c>
      <c r="H687" s="1" t="str">
        <f>TEXT(Sheet1[[#This Row],[Fecha ingreso]],"dddd")</f>
        <v>martes</v>
      </c>
      <c r="I687" s="1">
        <v>44858</v>
      </c>
      <c r="J687" s="2">
        <f>DATEDIF(Sheet1[[#This Row],[Fecha ingreso]],Sheet1[[#This Row],[Fecha último pago]],"M")+1</f>
        <v>5</v>
      </c>
      <c r="K687" s="2">
        <f>Sheet1[[#This Row],[Ingresos mensuales]]*Sheet1[[#This Row],[Meses contratados]]</f>
        <v>166.9</v>
      </c>
      <c r="L687" t="s">
        <v>1819</v>
      </c>
      <c r="M687">
        <v>52</v>
      </c>
      <c r="N687" t="s">
        <v>1820</v>
      </c>
      <c r="O687" t="s">
        <v>1825</v>
      </c>
      <c r="P687" t="s">
        <v>1826</v>
      </c>
      <c r="Q687" cm="1">
        <f t="array" ref="Q687">_xlfn.IFS(P687="2 Years", 24,P687="1 Year",12, P687="6 Months",6, P687="1 Month",1)</f>
        <v>24</v>
      </c>
      <c r="R687" t="str" cm="1">
        <f t="array" ref="R687">_xlfn.IFS(Q687=1,"Mensual",Q687=6,"Semestral",Q687=12,"Anual",Q687=24,"Bienal")</f>
        <v>Bienal</v>
      </c>
      <c r="S687">
        <f>IFERROR(VLOOKUP(Sheet1[[#This Row],[ID usuario]],A688:$A$907,1,FALSE),0)</f>
        <v>0</v>
      </c>
    </row>
    <row r="688" spans="1:19" x14ac:dyDescent="0.25">
      <c r="A688" t="s">
        <v>686</v>
      </c>
      <c r="B688" t="s">
        <v>1591</v>
      </c>
      <c r="C688" t="s">
        <v>1811</v>
      </c>
      <c r="D688">
        <v>29.23</v>
      </c>
      <c r="E688" s="1">
        <v>45433</v>
      </c>
      <c r="F688" s="1" t="str">
        <f>TEXT(Sheet1[[#This Row],[Fecha ingreso]],"mmmm")</f>
        <v>mayo</v>
      </c>
      <c r="G688" s="2">
        <f>YEAR(Sheet1[[#This Row],[Fecha ingreso]])</f>
        <v>2024</v>
      </c>
      <c r="H688" s="1" t="str">
        <f>TEXT(Sheet1[[#This Row],[Fecha ingreso]],"dddd")</f>
        <v>martes</v>
      </c>
      <c r="I688" s="1">
        <v>45433</v>
      </c>
      <c r="J688" s="2">
        <f>DATEDIF(Sheet1[[#This Row],[Fecha ingreso]],Sheet1[[#This Row],[Fecha último pago]],"M")+1</f>
        <v>1</v>
      </c>
      <c r="K688" s="2">
        <f>Sheet1[[#This Row],[Ingresos mensuales]]*Sheet1[[#This Row],[Meses contratados]]</f>
        <v>29.23</v>
      </c>
      <c r="L688" t="s">
        <v>1815</v>
      </c>
      <c r="M688">
        <v>49</v>
      </c>
      <c r="N688" t="s">
        <v>1822</v>
      </c>
      <c r="O688" t="s">
        <v>1824</v>
      </c>
      <c r="P688" t="s">
        <v>1826</v>
      </c>
      <c r="Q688" cm="1">
        <f t="array" ref="Q688">_xlfn.IFS(P688="2 Years", 24,P688="1 Year",12, P688="6 Months",6, P688="1 Month",1)</f>
        <v>24</v>
      </c>
      <c r="R688" t="str" cm="1">
        <f t="array" ref="R688">_xlfn.IFS(Q688=1,"Mensual",Q688=6,"Semestral",Q688=12,"Anual",Q688=24,"Bienal")</f>
        <v>Bienal</v>
      </c>
      <c r="S688">
        <f>IFERROR(VLOOKUP(Sheet1[[#This Row],[ID usuario]],A689:$A$907,1,FALSE),0)</f>
        <v>0</v>
      </c>
    </row>
    <row r="689" spans="1:19" x14ac:dyDescent="0.25">
      <c r="A689" t="s">
        <v>687</v>
      </c>
      <c r="B689" t="s">
        <v>1592</v>
      </c>
      <c r="C689" t="s">
        <v>1812</v>
      </c>
      <c r="D689">
        <v>76.3</v>
      </c>
      <c r="E689" s="1">
        <v>44399</v>
      </c>
      <c r="F689" s="1" t="str">
        <f>TEXT(Sheet1[[#This Row],[Fecha ingreso]],"mmmm")</f>
        <v>julio</v>
      </c>
      <c r="G689" s="2">
        <f>YEAR(Sheet1[[#This Row],[Fecha ingreso]])</f>
        <v>2021</v>
      </c>
      <c r="H689" s="1" t="str">
        <f>TEXT(Sheet1[[#This Row],[Fecha ingreso]],"dddd")</f>
        <v>jueves</v>
      </c>
      <c r="I689" s="1">
        <v>44999</v>
      </c>
      <c r="J689" s="2">
        <f>DATEDIF(Sheet1[[#This Row],[Fecha ingreso]],Sheet1[[#This Row],[Fecha último pago]],"M")+1</f>
        <v>20</v>
      </c>
      <c r="K689" s="2">
        <f>Sheet1[[#This Row],[Ingresos mensuales]]*Sheet1[[#This Row],[Meses contratados]]</f>
        <v>1526</v>
      </c>
      <c r="L689" t="s">
        <v>1817</v>
      </c>
      <c r="M689">
        <v>68</v>
      </c>
      <c r="N689" t="s">
        <v>1821</v>
      </c>
      <c r="O689" t="s">
        <v>1824</v>
      </c>
      <c r="P689" t="s">
        <v>1828</v>
      </c>
      <c r="Q689" cm="1">
        <f t="array" ref="Q689">_xlfn.IFS(P689="2 Years", 24,P689="1 Year",12, P689="6 Months",6, P689="1 Month",1)</f>
        <v>6</v>
      </c>
      <c r="R689" t="str" cm="1">
        <f t="array" ref="R689">_xlfn.IFS(Q689=1,"Mensual",Q689=6,"Semestral",Q689=12,"Anual",Q689=24,"Bienal")</f>
        <v>Semestral</v>
      </c>
      <c r="S689">
        <f>IFERROR(VLOOKUP(Sheet1[[#This Row],[ID usuario]],A690:$A$907,1,FALSE),0)</f>
        <v>0</v>
      </c>
    </row>
    <row r="690" spans="1:19" x14ac:dyDescent="0.25">
      <c r="A690" t="s">
        <v>688</v>
      </c>
      <c r="B690" t="s">
        <v>1593</v>
      </c>
      <c r="C690" t="s">
        <v>1812</v>
      </c>
      <c r="D690">
        <v>99.81</v>
      </c>
      <c r="E690" s="1">
        <v>45342</v>
      </c>
      <c r="F690" s="1" t="str">
        <f>TEXT(Sheet1[[#This Row],[Fecha ingreso]],"mmmm")</f>
        <v>febrero</v>
      </c>
      <c r="G690" s="2">
        <f>YEAR(Sheet1[[#This Row],[Fecha ingreso]])</f>
        <v>2024</v>
      </c>
      <c r="H690" s="1" t="str">
        <f>TEXT(Sheet1[[#This Row],[Fecha ingreso]],"dddd")</f>
        <v>martes</v>
      </c>
      <c r="I690" s="1">
        <v>45397</v>
      </c>
      <c r="J690" s="2">
        <f>DATEDIF(Sheet1[[#This Row],[Fecha ingreso]],Sheet1[[#This Row],[Fecha último pago]],"M")+1</f>
        <v>2</v>
      </c>
      <c r="K690" s="2">
        <f>Sheet1[[#This Row],[Ingresos mensuales]]*Sheet1[[#This Row],[Meses contratados]]</f>
        <v>199.62</v>
      </c>
      <c r="L690" t="s">
        <v>1816</v>
      </c>
      <c r="M690">
        <v>36</v>
      </c>
      <c r="N690" t="s">
        <v>1821</v>
      </c>
      <c r="O690" t="s">
        <v>1823</v>
      </c>
      <c r="P690" t="s">
        <v>1826</v>
      </c>
      <c r="Q690" cm="1">
        <f t="array" ref="Q690">_xlfn.IFS(P690="2 Years", 24,P690="1 Year",12, P690="6 Months",6, P690="1 Month",1)</f>
        <v>24</v>
      </c>
      <c r="R690" t="str" cm="1">
        <f t="array" ref="R690">_xlfn.IFS(Q690=1,"Mensual",Q690=6,"Semestral",Q690=12,"Anual",Q690=24,"Bienal")</f>
        <v>Bienal</v>
      </c>
      <c r="S690">
        <f>IFERROR(VLOOKUP(Sheet1[[#This Row],[ID usuario]],A691:$A$907,1,FALSE),0)</f>
        <v>0</v>
      </c>
    </row>
    <row r="691" spans="1:19" x14ac:dyDescent="0.25">
      <c r="A691" t="s">
        <v>689</v>
      </c>
      <c r="B691" t="s">
        <v>1594</v>
      </c>
      <c r="C691" t="s">
        <v>1812</v>
      </c>
      <c r="D691">
        <v>55.73</v>
      </c>
      <c r="E691" s="1">
        <v>45067</v>
      </c>
      <c r="F691" s="1" t="str">
        <f>TEXT(Sheet1[[#This Row],[Fecha ingreso]],"mmmm")</f>
        <v>mayo</v>
      </c>
      <c r="G691" s="2">
        <f>YEAR(Sheet1[[#This Row],[Fecha ingreso]])</f>
        <v>2023</v>
      </c>
      <c r="H691" s="1" t="str">
        <f>TEXT(Sheet1[[#This Row],[Fecha ingreso]],"dddd")</f>
        <v>domingo</v>
      </c>
      <c r="I691" s="1">
        <v>45207</v>
      </c>
      <c r="J691" s="2">
        <f>DATEDIF(Sheet1[[#This Row],[Fecha ingreso]],Sheet1[[#This Row],[Fecha último pago]],"M")+1</f>
        <v>5</v>
      </c>
      <c r="K691" s="2">
        <f>Sheet1[[#This Row],[Ingresos mensuales]]*Sheet1[[#This Row],[Meses contratados]]</f>
        <v>278.64999999999998</v>
      </c>
      <c r="L691" t="s">
        <v>1818</v>
      </c>
      <c r="M691">
        <v>32</v>
      </c>
      <c r="N691" t="s">
        <v>1820</v>
      </c>
      <c r="O691" t="s">
        <v>1825</v>
      </c>
      <c r="P691" t="s">
        <v>1828</v>
      </c>
      <c r="Q691" cm="1">
        <f t="array" ref="Q691">_xlfn.IFS(P691="2 Years", 24,P691="1 Year",12, P691="6 Months",6, P691="1 Month",1)</f>
        <v>6</v>
      </c>
      <c r="R691" t="str" cm="1">
        <f t="array" ref="R691">_xlfn.IFS(Q691=1,"Mensual",Q691=6,"Semestral",Q691=12,"Anual",Q691=24,"Bienal")</f>
        <v>Semestral</v>
      </c>
      <c r="S691">
        <f>IFERROR(VLOOKUP(Sheet1[[#This Row],[ID usuario]],A692:$A$907,1,FALSE),0)</f>
        <v>0</v>
      </c>
    </row>
    <row r="692" spans="1:19" x14ac:dyDescent="0.25">
      <c r="A692" t="s">
        <v>690</v>
      </c>
      <c r="B692" t="s">
        <v>1595</v>
      </c>
      <c r="C692" t="s">
        <v>1812</v>
      </c>
      <c r="D692">
        <v>94.7</v>
      </c>
      <c r="E692" s="1">
        <v>44682</v>
      </c>
      <c r="F692" s="1" t="str">
        <f>TEXT(Sheet1[[#This Row],[Fecha ingreso]],"mmmm")</f>
        <v>mayo</v>
      </c>
      <c r="G692" s="2">
        <f>YEAR(Sheet1[[#This Row],[Fecha ingreso]])</f>
        <v>2022</v>
      </c>
      <c r="H692" s="1" t="str">
        <f>TEXT(Sheet1[[#This Row],[Fecha ingreso]],"dddd")</f>
        <v>domingo</v>
      </c>
      <c r="I692" s="1">
        <v>45453</v>
      </c>
      <c r="J692" s="2">
        <f>DATEDIF(Sheet1[[#This Row],[Fecha ingreso]],Sheet1[[#This Row],[Fecha último pago]],"M")+1</f>
        <v>26</v>
      </c>
      <c r="K692" s="2">
        <f>Sheet1[[#This Row],[Ingresos mensuales]]*Sheet1[[#This Row],[Meses contratados]]</f>
        <v>2462.2000000000003</v>
      </c>
      <c r="L692" t="s">
        <v>1814</v>
      </c>
      <c r="M692">
        <v>25</v>
      </c>
      <c r="N692" t="s">
        <v>1821</v>
      </c>
      <c r="O692" t="s">
        <v>1823</v>
      </c>
      <c r="P692" t="s">
        <v>1826</v>
      </c>
      <c r="Q692" cm="1">
        <f t="array" ref="Q692">_xlfn.IFS(P692="2 Years", 24,P692="1 Year",12, P692="6 Months",6, P692="1 Month",1)</f>
        <v>24</v>
      </c>
      <c r="R692" t="str" cm="1">
        <f t="array" ref="R692">_xlfn.IFS(Q692=1,"Mensual",Q692=6,"Semestral",Q692=12,"Anual",Q692=24,"Bienal")</f>
        <v>Bienal</v>
      </c>
      <c r="S692">
        <f>IFERROR(VLOOKUP(Sheet1[[#This Row],[ID usuario]],A693:$A$907,1,FALSE),0)</f>
        <v>0</v>
      </c>
    </row>
    <row r="693" spans="1:19" x14ac:dyDescent="0.25">
      <c r="A693" t="s">
        <v>691</v>
      </c>
      <c r="B693" t="s">
        <v>1596</v>
      </c>
      <c r="C693" t="s">
        <v>1812</v>
      </c>
      <c r="D693">
        <v>42.68</v>
      </c>
      <c r="E693" s="1">
        <v>44732</v>
      </c>
      <c r="F693" s="1" t="str">
        <f>TEXT(Sheet1[[#This Row],[Fecha ingreso]],"mmmm")</f>
        <v>junio</v>
      </c>
      <c r="G693" s="2">
        <f>YEAR(Sheet1[[#This Row],[Fecha ingreso]])</f>
        <v>2022</v>
      </c>
      <c r="H693" s="1" t="str">
        <f>TEXT(Sheet1[[#This Row],[Fecha ingreso]],"dddd")</f>
        <v>lunes</v>
      </c>
      <c r="I693" s="1">
        <v>45433</v>
      </c>
      <c r="J693" s="2">
        <f>DATEDIF(Sheet1[[#This Row],[Fecha ingreso]],Sheet1[[#This Row],[Fecha último pago]],"M")+1</f>
        <v>24</v>
      </c>
      <c r="K693" s="2">
        <f>Sheet1[[#This Row],[Ingresos mensuales]]*Sheet1[[#This Row],[Meses contratados]]</f>
        <v>1024.32</v>
      </c>
      <c r="L693" t="s">
        <v>1818</v>
      </c>
      <c r="M693">
        <v>29</v>
      </c>
      <c r="N693" t="s">
        <v>1820</v>
      </c>
      <c r="O693" t="s">
        <v>1823</v>
      </c>
      <c r="P693" t="s">
        <v>1826</v>
      </c>
      <c r="Q693" cm="1">
        <f t="array" ref="Q693">_xlfn.IFS(P693="2 Years", 24,P693="1 Year",12, P693="6 Months",6, P693="1 Month",1)</f>
        <v>24</v>
      </c>
      <c r="R693" t="str" cm="1">
        <f t="array" ref="R693">_xlfn.IFS(Q693=1,"Mensual",Q693=6,"Semestral",Q693=12,"Anual",Q693=24,"Bienal")</f>
        <v>Bienal</v>
      </c>
      <c r="S693">
        <f>IFERROR(VLOOKUP(Sheet1[[#This Row],[ID usuario]],A694:$A$907,1,FALSE),0)</f>
        <v>0</v>
      </c>
    </row>
    <row r="694" spans="1:19" x14ac:dyDescent="0.25">
      <c r="A694" t="s">
        <v>692</v>
      </c>
      <c r="B694" t="s">
        <v>1597</v>
      </c>
      <c r="C694" t="s">
        <v>1810</v>
      </c>
      <c r="D694">
        <v>15.13</v>
      </c>
      <c r="E694" s="1">
        <v>44603</v>
      </c>
      <c r="F694" s="1" t="str">
        <f>TEXT(Sheet1[[#This Row],[Fecha ingreso]],"mmmm")</f>
        <v>febrero</v>
      </c>
      <c r="G694" s="2">
        <f>YEAR(Sheet1[[#This Row],[Fecha ingreso]])</f>
        <v>2022</v>
      </c>
      <c r="H694" s="1" t="str">
        <f>TEXT(Sheet1[[#This Row],[Fecha ingreso]],"dddd")</f>
        <v>viernes</v>
      </c>
      <c r="I694" s="1">
        <v>45320</v>
      </c>
      <c r="J694" s="2">
        <f>DATEDIF(Sheet1[[#This Row],[Fecha ingreso]],Sheet1[[#This Row],[Fecha último pago]],"M")+1</f>
        <v>24</v>
      </c>
      <c r="K694" s="2">
        <f>Sheet1[[#This Row],[Ingresos mensuales]]*Sheet1[[#This Row],[Meses contratados]]</f>
        <v>363.12</v>
      </c>
      <c r="L694" t="s">
        <v>1816</v>
      </c>
      <c r="M694">
        <v>28</v>
      </c>
      <c r="N694" t="s">
        <v>1821</v>
      </c>
      <c r="O694" t="s">
        <v>1823</v>
      </c>
      <c r="P694" t="s">
        <v>1828</v>
      </c>
      <c r="Q694" cm="1">
        <f t="array" ref="Q694">_xlfn.IFS(P694="2 Years", 24,P694="1 Year",12, P694="6 Months",6, P694="1 Month",1)</f>
        <v>6</v>
      </c>
      <c r="R694" t="str" cm="1">
        <f t="array" ref="R694">_xlfn.IFS(Q694=1,"Mensual",Q694=6,"Semestral",Q694=12,"Anual",Q694=24,"Bienal")</f>
        <v>Semestral</v>
      </c>
      <c r="S694">
        <f>IFERROR(VLOOKUP(Sheet1[[#This Row],[ID usuario]],A695:$A$907,1,FALSE),0)</f>
        <v>0</v>
      </c>
    </row>
    <row r="695" spans="1:19" x14ac:dyDescent="0.25">
      <c r="A695" t="s">
        <v>693</v>
      </c>
      <c r="B695" t="s">
        <v>1598</v>
      </c>
      <c r="C695" t="s">
        <v>1812</v>
      </c>
      <c r="D695">
        <v>43.83</v>
      </c>
      <c r="E695" s="1">
        <v>44906</v>
      </c>
      <c r="F695" s="1" t="str">
        <f>TEXT(Sheet1[[#This Row],[Fecha ingreso]],"mmmm")</f>
        <v>diciembre</v>
      </c>
      <c r="G695" s="2">
        <f>YEAR(Sheet1[[#This Row],[Fecha ingreso]])</f>
        <v>2022</v>
      </c>
      <c r="H695" s="1" t="str">
        <f>TEXT(Sheet1[[#This Row],[Fecha ingreso]],"dddd")</f>
        <v>domingo</v>
      </c>
      <c r="I695" s="1">
        <v>44951</v>
      </c>
      <c r="J695" s="2">
        <f>DATEDIF(Sheet1[[#This Row],[Fecha ingreso]],Sheet1[[#This Row],[Fecha último pago]],"M")+1</f>
        <v>2</v>
      </c>
      <c r="K695" s="2">
        <f>Sheet1[[#This Row],[Ingresos mensuales]]*Sheet1[[#This Row],[Meses contratados]]</f>
        <v>87.66</v>
      </c>
      <c r="L695" t="s">
        <v>1817</v>
      </c>
      <c r="M695">
        <v>56</v>
      </c>
      <c r="N695" t="s">
        <v>1822</v>
      </c>
      <c r="O695" t="s">
        <v>1825</v>
      </c>
      <c r="P695" t="s">
        <v>1826</v>
      </c>
      <c r="Q695" cm="1">
        <f t="array" ref="Q695">_xlfn.IFS(P695="2 Years", 24,P695="1 Year",12, P695="6 Months",6, P695="1 Month",1)</f>
        <v>24</v>
      </c>
      <c r="R695" t="str" cm="1">
        <f t="array" ref="R695">_xlfn.IFS(Q695=1,"Mensual",Q695=6,"Semestral",Q695=12,"Anual",Q695=24,"Bienal")</f>
        <v>Bienal</v>
      </c>
      <c r="S695">
        <f>IFERROR(VLOOKUP(Sheet1[[#This Row],[ID usuario]],A696:$A$907,1,FALSE),0)</f>
        <v>0</v>
      </c>
    </row>
    <row r="696" spans="1:19" x14ac:dyDescent="0.25">
      <c r="A696" t="s">
        <v>694</v>
      </c>
      <c r="B696" t="s">
        <v>1599</v>
      </c>
      <c r="C696" t="s">
        <v>1810</v>
      </c>
      <c r="D696">
        <v>33.130000000000003</v>
      </c>
      <c r="E696" s="1">
        <v>44554</v>
      </c>
      <c r="F696" s="1" t="str">
        <f>TEXT(Sheet1[[#This Row],[Fecha ingreso]],"mmmm")</f>
        <v>diciembre</v>
      </c>
      <c r="G696" s="2">
        <f>YEAR(Sheet1[[#This Row],[Fecha ingreso]])</f>
        <v>2021</v>
      </c>
      <c r="H696" s="1" t="str">
        <f>TEXT(Sheet1[[#This Row],[Fecha ingreso]],"dddd")</f>
        <v>viernes</v>
      </c>
      <c r="I696" s="1">
        <v>45075</v>
      </c>
      <c r="J696" s="2">
        <f>DATEDIF(Sheet1[[#This Row],[Fecha ingreso]],Sheet1[[#This Row],[Fecha último pago]],"M")+1</f>
        <v>18</v>
      </c>
      <c r="K696" s="2">
        <f>Sheet1[[#This Row],[Ingresos mensuales]]*Sheet1[[#This Row],[Meses contratados]]</f>
        <v>596.34</v>
      </c>
      <c r="L696" t="s">
        <v>1819</v>
      </c>
      <c r="M696">
        <v>59</v>
      </c>
      <c r="N696" t="s">
        <v>1820</v>
      </c>
      <c r="O696" t="s">
        <v>1824</v>
      </c>
      <c r="P696" t="s">
        <v>1827</v>
      </c>
      <c r="Q696" cm="1">
        <f t="array" ref="Q696">_xlfn.IFS(P696="2 Years", 24,P696="1 Year",12, P696="6 Months",6, P696="1 Month",1)</f>
        <v>12</v>
      </c>
      <c r="R696" t="str" cm="1">
        <f t="array" ref="R696">_xlfn.IFS(Q696=1,"Mensual",Q696=6,"Semestral",Q696=12,"Anual",Q696=24,"Bienal")</f>
        <v>Anual</v>
      </c>
      <c r="S696">
        <f>IFERROR(VLOOKUP(Sheet1[[#This Row],[ID usuario]],A697:$A$907,1,FALSE),0)</f>
        <v>0</v>
      </c>
    </row>
    <row r="697" spans="1:19" x14ac:dyDescent="0.25">
      <c r="A697" t="s">
        <v>695</v>
      </c>
      <c r="B697" t="s">
        <v>1600</v>
      </c>
      <c r="C697" t="s">
        <v>1810</v>
      </c>
      <c r="D697">
        <v>51.87</v>
      </c>
      <c r="E697" s="1">
        <v>45310</v>
      </c>
      <c r="F697" s="1" t="str">
        <f>TEXT(Sheet1[[#This Row],[Fecha ingreso]],"mmmm")</f>
        <v>enero</v>
      </c>
      <c r="G697" s="2">
        <f>YEAR(Sheet1[[#This Row],[Fecha ingreso]])</f>
        <v>2024</v>
      </c>
      <c r="H697" s="1" t="str">
        <f>TEXT(Sheet1[[#This Row],[Fecha ingreso]],"dddd")</f>
        <v>viernes</v>
      </c>
      <c r="I697" s="1">
        <v>45417</v>
      </c>
      <c r="J697" s="2">
        <f>DATEDIF(Sheet1[[#This Row],[Fecha ingreso]],Sheet1[[#This Row],[Fecha último pago]],"M")+1</f>
        <v>4</v>
      </c>
      <c r="K697" s="2">
        <f>Sheet1[[#This Row],[Ingresos mensuales]]*Sheet1[[#This Row],[Meses contratados]]</f>
        <v>207.48</v>
      </c>
      <c r="L697" t="s">
        <v>1815</v>
      </c>
      <c r="M697">
        <v>40</v>
      </c>
      <c r="N697" t="s">
        <v>1822</v>
      </c>
      <c r="O697" t="s">
        <v>1823</v>
      </c>
      <c r="P697" t="s">
        <v>1829</v>
      </c>
      <c r="Q697" cm="1">
        <f t="array" ref="Q697">_xlfn.IFS(P697="2 Years", 24,P697="1 Year",12, P697="6 Months",6, P697="1 Month",1)</f>
        <v>1</v>
      </c>
      <c r="R697" t="str" cm="1">
        <f t="array" ref="R697">_xlfn.IFS(Q697=1,"Mensual",Q697=6,"Semestral",Q697=12,"Anual",Q697=24,"Bienal")</f>
        <v>Mensual</v>
      </c>
      <c r="S697">
        <f>IFERROR(VLOOKUP(Sheet1[[#This Row],[ID usuario]],A698:$A$907,1,FALSE),0)</f>
        <v>0</v>
      </c>
    </row>
    <row r="698" spans="1:19" x14ac:dyDescent="0.25">
      <c r="A698" t="s">
        <v>696</v>
      </c>
      <c r="B698" t="s">
        <v>1601</v>
      </c>
      <c r="C698" t="s">
        <v>1811</v>
      </c>
      <c r="D698">
        <v>67.42</v>
      </c>
      <c r="E698" s="1">
        <v>44932</v>
      </c>
      <c r="F698" s="1" t="str">
        <f>TEXT(Sheet1[[#This Row],[Fecha ingreso]],"mmmm")</f>
        <v>enero</v>
      </c>
      <c r="G698" s="2">
        <f>YEAR(Sheet1[[#This Row],[Fecha ingreso]])</f>
        <v>2023</v>
      </c>
      <c r="H698" s="1" t="str">
        <f>TEXT(Sheet1[[#This Row],[Fecha ingreso]],"dddd")</f>
        <v>viernes</v>
      </c>
      <c r="I698" s="1">
        <v>45248</v>
      </c>
      <c r="J698" s="2">
        <f>DATEDIF(Sheet1[[#This Row],[Fecha ingreso]],Sheet1[[#This Row],[Fecha último pago]],"M")+1</f>
        <v>11</v>
      </c>
      <c r="K698" s="2">
        <f>Sheet1[[#This Row],[Ingresos mensuales]]*Sheet1[[#This Row],[Meses contratados]]</f>
        <v>741.62</v>
      </c>
      <c r="L698" t="s">
        <v>1817</v>
      </c>
      <c r="M698">
        <v>18</v>
      </c>
      <c r="N698" t="s">
        <v>1822</v>
      </c>
      <c r="O698" t="s">
        <v>1824</v>
      </c>
      <c r="P698" t="s">
        <v>1827</v>
      </c>
      <c r="Q698" cm="1">
        <f t="array" ref="Q698">_xlfn.IFS(P698="2 Years", 24,P698="1 Year",12, P698="6 Months",6, P698="1 Month",1)</f>
        <v>12</v>
      </c>
      <c r="R698" t="str" cm="1">
        <f t="array" ref="R698">_xlfn.IFS(Q698=1,"Mensual",Q698=6,"Semestral",Q698=12,"Anual",Q698=24,"Bienal")</f>
        <v>Anual</v>
      </c>
      <c r="S698">
        <f>IFERROR(VLOOKUP(Sheet1[[#This Row],[ID usuario]],A699:$A$907,1,FALSE),0)</f>
        <v>0</v>
      </c>
    </row>
    <row r="699" spans="1:19" x14ac:dyDescent="0.25">
      <c r="A699" t="s">
        <v>697</v>
      </c>
      <c r="B699" t="s">
        <v>1602</v>
      </c>
      <c r="C699" t="s">
        <v>1811</v>
      </c>
      <c r="D699">
        <v>48.8</v>
      </c>
      <c r="E699" s="1">
        <v>44823</v>
      </c>
      <c r="F699" s="1" t="str">
        <f>TEXT(Sheet1[[#This Row],[Fecha ingreso]],"mmmm")</f>
        <v>septiembre</v>
      </c>
      <c r="G699" s="2">
        <f>YEAR(Sheet1[[#This Row],[Fecha ingreso]])</f>
        <v>2022</v>
      </c>
      <c r="H699" s="1" t="str">
        <f>TEXT(Sheet1[[#This Row],[Fecha ingreso]],"dddd")</f>
        <v>lunes</v>
      </c>
      <c r="I699" s="1">
        <v>45373</v>
      </c>
      <c r="J699" s="2">
        <f>DATEDIF(Sheet1[[#This Row],[Fecha ingreso]],Sheet1[[#This Row],[Fecha último pago]],"M")+1</f>
        <v>19</v>
      </c>
      <c r="K699" s="2">
        <f>Sheet1[[#This Row],[Ingresos mensuales]]*Sheet1[[#This Row],[Meses contratados]]</f>
        <v>927.19999999999993</v>
      </c>
      <c r="L699" t="s">
        <v>1818</v>
      </c>
      <c r="M699">
        <v>52</v>
      </c>
      <c r="N699" t="s">
        <v>1822</v>
      </c>
      <c r="O699" t="s">
        <v>1823</v>
      </c>
      <c r="P699" t="s">
        <v>1828</v>
      </c>
      <c r="Q699" cm="1">
        <f t="array" ref="Q699">_xlfn.IFS(P699="2 Years", 24,P699="1 Year",12, P699="6 Months",6, P699="1 Month",1)</f>
        <v>6</v>
      </c>
      <c r="R699" t="str" cm="1">
        <f t="array" ref="R699">_xlfn.IFS(Q699=1,"Mensual",Q699=6,"Semestral",Q699=12,"Anual",Q699=24,"Bienal")</f>
        <v>Semestral</v>
      </c>
      <c r="S699">
        <f>IFERROR(VLOOKUP(Sheet1[[#This Row],[ID usuario]],A700:$A$907,1,FALSE),0)</f>
        <v>0</v>
      </c>
    </row>
    <row r="700" spans="1:19" x14ac:dyDescent="0.25">
      <c r="A700" t="s">
        <v>698</v>
      </c>
      <c r="B700" t="s">
        <v>1603</v>
      </c>
      <c r="C700" t="s">
        <v>1811</v>
      </c>
      <c r="D700">
        <v>89.05</v>
      </c>
      <c r="E700" s="1">
        <v>45455</v>
      </c>
      <c r="F700" s="1" t="str">
        <f>TEXT(Sheet1[[#This Row],[Fecha ingreso]],"mmmm")</f>
        <v>junio</v>
      </c>
      <c r="G700" s="2">
        <f>YEAR(Sheet1[[#This Row],[Fecha ingreso]])</f>
        <v>2024</v>
      </c>
      <c r="H700" s="1" t="str">
        <f>TEXT(Sheet1[[#This Row],[Fecha ingreso]],"dddd")</f>
        <v>miércoles</v>
      </c>
      <c r="I700" s="1">
        <v>45459</v>
      </c>
      <c r="J700" s="2">
        <f>DATEDIF(Sheet1[[#This Row],[Fecha ingreso]],Sheet1[[#This Row],[Fecha último pago]],"M")+1</f>
        <v>1</v>
      </c>
      <c r="K700" s="2">
        <f>Sheet1[[#This Row],[Ingresos mensuales]]*Sheet1[[#This Row],[Meses contratados]]</f>
        <v>89.05</v>
      </c>
      <c r="L700" t="s">
        <v>1817</v>
      </c>
      <c r="M700">
        <v>60</v>
      </c>
      <c r="N700" t="s">
        <v>1822</v>
      </c>
      <c r="O700" t="s">
        <v>1823</v>
      </c>
      <c r="P700" t="s">
        <v>1827</v>
      </c>
      <c r="Q700" cm="1">
        <f t="array" ref="Q700">_xlfn.IFS(P700="2 Years", 24,P700="1 Year",12, P700="6 Months",6, P700="1 Month",1)</f>
        <v>12</v>
      </c>
      <c r="R700" t="str" cm="1">
        <f t="array" ref="R700">_xlfn.IFS(Q700=1,"Mensual",Q700=6,"Semestral",Q700=12,"Anual",Q700=24,"Bienal")</f>
        <v>Anual</v>
      </c>
      <c r="S700">
        <f>IFERROR(VLOOKUP(Sheet1[[#This Row],[ID usuario]],A701:$A$907,1,FALSE),0)</f>
        <v>0</v>
      </c>
    </row>
    <row r="701" spans="1:19" x14ac:dyDescent="0.25">
      <c r="A701" t="s">
        <v>699</v>
      </c>
      <c r="B701" t="s">
        <v>1604</v>
      </c>
      <c r="C701" t="s">
        <v>1810</v>
      </c>
      <c r="D701">
        <v>71.69</v>
      </c>
      <c r="E701" s="1">
        <v>44496</v>
      </c>
      <c r="F701" s="1" t="str">
        <f>TEXT(Sheet1[[#This Row],[Fecha ingreso]],"mmmm")</f>
        <v>octubre</v>
      </c>
      <c r="G701" s="2">
        <f>YEAR(Sheet1[[#This Row],[Fecha ingreso]])</f>
        <v>2021</v>
      </c>
      <c r="H701" s="1" t="str">
        <f>TEXT(Sheet1[[#This Row],[Fecha ingreso]],"dddd")</f>
        <v>miércoles</v>
      </c>
      <c r="I701" s="1">
        <v>45127</v>
      </c>
      <c r="J701" s="2">
        <f>DATEDIF(Sheet1[[#This Row],[Fecha ingreso]],Sheet1[[#This Row],[Fecha último pago]],"M")+1</f>
        <v>21</v>
      </c>
      <c r="K701" s="2">
        <f>Sheet1[[#This Row],[Ingresos mensuales]]*Sheet1[[#This Row],[Meses contratados]]</f>
        <v>1505.49</v>
      </c>
      <c r="L701" t="s">
        <v>1818</v>
      </c>
      <c r="M701">
        <v>24</v>
      </c>
      <c r="N701" t="s">
        <v>1822</v>
      </c>
      <c r="O701" t="s">
        <v>1824</v>
      </c>
      <c r="P701" t="s">
        <v>1826</v>
      </c>
      <c r="Q701" cm="1">
        <f t="array" ref="Q701">_xlfn.IFS(P701="2 Years", 24,P701="1 Year",12, P701="6 Months",6, P701="1 Month",1)</f>
        <v>24</v>
      </c>
      <c r="R701" t="str" cm="1">
        <f t="array" ref="R701">_xlfn.IFS(Q701=1,"Mensual",Q701=6,"Semestral",Q701=12,"Anual",Q701=24,"Bienal")</f>
        <v>Bienal</v>
      </c>
      <c r="S701">
        <f>IFERROR(VLOOKUP(Sheet1[[#This Row],[ID usuario]],A702:$A$907,1,FALSE),0)</f>
        <v>0</v>
      </c>
    </row>
    <row r="702" spans="1:19" x14ac:dyDescent="0.25">
      <c r="A702" t="s">
        <v>700</v>
      </c>
      <c r="B702" t="s">
        <v>1605</v>
      </c>
      <c r="C702" t="s">
        <v>1812</v>
      </c>
      <c r="D702">
        <v>51.52</v>
      </c>
      <c r="E702" s="1">
        <v>45215</v>
      </c>
      <c r="F702" s="1" t="str">
        <f>TEXT(Sheet1[[#This Row],[Fecha ingreso]],"mmmm")</f>
        <v>octubre</v>
      </c>
      <c r="G702" s="2">
        <f>YEAR(Sheet1[[#This Row],[Fecha ingreso]])</f>
        <v>2023</v>
      </c>
      <c r="H702" s="1" t="str">
        <f>TEXT(Sheet1[[#This Row],[Fecha ingreso]],"dddd")</f>
        <v>lunes</v>
      </c>
      <c r="I702" s="1">
        <v>45246</v>
      </c>
      <c r="J702" s="2">
        <f>DATEDIF(Sheet1[[#This Row],[Fecha ingreso]],Sheet1[[#This Row],[Fecha último pago]],"M")+1</f>
        <v>2</v>
      </c>
      <c r="K702" s="2">
        <f>Sheet1[[#This Row],[Ingresos mensuales]]*Sheet1[[#This Row],[Meses contratados]]</f>
        <v>103.04</v>
      </c>
      <c r="L702" t="s">
        <v>1817</v>
      </c>
      <c r="M702">
        <v>21</v>
      </c>
      <c r="N702" t="s">
        <v>1821</v>
      </c>
      <c r="O702" t="s">
        <v>1824</v>
      </c>
      <c r="P702" t="s">
        <v>1828</v>
      </c>
      <c r="Q702" cm="1">
        <f t="array" ref="Q702">_xlfn.IFS(P702="2 Years", 24,P702="1 Year",12, P702="6 Months",6, P702="1 Month",1)</f>
        <v>6</v>
      </c>
      <c r="R702" t="str" cm="1">
        <f t="array" ref="R702">_xlfn.IFS(Q702=1,"Mensual",Q702=6,"Semestral",Q702=12,"Anual",Q702=24,"Bienal")</f>
        <v>Semestral</v>
      </c>
      <c r="S702">
        <f>IFERROR(VLOOKUP(Sheet1[[#This Row],[ID usuario]],A703:$A$907,1,FALSE),0)</f>
        <v>0</v>
      </c>
    </row>
    <row r="703" spans="1:19" x14ac:dyDescent="0.25">
      <c r="A703" t="s">
        <v>701</v>
      </c>
      <c r="B703" t="s">
        <v>1606</v>
      </c>
      <c r="C703" t="s">
        <v>1811</v>
      </c>
      <c r="D703">
        <v>17.510000000000002</v>
      </c>
      <c r="E703" s="1">
        <v>45093</v>
      </c>
      <c r="F703" s="1" t="str">
        <f>TEXT(Sheet1[[#This Row],[Fecha ingreso]],"mmmm")</f>
        <v>junio</v>
      </c>
      <c r="G703" s="2">
        <f>YEAR(Sheet1[[#This Row],[Fecha ingreso]])</f>
        <v>2023</v>
      </c>
      <c r="H703" s="1" t="str">
        <f>TEXT(Sheet1[[#This Row],[Fecha ingreso]],"dddd")</f>
        <v>viernes</v>
      </c>
      <c r="I703" s="1">
        <v>45456</v>
      </c>
      <c r="J703" s="2">
        <f>DATEDIF(Sheet1[[#This Row],[Fecha ingreso]],Sheet1[[#This Row],[Fecha último pago]],"M")+1</f>
        <v>12</v>
      </c>
      <c r="K703" s="2">
        <f>Sheet1[[#This Row],[Ingresos mensuales]]*Sheet1[[#This Row],[Meses contratados]]</f>
        <v>210.12</v>
      </c>
      <c r="L703" t="s">
        <v>1816</v>
      </c>
      <c r="M703">
        <v>58</v>
      </c>
      <c r="N703" t="s">
        <v>1821</v>
      </c>
      <c r="O703" t="s">
        <v>1823</v>
      </c>
      <c r="P703" t="s">
        <v>1829</v>
      </c>
      <c r="Q703" cm="1">
        <f t="array" ref="Q703">_xlfn.IFS(P703="2 Years", 24,P703="1 Year",12, P703="6 Months",6, P703="1 Month",1)</f>
        <v>1</v>
      </c>
      <c r="R703" t="str" cm="1">
        <f t="array" ref="R703">_xlfn.IFS(Q703=1,"Mensual",Q703=6,"Semestral",Q703=12,"Anual",Q703=24,"Bienal")</f>
        <v>Mensual</v>
      </c>
      <c r="S703">
        <f>IFERROR(VLOOKUP(Sheet1[[#This Row],[ID usuario]],A704:$A$907,1,FALSE),0)</f>
        <v>0</v>
      </c>
    </row>
    <row r="704" spans="1:19" x14ac:dyDescent="0.25">
      <c r="A704" t="s">
        <v>702</v>
      </c>
      <c r="B704" t="s">
        <v>1607</v>
      </c>
      <c r="C704" t="s">
        <v>1810</v>
      </c>
      <c r="D704">
        <v>42.72</v>
      </c>
      <c r="E704" s="1">
        <v>44629</v>
      </c>
      <c r="F704" s="1" t="str">
        <f>TEXT(Sheet1[[#This Row],[Fecha ingreso]],"mmmm")</f>
        <v>marzo</v>
      </c>
      <c r="G704" s="2">
        <f>YEAR(Sheet1[[#This Row],[Fecha ingreso]])</f>
        <v>2022</v>
      </c>
      <c r="H704" s="1" t="str">
        <f>TEXT(Sheet1[[#This Row],[Fecha ingreso]],"dddd")</f>
        <v>miércoles</v>
      </c>
      <c r="I704" s="1">
        <v>45406</v>
      </c>
      <c r="J704" s="2">
        <f>DATEDIF(Sheet1[[#This Row],[Fecha ingreso]],Sheet1[[#This Row],[Fecha último pago]],"M")+1</f>
        <v>26</v>
      </c>
      <c r="K704" s="2">
        <f>Sheet1[[#This Row],[Ingresos mensuales]]*Sheet1[[#This Row],[Meses contratados]]</f>
        <v>1110.72</v>
      </c>
      <c r="L704" t="s">
        <v>1817</v>
      </c>
      <c r="M704">
        <v>45</v>
      </c>
      <c r="N704" t="s">
        <v>1820</v>
      </c>
      <c r="O704" t="s">
        <v>1824</v>
      </c>
      <c r="P704" t="s">
        <v>1828</v>
      </c>
      <c r="Q704" cm="1">
        <f t="array" ref="Q704">_xlfn.IFS(P704="2 Years", 24,P704="1 Year",12, P704="6 Months",6, P704="1 Month",1)</f>
        <v>6</v>
      </c>
      <c r="R704" t="str" cm="1">
        <f t="array" ref="R704">_xlfn.IFS(Q704=1,"Mensual",Q704=6,"Semestral",Q704=12,"Anual",Q704=24,"Bienal")</f>
        <v>Semestral</v>
      </c>
      <c r="S704">
        <f>IFERROR(VLOOKUP(Sheet1[[#This Row],[ID usuario]],A705:$A$907,1,FALSE),0)</f>
        <v>0</v>
      </c>
    </row>
    <row r="705" spans="1:19" x14ac:dyDescent="0.25">
      <c r="A705" t="s">
        <v>703</v>
      </c>
      <c r="B705" t="s">
        <v>1608</v>
      </c>
      <c r="C705" t="s">
        <v>1811</v>
      </c>
      <c r="D705">
        <v>71.92</v>
      </c>
      <c r="E705" s="1">
        <v>45311</v>
      </c>
      <c r="F705" s="1" t="str">
        <f>TEXT(Sheet1[[#This Row],[Fecha ingreso]],"mmmm")</f>
        <v>enero</v>
      </c>
      <c r="G705" s="2">
        <f>YEAR(Sheet1[[#This Row],[Fecha ingreso]])</f>
        <v>2024</v>
      </c>
      <c r="H705" s="1" t="str">
        <f>TEXT(Sheet1[[#This Row],[Fecha ingreso]],"dddd")</f>
        <v>sábado</v>
      </c>
      <c r="I705" s="1">
        <v>45457</v>
      </c>
      <c r="J705" s="2">
        <f>DATEDIF(Sheet1[[#This Row],[Fecha ingreso]],Sheet1[[#This Row],[Fecha último pago]],"M")+1</f>
        <v>5</v>
      </c>
      <c r="K705" s="2">
        <f>Sheet1[[#This Row],[Ingresos mensuales]]*Sheet1[[#This Row],[Meses contratados]]</f>
        <v>359.6</v>
      </c>
      <c r="L705" t="s">
        <v>1814</v>
      </c>
      <c r="M705">
        <v>30</v>
      </c>
      <c r="N705" t="s">
        <v>1821</v>
      </c>
      <c r="O705" t="s">
        <v>1823</v>
      </c>
      <c r="P705" t="s">
        <v>1826</v>
      </c>
      <c r="Q705" cm="1">
        <f t="array" ref="Q705">_xlfn.IFS(P705="2 Years", 24,P705="1 Year",12, P705="6 Months",6, P705="1 Month",1)</f>
        <v>24</v>
      </c>
      <c r="R705" t="str" cm="1">
        <f t="array" ref="R705">_xlfn.IFS(Q705=1,"Mensual",Q705=6,"Semestral",Q705=12,"Anual",Q705=24,"Bienal")</f>
        <v>Bienal</v>
      </c>
      <c r="S705">
        <f>IFERROR(VLOOKUP(Sheet1[[#This Row],[ID usuario]],A706:$A$907,1,FALSE),0)</f>
        <v>0</v>
      </c>
    </row>
    <row r="706" spans="1:19" x14ac:dyDescent="0.25">
      <c r="A706" t="s">
        <v>704</v>
      </c>
      <c r="B706" t="s">
        <v>1609</v>
      </c>
      <c r="C706" t="s">
        <v>1812</v>
      </c>
      <c r="D706">
        <v>32.06</v>
      </c>
      <c r="E706" s="1">
        <v>44485</v>
      </c>
      <c r="F706" s="1" t="str">
        <f>TEXT(Sheet1[[#This Row],[Fecha ingreso]],"mmmm")</f>
        <v>octubre</v>
      </c>
      <c r="G706" s="2">
        <f>YEAR(Sheet1[[#This Row],[Fecha ingreso]])</f>
        <v>2021</v>
      </c>
      <c r="H706" s="1" t="str">
        <f>TEXT(Sheet1[[#This Row],[Fecha ingreso]],"dddd")</f>
        <v>sábado</v>
      </c>
      <c r="I706" s="1">
        <v>45233</v>
      </c>
      <c r="J706" s="2">
        <f>DATEDIF(Sheet1[[#This Row],[Fecha ingreso]],Sheet1[[#This Row],[Fecha último pago]],"M")+1</f>
        <v>25</v>
      </c>
      <c r="K706" s="2">
        <f>Sheet1[[#This Row],[Ingresos mensuales]]*Sheet1[[#This Row],[Meses contratados]]</f>
        <v>801.5</v>
      </c>
      <c r="L706" t="s">
        <v>1813</v>
      </c>
      <c r="M706">
        <v>57</v>
      </c>
      <c r="N706" t="s">
        <v>1821</v>
      </c>
      <c r="O706" t="s">
        <v>1823</v>
      </c>
      <c r="P706" t="s">
        <v>1828</v>
      </c>
      <c r="Q706" cm="1">
        <f t="array" ref="Q706">_xlfn.IFS(P706="2 Years", 24,P706="1 Year",12, P706="6 Months",6, P706="1 Month",1)</f>
        <v>6</v>
      </c>
      <c r="R706" t="str" cm="1">
        <f t="array" ref="R706">_xlfn.IFS(Q706=1,"Mensual",Q706=6,"Semestral",Q706=12,"Anual",Q706=24,"Bienal")</f>
        <v>Semestral</v>
      </c>
      <c r="S706">
        <f>IFERROR(VLOOKUP(Sheet1[[#This Row],[ID usuario]],A707:$A$907,1,FALSE),0)</f>
        <v>0</v>
      </c>
    </row>
    <row r="707" spans="1:19" x14ac:dyDescent="0.25">
      <c r="A707" t="s">
        <v>705</v>
      </c>
      <c r="B707" t="s">
        <v>1610</v>
      </c>
      <c r="C707" t="s">
        <v>1811</v>
      </c>
      <c r="D707">
        <v>14.88</v>
      </c>
      <c r="E707" s="1">
        <v>45339</v>
      </c>
      <c r="F707" s="1" t="str">
        <f>TEXT(Sheet1[[#This Row],[Fecha ingreso]],"mmmm")</f>
        <v>febrero</v>
      </c>
      <c r="G707" s="2">
        <f>YEAR(Sheet1[[#This Row],[Fecha ingreso]])</f>
        <v>2024</v>
      </c>
      <c r="H707" s="1" t="str">
        <f>TEXT(Sheet1[[#This Row],[Fecha ingreso]],"dddd")</f>
        <v>sábado</v>
      </c>
      <c r="I707" s="1">
        <v>45452</v>
      </c>
      <c r="J707" s="2">
        <f>DATEDIF(Sheet1[[#This Row],[Fecha ingreso]],Sheet1[[#This Row],[Fecha último pago]],"M")+1</f>
        <v>4</v>
      </c>
      <c r="K707" s="2">
        <f>Sheet1[[#This Row],[Ingresos mensuales]]*Sheet1[[#This Row],[Meses contratados]]</f>
        <v>59.52</v>
      </c>
      <c r="L707" t="s">
        <v>1818</v>
      </c>
      <c r="M707">
        <v>39</v>
      </c>
      <c r="N707" t="s">
        <v>1820</v>
      </c>
      <c r="O707" t="s">
        <v>1825</v>
      </c>
      <c r="P707" t="s">
        <v>1828</v>
      </c>
      <c r="Q707" cm="1">
        <f t="array" ref="Q707">_xlfn.IFS(P707="2 Years", 24,P707="1 Year",12, P707="6 Months",6, P707="1 Month",1)</f>
        <v>6</v>
      </c>
      <c r="R707" t="str" cm="1">
        <f t="array" ref="R707">_xlfn.IFS(Q707=1,"Mensual",Q707=6,"Semestral",Q707=12,"Anual",Q707=24,"Bienal")</f>
        <v>Semestral</v>
      </c>
      <c r="S707">
        <f>IFERROR(VLOOKUP(Sheet1[[#This Row],[ID usuario]],A708:$A$907,1,FALSE),0)</f>
        <v>0</v>
      </c>
    </row>
    <row r="708" spans="1:19" x14ac:dyDescent="0.25">
      <c r="A708" t="s">
        <v>706</v>
      </c>
      <c r="B708" t="s">
        <v>1611</v>
      </c>
      <c r="C708" t="s">
        <v>1812</v>
      </c>
      <c r="D708">
        <v>91.25</v>
      </c>
      <c r="E708" s="1">
        <v>44463</v>
      </c>
      <c r="F708" s="1" t="str">
        <f>TEXT(Sheet1[[#This Row],[Fecha ingreso]],"mmmm")</f>
        <v>septiembre</v>
      </c>
      <c r="G708" s="2">
        <f>YEAR(Sheet1[[#This Row],[Fecha ingreso]])</f>
        <v>2021</v>
      </c>
      <c r="H708" s="1" t="str">
        <f>TEXT(Sheet1[[#This Row],[Fecha ingreso]],"dddd")</f>
        <v>viernes</v>
      </c>
      <c r="I708" s="1">
        <v>44910</v>
      </c>
      <c r="J708" s="2">
        <f>DATEDIF(Sheet1[[#This Row],[Fecha ingreso]],Sheet1[[#This Row],[Fecha último pago]],"M")+1</f>
        <v>15</v>
      </c>
      <c r="K708" s="2">
        <f>Sheet1[[#This Row],[Ingresos mensuales]]*Sheet1[[#This Row],[Meses contratados]]</f>
        <v>1368.75</v>
      </c>
      <c r="L708" t="s">
        <v>1813</v>
      </c>
      <c r="M708">
        <v>43</v>
      </c>
      <c r="N708" t="s">
        <v>1820</v>
      </c>
      <c r="O708" t="s">
        <v>1823</v>
      </c>
      <c r="P708" t="s">
        <v>1826</v>
      </c>
      <c r="Q708" cm="1">
        <f t="array" ref="Q708">_xlfn.IFS(P708="2 Years", 24,P708="1 Year",12, P708="6 Months",6, P708="1 Month",1)</f>
        <v>24</v>
      </c>
      <c r="R708" t="str" cm="1">
        <f t="array" ref="R708">_xlfn.IFS(Q708=1,"Mensual",Q708=6,"Semestral",Q708=12,"Anual",Q708=24,"Bienal")</f>
        <v>Bienal</v>
      </c>
      <c r="S708">
        <f>IFERROR(VLOOKUP(Sheet1[[#This Row],[ID usuario]],A709:$A$907,1,FALSE),0)</f>
        <v>0</v>
      </c>
    </row>
    <row r="709" spans="1:19" x14ac:dyDescent="0.25">
      <c r="A709" t="s">
        <v>707</v>
      </c>
      <c r="B709" t="s">
        <v>1612</v>
      </c>
      <c r="C709" t="s">
        <v>1811</v>
      </c>
      <c r="D709">
        <v>63.45</v>
      </c>
      <c r="E709" s="1">
        <v>45148</v>
      </c>
      <c r="F709" s="1" t="str">
        <f>TEXT(Sheet1[[#This Row],[Fecha ingreso]],"mmmm")</f>
        <v>agosto</v>
      </c>
      <c r="G709" s="2">
        <f>YEAR(Sheet1[[#This Row],[Fecha ingreso]])</f>
        <v>2023</v>
      </c>
      <c r="H709" s="1" t="str">
        <f>TEXT(Sheet1[[#This Row],[Fecha ingreso]],"dddd")</f>
        <v>jueves</v>
      </c>
      <c r="I709" s="1">
        <v>45409</v>
      </c>
      <c r="J709" s="2">
        <f>DATEDIF(Sheet1[[#This Row],[Fecha ingreso]],Sheet1[[#This Row],[Fecha último pago]],"M")+1</f>
        <v>9</v>
      </c>
      <c r="K709" s="2">
        <f>Sheet1[[#This Row],[Ingresos mensuales]]*Sheet1[[#This Row],[Meses contratados]]</f>
        <v>571.05000000000007</v>
      </c>
      <c r="L709" t="s">
        <v>1814</v>
      </c>
      <c r="M709">
        <v>61</v>
      </c>
      <c r="N709" t="s">
        <v>1822</v>
      </c>
      <c r="O709" t="s">
        <v>1824</v>
      </c>
      <c r="P709" t="s">
        <v>1828</v>
      </c>
      <c r="Q709" cm="1">
        <f t="array" ref="Q709">_xlfn.IFS(P709="2 Years", 24,P709="1 Year",12, P709="6 Months",6, P709="1 Month",1)</f>
        <v>6</v>
      </c>
      <c r="R709" t="str" cm="1">
        <f t="array" ref="R709">_xlfn.IFS(Q709=1,"Mensual",Q709=6,"Semestral",Q709=12,"Anual",Q709=24,"Bienal")</f>
        <v>Semestral</v>
      </c>
      <c r="S709">
        <f>IFERROR(VLOOKUP(Sheet1[[#This Row],[ID usuario]],A710:$A$907,1,FALSE),0)</f>
        <v>0</v>
      </c>
    </row>
    <row r="710" spans="1:19" x14ac:dyDescent="0.25">
      <c r="A710" t="s">
        <v>708</v>
      </c>
      <c r="B710" t="s">
        <v>1613</v>
      </c>
      <c r="C710" t="s">
        <v>1812</v>
      </c>
      <c r="D710">
        <v>80.290000000000006</v>
      </c>
      <c r="E710" s="1">
        <v>44728</v>
      </c>
      <c r="F710" s="1" t="str">
        <f>TEXT(Sheet1[[#This Row],[Fecha ingreso]],"mmmm")</f>
        <v>junio</v>
      </c>
      <c r="G710" s="2">
        <f>YEAR(Sheet1[[#This Row],[Fecha ingreso]])</f>
        <v>2022</v>
      </c>
      <c r="H710" s="1" t="str">
        <f>TEXT(Sheet1[[#This Row],[Fecha ingreso]],"dddd")</f>
        <v>jueves</v>
      </c>
      <c r="I710" s="1">
        <v>44801</v>
      </c>
      <c r="J710" s="2">
        <f>DATEDIF(Sheet1[[#This Row],[Fecha ingreso]],Sheet1[[#This Row],[Fecha último pago]],"M")+1</f>
        <v>3</v>
      </c>
      <c r="K710" s="2">
        <f>Sheet1[[#This Row],[Ingresos mensuales]]*Sheet1[[#This Row],[Meses contratados]]</f>
        <v>240.87</v>
      </c>
      <c r="L710" t="s">
        <v>1815</v>
      </c>
      <c r="M710">
        <v>52</v>
      </c>
      <c r="N710" t="s">
        <v>1821</v>
      </c>
      <c r="O710" t="s">
        <v>1825</v>
      </c>
      <c r="P710" t="s">
        <v>1828</v>
      </c>
      <c r="Q710" cm="1">
        <f t="array" ref="Q710">_xlfn.IFS(P710="2 Years", 24,P710="1 Year",12, P710="6 Months",6, P710="1 Month",1)</f>
        <v>6</v>
      </c>
      <c r="R710" t="str" cm="1">
        <f t="array" ref="R710">_xlfn.IFS(Q710=1,"Mensual",Q710=6,"Semestral",Q710=12,"Anual",Q710=24,"Bienal")</f>
        <v>Semestral</v>
      </c>
      <c r="S710">
        <f>IFERROR(VLOOKUP(Sheet1[[#This Row],[ID usuario]],A711:$A$907,1,FALSE),0)</f>
        <v>0</v>
      </c>
    </row>
    <row r="711" spans="1:19" x14ac:dyDescent="0.25">
      <c r="A711" t="s">
        <v>709</v>
      </c>
      <c r="B711" t="s">
        <v>1614</v>
      </c>
      <c r="C711" t="s">
        <v>1812</v>
      </c>
      <c r="D711">
        <v>84.39</v>
      </c>
      <c r="E711" s="1">
        <v>44906</v>
      </c>
      <c r="F711" s="1" t="str">
        <f>TEXT(Sheet1[[#This Row],[Fecha ingreso]],"mmmm")</f>
        <v>diciembre</v>
      </c>
      <c r="G711" s="2">
        <f>YEAR(Sheet1[[#This Row],[Fecha ingreso]])</f>
        <v>2022</v>
      </c>
      <c r="H711" s="1" t="str">
        <f>TEXT(Sheet1[[#This Row],[Fecha ingreso]],"dddd")</f>
        <v>domingo</v>
      </c>
      <c r="I711" s="1">
        <v>45378</v>
      </c>
      <c r="J711" s="2">
        <f>DATEDIF(Sheet1[[#This Row],[Fecha ingreso]],Sheet1[[#This Row],[Fecha último pago]],"M")+1</f>
        <v>16</v>
      </c>
      <c r="K711" s="2">
        <f>Sheet1[[#This Row],[Ingresos mensuales]]*Sheet1[[#This Row],[Meses contratados]]</f>
        <v>1350.24</v>
      </c>
      <c r="L711" t="s">
        <v>1817</v>
      </c>
      <c r="M711">
        <v>19</v>
      </c>
      <c r="N711" t="s">
        <v>1821</v>
      </c>
      <c r="O711" t="s">
        <v>1825</v>
      </c>
      <c r="P711" t="s">
        <v>1826</v>
      </c>
      <c r="Q711" cm="1">
        <f t="array" ref="Q711">_xlfn.IFS(P711="2 Years", 24,P711="1 Year",12, P711="6 Months",6, P711="1 Month",1)</f>
        <v>24</v>
      </c>
      <c r="R711" t="str" cm="1">
        <f t="array" ref="R711">_xlfn.IFS(Q711=1,"Mensual",Q711=6,"Semestral",Q711=12,"Anual",Q711=24,"Bienal")</f>
        <v>Bienal</v>
      </c>
      <c r="S711">
        <f>IFERROR(VLOOKUP(Sheet1[[#This Row],[ID usuario]],A712:$A$907,1,FALSE),0)</f>
        <v>0</v>
      </c>
    </row>
    <row r="712" spans="1:19" x14ac:dyDescent="0.25">
      <c r="A712" t="s">
        <v>710</v>
      </c>
      <c r="B712" t="s">
        <v>1615</v>
      </c>
      <c r="C712" t="s">
        <v>1812</v>
      </c>
      <c r="D712">
        <v>50.93</v>
      </c>
      <c r="E712" s="1">
        <v>44747</v>
      </c>
      <c r="F712" s="1" t="str">
        <f>TEXT(Sheet1[[#This Row],[Fecha ingreso]],"mmmm")</f>
        <v>julio</v>
      </c>
      <c r="G712" s="2">
        <f>YEAR(Sheet1[[#This Row],[Fecha ingreso]])</f>
        <v>2022</v>
      </c>
      <c r="H712" s="1" t="str">
        <f>TEXT(Sheet1[[#This Row],[Fecha ingreso]],"dddd")</f>
        <v>martes</v>
      </c>
      <c r="I712" s="1">
        <v>45032</v>
      </c>
      <c r="J712" s="2">
        <f>DATEDIF(Sheet1[[#This Row],[Fecha ingreso]],Sheet1[[#This Row],[Fecha último pago]],"M")+1</f>
        <v>10</v>
      </c>
      <c r="K712" s="2">
        <f>Sheet1[[#This Row],[Ingresos mensuales]]*Sheet1[[#This Row],[Meses contratados]]</f>
        <v>509.3</v>
      </c>
      <c r="L712" t="s">
        <v>1818</v>
      </c>
      <c r="M712">
        <v>66</v>
      </c>
      <c r="N712" t="s">
        <v>1820</v>
      </c>
      <c r="O712" t="s">
        <v>1823</v>
      </c>
      <c r="P712" t="s">
        <v>1828</v>
      </c>
      <c r="Q712" cm="1">
        <f t="array" ref="Q712">_xlfn.IFS(P712="2 Years", 24,P712="1 Year",12, P712="6 Months",6, P712="1 Month",1)</f>
        <v>6</v>
      </c>
      <c r="R712" t="str" cm="1">
        <f t="array" ref="R712">_xlfn.IFS(Q712=1,"Mensual",Q712=6,"Semestral",Q712=12,"Anual",Q712=24,"Bienal")</f>
        <v>Semestral</v>
      </c>
      <c r="S712">
        <f>IFERROR(VLOOKUP(Sheet1[[#This Row],[ID usuario]],A713:$A$907,1,FALSE),0)</f>
        <v>0</v>
      </c>
    </row>
    <row r="713" spans="1:19" x14ac:dyDescent="0.25">
      <c r="A713" t="s">
        <v>711</v>
      </c>
      <c r="B713" t="s">
        <v>1616</v>
      </c>
      <c r="C713" t="s">
        <v>1812</v>
      </c>
      <c r="D713">
        <v>88.71</v>
      </c>
      <c r="E713" s="1">
        <v>45212</v>
      </c>
      <c r="F713" s="1" t="str">
        <f>TEXT(Sheet1[[#This Row],[Fecha ingreso]],"mmmm")</f>
        <v>octubre</v>
      </c>
      <c r="G713" s="2">
        <f>YEAR(Sheet1[[#This Row],[Fecha ingreso]])</f>
        <v>2023</v>
      </c>
      <c r="H713" s="1" t="str">
        <f>TEXT(Sheet1[[#This Row],[Fecha ingreso]],"dddd")</f>
        <v>viernes</v>
      </c>
      <c r="I713" s="1">
        <v>45325</v>
      </c>
      <c r="J713" s="2">
        <f>DATEDIF(Sheet1[[#This Row],[Fecha ingreso]],Sheet1[[#This Row],[Fecha último pago]],"M")+1</f>
        <v>4</v>
      </c>
      <c r="K713" s="2">
        <f>Sheet1[[#This Row],[Ingresos mensuales]]*Sheet1[[#This Row],[Meses contratados]]</f>
        <v>354.84</v>
      </c>
      <c r="L713" t="s">
        <v>1815</v>
      </c>
      <c r="M713">
        <v>61</v>
      </c>
      <c r="N713" t="s">
        <v>1820</v>
      </c>
      <c r="O713" t="s">
        <v>1824</v>
      </c>
      <c r="P713" t="s">
        <v>1828</v>
      </c>
      <c r="Q713" cm="1">
        <f t="array" ref="Q713">_xlfn.IFS(P713="2 Years", 24,P713="1 Year",12, P713="6 Months",6, P713="1 Month",1)</f>
        <v>6</v>
      </c>
      <c r="R713" t="str" cm="1">
        <f t="array" ref="R713">_xlfn.IFS(Q713=1,"Mensual",Q713=6,"Semestral",Q713=12,"Anual",Q713=24,"Bienal")</f>
        <v>Semestral</v>
      </c>
      <c r="S713">
        <f>IFERROR(VLOOKUP(Sheet1[[#This Row],[ID usuario]],A714:$A$907,1,FALSE),0)</f>
        <v>0</v>
      </c>
    </row>
    <row r="714" spans="1:19" x14ac:dyDescent="0.25">
      <c r="A714" t="s">
        <v>712</v>
      </c>
      <c r="B714" t="s">
        <v>1617</v>
      </c>
      <c r="C714" t="s">
        <v>1812</v>
      </c>
      <c r="D714">
        <v>62.72</v>
      </c>
      <c r="E714" s="1">
        <v>44535</v>
      </c>
      <c r="F714" s="1" t="str">
        <f>TEXT(Sheet1[[#This Row],[Fecha ingreso]],"mmmm")</f>
        <v>diciembre</v>
      </c>
      <c r="G714" s="2">
        <f>YEAR(Sheet1[[#This Row],[Fecha ingreso]])</f>
        <v>2021</v>
      </c>
      <c r="H714" s="1" t="str">
        <f>TEXT(Sheet1[[#This Row],[Fecha ingreso]],"dddd")</f>
        <v>domingo</v>
      </c>
      <c r="I714" s="1">
        <v>45069</v>
      </c>
      <c r="J714" s="2">
        <f>DATEDIF(Sheet1[[#This Row],[Fecha ingreso]],Sheet1[[#This Row],[Fecha último pago]],"M")+1</f>
        <v>18</v>
      </c>
      <c r="K714" s="2">
        <f>Sheet1[[#This Row],[Ingresos mensuales]]*Sheet1[[#This Row],[Meses contratados]]</f>
        <v>1128.96</v>
      </c>
      <c r="L714" t="s">
        <v>1816</v>
      </c>
      <c r="M714">
        <v>61</v>
      </c>
      <c r="N714" t="s">
        <v>1821</v>
      </c>
      <c r="O714" t="s">
        <v>1825</v>
      </c>
      <c r="P714" t="s">
        <v>1827</v>
      </c>
      <c r="Q714" cm="1">
        <f t="array" ref="Q714">_xlfn.IFS(P714="2 Years", 24,P714="1 Year",12, P714="6 Months",6, P714="1 Month",1)</f>
        <v>12</v>
      </c>
      <c r="R714" t="str" cm="1">
        <f t="array" ref="R714">_xlfn.IFS(Q714=1,"Mensual",Q714=6,"Semestral",Q714=12,"Anual",Q714=24,"Bienal")</f>
        <v>Anual</v>
      </c>
      <c r="S714">
        <f>IFERROR(VLOOKUP(Sheet1[[#This Row],[ID usuario]],A715:$A$907,1,FALSE),0)</f>
        <v>0</v>
      </c>
    </row>
    <row r="715" spans="1:19" x14ac:dyDescent="0.25">
      <c r="A715" t="s">
        <v>713</v>
      </c>
      <c r="B715" t="s">
        <v>1618</v>
      </c>
      <c r="C715" t="s">
        <v>1812</v>
      </c>
      <c r="D715">
        <v>55.03</v>
      </c>
      <c r="E715" s="1">
        <v>45264</v>
      </c>
      <c r="F715" s="1" t="str">
        <f>TEXT(Sheet1[[#This Row],[Fecha ingreso]],"mmmm")</f>
        <v>diciembre</v>
      </c>
      <c r="G715" s="2">
        <f>YEAR(Sheet1[[#This Row],[Fecha ingreso]])</f>
        <v>2023</v>
      </c>
      <c r="H715" s="1" t="str">
        <f>TEXT(Sheet1[[#This Row],[Fecha ingreso]],"dddd")</f>
        <v>lunes</v>
      </c>
      <c r="I715" s="1">
        <v>45383</v>
      </c>
      <c r="J715" s="2">
        <f>DATEDIF(Sheet1[[#This Row],[Fecha ingreso]],Sheet1[[#This Row],[Fecha último pago]],"M")+1</f>
        <v>4</v>
      </c>
      <c r="K715" s="2">
        <f>Sheet1[[#This Row],[Ingresos mensuales]]*Sheet1[[#This Row],[Meses contratados]]</f>
        <v>220.12</v>
      </c>
      <c r="L715" t="s">
        <v>1815</v>
      </c>
      <c r="M715">
        <v>43</v>
      </c>
      <c r="N715" t="s">
        <v>1821</v>
      </c>
      <c r="O715" t="s">
        <v>1824</v>
      </c>
      <c r="P715" t="s">
        <v>1826</v>
      </c>
      <c r="Q715" cm="1">
        <f t="array" ref="Q715">_xlfn.IFS(P715="2 Years", 24,P715="1 Year",12, P715="6 Months",6, P715="1 Month",1)</f>
        <v>24</v>
      </c>
      <c r="R715" t="str" cm="1">
        <f t="array" ref="R715">_xlfn.IFS(Q715=1,"Mensual",Q715=6,"Semestral",Q715=12,"Anual",Q715=24,"Bienal")</f>
        <v>Bienal</v>
      </c>
      <c r="S715">
        <f>IFERROR(VLOOKUP(Sheet1[[#This Row],[ID usuario]],A716:$A$907,1,FALSE),0)</f>
        <v>0</v>
      </c>
    </row>
    <row r="716" spans="1:19" x14ac:dyDescent="0.25">
      <c r="A716" t="s">
        <v>714</v>
      </c>
      <c r="B716" t="s">
        <v>1619</v>
      </c>
      <c r="C716" t="s">
        <v>1810</v>
      </c>
      <c r="D716">
        <v>94.08</v>
      </c>
      <c r="E716" s="1">
        <v>44974</v>
      </c>
      <c r="F716" s="1" t="str">
        <f>TEXT(Sheet1[[#This Row],[Fecha ingreso]],"mmmm")</f>
        <v>febrero</v>
      </c>
      <c r="G716" s="2">
        <f>YEAR(Sheet1[[#This Row],[Fecha ingreso]])</f>
        <v>2023</v>
      </c>
      <c r="H716" s="1" t="str">
        <f>TEXT(Sheet1[[#This Row],[Fecha ingreso]],"dddd")</f>
        <v>viernes</v>
      </c>
      <c r="I716" s="1">
        <v>45129</v>
      </c>
      <c r="J716" s="2">
        <f>DATEDIF(Sheet1[[#This Row],[Fecha ingreso]],Sheet1[[#This Row],[Fecha último pago]],"M")+1</f>
        <v>6</v>
      </c>
      <c r="K716" s="2">
        <f>Sheet1[[#This Row],[Ingresos mensuales]]*Sheet1[[#This Row],[Meses contratados]]</f>
        <v>564.48</v>
      </c>
      <c r="L716" t="s">
        <v>1816</v>
      </c>
      <c r="M716">
        <v>60</v>
      </c>
      <c r="N716" t="s">
        <v>1820</v>
      </c>
      <c r="O716" t="s">
        <v>1825</v>
      </c>
      <c r="P716" t="s">
        <v>1829</v>
      </c>
      <c r="Q716" cm="1">
        <f t="array" ref="Q716">_xlfn.IFS(P716="2 Years", 24,P716="1 Year",12, P716="6 Months",6, P716="1 Month",1)</f>
        <v>1</v>
      </c>
      <c r="R716" t="str" cm="1">
        <f t="array" ref="R716">_xlfn.IFS(Q716=1,"Mensual",Q716=6,"Semestral",Q716=12,"Anual",Q716=24,"Bienal")</f>
        <v>Mensual</v>
      </c>
      <c r="S716">
        <f>IFERROR(VLOOKUP(Sheet1[[#This Row],[ID usuario]],A717:$A$907,1,FALSE),0)</f>
        <v>0</v>
      </c>
    </row>
    <row r="717" spans="1:19" x14ac:dyDescent="0.25">
      <c r="A717" t="s">
        <v>715</v>
      </c>
      <c r="B717" t="s">
        <v>1620</v>
      </c>
      <c r="C717" t="s">
        <v>1811</v>
      </c>
      <c r="D717">
        <v>33.99</v>
      </c>
      <c r="E717" s="1">
        <v>44562</v>
      </c>
      <c r="F717" s="1" t="str">
        <f>TEXT(Sheet1[[#This Row],[Fecha ingreso]],"mmmm")</f>
        <v>enero</v>
      </c>
      <c r="G717" s="2">
        <f>YEAR(Sheet1[[#This Row],[Fecha ingreso]])</f>
        <v>2022</v>
      </c>
      <c r="H717" s="1" t="str">
        <f>TEXT(Sheet1[[#This Row],[Fecha ingreso]],"dddd")</f>
        <v>sábado</v>
      </c>
      <c r="I717" s="1">
        <v>44680</v>
      </c>
      <c r="J717" s="2">
        <f>DATEDIF(Sheet1[[#This Row],[Fecha ingreso]],Sheet1[[#This Row],[Fecha último pago]],"M")+1</f>
        <v>4</v>
      </c>
      <c r="K717" s="2">
        <f>Sheet1[[#This Row],[Ingresos mensuales]]*Sheet1[[#This Row],[Meses contratados]]</f>
        <v>135.96</v>
      </c>
      <c r="L717" t="s">
        <v>1817</v>
      </c>
      <c r="M717">
        <v>69</v>
      </c>
      <c r="N717" t="s">
        <v>1821</v>
      </c>
      <c r="O717" t="s">
        <v>1824</v>
      </c>
      <c r="P717" t="s">
        <v>1829</v>
      </c>
      <c r="Q717" cm="1">
        <f t="array" ref="Q717">_xlfn.IFS(P717="2 Years", 24,P717="1 Year",12, P717="6 Months",6, P717="1 Month",1)</f>
        <v>1</v>
      </c>
      <c r="R717" t="str" cm="1">
        <f t="array" ref="R717">_xlfn.IFS(Q717=1,"Mensual",Q717=6,"Semestral",Q717=12,"Anual",Q717=24,"Bienal")</f>
        <v>Mensual</v>
      </c>
      <c r="S717">
        <f>IFERROR(VLOOKUP(Sheet1[[#This Row],[ID usuario]],A718:$A$907,1,FALSE),0)</f>
        <v>0</v>
      </c>
    </row>
    <row r="718" spans="1:19" x14ac:dyDescent="0.25">
      <c r="A718" t="s">
        <v>716</v>
      </c>
      <c r="B718" t="s">
        <v>1621</v>
      </c>
      <c r="C718" t="s">
        <v>1811</v>
      </c>
      <c r="D718">
        <v>98.43</v>
      </c>
      <c r="E718" s="1">
        <v>44498</v>
      </c>
      <c r="F718" s="1" t="str">
        <f>TEXT(Sheet1[[#This Row],[Fecha ingreso]],"mmmm")</f>
        <v>octubre</v>
      </c>
      <c r="G718" s="2">
        <f>YEAR(Sheet1[[#This Row],[Fecha ingreso]])</f>
        <v>2021</v>
      </c>
      <c r="H718" s="1" t="str">
        <f>TEXT(Sheet1[[#This Row],[Fecha ingreso]],"dddd")</f>
        <v>viernes</v>
      </c>
      <c r="I718" s="1">
        <v>45432</v>
      </c>
      <c r="J718" s="2">
        <f>DATEDIF(Sheet1[[#This Row],[Fecha ingreso]],Sheet1[[#This Row],[Fecha último pago]],"M")+1</f>
        <v>31</v>
      </c>
      <c r="K718" s="2">
        <f>Sheet1[[#This Row],[Ingresos mensuales]]*Sheet1[[#This Row],[Meses contratados]]</f>
        <v>3051.3300000000004</v>
      </c>
      <c r="L718" t="s">
        <v>1816</v>
      </c>
      <c r="M718">
        <v>22</v>
      </c>
      <c r="N718" t="s">
        <v>1822</v>
      </c>
      <c r="O718" t="s">
        <v>1823</v>
      </c>
      <c r="P718" t="s">
        <v>1829</v>
      </c>
      <c r="Q718" cm="1">
        <f t="array" ref="Q718">_xlfn.IFS(P718="2 Years", 24,P718="1 Year",12, P718="6 Months",6, P718="1 Month",1)</f>
        <v>1</v>
      </c>
      <c r="R718" t="str" cm="1">
        <f t="array" ref="R718">_xlfn.IFS(Q718=1,"Mensual",Q718=6,"Semestral",Q718=12,"Anual",Q718=24,"Bienal")</f>
        <v>Mensual</v>
      </c>
      <c r="S718">
        <f>IFERROR(VLOOKUP(Sheet1[[#This Row],[ID usuario]],A719:$A$907,1,FALSE),0)</f>
        <v>0</v>
      </c>
    </row>
    <row r="719" spans="1:19" x14ac:dyDescent="0.25">
      <c r="A719" t="s">
        <v>717</v>
      </c>
      <c r="B719" t="s">
        <v>1622</v>
      </c>
      <c r="C719" t="s">
        <v>1810</v>
      </c>
      <c r="D719">
        <v>90.7</v>
      </c>
      <c r="E719" s="1">
        <v>45008</v>
      </c>
      <c r="F719" s="1" t="str">
        <f>TEXT(Sheet1[[#This Row],[Fecha ingreso]],"mmmm")</f>
        <v>marzo</v>
      </c>
      <c r="G719" s="2">
        <f>YEAR(Sheet1[[#This Row],[Fecha ingreso]])</f>
        <v>2023</v>
      </c>
      <c r="H719" s="1" t="str">
        <f>TEXT(Sheet1[[#This Row],[Fecha ingreso]],"dddd")</f>
        <v>jueves</v>
      </c>
      <c r="I719" s="1">
        <v>45342</v>
      </c>
      <c r="J719" s="2">
        <f>DATEDIF(Sheet1[[#This Row],[Fecha ingreso]],Sheet1[[#This Row],[Fecha último pago]],"M")+1</f>
        <v>11</v>
      </c>
      <c r="K719" s="2">
        <f>Sheet1[[#This Row],[Ingresos mensuales]]*Sheet1[[#This Row],[Meses contratados]]</f>
        <v>997.7</v>
      </c>
      <c r="L719" t="s">
        <v>1816</v>
      </c>
      <c r="M719">
        <v>25</v>
      </c>
      <c r="N719" t="s">
        <v>1821</v>
      </c>
      <c r="O719" t="s">
        <v>1823</v>
      </c>
      <c r="P719" t="s">
        <v>1827</v>
      </c>
      <c r="Q719" cm="1">
        <f t="array" ref="Q719">_xlfn.IFS(P719="2 Years", 24,P719="1 Year",12, P719="6 Months",6, P719="1 Month",1)</f>
        <v>12</v>
      </c>
      <c r="R719" t="str" cm="1">
        <f t="array" ref="R719">_xlfn.IFS(Q719=1,"Mensual",Q719=6,"Semestral",Q719=12,"Anual",Q719=24,"Bienal")</f>
        <v>Anual</v>
      </c>
      <c r="S719">
        <f>IFERROR(VLOOKUP(Sheet1[[#This Row],[ID usuario]],A720:$A$907,1,FALSE),0)</f>
        <v>0</v>
      </c>
    </row>
    <row r="720" spans="1:19" x14ac:dyDescent="0.25">
      <c r="A720" t="s">
        <v>718</v>
      </c>
      <c r="B720" t="s">
        <v>1623</v>
      </c>
      <c r="C720" t="s">
        <v>1811</v>
      </c>
      <c r="D720">
        <v>48.58</v>
      </c>
      <c r="E720" s="1">
        <v>45275</v>
      </c>
      <c r="F720" s="1" t="str">
        <f>TEXT(Sheet1[[#This Row],[Fecha ingreso]],"mmmm")</f>
        <v>diciembre</v>
      </c>
      <c r="G720" s="2">
        <f>YEAR(Sheet1[[#This Row],[Fecha ingreso]])</f>
        <v>2023</v>
      </c>
      <c r="H720" s="1" t="str">
        <f>TEXT(Sheet1[[#This Row],[Fecha ingreso]],"dddd")</f>
        <v>viernes</v>
      </c>
      <c r="I720" s="1">
        <v>45391</v>
      </c>
      <c r="J720" s="2">
        <f>DATEDIF(Sheet1[[#This Row],[Fecha ingreso]],Sheet1[[#This Row],[Fecha último pago]],"M")+1</f>
        <v>4</v>
      </c>
      <c r="K720" s="2">
        <f>Sheet1[[#This Row],[Ingresos mensuales]]*Sheet1[[#This Row],[Meses contratados]]</f>
        <v>194.32</v>
      </c>
      <c r="L720" t="s">
        <v>1817</v>
      </c>
      <c r="M720">
        <v>47</v>
      </c>
      <c r="N720" t="s">
        <v>1820</v>
      </c>
      <c r="O720" t="s">
        <v>1824</v>
      </c>
      <c r="P720" t="s">
        <v>1828</v>
      </c>
      <c r="Q720" cm="1">
        <f t="array" ref="Q720">_xlfn.IFS(P720="2 Years", 24,P720="1 Year",12, P720="6 Months",6, P720="1 Month",1)</f>
        <v>6</v>
      </c>
      <c r="R720" t="str" cm="1">
        <f t="array" ref="R720">_xlfn.IFS(Q720=1,"Mensual",Q720=6,"Semestral",Q720=12,"Anual",Q720=24,"Bienal")</f>
        <v>Semestral</v>
      </c>
      <c r="S720">
        <f>IFERROR(VLOOKUP(Sheet1[[#This Row],[ID usuario]],A721:$A$907,1,FALSE),0)</f>
        <v>0</v>
      </c>
    </row>
    <row r="721" spans="1:19" x14ac:dyDescent="0.25">
      <c r="A721" t="s">
        <v>719</v>
      </c>
      <c r="B721" t="s">
        <v>1624</v>
      </c>
      <c r="C721" t="s">
        <v>1810</v>
      </c>
      <c r="D721">
        <v>82.66</v>
      </c>
      <c r="E721" s="1">
        <v>44689</v>
      </c>
      <c r="F721" s="1" t="str">
        <f>TEXT(Sheet1[[#This Row],[Fecha ingreso]],"mmmm")</f>
        <v>mayo</v>
      </c>
      <c r="G721" s="2">
        <f>YEAR(Sheet1[[#This Row],[Fecha ingreso]])</f>
        <v>2022</v>
      </c>
      <c r="H721" s="1" t="str">
        <f>TEXT(Sheet1[[#This Row],[Fecha ingreso]],"dddd")</f>
        <v>domingo</v>
      </c>
      <c r="I721" s="1">
        <v>44998</v>
      </c>
      <c r="J721" s="2">
        <f>DATEDIF(Sheet1[[#This Row],[Fecha ingreso]],Sheet1[[#This Row],[Fecha último pago]],"M")+1</f>
        <v>11</v>
      </c>
      <c r="K721" s="2">
        <f>Sheet1[[#This Row],[Ingresos mensuales]]*Sheet1[[#This Row],[Meses contratados]]</f>
        <v>909.26</v>
      </c>
      <c r="L721" t="s">
        <v>1816</v>
      </c>
      <c r="M721">
        <v>19</v>
      </c>
      <c r="N721" t="s">
        <v>1821</v>
      </c>
      <c r="O721" t="s">
        <v>1823</v>
      </c>
      <c r="P721" t="s">
        <v>1828</v>
      </c>
      <c r="Q721" cm="1">
        <f t="array" ref="Q721">_xlfn.IFS(P721="2 Years", 24,P721="1 Year",12, P721="6 Months",6, P721="1 Month",1)</f>
        <v>6</v>
      </c>
      <c r="R721" t="str" cm="1">
        <f t="array" ref="R721">_xlfn.IFS(Q721=1,"Mensual",Q721=6,"Semestral",Q721=12,"Anual",Q721=24,"Bienal")</f>
        <v>Semestral</v>
      </c>
      <c r="S721">
        <f>IFERROR(VLOOKUP(Sheet1[[#This Row],[ID usuario]],A722:$A$907,1,FALSE),0)</f>
        <v>0</v>
      </c>
    </row>
    <row r="722" spans="1:19" x14ac:dyDescent="0.25">
      <c r="A722" t="s">
        <v>720</v>
      </c>
      <c r="B722" t="s">
        <v>1625</v>
      </c>
      <c r="C722" t="s">
        <v>1811</v>
      </c>
      <c r="D722">
        <v>69.400000000000006</v>
      </c>
      <c r="E722" s="1">
        <v>44685</v>
      </c>
      <c r="F722" s="1" t="str">
        <f>TEXT(Sheet1[[#This Row],[Fecha ingreso]],"mmmm")</f>
        <v>mayo</v>
      </c>
      <c r="G722" s="2">
        <f>YEAR(Sheet1[[#This Row],[Fecha ingreso]])</f>
        <v>2022</v>
      </c>
      <c r="H722" s="1" t="str">
        <f>TEXT(Sheet1[[#This Row],[Fecha ingreso]],"dddd")</f>
        <v>miércoles</v>
      </c>
      <c r="I722" s="1">
        <v>45037</v>
      </c>
      <c r="J722" s="2">
        <f>DATEDIF(Sheet1[[#This Row],[Fecha ingreso]],Sheet1[[#This Row],[Fecha último pago]],"M")+1</f>
        <v>12</v>
      </c>
      <c r="K722" s="2">
        <f>Sheet1[[#This Row],[Ingresos mensuales]]*Sheet1[[#This Row],[Meses contratados]]</f>
        <v>832.80000000000007</v>
      </c>
      <c r="L722" t="s">
        <v>1814</v>
      </c>
      <c r="M722">
        <v>41</v>
      </c>
      <c r="N722" t="s">
        <v>1821</v>
      </c>
      <c r="O722" t="s">
        <v>1823</v>
      </c>
      <c r="P722" t="s">
        <v>1826</v>
      </c>
      <c r="Q722" cm="1">
        <f t="array" ref="Q722">_xlfn.IFS(P722="2 Years", 24,P722="1 Year",12, P722="6 Months",6, P722="1 Month",1)</f>
        <v>24</v>
      </c>
      <c r="R722" t="str" cm="1">
        <f t="array" ref="R722">_xlfn.IFS(Q722=1,"Mensual",Q722=6,"Semestral",Q722=12,"Anual",Q722=24,"Bienal")</f>
        <v>Bienal</v>
      </c>
      <c r="S722">
        <f>IFERROR(VLOOKUP(Sheet1[[#This Row],[ID usuario]],A723:$A$907,1,FALSE),0)</f>
        <v>0</v>
      </c>
    </row>
    <row r="723" spans="1:19" x14ac:dyDescent="0.25">
      <c r="A723" t="s">
        <v>721</v>
      </c>
      <c r="B723" t="s">
        <v>1626</v>
      </c>
      <c r="C723" t="s">
        <v>1812</v>
      </c>
      <c r="D723">
        <v>35.380000000000003</v>
      </c>
      <c r="E723" s="1">
        <v>45143</v>
      </c>
      <c r="F723" s="1" t="str">
        <f>TEXT(Sheet1[[#This Row],[Fecha ingreso]],"mmmm")</f>
        <v>agosto</v>
      </c>
      <c r="G723" s="2">
        <f>YEAR(Sheet1[[#This Row],[Fecha ingreso]])</f>
        <v>2023</v>
      </c>
      <c r="H723" s="1" t="str">
        <f>TEXT(Sheet1[[#This Row],[Fecha ingreso]],"dddd")</f>
        <v>sábado</v>
      </c>
      <c r="I723" s="1">
        <v>45356</v>
      </c>
      <c r="J723" s="2">
        <f>DATEDIF(Sheet1[[#This Row],[Fecha ingreso]],Sheet1[[#This Row],[Fecha último pago]],"M")+1</f>
        <v>8</v>
      </c>
      <c r="K723" s="2">
        <f>Sheet1[[#This Row],[Ingresos mensuales]]*Sheet1[[#This Row],[Meses contratados]]</f>
        <v>283.04000000000002</v>
      </c>
      <c r="L723" t="s">
        <v>1815</v>
      </c>
      <c r="M723">
        <v>42</v>
      </c>
      <c r="N723" t="s">
        <v>1822</v>
      </c>
      <c r="O723" t="s">
        <v>1825</v>
      </c>
      <c r="P723" t="s">
        <v>1829</v>
      </c>
      <c r="Q723" cm="1">
        <f t="array" ref="Q723">_xlfn.IFS(P723="2 Years", 24,P723="1 Year",12, P723="6 Months",6, P723="1 Month",1)</f>
        <v>1</v>
      </c>
      <c r="R723" t="str" cm="1">
        <f t="array" ref="R723">_xlfn.IFS(Q723=1,"Mensual",Q723=6,"Semestral",Q723=12,"Anual",Q723=24,"Bienal")</f>
        <v>Mensual</v>
      </c>
      <c r="S723">
        <f>IFERROR(VLOOKUP(Sheet1[[#This Row],[ID usuario]],A724:$A$907,1,FALSE),0)</f>
        <v>0</v>
      </c>
    </row>
    <row r="724" spans="1:19" x14ac:dyDescent="0.25">
      <c r="A724" t="s">
        <v>722</v>
      </c>
      <c r="B724" t="s">
        <v>1627</v>
      </c>
      <c r="C724" t="s">
        <v>1810</v>
      </c>
      <c r="D724">
        <v>68.8</v>
      </c>
      <c r="E724" s="1">
        <v>45164</v>
      </c>
      <c r="F724" s="1" t="str">
        <f>TEXT(Sheet1[[#This Row],[Fecha ingreso]],"mmmm")</f>
        <v>agosto</v>
      </c>
      <c r="G724" s="2">
        <f>YEAR(Sheet1[[#This Row],[Fecha ingreso]])</f>
        <v>2023</v>
      </c>
      <c r="H724" s="1" t="str">
        <f>TEXT(Sheet1[[#This Row],[Fecha ingreso]],"dddd")</f>
        <v>sábado</v>
      </c>
      <c r="I724" s="1">
        <v>45362</v>
      </c>
      <c r="J724" s="2">
        <f>DATEDIF(Sheet1[[#This Row],[Fecha ingreso]],Sheet1[[#This Row],[Fecha último pago]],"M")+1</f>
        <v>7</v>
      </c>
      <c r="K724" s="2">
        <f>Sheet1[[#This Row],[Ingresos mensuales]]*Sheet1[[#This Row],[Meses contratados]]</f>
        <v>481.59999999999997</v>
      </c>
      <c r="L724" t="s">
        <v>1814</v>
      </c>
      <c r="M724">
        <v>23</v>
      </c>
      <c r="N724" t="s">
        <v>1821</v>
      </c>
      <c r="O724" t="s">
        <v>1824</v>
      </c>
      <c r="P724" t="s">
        <v>1827</v>
      </c>
      <c r="Q724" cm="1">
        <f t="array" ref="Q724">_xlfn.IFS(P724="2 Years", 24,P724="1 Year",12, P724="6 Months",6, P724="1 Month",1)</f>
        <v>12</v>
      </c>
      <c r="R724" t="str" cm="1">
        <f t="array" ref="R724">_xlfn.IFS(Q724=1,"Mensual",Q724=6,"Semestral",Q724=12,"Anual",Q724=24,"Bienal")</f>
        <v>Anual</v>
      </c>
      <c r="S724">
        <f>IFERROR(VLOOKUP(Sheet1[[#This Row],[ID usuario]],A725:$A$907,1,FALSE),0)</f>
        <v>0</v>
      </c>
    </row>
    <row r="725" spans="1:19" x14ac:dyDescent="0.25">
      <c r="A725" t="s">
        <v>723</v>
      </c>
      <c r="B725" t="s">
        <v>1628</v>
      </c>
      <c r="C725" t="s">
        <v>1811</v>
      </c>
      <c r="D725">
        <v>85.08</v>
      </c>
      <c r="E725" s="1">
        <v>45158</v>
      </c>
      <c r="F725" s="1" t="str">
        <f>TEXT(Sheet1[[#This Row],[Fecha ingreso]],"mmmm")</f>
        <v>agosto</v>
      </c>
      <c r="G725" s="2">
        <f>YEAR(Sheet1[[#This Row],[Fecha ingreso]])</f>
        <v>2023</v>
      </c>
      <c r="H725" s="1" t="str">
        <f>TEXT(Sheet1[[#This Row],[Fecha ingreso]],"dddd")</f>
        <v>domingo</v>
      </c>
      <c r="I725" s="1">
        <v>45206</v>
      </c>
      <c r="J725" s="2">
        <f>DATEDIF(Sheet1[[#This Row],[Fecha ingreso]],Sheet1[[#This Row],[Fecha último pago]],"M")+1</f>
        <v>2</v>
      </c>
      <c r="K725" s="2">
        <f>Sheet1[[#This Row],[Ingresos mensuales]]*Sheet1[[#This Row],[Meses contratados]]</f>
        <v>170.16</v>
      </c>
      <c r="L725" t="s">
        <v>1817</v>
      </c>
      <c r="M725">
        <v>40</v>
      </c>
      <c r="N725" t="s">
        <v>1820</v>
      </c>
      <c r="O725" t="s">
        <v>1823</v>
      </c>
      <c r="P725" t="s">
        <v>1826</v>
      </c>
      <c r="Q725" cm="1">
        <f t="array" ref="Q725">_xlfn.IFS(P725="2 Years", 24,P725="1 Year",12, P725="6 Months",6, P725="1 Month",1)</f>
        <v>24</v>
      </c>
      <c r="R725" t="str" cm="1">
        <f t="array" ref="R725">_xlfn.IFS(Q725=1,"Mensual",Q725=6,"Semestral",Q725=12,"Anual",Q725=24,"Bienal")</f>
        <v>Bienal</v>
      </c>
      <c r="S725">
        <f>IFERROR(VLOOKUP(Sheet1[[#This Row],[ID usuario]],A726:$A$907,1,FALSE),0)</f>
        <v>0</v>
      </c>
    </row>
    <row r="726" spans="1:19" x14ac:dyDescent="0.25">
      <c r="A726" t="s">
        <v>724</v>
      </c>
      <c r="B726" t="s">
        <v>1629</v>
      </c>
      <c r="C726" t="s">
        <v>1812</v>
      </c>
      <c r="D726">
        <v>66.069999999999993</v>
      </c>
      <c r="E726" s="1">
        <v>44908</v>
      </c>
      <c r="F726" s="1" t="str">
        <f>TEXT(Sheet1[[#This Row],[Fecha ingreso]],"mmmm")</f>
        <v>diciembre</v>
      </c>
      <c r="G726" s="2">
        <f>YEAR(Sheet1[[#This Row],[Fecha ingreso]])</f>
        <v>2022</v>
      </c>
      <c r="H726" s="1" t="str">
        <f>TEXT(Sheet1[[#This Row],[Fecha ingreso]],"dddd")</f>
        <v>martes</v>
      </c>
      <c r="I726" s="1">
        <v>45420</v>
      </c>
      <c r="J726" s="2">
        <f>DATEDIF(Sheet1[[#This Row],[Fecha ingreso]],Sheet1[[#This Row],[Fecha último pago]],"M")+1</f>
        <v>17</v>
      </c>
      <c r="K726" s="2">
        <f>Sheet1[[#This Row],[Ingresos mensuales]]*Sheet1[[#This Row],[Meses contratados]]</f>
        <v>1123.1899999999998</v>
      </c>
      <c r="L726" t="s">
        <v>1818</v>
      </c>
      <c r="M726">
        <v>34</v>
      </c>
      <c r="N726" t="s">
        <v>1822</v>
      </c>
      <c r="O726" t="s">
        <v>1824</v>
      </c>
      <c r="P726" t="s">
        <v>1829</v>
      </c>
      <c r="Q726" cm="1">
        <f t="array" ref="Q726">_xlfn.IFS(P726="2 Years", 24,P726="1 Year",12, P726="6 Months",6, P726="1 Month",1)</f>
        <v>1</v>
      </c>
      <c r="R726" t="str" cm="1">
        <f t="array" ref="R726">_xlfn.IFS(Q726=1,"Mensual",Q726=6,"Semestral",Q726=12,"Anual",Q726=24,"Bienal")</f>
        <v>Mensual</v>
      </c>
      <c r="S726">
        <f>IFERROR(VLOOKUP(Sheet1[[#This Row],[ID usuario]],A727:$A$907,1,FALSE),0)</f>
        <v>0</v>
      </c>
    </row>
    <row r="727" spans="1:19" x14ac:dyDescent="0.25">
      <c r="A727" t="s">
        <v>725</v>
      </c>
      <c r="B727" t="s">
        <v>1630</v>
      </c>
      <c r="C727" t="s">
        <v>1811</v>
      </c>
      <c r="D727">
        <v>47.07</v>
      </c>
      <c r="E727" s="1">
        <v>45087</v>
      </c>
      <c r="F727" s="1" t="str">
        <f>TEXT(Sheet1[[#This Row],[Fecha ingreso]],"mmmm")</f>
        <v>junio</v>
      </c>
      <c r="G727" s="2">
        <f>YEAR(Sheet1[[#This Row],[Fecha ingreso]])</f>
        <v>2023</v>
      </c>
      <c r="H727" s="1" t="str">
        <f>TEXT(Sheet1[[#This Row],[Fecha ingreso]],"dddd")</f>
        <v>sábado</v>
      </c>
      <c r="I727" s="1">
        <v>45399</v>
      </c>
      <c r="J727" s="2">
        <f>DATEDIF(Sheet1[[#This Row],[Fecha ingreso]],Sheet1[[#This Row],[Fecha último pago]],"M")+1</f>
        <v>11</v>
      </c>
      <c r="K727" s="2">
        <f>Sheet1[[#This Row],[Ingresos mensuales]]*Sheet1[[#This Row],[Meses contratados]]</f>
        <v>517.77</v>
      </c>
      <c r="L727" t="s">
        <v>1817</v>
      </c>
      <c r="M727">
        <v>49</v>
      </c>
      <c r="N727" t="s">
        <v>1821</v>
      </c>
      <c r="O727" t="s">
        <v>1825</v>
      </c>
      <c r="P727" t="s">
        <v>1827</v>
      </c>
      <c r="Q727" cm="1">
        <f t="array" ref="Q727">_xlfn.IFS(P727="2 Years", 24,P727="1 Year",12, P727="6 Months",6, P727="1 Month",1)</f>
        <v>12</v>
      </c>
      <c r="R727" t="str" cm="1">
        <f t="array" ref="R727">_xlfn.IFS(Q727=1,"Mensual",Q727=6,"Semestral",Q727=12,"Anual",Q727=24,"Bienal")</f>
        <v>Anual</v>
      </c>
      <c r="S727">
        <f>IFERROR(VLOOKUP(Sheet1[[#This Row],[ID usuario]],A728:$A$907,1,FALSE),0)</f>
        <v>0</v>
      </c>
    </row>
    <row r="728" spans="1:19" x14ac:dyDescent="0.25">
      <c r="A728" t="s">
        <v>726</v>
      </c>
      <c r="B728" t="s">
        <v>1631</v>
      </c>
      <c r="C728" t="s">
        <v>1811</v>
      </c>
      <c r="D728">
        <v>90.32</v>
      </c>
      <c r="E728" s="1">
        <v>44378</v>
      </c>
      <c r="F728" s="1" t="str">
        <f>TEXT(Sheet1[[#This Row],[Fecha ingreso]],"mmmm")</f>
        <v>julio</v>
      </c>
      <c r="G728" s="2">
        <f>YEAR(Sheet1[[#This Row],[Fecha ingreso]])</f>
        <v>2021</v>
      </c>
      <c r="H728" s="1" t="str">
        <f>TEXT(Sheet1[[#This Row],[Fecha ingreso]],"dddd")</f>
        <v>jueves</v>
      </c>
      <c r="I728" s="1">
        <v>44576</v>
      </c>
      <c r="J728" s="2">
        <f>DATEDIF(Sheet1[[#This Row],[Fecha ingreso]],Sheet1[[#This Row],[Fecha último pago]],"M")+1</f>
        <v>7</v>
      </c>
      <c r="K728" s="2">
        <f>Sheet1[[#This Row],[Ingresos mensuales]]*Sheet1[[#This Row],[Meses contratados]]</f>
        <v>632.24</v>
      </c>
      <c r="L728" t="s">
        <v>1817</v>
      </c>
      <c r="M728">
        <v>66</v>
      </c>
      <c r="N728" t="s">
        <v>1821</v>
      </c>
      <c r="O728" t="s">
        <v>1824</v>
      </c>
      <c r="P728" t="s">
        <v>1828</v>
      </c>
      <c r="Q728" cm="1">
        <f t="array" ref="Q728">_xlfn.IFS(P728="2 Years", 24,P728="1 Year",12, P728="6 Months",6, P728="1 Month",1)</f>
        <v>6</v>
      </c>
      <c r="R728" t="str" cm="1">
        <f t="array" ref="R728">_xlfn.IFS(Q728=1,"Mensual",Q728=6,"Semestral",Q728=12,"Anual",Q728=24,"Bienal")</f>
        <v>Semestral</v>
      </c>
      <c r="S728">
        <f>IFERROR(VLOOKUP(Sheet1[[#This Row],[ID usuario]],A729:$A$907,1,FALSE),0)</f>
        <v>0</v>
      </c>
    </row>
    <row r="729" spans="1:19" x14ac:dyDescent="0.25">
      <c r="A729" t="s">
        <v>727</v>
      </c>
      <c r="B729" t="s">
        <v>1632</v>
      </c>
      <c r="C729" t="s">
        <v>1812</v>
      </c>
      <c r="D729">
        <v>35.54</v>
      </c>
      <c r="E729" s="1">
        <v>44926</v>
      </c>
      <c r="F729" s="1" t="str">
        <f>TEXT(Sheet1[[#This Row],[Fecha ingreso]],"mmmm")</f>
        <v>diciembre</v>
      </c>
      <c r="G729" s="2">
        <f>YEAR(Sheet1[[#This Row],[Fecha ingreso]])</f>
        <v>2022</v>
      </c>
      <c r="H729" s="1" t="str">
        <f>TEXT(Sheet1[[#This Row],[Fecha ingreso]],"dddd")</f>
        <v>sábado</v>
      </c>
      <c r="I729" s="1">
        <v>45187</v>
      </c>
      <c r="J729" s="2">
        <f>DATEDIF(Sheet1[[#This Row],[Fecha ingreso]],Sheet1[[#This Row],[Fecha último pago]],"M")+1</f>
        <v>9</v>
      </c>
      <c r="K729" s="2">
        <f>Sheet1[[#This Row],[Ingresos mensuales]]*Sheet1[[#This Row],[Meses contratados]]</f>
        <v>319.86</v>
      </c>
      <c r="L729" t="s">
        <v>1815</v>
      </c>
      <c r="M729">
        <v>18</v>
      </c>
      <c r="N729" t="s">
        <v>1820</v>
      </c>
      <c r="O729" t="s">
        <v>1823</v>
      </c>
      <c r="P729" t="s">
        <v>1827</v>
      </c>
      <c r="Q729" cm="1">
        <f t="array" ref="Q729">_xlfn.IFS(P729="2 Years", 24,P729="1 Year",12, P729="6 Months",6, P729="1 Month",1)</f>
        <v>12</v>
      </c>
      <c r="R729" t="str" cm="1">
        <f t="array" ref="R729">_xlfn.IFS(Q729=1,"Mensual",Q729=6,"Semestral",Q729=12,"Anual",Q729=24,"Bienal")</f>
        <v>Anual</v>
      </c>
      <c r="S729">
        <f>IFERROR(VLOOKUP(Sheet1[[#This Row],[ID usuario]],A730:$A$907,1,FALSE),0)</f>
        <v>0</v>
      </c>
    </row>
    <row r="730" spans="1:19" x14ac:dyDescent="0.25">
      <c r="A730" t="s">
        <v>728</v>
      </c>
      <c r="B730" t="s">
        <v>1633</v>
      </c>
      <c r="C730" t="s">
        <v>1810</v>
      </c>
      <c r="D730">
        <v>50.05</v>
      </c>
      <c r="E730" s="1">
        <v>45247</v>
      </c>
      <c r="F730" s="1" t="str">
        <f>TEXT(Sheet1[[#This Row],[Fecha ingreso]],"mmmm")</f>
        <v>noviembre</v>
      </c>
      <c r="G730" s="2">
        <f>YEAR(Sheet1[[#This Row],[Fecha ingreso]])</f>
        <v>2023</v>
      </c>
      <c r="H730" s="1" t="str">
        <f>TEXT(Sheet1[[#This Row],[Fecha ingreso]],"dddd")</f>
        <v>viernes</v>
      </c>
      <c r="I730" s="1">
        <v>45354</v>
      </c>
      <c r="J730" s="2">
        <f>DATEDIF(Sheet1[[#This Row],[Fecha ingreso]],Sheet1[[#This Row],[Fecha último pago]],"M")+1</f>
        <v>4</v>
      </c>
      <c r="K730" s="2">
        <f>Sheet1[[#This Row],[Ingresos mensuales]]*Sheet1[[#This Row],[Meses contratados]]</f>
        <v>200.2</v>
      </c>
      <c r="L730" t="s">
        <v>1817</v>
      </c>
      <c r="M730">
        <v>68</v>
      </c>
      <c r="N730" t="s">
        <v>1822</v>
      </c>
      <c r="O730" t="s">
        <v>1823</v>
      </c>
      <c r="P730" t="s">
        <v>1829</v>
      </c>
      <c r="Q730" cm="1">
        <f t="array" ref="Q730">_xlfn.IFS(P730="2 Years", 24,P730="1 Year",12, P730="6 Months",6, P730="1 Month",1)</f>
        <v>1</v>
      </c>
      <c r="R730" t="str" cm="1">
        <f t="array" ref="R730">_xlfn.IFS(Q730=1,"Mensual",Q730=6,"Semestral",Q730=12,"Anual",Q730=24,"Bienal")</f>
        <v>Mensual</v>
      </c>
      <c r="S730">
        <f>IFERROR(VLOOKUP(Sheet1[[#This Row],[ID usuario]],A731:$A$907,1,FALSE),0)</f>
        <v>0</v>
      </c>
    </row>
    <row r="731" spans="1:19" x14ac:dyDescent="0.25">
      <c r="A731" t="s">
        <v>729</v>
      </c>
      <c r="B731" t="s">
        <v>1634</v>
      </c>
      <c r="C731" t="s">
        <v>1810</v>
      </c>
      <c r="D731">
        <v>53.9</v>
      </c>
      <c r="E731" s="1">
        <v>44535</v>
      </c>
      <c r="F731" s="1" t="str">
        <f>TEXT(Sheet1[[#This Row],[Fecha ingreso]],"mmmm")</f>
        <v>diciembre</v>
      </c>
      <c r="G731" s="2">
        <f>YEAR(Sheet1[[#This Row],[Fecha ingreso]])</f>
        <v>2021</v>
      </c>
      <c r="H731" s="1" t="str">
        <f>TEXT(Sheet1[[#This Row],[Fecha ingreso]],"dddd")</f>
        <v>domingo</v>
      </c>
      <c r="I731" s="1">
        <v>45249</v>
      </c>
      <c r="J731" s="2">
        <f>DATEDIF(Sheet1[[#This Row],[Fecha ingreso]],Sheet1[[#This Row],[Fecha último pago]],"M")+1</f>
        <v>24</v>
      </c>
      <c r="K731" s="2">
        <f>Sheet1[[#This Row],[Ingresos mensuales]]*Sheet1[[#This Row],[Meses contratados]]</f>
        <v>1293.5999999999999</v>
      </c>
      <c r="L731" t="s">
        <v>1817</v>
      </c>
      <c r="M731">
        <v>21</v>
      </c>
      <c r="N731" t="s">
        <v>1820</v>
      </c>
      <c r="O731" t="s">
        <v>1825</v>
      </c>
      <c r="P731" t="s">
        <v>1829</v>
      </c>
      <c r="Q731" cm="1">
        <f t="array" ref="Q731">_xlfn.IFS(P731="2 Years", 24,P731="1 Year",12, P731="6 Months",6, P731="1 Month",1)</f>
        <v>1</v>
      </c>
      <c r="R731" t="str" cm="1">
        <f t="array" ref="R731">_xlfn.IFS(Q731=1,"Mensual",Q731=6,"Semestral",Q731=12,"Anual",Q731=24,"Bienal")</f>
        <v>Mensual</v>
      </c>
      <c r="S731">
        <f>IFERROR(VLOOKUP(Sheet1[[#This Row],[ID usuario]],A732:$A$907,1,FALSE),0)</f>
        <v>0</v>
      </c>
    </row>
    <row r="732" spans="1:19" x14ac:dyDescent="0.25">
      <c r="A732" t="s">
        <v>730</v>
      </c>
      <c r="B732" t="s">
        <v>1635</v>
      </c>
      <c r="C732" t="s">
        <v>1811</v>
      </c>
      <c r="D732">
        <v>18.34</v>
      </c>
      <c r="E732" s="1">
        <v>45153</v>
      </c>
      <c r="F732" s="1" t="str">
        <f>TEXT(Sheet1[[#This Row],[Fecha ingreso]],"mmmm")</f>
        <v>agosto</v>
      </c>
      <c r="G732" s="2">
        <f>YEAR(Sheet1[[#This Row],[Fecha ingreso]])</f>
        <v>2023</v>
      </c>
      <c r="H732" s="1" t="str">
        <f>TEXT(Sheet1[[#This Row],[Fecha ingreso]],"dddd")</f>
        <v>martes</v>
      </c>
      <c r="I732" s="1">
        <v>45411</v>
      </c>
      <c r="J732" s="2">
        <f>DATEDIF(Sheet1[[#This Row],[Fecha ingreso]],Sheet1[[#This Row],[Fecha último pago]],"M")+1</f>
        <v>9</v>
      </c>
      <c r="K732" s="2">
        <f>Sheet1[[#This Row],[Ingresos mensuales]]*Sheet1[[#This Row],[Meses contratados]]</f>
        <v>165.06</v>
      </c>
      <c r="L732" t="s">
        <v>1813</v>
      </c>
      <c r="M732">
        <v>51</v>
      </c>
      <c r="N732" t="s">
        <v>1820</v>
      </c>
      <c r="O732" t="s">
        <v>1823</v>
      </c>
      <c r="P732" t="s">
        <v>1829</v>
      </c>
      <c r="Q732" cm="1">
        <f t="array" ref="Q732">_xlfn.IFS(P732="2 Years", 24,P732="1 Year",12, P732="6 Months",6, P732="1 Month",1)</f>
        <v>1</v>
      </c>
      <c r="R732" t="str" cm="1">
        <f t="array" ref="R732">_xlfn.IFS(Q732=1,"Mensual",Q732=6,"Semestral",Q732=12,"Anual",Q732=24,"Bienal")</f>
        <v>Mensual</v>
      </c>
      <c r="S732">
        <f>IFERROR(VLOOKUP(Sheet1[[#This Row],[ID usuario]],A733:$A$907,1,FALSE),0)</f>
        <v>0</v>
      </c>
    </row>
    <row r="733" spans="1:19" x14ac:dyDescent="0.25">
      <c r="A733" t="s">
        <v>731</v>
      </c>
      <c r="B733" t="s">
        <v>1636</v>
      </c>
      <c r="C733" t="s">
        <v>1811</v>
      </c>
      <c r="D733">
        <v>72.72</v>
      </c>
      <c r="E733" s="1">
        <v>45401</v>
      </c>
      <c r="F733" s="1" t="str">
        <f>TEXT(Sheet1[[#This Row],[Fecha ingreso]],"mmmm")</f>
        <v>abril</v>
      </c>
      <c r="G733" s="2">
        <f>YEAR(Sheet1[[#This Row],[Fecha ingreso]])</f>
        <v>2024</v>
      </c>
      <c r="H733" s="1" t="str">
        <f>TEXT(Sheet1[[#This Row],[Fecha ingreso]],"dddd")</f>
        <v>viernes</v>
      </c>
      <c r="I733" s="1">
        <v>45402</v>
      </c>
      <c r="J733" s="2">
        <f>DATEDIF(Sheet1[[#This Row],[Fecha ingreso]],Sheet1[[#This Row],[Fecha último pago]],"M")+1</f>
        <v>1</v>
      </c>
      <c r="K733" s="2">
        <f>Sheet1[[#This Row],[Ingresos mensuales]]*Sheet1[[#This Row],[Meses contratados]]</f>
        <v>72.72</v>
      </c>
      <c r="L733" t="s">
        <v>1813</v>
      </c>
      <c r="M733">
        <v>49</v>
      </c>
      <c r="N733" t="s">
        <v>1821</v>
      </c>
      <c r="O733" t="s">
        <v>1825</v>
      </c>
      <c r="P733" t="s">
        <v>1826</v>
      </c>
      <c r="Q733" cm="1">
        <f t="array" ref="Q733">_xlfn.IFS(P733="2 Years", 24,P733="1 Year",12, P733="6 Months",6, P733="1 Month",1)</f>
        <v>24</v>
      </c>
      <c r="R733" t="str" cm="1">
        <f t="array" ref="R733">_xlfn.IFS(Q733=1,"Mensual",Q733=6,"Semestral",Q733=12,"Anual",Q733=24,"Bienal")</f>
        <v>Bienal</v>
      </c>
      <c r="S733">
        <f>IFERROR(VLOOKUP(Sheet1[[#This Row],[ID usuario]],A734:$A$907,1,FALSE),0)</f>
        <v>0</v>
      </c>
    </row>
    <row r="734" spans="1:19" x14ac:dyDescent="0.25">
      <c r="A734" t="s">
        <v>732</v>
      </c>
      <c r="B734" t="s">
        <v>1637</v>
      </c>
      <c r="C734" t="s">
        <v>1810</v>
      </c>
      <c r="D734">
        <v>10.5</v>
      </c>
      <c r="E734" s="1">
        <v>44820</v>
      </c>
      <c r="F734" s="1" t="str">
        <f>TEXT(Sheet1[[#This Row],[Fecha ingreso]],"mmmm")</f>
        <v>septiembre</v>
      </c>
      <c r="G734" s="2">
        <f>YEAR(Sheet1[[#This Row],[Fecha ingreso]])</f>
        <v>2022</v>
      </c>
      <c r="H734" s="1" t="str">
        <f>TEXT(Sheet1[[#This Row],[Fecha ingreso]],"dddd")</f>
        <v>viernes</v>
      </c>
      <c r="I734" s="1">
        <v>45444</v>
      </c>
      <c r="J734" s="2">
        <f>DATEDIF(Sheet1[[#This Row],[Fecha ingreso]],Sheet1[[#This Row],[Fecha último pago]],"M")+1</f>
        <v>21</v>
      </c>
      <c r="K734" s="2">
        <f>Sheet1[[#This Row],[Ingresos mensuales]]*Sheet1[[#This Row],[Meses contratados]]</f>
        <v>220.5</v>
      </c>
      <c r="L734" t="s">
        <v>1816</v>
      </c>
      <c r="M734">
        <v>18</v>
      </c>
      <c r="N734" t="s">
        <v>1822</v>
      </c>
      <c r="O734" t="s">
        <v>1825</v>
      </c>
      <c r="P734" t="s">
        <v>1826</v>
      </c>
      <c r="Q734" cm="1">
        <f t="array" ref="Q734">_xlfn.IFS(P734="2 Years", 24,P734="1 Year",12, P734="6 Months",6, P734="1 Month",1)</f>
        <v>24</v>
      </c>
      <c r="R734" t="str" cm="1">
        <f t="array" ref="R734">_xlfn.IFS(Q734=1,"Mensual",Q734=6,"Semestral",Q734=12,"Anual",Q734=24,"Bienal")</f>
        <v>Bienal</v>
      </c>
      <c r="S734">
        <f>IFERROR(VLOOKUP(Sheet1[[#This Row],[ID usuario]],A735:$A$907,1,FALSE),0)</f>
        <v>0</v>
      </c>
    </row>
    <row r="735" spans="1:19" x14ac:dyDescent="0.25">
      <c r="A735" t="s">
        <v>733</v>
      </c>
      <c r="B735" t="s">
        <v>1638</v>
      </c>
      <c r="C735" t="s">
        <v>1810</v>
      </c>
      <c r="D735">
        <v>32.68</v>
      </c>
      <c r="E735" s="1">
        <v>44753</v>
      </c>
      <c r="F735" s="1" t="str">
        <f>TEXT(Sheet1[[#This Row],[Fecha ingreso]],"mmmm")</f>
        <v>julio</v>
      </c>
      <c r="G735" s="2">
        <f>YEAR(Sheet1[[#This Row],[Fecha ingreso]])</f>
        <v>2022</v>
      </c>
      <c r="H735" s="1" t="str">
        <f>TEXT(Sheet1[[#This Row],[Fecha ingreso]],"dddd")</f>
        <v>lunes</v>
      </c>
      <c r="I735" s="1">
        <v>44857</v>
      </c>
      <c r="J735" s="2">
        <f>DATEDIF(Sheet1[[#This Row],[Fecha ingreso]],Sheet1[[#This Row],[Fecha último pago]],"M")+1</f>
        <v>4</v>
      </c>
      <c r="K735" s="2">
        <f>Sheet1[[#This Row],[Ingresos mensuales]]*Sheet1[[#This Row],[Meses contratados]]</f>
        <v>130.72</v>
      </c>
      <c r="L735" t="s">
        <v>1818</v>
      </c>
      <c r="M735">
        <v>26</v>
      </c>
      <c r="N735" t="s">
        <v>1822</v>
      </c>
      <c r="O735" t="s">
        <v>1823</v>
      </c>
      <c r="P735" t="s">
        <v>1829</v>
      </c>
      <c r="Q735" cm="1">
        <f t="array" ref="Q735">_xlfn.IFS(P735="2 Years", 24,P735="1 Year",12, P735="6 Months",6, P735="1 Month",1)</f>
        <v>1</v>
      </c>
      <c r="R735" t="str" cm="1">
        <f t="array" ref="R735">_xlfn.IFS(Q735=1,"Mensual",Q735=6,"Semestral",Q735=12,"Anual",Q735=24,"Bienal")</f>
        <v>Mensual</v>
      </c>
      <c r="S735">
        <f>IFERROR(VLOOKUP(Sheet1[[#This Row],[ID usuario]],A736:$A$907,1,FALSE),0)</f>
        <v>0</v>
      </c>
    </row>
    <row r="736" spans="1:19" x14ac:dyDescent="0.25">
      <c r="A736" t="s">
        <v>734</v>
      </c>
      <c r="B736" t="s">
        <v>1639</v>
      </c>
      <c r="C736" t="s">
        <v>1810</v>
      </c>
      <c r="D736">
        <v>8.61</v>
      </c>
      <c r="E736" s="1">
        <v>44402</v>
      </c>
      <c r="F736" s="1" t="str">
        <f>TEXT(Sheet1[[#This Row],[Fecha ingreso]],"mmmm")</f>
        <v>julio</v>
      </c>
      <c r="G736" s="2">
        <f>YEAR(Sheet1[[#This Row],[Fecha ingreso]])</f>
        <v>2021</v>
      </c>
      <c r="H736" s="1" t="str">
        <f>TEXT(Sheet1[[#This Row],[Fecha ingreso]],"dddd")</f>
        <v>domingo</v>
      </c>
      <c r="I736" s="1">
        <v>45059</v>
      </c>
      <c r="J736" s="2">
        <f>DATEDIF(Sheet1[[#This Row],[Fecha ingreso]],Sheet1[[#This Row],[Fecha último pago]],"M")+1</f>
        <v>22</v>
      </c>
      <c r="K736" s="2">
        <f>Sheet1[[#This Row],[Ingresos mensuales]]*Sheet1[[#This Row],[Meses contratados]]</f>
        <v>189.42</v>
      </c>
      <c r="L736" t="s">
        <v>1814</v>
      </c>
      <c r="M736">
        <v>42</v>
      </c>
      <c r="N736" t="s">
        <v>1822</v>
      </c>
      <c r="O736" t="s">
        <v>1825</v>
      </c>
      <c r="P736" t="s">
        <v>1828</v>
      </c>
      <c r="Q736" cm="1">
        <f t="array" ref="Q736">_xlfn.IFS(P736="2 Years", 24,P736="1 Year",12, P736="6 Months",6, P736="1 Month",1)</f>
        <v>6</v>
      </c>
      <c r="R736" t="str" cm="1">
        <f t="array" ref="R736">_xlfn.IFS(Q736=1,"Mensual",Q736=6,"Semestral",Q736=12,"Anual",Q736=24,"Bienal")</f>
        <v>Semestral</v>
      </c>
      <c r="S736">
        <f>IFERROR(VLOOKUP(Sheet1[[#This Row],[ID usuario]],A737:$A$907,1,FALSE),0)</f>
        <v>0</v>
      </c>
    </row>
    <row r="737" spans="1:19" x14ac:dyDescent="0.25">
      <c r="A737" t="s">
        <v>735</v>
      </c>
      <c r="B737" t="s">
        <v>1640</v>
      </c>
      <c r="C737" t="s">
        <v>1812</v>
      </c>
      <c r="D737">
        <v>95.87</v>
      </c>
      <c r="E737" s="1">
        <v>44658</v>
      </c>
      <c r="F737" s="1" t="str">
        <f>TEXT(Sheet1[[#This Row],[Fecha ingreso]],"mmmm")</f>
        <v>abril</v>
      </c>
      <c r="G737" s="2">
        <f>YEAR(Sheet1[[#This Row],[Fecha ingreso]])</f>
        <v>2022</v>
      </c>
      <c r="H737" s="1" t="str">
        <f>TEXT(Sheet1[[#This Row],[Fecha ingreso]],"dddd")</f>
        <v>jueves</v>
      </c>
      <c r="I737" s="1">
        <v>45399</v>
      </c>
      <c r="J737" s="2">
        <f>DATEDIF(Sheet1[[#This Row],[Fecha ingreso]],Sheet1[[#This Row],[Fecha último pago]],"M")+1</f>
        <v>25</v>
      </c>
      <c r="K737" s="2">
        <f>Sheet1[[#This Row],[Ingresos mensuales]]*Sheet1[[#This Row],[Meses contratados]]</f>
        <v>2396.75</v>
      </c>
      <c r="L737" t="s">
        <v>1813</v>
      </c>
      <c r="M737">
        <v>24</v>
      </c>
      <c r="N737" t="s">
        <v>1822</v>
      </c>
      <c r="O737" t="s">
        <v>1823</v>
      </c>
      <c r="P737" t="s">
        <v>1829</v>
      </c>
      <c r="Q737" cm="1">
        <f t="array" ref="Q737">_xlfn.IFS(P737="2 Years", 24,P737="1 Year",12, P737="6 Months",6, P737="1 Month",1)</f>
        <v>1</v>
      </c>
      <c r="R737" t="str" cm="1">
        <f t="array" ref="R737">_xlfn.IFS(Q737=1,"Mensual",Q737=6,"Semestral",Q737=12,"Anual",Q737=24,"Bienal")</f>
        <v>Mensual</v>
      </c>
      <c r="S737">
        <f>IFERROR(VLOOKUP(Sheet1[[#This Row],[ID usuario]],A738:$A$907,1,FALSE),0)</f>
        <v>0</v>
      </c>
    </row>
    <row r="738" spans="1:19" x14ac:dyDescent="0.25">
      <c r="A738" t="s">
        <v>736</v>
      </c>
      <c r="B738" t="s">
        <v>1641</v>
      </c>
      <c r="C738" t="s">
        <v>1812</v>
      </c>
      <c r="D738">
        <v>68.38</v>
      </c>
      <c r="E738" s="1">
        <v>44728</v>
      </c>
      <c r="F738" s="1" t="str">
        <f>TEXT(Sheet1[[#This Row],[Fecha ingreso]],"mmmm")</f>
        <v>junio</v>
      </c>
      <c r="G738" s="2">
        <f>YEAR(Sheet1[[#This Row],[Fecha ingreso]])</f>
        <v>2022</v>
      </c>
      <c r="H738" s="1" t="str">
        <f>TEXT(Sheet1[[#This Row],[Fecha ingreso]],"dddd")</f>
        <v>jueves</v>
      </c>
      <c r="I738" s="1">
        <v>45397</v>
      </c>
      <c r="J738" s="2">
        <f>DATEDIF(Sheet1[[#This Row],[Fecha ingreso]],Sheet1[[#This Row],[Fecha último pago]],"M")+1</f>
        <v>22</v>
      </c>
      <c r="K738" s="2">
        <f>Sheet1[[#This Row],[Ingresos mensuales]]*Sheet1[[#This Row],[Meses contratados]]</f>
        <v>1504.36</v>
      </c>
      <c r="L738" t="s">
        <v>1816</v>
      </c>
      <c r="M738">
        <v>29</v>
      </c>
      <c r="N738" t="s">
        <v>1820</v>
      </c>
      <c r="O738" t="s">
        <v>1825</v>
      </c>
      <c r="P738" t="s">
        <v>1828</v>
      </c>
      <c r="Q738" cm="1">
        <f t="array" ref="Q738">_xlfn.IFS(P738="2 Years", 24,P738="1 Year",12, P738="6 Months",6, P738="1 Month",1)</f>
        <v>6</v>
      </c>
      <c r="R738" t="str" cm="1">
        <f t="array" ref="R738">_xlfn.IFS(Q738=1,"Mensual",Q738=6,"Semestral",Q738=12,"Anual",Q738=24,"Bienal")</f>
        <v>Semestral</v>
      </c>
      <c r="S738">
        <f>IFERROR(VLOOKUP(Sheet1[[#This Row],[ID usuario]],A739:$A$907,1,FALSE),0)</f>
        <v>0</v>
      </c>
    </row>
    <row r="739" spans="1:19" x14ac:dyDescent="0.25">
      <c r="A739" t="s">
        <v>737</v>
      </c>
      <c r="B739" t="s">
        <v>1642</v>
      </c>
      <c r="C739" t="s">
        <v>1811</v>
      </c>
      <c r="D739">
        <v>96.6</v>
      </c>
      <c r="E739" s="1">
        <v>44437</v>
      </c>
      <c r="F739" s="1" t="str">
        <f>TEXT(Sheet1[[#This Row],[Fecha ingreso]],"mmmm")</f>
        <v>agosto</v>
      </c>
      <c r="G739" s="2">
        <f>YEAR(Sheet1[[#This Row],[Fecha ingreso]])</f>
        <v>2021</v>
      </c>
      <c r="H739" s="1" t="str">
        <f>TEXT(Sheet1[[#This Row],[Fecha ingreso]],"dddd")</f>
        <v>domingo</v>
      </c>
      <c r="I739" s="1">
        <v>44892</v>
      </c>
      <c r="J739" s="2">
        <f>DATEDIF(Sheet1[[#This Row],[Fecha ingreso]],Sheet1[[#This Row],[Fecha último pago]],"M")+1</f>
        <v>15</v>
      </c>
      <c r="K739" s="2">
        <f>Sheet1[[#This Row],[Ingresos mensuales]]*Sheet1[[#This Row],[Meses contratados]]</f>
        <v>1449</v>
      </c>
      <c r="L739" t="s">
        <v>1814</v>
      </c>
      <c r="M739">
        <v>22</v>
      </c>
      <c r="N739" t="s">
        <v>1822</v>
      </c>
      <c r="O739" t="s">
        <v>1824</v>
      </c>
      <c r="P739" t="s">
        <v>1827</v>
      </c>
      <c r="Q739" cm="1">
        <f t="array" ref="Q739">_xlfn.IFS(P739="2 Years", 24,P739="1 Year",12, P739="6 Months",6, P739="1 Month",1)</f>
        <v>12</v>
      </c>
      <c r="R739" t="str" cm="1">
        <f t="array" ref="R739">_xlfn.IFS(Q739=1,"Mensual",Q739=6,"Semestral",Q739=12,"Anual",Q739=24,"Bienal")</f>
        <v>Anual</v>
      </c>
      <c r="S739">
        <f>IFERROR(VLOOKUP(Sheet1[[#This Row],[ID usuario]],A740:$A$907,1,FALSE),0)</f>
        <v>0</v>
      </c>
    </row>
    <row r="740" spans="1:19" x14ac:dyDescent="0.25">
      <c r="A740" t="s">
        <v>738</v>
      </c>
      <c r="B740" t="s">
        <v>1643</v>
      </c>
      <c r="C740" t="s">
        <v>1811</v>
      </c>
      <c r="D740">
        <v>55.49</v>
      </c>
      <c r="E740" s="1">
        <v>44627</v>
      </c>
      <c r="F740" s="1" t="str">
        <f>TEXT(Sheet1[[#This Row],[Fecha ingreso]],"mmmm")</f>
        <v>marzo</v>
      </c>
      <c r="G740" s="2">
        <f>YEAR(Sheet1[[#This Row],[Fecha ingreso]])</f>
        <v>2022</v>
      </c>
      <c r="H740" s="1" t="str">
        <f>TEXT(Sheet1[[#This Row],[Fecha ingreso]],"dddd")</f>
        <v>lunes</v>
      </c>
      <c r="I740" s="1">
        <v>44825</v>
      </c>
      <c r="J740" s="2">
        <f>DATEDIF(Sheet1[[#This Row],[Fecha ingreso]],Sheet1[[#This Row],[Fecha último pago]],"M")+1</f>
        <v>7</v>
      </c>
      <c r="K740" s="2">
        <f>Sheet1[[#This Row],[Ingresos mensuales]]*Sheet1[[#This Row],[Meses contratados]]</f>
        <v>388.43</v>
      </c>
      <c r="L740" t="s">
        <v>1818</v>
      </c>
      <c r="M740">
        <v>55</v>
      </c>
      <c r="N740" t="s">
        <v>1822</v>
      </c>
      <c r="O740" t="s">
        <v>1825</v>
      </c>
      <c r="P740" t="s">
        <v>1829</v>
      </c>
      <c r="Q740" cm="1">
        <f t="array" ref="Q740">_xlfn.IFS(P740="2 Years", 24,P740="1 Year",12, P740="6 Months",6, P740="1 Month",1)</f>
        <v>1</v>
      </c>
      <c r="R740" t="str" cm="1">
        <f t="array" ref="R740">_xlfn.IFS(Q740=1,"Mensual",Q740=6,"Semestral",Q740=12,"Anual",Q740=24,"Bienal")</f>
        <v>Mensual</v>
      </c>
      <c r="S740">
        <f>IFERROR(VLOOKUP(Sheet1[[#This Row],[ID usuario]],A741:$A$907,1,FALSE),0)</f>
        <v>0</v>
      </c>
    </row>
    <row r="741" spans="1:19" x14ac:dyDescent="0.25">
      <c r="A741" t="s">
        <v>739</v>
      </c>
      <c r="B741" t="s">
        <v>1644</v>
      </c>
      <c r="C741" t="s">
        <v>1811</v>
      </c>
      <c r="D741">
        <v>81.2</v>
      </c>
      <c r="E741" s="1">
        <v>44974</v>
      </c>
      <c r="F741" s="1" t="str">
        <f>TEXT(Sheet1[[#This Row],[Fecha ingreso]],"mmmm")</f>
        <v>febrero</v>
      </c>
      <c r="G741" s="2">
        <f>YEAR(Sheet1[[#This Row],[Fecha ingreso]])</f>
        <v>2023</v>
      </c>
      <c r="H741" s="1" t="str">
        <f>TEXT(Sheet1[[#This Row],[Fecha ingreso]],"dddd")</f>
        <v>viernes</v>
      </c>
      <c r="I741" s="1">
        <v>45143</v>
      </c>
      <c r="J741" s="2">
        <f>DATEDIF(Sheet1[[#This Row],[Fecha ingreso]],Sheet1[[#This Row],[Fecha último pago]],"M")+1</f>
        <v>6</v>
      </c>
      <c r="K741" s="2">
        <f>Sheet1[[#This Row],[Ingresos mensuales]]*Sheet1[[#This Row],[Meses contratados]]</f>
        <v>487.20000000000005</v>
      </c>
      <c r="L741" t="s">
        <v>1815</v>
      </c>
      <c r="M741">
        <v>25</v>
      </c>
      <c r="N741" t="s">
        <v>1821</v>
      </c>
      <c r="O741" t="s">
        <v>1823</v>
      </c>
      <c r="P741" t="s">
        <v>1829</v>
      </c>
      <c r="Q741" cm="1">
        <f t="array" ref="Q741">_xlfn.IFS(P741="2 Years", 24,P741="1 Year",12, P741="6 Months",6, P741="1 Month",1)</f>
        <v>1</v>
      </c>
      <c r="R741" t="str" cm="1">
        <f t="array" ref="R741">_xlfn.IFS(Q741=1,"Mensual",Q741=6,"Semestral",Q741=12,"Anual",Q741=24,"Bienal")</f>
        <v>Mensual</v>
      </c>
      <c r="S741">
        <f>IFERROR(VLOOKUP(Sheet1[[#This Row],[ID usuario]],A742:$A$907,1,FALSE),0)</f>
        <v>0</v>
      </c>
    </row>
    <row r="742" spans="1:19" x14ac:dyDescent="0.25">
      <c r="A742" t="s">
        <v>740</v>
      </c>
      <c r="B742" t="s">
        <v>1645</v>
      </c>
      <c r="C742" t="s">
        <v>1811</v>
      </c>
      <c r="D742">
        <v>40.57</v>
      </c>
      <c r="E742" s="1">
        <v>44572</v>
      </c>
      <c r="F742" s="1" t="str">
        <f>TEXT(Sheet1[[#This Row],[Fecha ingreso]],"mmmm")</f>
        <v>enero</v>
      </c>
      <c r="G742" s="2">
        <f>YEAR(Sheet1[[#This Row],[Fecha ingreso]])</f>
        <v>2022</v>
      </c>
      <c r="H742" s="1" t="str">
        <f>TEXT(Sheet1[[#This Row],[Fecha ingreso]],"dddd")</f>
        <v>martes</v>
      </c>
      <c r="I742" s="1">
        <v>45080</v>
      </c>
      <c r="J742" s="2">
        <f>DATEDIF(Sheet1[[#This Row],[Fecha ingreso]],Sheet1[[#This Row],[Fecha último pago]],"M")+1</f>
        <v>17</v>
      </c>
      <c r="K742" s="2">
        <f>Sheet1[[#This Row],[Ingresos mensuales]]*Sheet1[[#This Row],[Meses contratados]]</f>
        <v>689.69</v>
      </c>
      <c r="L742" t="s">
        <v>1818</v>
      </c>
      <c r="M742">
        <v>43</v>
      </c>
      <c r="N742" t="s">
        <v>1820</v>
      </c>
      <c r="O742" t="s">
        <v>1823</v>
      </c>
      <c r="P742" t="s">
        <v>1828</v>
      </c>
      <c r="Q742" cm="1">
        <f t="array" ref="Q742">_xlfn.IFS(P742="2 Years", 24,P742="1 Year",12, P742="6 Months",6, P742="1 Month",1)</f>
        <v>6</v>
      </c>
      <c r="R742" t="str" cm="1">
        <f t="array" ref="R742">_xlfn.IFS(Q742=1,"Mensual",Q742=6,"Semestral",Q742=12,"Anual",Q742=24,"Bienal")</f>
        <v>Semestral</v>
      </c>
      <c r="S742">
        <f>IFERROR(VLOOKUP(Sheet1[[#This Row],[ID usuario]],A743:$A$907,1,FALSE),0)</f>
        <v>0</v>
      </c>
    </row>
    <row r="743" spans="1:19" x14ac:dyDescent="0.25">
      <c r="A743" t="s">
        <v>741</v>
      </c>
      <c r="B743" t="s">
        <v>1646</v>
      </c>
      <c r="C743" t="s">
        <v>1810</v>
      </c>
      <c r="D743">
        <v>38.61</v>
      </c>
      <c r="E743" s="1">
        <v>44418</v>
      </c>
      <c r="F743" s="1" t="str">
        <f>TEXT(Sheet1[[#This Row],[Fecha ingreso]],"mmmm")</f>
        <v>agosto</v>
      </c>
      <c r="G743" s="2">
        <f>YEAR(Sheet1[[#This Row],[Fecha ingreso]])</f>
        <v>2021</v>
      </c>
      <c r="H743" s="1" t="str">
        <f>TEXT(Sheet1[[#This Row],[Fecha ingreso]],"dddd")</f>
        <v>martes</v>
      </c>
      <c r="I743" s="1">
        <v>45051</v>
      </c>
      <c r="J743" s="2">
        <f>DATEDIF(Sheet1[[#This Row],[Fecha ingreso]],Sheet1[[#This Row],[Fecha último pago]],"M")+1</f>
        <v>21</v>
      </c>
      <c r="K743" s="2">
        <f>Sheet1[[#This Row],[Ingresos mensuales]]*Sheet1[[#This Row],[Meses contratados]]</f>
        <v>810.81</v>
      </c>
      <c r="L743" t="s">
        <v>1815</v>
      </c>
      <c r="M743">
        <v>69</v>
      </c>
      <c r="N743" t="s">
        <v>1822</v>
      </c>
      <c r="O743" t="s">
        <v>1824</v>
      </c>
      <c r="P743" t="s">
        <v>1827</v>
      </c>
      <c r="Q743" cm="1">
        <f t="array" ref="Q743">_xlfn.IFS(P743="2 Years", 24,P743="1 Year",12, P743="6 Months",6, P743="1 Month",1)</f>
        <v>12</v>
      </c>
      <c r="R743" t="str" cm="1">
        <f t="array" ref="R743">_xlfn.IFS(Q743=1,"Mensual",Q743=6,"Semestral",Q743=12,"Anual",Q743=24,"Bienal")</f>
        <v>Anual</v>
      </c>
      <c r="S743">
        <f>IFERROR(VLOOKUP(Sheet1[[#This Row],[ID usuario]],A744:$A$907,1,FALSE),0)</f>
        <v>0</v>
      </c>
    </row>
    <row r="744" spans="1:19" x14ac:dyDescent="0.25">
      <c r="A744" t="s">
        <v>742</v>
      </c>
      <c r="B744" t="s">
        <v>1647</v>
      </c>
      <c r="C744" t="s">
        <v>1810</v>
      </c>
      <c r="D744">
        <v>40.94</v>
      </c>
      <c r="E744" s="1">
        <v>44806</v>
      </c>
      <c r="F744" s="1" t="str">
        <f>TEXT(Sheet1[[#This Row],[Fecha ingreso]],"mmmm")</f>
        <v>septiembre</v>
      </c>
      <c r="G744" s="2">
        <f>YEAR(Sheet1[[#This Row],[Fecha ingreso]])</f>
        <v>2022</v>
      </c>
      <c r="H744" s="1" t="str">
        <f>TEXT(Sheet1[[#This Row],[Fecha ingreso]],"dddd")</f>
        <v>viernes</v>
      </c>
      <c r="I744" s="1">
        <v>45075</v>
      </c>
      <c r="J744" s="2">
        <f>DATEDIF(Sheet1[[#This Row],[Fecha ingreso]],Sheet1[[#This Row],[Fecha último pago]],"M")+1</f>
        <v>9</v>
      </c>
      <c r="K744" s="2">
        <f>Sheet1[[#This Row],[Ingresos mensuales]]*Sheet1[[#This Row],[Meses contratados]]</f>
        <v>368.46</v>
      </c>
      <c r="L744" t="s">
        <v>1816</v>
      </c>
      <c r="M744">
        <v>60</v>
      </c>
      <c r="N744" t="s">
        <v>1820</v>
      </c>
      <c r="O744" t="s">
        <v>1823</v>
      </c>
      <c r="P744" t="s">
        <v>1828</v>
      </c>
      <c r="Q744" cm="1">
        <f t="array" ref="Q744">_xlfn.IFS(P744="2 Years", 24,P744="1 Year",12, P744="6 Months",6, P744="1 Month",1)</f>
        <v>6</v>
      </c>
      <c r="R744" t="str" cm="1">
        <f t="array" ref="R744">_xlfn.IFS(Q744=1,"Mensual",Q744=6,"Semestral",Q744=12,"Anual",Q744=24,"Bienal")</f>
        <v>Semestral</v>
      </c>
      <c r="S744">
        <f>IFERROR(VLOOKUP(Sheet1[[#This Row],[ID usuario]],A745:$A$907,1,FALSE),0)</f>
        <v>0</v>
      </c>
    </row>
    <row r="745" spans="1:19" x14ac:dyDescent="0.25">
      <c r="A745" t="s">
        <v>743</v>
      </c>
      <c r="B745" t="s">
        <v>1648</v>
      </c>
      <c r="C745" t="s">
        <v>1810</v>
      </c>
      <c r="D745">
        <v>67.5</v>
      </c>
      <c r="E745" s="1">
        <v>45408</v>
      </c>
      <c r="F745" s="1" t="str">
        <f>TEXT(Sheet1[[#This Row],[Fecha ingreso]],"mmmm")</f>
        <v>abril</v>
      </c>
      <c r="G745" s="2">
        <f>YEAR(Sheet1[[#This Row],[Fecha ingreso]])</f>
        <v>2024</v>
      </c>
      <c r="H745" s="1" t="str">
        <f>TEXT(Sheet1[[#This Row],[Fecha ingreso]],"dddd")</f>
        <v>viernes</v>
      </c>
      <c r="I745" s="1">
        <v>45454</v>
      </c>
      <c r="J745" s="2">
        <f>DATEDIF(Sheet1[[#This Row],[Fecha ingreso]],Sheet1[[#This Row],[Fecha último pago]],"M")+1</f>
        <v>2</v>
      </c>
      <c r="K745" s="2">
        <f>Sheet1[[#This Row],[Ingresos mensuales]]*Sheet1[[#This Row],[Meses contratados]]</f>
        <v>135</v>
      </c>
      <c r="L745" t="s">
        <v>1815</v>
      </c>
      <c r="M745">
        <v>23</v>
      </c>
      <c r="N745" t="s">
        <v>1821</v>
      </c>
      <c r="O745" t="s">
        <v>1824</v>
      </c>
      <c r="P745" t="s">
        <v>1827</v>
      </c>
      <c r="Q745" cm="1">
        <f t="array" ref="Q745">_xlfn.IFS(P745="2 Years", 24,P745="1 Year",12, P745="6 Months",6, P745="1 Month",1)</f>
        <v>12</v>
      </c>
      <c r="R745" t="str" cm="1">
        <f t="array" ref="R745">_xlfn.IFS(Q745=1,"Mensual",Q745=6,"Semestral",Q745=12,"Anual",Q745=24,"Bienal")</f>
        <v>Anual</v>
      </c>
      <c r="S745">
        <f>IFERROR(VLOOKUP(Sheet1[[#This Row],[ID usuario]],A746:$A$907,1,FALSE),0)</f>
        <v>0</v>
      </c>
    </row>
    <row r="746" spans="1:19" x14ac:dyDescent="0.25">
      <c r="A746" t="s">
        <v>744</v>
      </c>
      <c r="B746" t="s">
        <v>1649</v>
      </c>
      <c r="C746" t="s">
        <v>1810</v>
      </c>
      <c r="D746">
        <v>39.15</v>
      </c>
      <c r="E746" s="1">
        <v>45053</v>
      </c>
      <c r="F746" s="1" t="str">
        <f>TEXT(Sheet1[[#This Row],[Fecha ingreso]],"mmmm")</f>
        <v>mayo</v>
      </c>
      <c r="G746" s="2">
        <f>YEAR(Sheet1[[#This Row],[Fecha ingreso]])</f>
        <v>2023</v>
      </c>
      <c r="H746" s="1" t="str">
        <f>TEXT(Sheet1[[#This Row],[Fecha ingreso]],"dddd")</f>
        <v>domingo</v>
      </c>
      <c r="I746" s="1">
        <v>45208</v>
      </c>
      <c r="J746" s="2">
        <f>DATEDIF(Sheet1[[#This Row],[Fecha ingreso]],Sheet1[[#This Row],[Fecha último pago]],"M")+1</f>
        <v>6</v>
      </c>
      <c r="K746" s="2">
        <f>Sheet1[[#This Row],[Ingresos mensuales]]*Sheet1[[#This Row],[Meses contratados]]</f>
        <v>234.89999999999998</v>
      </c>
      <c r="L746" t="s">
        <v>1817</v>
      </c>
      <c r="M746">
        <v>55</v>
      </c>
      <c r="N746" t="s">
        <v>1820</v>
      </c>
      <c r="O746" t="s">
        <v>1825</v>
      </c>
      <c r="P746" t="s">
        <v>1828</v>
      </c>
      <c r="Q746" cm="1">
        <f t="array" ref="Q746">_xlfn.IFS(P746="2 Years", 24,P746="1 Year",12, P746="6 Months",6, P746="1 Month",1)</f>
        <v>6</v>
      </c>
      <c r="R746" t="str" cm="1">
        <f t="array" ref="R746">_xlfn.IFS(Q746=1,"Mensual",Q746=6,"Semestral",Q746=12,"Anual",Q746=24,"Bienal")</f>
        <v>Semestral</v>
      </c>
      <c r="S746">
        <f>IFERROR(VLOOKUP(Sheet1[[#This Row],[ID usuario]],A747:$A$907,1,FALSE),0)</f>
        <v>0</v>
      </c>
    </row>
    <row r="747" spans="1:19" x14ac:dyDescent="0.25">
      <c r="A747" t="s">
        <v>745</v>
      </c>
      <c r="B747" t="s">
        <v>1650</v>
      </c>
      <c r="C747" t="s">
        <v>1812</v>
      </c>
      <c r="D747">
        <v>90.53</v>
      </c>
      <c r="E747" s="1">
        <v>44688</v>
      </c>
      <c r="F747" s="1" t="str">
        <f>TEXT(Sheet1[[#This Row],[Fecha ingreso]],"mmmm")</f>
        <v>mayo</v>
      </c>
      <c r="G747" s="2">
        <f>YEAR(Sheet1[[#This Row],[Fecha ingreso]])</f>
        <v>2022</v>
      </c>
      <c r="H747" s="1" t="str">
        <f>TEXT(Sheet1[[#This Row],[Fecha ingreso]],"dddd")</f>
        <v>sábado</v>
      </c>
      <c r="I747" s="1">
        <v>45213</v>
      </c>
      <c r="J747" s="2">
        <f>DATEDIF(Sheet1[[#This Row],[Fecha ingreso]],Sheet1[[#This Row],[Fecha último pago]],"M")+1</f>
        <v>18</v>
      </c>
      <c r="K747" s="2">
        <f>Sheet1[[#This Row],[Ingresos mensuales]]*Sheet1[[#This Row],[Meses contratados]]</f>
        <v>1629.54</v>
      </c>
      <c r="L747" t="s">
        <v>1814</v>
      </c>
      <c r="M747">
        <v>22</v>
      </c>
      <c r="N747" t="s">
        <v>1820</v>
      </c>
      <c r="O747" t="s">
        <v>1823</v>
      </c>
      <c r="P747" t="s">
        <v>1828</v>
      </c>
      <c r="Q747" cm="1">
        <f t="array" ref="Q747">_xlfn.IFS(P747="2 Years", 24,P747="1 Year",12, P747="6 Months",6, P747="1 Month",1)</f>
        <v>6</v>
      </c>
      <c r="R747" t="str" cm="1">
        <f t="array" ref="R747">_xlfn.IFS(Q747=1,"Mensual",Q747=6,"Semestral",Q747=12,"Anual",Q747=24,"Bienal")</f>
        <v>Semestral</v>
      </c>
      <c r="S747">
        <f>IFERROR(VLOOKUP(Sheet1[[#This Row],[ID usuario]],A748:$A$907,1,FALSE),0)</f>
        <v>0</v>
      </c>
    </row>
    <row r="748" spans="1:19" x14ac:dyDescent="0.25">
      <c r="A748" t="s">
        <v>746</v>
      </c>
      <c r="B748" t="s">
        <v>1651</v>
      </c>
      <c r="C748" t="s">
        <v>1810</v>
      </c>
      <c r="D748">
        <v>7.89</v>
      </c>
      <c r="E748" s="1">
        <v>45284</v>
      </c>
      <c r="F748" s="1" t="str">
        <f>TEXT(Sheet1[[#This Row],[Fecha ingreso]],"mmmm")</f>
        <v>diciembre</v>
      </c>
      <c r="G748" s="2">
        <f>YEAR(Sheet1[[#This Row],[Fecha ingreso]])</f>
        <v>2023</v>
      </c>
      <c r="H748" s="1" t="str">
        <f>TEXT(Sheet1[[#This Row],[Fecha ingreso]],"dddd")</f>
        <v>domingo</v>
      </c>
      <c r="I748" s="1">
        <v>45348</v>
      </c>
      <c r="J748" s="2">
        <f>DATEDIF(Sheet1[[#This Row],[Fecha ingreso]],Sheet1[[#This Row],[Fecha último pago]],"M")+1</f>
        <v>3</v>
      </c>
      <c r="K748" s="2">
        <f>Sheet1[[#This Row],[Ingresos mensuales]]*Sheet1[[#This Row],[Meses contratados]]</f>
        <v>23.669999999999998</v>
      </c>
      <c r="L748" t="s">
        <v>1817</v>
      </c>
      <c r="M748">
        <v>30</v>
      </c>
      <c r="N748" t="s">
        <v>1820</v>
      </c>
      <c r="O748" t="s">
        <v>1824</v>
      </c>
      <c r="P748" t="s">
        <v>1829</v>
      </c>
      <c r="Q748" cm="1">
        <f t="array" ref="Q748">_xlfn.IFS(P748="2 Years", 24,P748="1 Year",12, P748="6 Months",6, P748="1 Month",1)</f>
        <v>1</v>
      </c>
      <c r="R748" t="str" cm="1">
        <f t="array" ref="R748">_xlfn.IFS(Q748=1,"Mensual",Q748=6,"Semestral",Q748=12,"Anual",Q748=24,"Bienal")</f>
        <v>Mensual</v>
      </c>
      <c r="S748">
        <f>IFERROR(VLOOKUP(Sheet1[[#This Row],[ID usuario]],A749:$A$907,1,FALSE),0)</f>
        <v>0</v>
      </c>
    </row>
    <row r="749" spans="1:19" x14ac:dyDescent="0.25">
      <c r="A749" t="s">
        <v>747</v>
      </c>
      <c r="B749" t="s">
        <v>1652</v>
      </c>
      <c r="C749" t="s">
        <v>1811</v>
      </c>
      <c r="D749">
        <v>23.39</v>
      </c>
      <c r="E749" s="1">
        <v>44588</v>
      </c>
      <c r="F749" s="1" t="str">
        <f>TEXT(Sheet1[[#This Row],[Fecha ingreso]],"mmmm")</f>
        <v>enero</v>
      </c>
      <c r="G749" s="2">
        <f>YEAR(Sheet1[[#This Row],[Fecha ingreso]])</f>
        <v>2022</v>
      </c>
      <c r="H749" s="1" t="str">
        <f>TEXT(Sheet1[[#This Row],[Fecha ingreso]],"dddd")</f>
        <v>jueves</v>
      </c>
      <c r="I749" s="1">
        <v>44828</v>
      </c>
      <c r="J749" s="2">
        <f>DATEDIF(Sheet1[[#This Row],[Fecha ingreso]],Sheet1[[#This Row],[Fecha último pago]],"M")+1</f>
        <v>8</v>
      </c>
      <c r="K749" s="2">
        <f>Sheet1[[#This Row],[Ingresos mensuales]]*Sheet1[[#This Row],[Meses contratados]]</f>
        <v>187.12</v>
      </c>
      <c r="L749" t="s">
        <v>1818</v>
      </c>
      <c r="M749">
        <v>34</v>
      </c>
      <c r="N749" t="s">
        <v>1822</v>
      </c>
      <c r="O749" t="s">
        <v>1823</v>
      </c>
      <c r="P749" t="s">
        <v>1828</v>
      </c>
      <c r="Q749" cm="1">
        <f t="array" ref="Q749">_xlfn.IFS(P749="2 Years", 24,P749="1 Year",12, P749="6 Months",6, P749="1 Month",1)</f>
        <v>6</v>
      </c>
      <c r="R749" t="str" cm="1">
        <f t="array" ref="R749">_xlfn.IFS(Q749=1,"Mensual",Q749=6,"Semestral",Q749=12,"Anual",Q749=24,"Bienal")</f>
        <v>Semestral</v>
      </c>
      <c r="S749">
        <f>IFERROR(VLOOKUP(Sheet1[[#This Row],[ID usuario]],A750:$A$907,1,FALSE),0)</f>
        <v>0</v>
      </c>
    </row>
    <row r="750" spans="1:19" x14ac:dyDescent="0.25">
      <c r="A750" t="s">
        <v>748</v>
      </c>
      <c r="B750" t="s">
        <v>1653</v>
      </c>
      <c r="C750" t="s">
        <v>1810</v>
      </c>
      <c r="D750">
        <v>15.66</v>
      </c>
      <c r="E750" s="1">
        <v>45170</v>
      </c>
      <c r="F750" s="1" t="str">
        <f>TEXT(Sheet1[[#This Row],[Fecha ingreso]],"mmmm")</f>
        <v>septiembre</v>
      </c>
      <c r="G750" s="2">
        <f>YEAR(Sheet1[[#This Row],[Fecha ingreso]])</f>
        <v>2023</v>
      </c>
      <c r="H750" s="1" t="str">
        <f>TEXT(Sheet1[[#This Row],[Fecha ingreso]],"dddd")</f>
        <v>viernes</v>
      </c>
      <c r="I750" s="1">
        <v>45315</v>
      </c>
      <c r="J750" s="2">
        <f>DATEDIF(Sheet1[[#This Row],[Fecha ingreso]],Sheet1[[#This Row],[Fecha último pago]],"M")+1</f>
        <v>5</v>
      </c>
      <c r="K750" s="2">
        <f>Sheet1[[#This Row],[Ingresos mensuales]]*Sheet1[[#This Row],[Meses contratados]]</f>
        <v>78.3</v>
      </c>
      <c r="L750" t="s">
        <v>1819</v>
      </c>
      <c r="M750">
        <v>23</v>
      </c>
      <c r="N750" t="s">
        <v>1821</v>
      </c>
      <c r="O750" t="s">
        <v>1824</v>
      </c>
      <c r="P750" t="s">
        <v>1827</v>
      </c>
      <c r="Q750" cm="1">
        <f t="array" ref="Q750">_xlfn.IFS(P750="2 Years", 24,P750="1 Year",12, P750="6 Months",6, P750="1 Month",1)</f>
        <v>12</v>
      </c>
      <c r="R750" t="str" cm="1">
        <f t="array" ref="R750">_xlfn.IFS(Q750=1,"Mensual",Q750=6,"Semestral",Q750=12,"Anual",Q750=24,"Bienal")</f>
        <v>Anual</v>
      </c>
      <c r="S750">
        <f>IFERROR(VLOOKUP(Sheet1[[#This Row],[ID usuario]],A751:$A$907,1,FALSE),0)</f>
        <v>0</v>
      </c>
    </row>
    <row r="751" spans="1:19" x14ac:dyDescent="0.25">
      <c r="A751" t="s">
        <v>749</v>
      </c>
      <c r="B751" t="s">
        <v>1654</v>
      </c>
      <c r="C751" t="s">
        <v>1811</v>
      </c>
      <c r="D751">
        <v>9.02</v>
      </c>
      <c r="E751" s="1">
        <v>45098</v>
      </c>
      <c r="F751" s="1" t="str">
        <f>TEXT(Sheet1[[#This Row],[Fecha ingreso]],"mmmm")</f>
        <v>junio</v>
      </c>
      <c r="G751" s="2">
        <f>YEAR(Sheet1[[#This Row],[Fecha ingreso]])</f>
        <v>2023</v>
      </c>
      <c r="H751" s="1" t="str">
        <f>TEXT(Sheet1[[#This Row],[Fecha ingreso]],"dddd")</f>
        <v>miércoles</v>
      </c>
      <c r="I751" s="1">
        <v>45271</v>
      </c>
      <c r="J751" s="2">
        <f>DATEDIF(Sheet1[[#This Row],[Fecha ingreso]],Sheet1[[#This Row],[Fecha último pago]],"M")+1</f>
        <v>6</v>
      </c>
      <c r="K751" s="2">
        <f>Sheet1[[#This Row],[Ingresos mensuales]]*Sheet1[[#This Row],[Meses contratados]]</f>
        <v>54.12</v>
      </c>
      <c r="L751" t="s">
        <v>1815</v>
      </c>
      <c r="M751">
        <v>31</v>
      </c>
      <c r="N751" t="s">
        <v>1822</v>
      </c>
      <c r="O751" t="s">
        <v>1824</v>
      </c>
      <c r="P751" t="s">
        <v>1828</v>
      </c>
      <c r="Q751" cm="1">
        <f t="array" ref="Q751">_xlfn.IFS(P751="2 Years", 24,P751="1 Year",12, P751="6 Months",6, P751="1 Month",1)</f>
        <v>6</v>
      </c>
      <c r="R751" t="str" cm="1">
        <f t="array" ref="R751">_xlfn.IFS(Q751=1,"Mensual",Q751=6,"Semestral",Q751=12,"Anual",Q751=24,"Bienal")</f>
        <v>Semestral</v>
      </c>
      <c r="S751">
        <f>IFERROR(VLOOKUP(Sheet1[[#This Row],[ID usuario]],A752:$A$907,1,FALSE),0)</f>
        <v>0</v>
      </c>
    </row>
    <row r="752" spans="1:19" x14ac:dyDescent="0.25">
      <c r="A752" t="s">
        <v>750</v>
      </c>
      <c r="B752" t="s">
        <v>1655</v>
      </c>
      <c r="C752" t="s">
        <v>1812</v>
      </c>
      <c r="D752">
        <v>26.64</v>
      </c>
      <c r="E752" s="1">
        <v>44796</v>
      </c>
      <c r="F752" s="1" t="str">
        <f>TEXT(Sheet1[[#This Row],[Fecha ingreso]],"mmmm")</f>
        <v>agosto</v>
      </c>
      <c r="G752" s="2">
        <f>YEAR(Sheet1[[#This Row],[Fecha ingreso]])</f>
        <v>2022</v>
      </c>
      <c r="H752" s="1" t="str">
        <f>TEXT(Sheet1[[#This Row],[Fecha ingreso]],"dddd")</f>
        <v>martes</v>
      </c>
      <c r="I752" s="1">
        <v>45413</v>
      </c>
      <c r="J752" s="2">
        <f>DATEDIF(Sheet1[[#This Row],[Fecha ingreso]],Sheet1[[#This Row],[Fecha último pago]],"M")+1</f>
        <v>21</v>
      </c>
      <c r="K752" s="2">
        <f>Sheet1[[#This Row],[Ingresos mensuales]]*Sheet1[[#This Row],[Meses contratados]]</f>
        <v>559.44000000000005</v>
      </c>
      <c r="L752" t="s">
        <v>1817</v>
      </c>
      <c r="M752">
        <v>29</v>
      </c>
      <c r="N752" t="s">
        <v>1821</v>
      </c>
      <c r="O752" t="s">
        <v>1825</v>
      </c>
      <c r="P752" t="s">
        <v>1827</v>
      </c>
      <c r="Q752" cm="1">
        <f t="array" ref="Q752">_xlfn.IFS(P752="2 Years", 24,P752="1 Year",12, P752="6 Months",6, P752="1 Month",1)</f>
        <v>12</v>
      </c>
      <c r="R752" t="str" cm="1">
        <f t="array" ref="R752">_xlfn.IFS(Q752=1,"Mensual",Q752=6,"Semestral",Q752=12,"Anual",Q752=24,"Bienal")</f>
        <v>Anual</v>
      </c>
      <c r="S752">
        <f>IFERROR(VLOOKUP(Sheet1[[#This Row],[ID usuario]],A753:$A$907,1,FALSE),0)</f>
        <v>0</v>
      </c>
    </row>
    <row r="753" spans="1:19" x14ac:dyDescent="0.25">
      <c r="A753" t="s">
        <v>751</v>
      </c>
      <c r="B753" t="s">
        <v>1656</v>
      </c>
      <c r="C753" t="s">
        <v>1812</v>
      </c>
      <c r="D753">
        <v>47.45</v>
      </c>
      <c r="E753" s="1">
        <v>44417</v>
      </c>
      <c r="F753" s="1" t="str">
        <f>TEXT(Sheet1[[#This Row],[Fecha ingreso]],"mmmm")</f>
        <v>agosto</v>
      </c>
      <c r="G753" s="2">
        <f>YEAR(Sheet1[[#This Row],[Fecha ingreso]])</f>
        <v>2021</v>
      </c>
      <c r="H753" s="1" t="str">
        <f>TEXT(Sheet1[[#This Row],[Fecha ingreso]],"dddd")</f>
        <v>lunes</v>
      </c>
      <c r="I753" s="1">
        <v>45277</v>
      </c>
      <c r="J753" s="2">
        <f>DATEDIF(Sheet1[[#This Row],[Fecha ingreso]],Sheet1[[#This Row],[Fecha último pago]],"M")+1</f>
        <v>29</v>
      </c>
      <c r="K753" s="2">
        <f>Sheet1[[#This Row],[Ingresos mensuales]]*Sheet1[[#This Row],[Meses contratados]]</f>
        <v>1376.0500000000002</v>
      </c>
      <c r="L753" t="s">
        <v>1817</v>
      </c>
      <c r="M753">
        <v>40</v>
      </c>
      <c r="N753" t="s">
        <v>1821</v>
      </c>
      <c r="O753" t="s">
        <v>1825</v>
      </c>
      <c r="P753" t="s">
        <v>1828</v>
      </c>
      <c r="Q753" cm="1">
        <f t="array" ref="Q753">_xlfn.IFS(P753="2 Years", 24,P753="1 Year",12, P753="6 Months",6, P753="1 Month",1)</f>
        <v>6</v>
      </c>
      <c r="R753" t="str" cm="1">
        <f t="array" ref="R753">_xlfn.IFS(Q753=1,"Mensual",Q753=6,"Semestral",Q753=12,"Anual",Q753=24,"Bienal")</f>
        <v>Semestral</v>
      </c>
      <c r="S753">
        <f>IFERROR(VLOOKUP(Sheet1[[#This Row],[ID usuario]],A754:$A$907,1,FALSE),0)</f>
        <v>0</v>
      </c>
    </row>
    <row r="754" spans="1:19" x14ac:dyDescent="0.25">
      <c r="A754" t="s">
        <v>752</v>
      </c>
      <c r="B754" t="s">
        <v>1657</v>
      </c>
      <c r="C754" t="s">
        <v>1811</v>
      </c>
      <c r="D754">
        <v>84.51</v>
      </c>
      <c r="E754" s="1">
        <v>45427</v>
      </c>
      <c r="F754" s="1" t="str">
        <f>TEXT(Sheet1[[#This Row],[Fecha ingreso]],"mmmm")</f>
        <v>mayo</v>
      </c>
      <c r="G754" s="2">
        <f>YEAR(Sheet1[[#This Row],[Fecha ingreso]])</f>
        <v>2024</v>
      </c>
      <c r="H754" s="1" t="str">
        <f>TEXT(Sheet1[[#This Row],[Fecha ingreso]],"dddd")</f>
        <v>miércoles</v>
      </c>
      <c r="I754" s="1">
        <v>45450</v>
      </c>
      <c r="J754" s="2">
        <f>DATEDIF(Sheet1[[#This Row],[Fecha ingreso]],Sheet1[[#This Row],[Fecha último pago]],"M")+1</f>
        <v>1</v>
      </c>
      <c r="K754" s="2">
        <f>Sheet1[[#This Row],[Ingresos mensuales]]*Sheet1[[#This Row],[Meses contratados]]</f>
        <v>84.51</v>
      </c>
      <c r="L754" t="s">
        <v>1818</v>
      </c>
      <c r="M754">
        <v>60</v>
      </c>
      <c r="N754" t="s">
        <v>1822</v>
      </c>
      <c r="O754" t="s">
        <v>1825</v>
      </c>
      <c r="P754" t="s">
        <v>1826</v>
      </c>
      <c r="Q754" cm="1">
        <f t="array" ref="Q754">_xlfn.IFS(P754="2 Years", 24,P754="1 Year",12, P754="6 Months",6, P754="1 Month",1)</f>
        <v>24</v>
      </c>
      <c r="R754" t="str" cm="1">
        <f t="array" ref="R754">_xlfn.IFS(Q754=1,"Mensual",Q754=6,"Semestral",Q754=12,"Anual",Q754=24,"Bienal")</f>
        <v>Bienal</v>
      </c>
      <c r="S754">
        <f>IFERROR(VLOOKUP(Sheet1[[#This Row],[ID usuario]],A755:$A$907,1,FALSE),0)</f>
        <v>0</v>
      </c>
    </row>
    <row r="755" spans="1:19" x14ac:dyDescent="0.25">
      <c r="A755" t="s">
        <v>753</v>
      </c>
      <c r="B755" t="s">
        <v>1658</v>
      </c>
      <c r="C755" t="s">
        <v>1810</v>
      </c>
      <c r="D755">
        <v>26.07</v>
      </c>
      <c r="E755" s="1">
        <v>44706</v>
      </c>
      <c r="F755" s="1" t="str">
        <f>TEXT(Sheet1[[#This Row],[Fecha ingreso]],"mmmm")</f>
        <v>mayo</v>
      </c>
      <c r="G755" s="2">
        <f>YEAR(Sheet1[[#This Row],[Fecha ingreso]])</f>
        <v>2022</v>
      </c>
      <c r="H755" s="1" t="str">
        <f>TEXT(Sheet1[[#This Row],[Fecha ingreso]],"dddd")</f>
        <v>miércoles</v>
      </c>
      <c r="I755" s="1">
        <v>45183</v>
      </c>
      <c r="J755" s="2">
        <f>DATEDIF(Sheet1[[#This Row],[Fecha ingreso]],Sheet1[[#This Row],[Fecha último pago]],"M")+1</f>
        <v>16</v>
      </c>
      <c r="K755" s="2">
        <f>Sheet1[[#This Row],[Ingresos mensuales]]*Sheet1[[#This Row],[Meses contratados]]</f>
        <v>417.12</v>
      </c>
      <c r="L755" t="s">
        <v>1818</v>
      </c>
      <c r="M755">
        <v>57</v>
      </c>
      <c r="N755" t="s">
        <v>1822</v>
      </c>
      <c r="O755" t="s">
        <v>1824</v>
      </c>
      <c r="P755" t="s">
        <v>1826</v>
      </c>
      <c r="Q755" cm="1">
        <f t="array" ref="Q755">_xlfn.IFS(P755="2 Years", 24,P755="1 Year",12, P755="6 Months",6, P755="1 Month",1)</f>
        <v>24</v>
      </c>
      <c r="R755" t="str" cm="1">
        <f t="array" ref="R755">_xlfn.IFS(Q755=1,"Mensual",Q755=6,"Semestral",Q755=12,"Anual",Q755=24,"Bienal")</f>
        <v>Bienal</v>
      </c>
      <c r="S755">
        <f>IFERROR(VLOOKUP(Sheet1[[#This Row],[ID usuario]],A756:$A$907,1,FALSE),0)</f>
        <v>0</v>
      </c>
    </row>
    <row r="756" spans="1:19" x14ac:dyDescent="0.25">
      <c r="A756" t="s">
        <v>754</v>
      </c>
      <c r="B756" t="s">
        <v>1659</v>
      </c>
      <c r="C756" t="s">
        <v>1810</v>
      </c>
      <c r="D756">
        <v>51.92</v>
      </c>
      <c r="E756" s="1">
        <v>44391</v>
      </c>
      <c r="F756" s="1" t="str">
        <f>TEXT(Sheet1[[#This Row],[Fecha ingreso]],"mmmm")</f>
        <v>julio</v>
      </c>
      <c r="G756" s="2">
        <f>YEAR(Sheet1[[#This Row],[Fecha ingreso]])</f>
        <v>2021</v>
      </c>
      <c r="H756" s="1" t="str">
        <f>TEXT(Sheet1[[#This Row],[Fecha ingreso]],"dddd")</f>
        <v>miércoles</v>
      </c>
      <c r="I756" s="1">
        <v>44460</v>
      </c>
      <c r="J756" s="2">
        <f>DATEDIF(Sheet1[[#This Row],[Fecha ingreso]],Sheet1[[#This Row],[Fecha último pago]],"M")+1</f>
        <v>3</v>
      </c>
      <c r="K756" s="2">
        <f>Sheet1[[#This Row],[Ingresos mensuales]]*Sheet1[[#This Row],[Meses contratados]]</f>
        <v>155.76</v>
      </c>
      <c r="L756" t="s">
        <v>1816</v>
      </c>
      <c r="M756">
        <v>18</v>
      </c>
      <c r="N756" t="s">
        <v>1820</v>
      </c>
      <c r="O756" t="s">
        <v>1823</v>
      </c>
      <c r="P756" t="s">
        <v>1826</v>
      </c>
      <c r="Q756" cm="1">
        <f t="array" ref="Q756">_xlfn.IFS(P756="2 Years", 24,P756="1 Year",12, P756="6 Months",6, P756="1 Month",1)</f>
        <v>24</v>
      </c>
      <c r="R756" t="str" cm="1">
        <f t="array" ref="R756">_xlfn.IFS(Q756=1,"Mensual",Q756=6,"Semestral",Q756=12,"Anual",Q756=24,"Bienal")</f>
        <v>Bienal</v>
      </c>
      <c r="S756">
        <f>IFERROR(VLOOKUP(Sheet1[[#This Row],[ID usuario]],A757:$A$907,1,FALSE),0)</f>
        <v>0</v>
      </c>
    </row>
    <row r="757" spans="1:19" x14ac:dyDescent="0.25">
      <c r="A757" t="s">
        <v>755</v>
      </c>
      <c r="B757" t="s">
        <v>1660</v>
      </c>
      <c r="C757" t="s">
        <v>1811</v>
      </c>
      <c r="D757">
        <v>93.31</v>
      </c>
      <c r="E757" s="1">
        <v>45067</v>
      </c>
      <c r="F757" s="1" t="str">
        <f>TEXT(Sheet1[[#This Row],[Fecha ingreso]],"mmmm")</f>
        <v>mayo</v>
      </c>
      <c r="G757" s="2">
        <f>YEAR(Sheet1[[#This Row],[Fecha ingreso]])</f>
        <v>2023</v>
      </c>
      <c r="H757" s="1" t="str">
        <f>TEXT(Sheet1[[#This Row],[Fecha ingreso]],"dddd")</f>
        <v>domingo</v>
      </c>
      <c r="I757" s="1">
        <v>45234</v>
      </c>
      <c r="J757" s="2">
        <f>DATEDIF(Sheet1[[#This Row],[Fecha ingreso]],Sheet1[[#This Row],[Fecha último pago]],"M")+1</f>
        <v>6</v>
      </c>
      <c r="K757" s="2">
        <f>Sheet1[[#This Row],[Ingresos mensuales]]*Sheet1[[#This Row],[Meses contratados]]</f>
        <v>559.86</v>
      </c>
      <c r="L757" t="s">
        <v>1815</v>
      </c>
      <c r="M757">
        <v>42</v>
      </c>
      <c r="N757" t="s">
        <v>1822</v>
      </c>
      <c r="O757" t="s">
        <v>1825</v>
      </c>
      <c r="P757" t="s">
        <v>1829</v>
      </c>
      <c r="Q757" cm="1">
        <f t="array" ref="Q757">_xlfn.IFS(P757="2 Years", 24,P757="1 Year",12, P757="6 Months",6, P757="1 Month",1)</f>
        <v>1</v>
      </c>
      <c r="R757" t="str" cm="1">
        <f t="array" ref="R757">_xlfn.IFS(Q757=1,"Mensual",Q757=6,"Semestral",Q757=12,"Anual",Q757=24,"Bienal")</f>
        <v>Mensual</v>
      </c>
      <c r="S757">
        <f>IFERROR(VLOOKUP(Sheet1[[#This Row],[ID usuario]],A758:$A$907,1,FALSE),0)</f>
        <v>0</v>
      </c>
    </row>
    <row r="758" spans="1:19" x14ac:dyDescent="0.25">
      <c r="A758" t="s">
        <v>756</v>
      </c>
      <c r="B758" t="s">
        <v>1661</v>
      </c>
      <c r="C758" t="s">
        <v>1810</v>
      </c>
      <c r="D758">
        <v>68.39</v>
      </c>
      <c r="E758" s="1">
        <v>44436</v>
      </c>
      <c r="F758" s="1" t="str">
        <f>TEXT(Sheet1[[#This Row],[Fecha ingreso]],"mmmm")</f>
        <v>agosto</v>
      </c>
      <c r="G758" s="2">
        <f>YEAR(Sheet1[[#This Row],[Fecha ingreso]])</f>
        <v>2021</v>
      </c>
      <c r="H758" s="1" t="str">
        <f>TEXT(Sheet1[[#This Row],[Fecha ingreso]],"dddd")</f>
        <v>sábado</v>
      </c>
      <c r="I758" s="1">
        <v>45022</v>
      </c>
      <c r="J758" s="2">
        <f>DATEDIF(Sheet1[[#This Row],[Fecha ingreso]],Sheet1[[#This Row],[Fecha último pago]],"M")+1</f>
        <v>20</v>
      </c>
      <c r="K758" s="2">
        <f>Sheet1[[#This Row],[Ingresos mensuales]]*Sheet1[[#This Row],[Meses contratados]]</f>
        <v>1367.8</v>
      </c>
      <c r="L758" t="s">
        <v>1816</v>
      </c>
      <c r="M758">
        <v>66</v>
      </c>
      <c r="N758" t="s">
        <v>1821</v>
      </c>
      <c r="O758" t="s">
        <v>1823</v>
      </c>
      <c r="P758" t="s">
        <v>1828</v>
      </c>
      <c r="Q758" cm="1">
        <f t="array" ref="Q758">_xlfn.IFS(P758="2 Years", 24,P758="1 Year",12, P758="6 Months",6, P758="1 Month",1)</f>
        <v>6</v>
      </c>
      <c r="R758" t="str" cm="1">
        <f t="array" ref="R758">_xlfn.IFS(Q758=1,"Mensual",Q758=6,"Semestral",Q758=12,"Anual",Q758=24,"Bienal")</f>
        <v>Semestral</v>
      </c>
      <c r="S758">
        <f>IFERROR(VLOOKUP(Sheet1[[#This Row],[ID usuario]],A759:$A$907,1,FALSE),0)</f>
        <v>0</v>
      </c>
    </row>
    <row r="759" spans="1:19" x14ac:dyDescent="0.25">
      <c r="A759" t="s">
        <v>757</v>
      </c>
      <c r="B759" t="s">
        <v>1662</v>
      </c>
      <c r="C759" t="s">
        <v>1810</v>
      </c>
      <c r="D759">
        <v>80.819999999999993</v>
      </c>
      <c r="E759" s="1">
        <v>45104</v>
      </c>
      <c r="F759" s="1" t="str">
        <f>TEXT(Sheet1[[#This Row],[Fecha ingreso]],"mmmm")</f>
        <v>junio</v>
      </c>
      <c r="G759" s="2">
        <f>YEAR(Sheet1[[#This Row],[Fecha ingreso]])</f>
        <v>2023</v>
      </c>
      <c r="H759" s="1" t="str">
        <f>TEXT(Sheet1[[#This Row],[Fecha ingreso]],"dddd")</f>
        <v>martes</v>
      </c>
      <c r="I759" s="1">
        <v>45286</v>
      </c>
      <c r="J759" s="2">
        <f>DATEDIF(Sheet1[[#This Row],[Fecha ingreso]],Sheet1[[#This Row],[Fecha último pago]],"M")+1</f>
        <v>6</v>
      </c>
      <c r="K759" s="2">
        <f>Sheet1[[#This Row],[Ingresos mensuales]]*Sheet1[[#This Row],[Meses contratados]]</f>
        <v>484.91999999999996</v>
      </c>
      <c r="L759" t="s">
        <v>1816</v>
      </c>
      <c r="M759">
        <v>45</v>
      </c>
      <c r="N759" t="s">
        <v>1820</v>
      </c>
      <c r="O759" t="s">
        <v>1825</v>
      </c>
      <c r="P759" t="s">
        <v>1827</v>
      </c>
      <c r="Q759" cm="1">
        <f t="array" ref="Q759">_xlfn.IFS(P759="2 Years", 24,P759="1 Year",12, P759="6 Months",6, P759="1 Month",1)</f>
        <v>12</v>
      </c>
      <c r="R759" t="str" cm="1">
        <f t="array" ref="R759">_xlfn.IFS(Q759=1,"Mensual",Q759=6,"Semestral",Q759=12,"Anual",Q759=24,"Bienal")</f>
        <v>Anual</v>
      </c>
      <c r="S759">
        <f>IFERROR(VLOOKUP(Sheet1[[#This Row],[ID usuario]],A760:$A$907,1,FALSE),0)</f>
        <v>0</v>
      </c>
    </row>
    <row r="760" spans="1:19" x14ac:dyDescent="0.25">
      <c r="A760" t="s">
        <v>758</v>
      </c>
      <c r="B760" t="s">
        <v>1663</v>
      </c>
      <c r="C760" t="s">
        <v>1812</v>
      </c>
      <c r="D760">
        <v>57.34</v>
      </c>
      <c r="E760" s="1">
        <v>44391</v>
      </c>
      <c r="F760" s="1" t="str">
        <f>TEXT(Sheet1[[#This Row],[Fecha ingreso]],"mmmm")</f>
        <v>julio</v>
      </c>
      <c r="G760" s="2">
        <f>YEAR(Sheet1[[#This Row],[Fecha ingreso]])</f>
        <v>2021</v>
      </c>
      <c r="H760" s="1" t="str">
        <f>TEXT(Sheet1[[#This Row],[Fecha ingreso]],"dddd")</f>
        <v>miércoles</v>
      </c>
      <c r="I760" s="1">
        <v>44732</v>
      </c>
      <c r="J760" s="2">
        <f>DATEDIF(Sheet1[[#This Row],[Fecha ingreso]],Sheet1[[#This Row],[Fecha último pago]],"M")+1</f>
        <v>12</v>
      </c>
      <c r="K760" s="2">
        <f>Sheet1[[#This Row],[Ingresos mensuales]]*Sheet1[[#This Row],[Meses contratados]]</f>
        <v>688.08</v>
      </c>
      <c r="L760" t="s">
        <v>1817</v>
      </c>
      <c r="M760">
        <v>48</v>
      </c>
      <c r="N760" t="s">
        <v>1822</v>
      </c>
      <c r="O760" t="s">
        <v>1824</v>
      </c>
      <c r="P760" t="s">
        <v>1826</v>
      </c>
      <c r="Q760" cm="1">
        <f t="array" ref="Q760">_xlfn.IFS(P760="2 Years", 24,P760="1 Year",12, P760="6 Months",6, P760="1 Month",1)</f>
        <v>24</v>
      </c>
      <c r="R760" t="str" cm="1">
        <f t="array" ref="R760">_xlfn.IFS(Q760=1,"Mensual",Q760=6,"Semestral",Q760=12,"Anual",Q760=24,"Bienal")</f>
        <v>Bienal</v>
      </c>
      <c r="S760">
        <f>IFERROR(VLOOKUP(Sheet1[[#This Row],[ID usuario]],A761:$A$907,1,FALSE),0)</f>
        <v>0</v>
      </c>
    </row>
    <row r="761" spans="1:19" x14ac:dyDescent="0.25">
      <c r="A761" t="s">
        <v>759</v>
      </c>
      <c r="B761" t="s">
        <v>1664</v>
      </c>
      <c r="C761" t="s">
        <v>1811</v>
      </c>
      <c r="D761">
        <v>98.14</v>
      </c>
      <c r="E761" s="1">
        <v>45048</v>
      </c>
      <c r="F761" s="1" t="str">
        <f>TEXT(Sheet1[[#This Row],[Fecha ingreso]],"mmmm")</f>
        <v>mayo</v>
      </c>
      <c r="G761" s="2">
        <f>YEAR(Sheet1[[#This Row],[Fecha ingreso]])</f>
        <v>2023</v>
      </c>
      <c r="H761" s="1" t="str">
        <f>TEXT(Sheet1[[#This Row],[Fecha ingreso]],"dddd")</f>
        <v>martes</v>
      </c>
      <c r="I761" s="1">
        <v>45103</v>
      </c>
      <c r="J761" s="2">
        <f>DATEDIF(Sheet1[[#This Row],[Fecha ingreso]],Sheet1[[#This Row],[Fecha último pago]],"M")+1</f>
        <v>2</v>
      </c>
      <c r="K761" s="2">
        <f>Sheet1[[#This Row],[Ingresos mensuales]]*Sheet1[[#This Row],[Meses contratados]]</f>
        <v>196.28</v>
      </c>
      <c r="L761" t="s">
        <v>1813</v>
      </c>
      <c r="M761">
        <v>42</v>
      </c>
      <c r="N761" t="s">
        <v>1820</v>
      </c>
      <c r="O761" t="s">
        <v>1825</v>
      </c>
      <c r="P761" t="s">
        <v>1827</v>
      </c>
      <c r="Q761" cm="1">
        <f t="array" ref="Q761">_xlfn.IFS(P761="2 Years", 24,P761="1 Year",12, P761="6 Months",6, P761="1 Month",1)</f>
        <v>12</v>
      </c>
      <c r="R761" t="str" cm="1">
        <f t="array" ref="R761">_xlfn.IFS(Q761=1,"Mensual",Q761=6,"Semestral",Q761=12,"Anual",Q761=24,"Bienal")</f>
        <v>Anual</v>
      </c>
      <c r="S761">
        <f>IFERROR(VLOOKUP(Sheet1[[#This Row],[ID usuario]],A762:$A$907,1,FALSE),0)</f>
        <v>0</v>
      </c>
    </row>
    <row r="762" spans="1:19" x14ac:dyDescent="0.25">
      <c r="A762" t="s">
        <v>760</v>
      </c>
      <c r="B762" t="s">
        <v>1665</v>
      </c>
      <c r="C762" t="s">
        <v>1810</v>
      </c>
      <c r="D762">
        <v>60.92</v>
      </c>
      <c r="E762" s="1">
        <v>45118</v>
      </c>
      <c r="F762" s="1" t="str">
        <f>TEXT(Sheet1[[#This Row],[Fecha ingreso]],"mmmm")</f>
        <v>julio</v>
      </c>
      <c r="G762" s="2">
        <f>YEAR(Sheet1[[#This Row],[Fecha ingreso]])</f>
        <v>2023</v>
      </c>
      <c r="H762" s="1" t="str">
        <f>TEXT(Sheet1[[#This Row],[Fecha ingreso]],"dddd")</f>
        <v>martes</v>
      </c>
      <c r="I762" s="1">
        <v>45146</v>
      </c>
      <c r="J762" s="2">
        <f>DATEDIF(Sheet1[[#This Row],[Fecha ingreso]],Sheet1[[#This Row],[Fecha último pago]],"M")+1</f>
        <v>1</v>
      </c>
      <c r="K762" s="2">
        <f>Sheet1[[#This Row],[Ingresos mensuales]]*Sheet1[[#This Row],[Meses contratados]]</f>
        <v>60.92</v>
      </c>
      <c r="L762" t="s">
        <v>1817</v>
      </c>
      <c r="M762">
        <v>46</v>
      </c>
      <c r="N762" t="s">
        <v>1820</v>
      </c>
      <c r="O762" t="s">
        <v>1823</v>
      </c>
      <c r="P762" t="s">
        <v>1829</v>
      </c>
      <c r="Q762" cm="1">
        <f t="array" ref="Q762">_xlfn.IFS(P762="2 Years", 24,P762="1 Year",12, P762="6 Months",6, P762="1 Month",1)</f>
        <v>1</v>
      </c>
      <c r="R762" t="str" cm="1">
        <f t="array" ref="R762">_xlfn.IFS(Q762=1,"Mensual",Q762=6,"Semestral",Q762=12,"Anual",Q762=24,"Bienal")</f>
        <v>Mensual</v>
      </c>
      <c r="S762">
        <f>IFERROR(VLOOKUP(Sheet1[[#This Row],[ID usuario]],A763:$A$907,1,FALSE),0)</f>
        <v>0</v>
      </c>
    </row>
    <row r="763" spans="1:19" x14ac:dyDescent="0.25">
      <c r="A763" t="s">
        <v>761</v>
      </c>
      <c r="B763" t="s">
        <v>1666</v>
      </c>
      <c r="C763" t="s">
        <v>1812</v>
      </c>
      <c r="D763">
        <v>9.32</v>
      </c>
      <c r="E763" s="1">
        <v>45069</v>
      </c>
      <c r="F763" s="1" t="str">
        <f>TEXT(Sheet1[[#This Row],[Fecha ingreso]],"mmmm")</f>
        <v>mayo</v>
      </c>
      <c r="G763" s="2">
        <f>YEAR(Sheet1[[#This Row],[Fecha ingreso]])</f>
        <v>2023</v>
      </c>
      <c r="H763" s="1" t="str">
        <f>TEXT(Sheet1[[#This Row],[Fecha ingreso]],"dddd")</f>
        <v>martes</v>
      </c>
      <c r="I763" s="1">
        <v>45367</v>
      </c>
      <c r="J763" s="2">
        <f>DATEDIF(Sheet1[[#This Row],[Fecha ingreso]],Sheet1[[#This Row],[Fecha último pago]],"M")+1</f>
        <v>10</v>
      </c>
      <c r="K763" s="2">
        <f>Sheet1[[#This Row],[Ingresos mensuales]]*Sheet1[[#This Row],[Meses contratados]]</f>
        <v>93.2</v>
      </c>
      <c r="L763" t="s">
        <v>1815</v>
      </c>
      <c r="M763">
        <v>42</v>
      </c>
      <c r="N763" t="s">
        <v>1821</v>
      </c>
      <c r="O763" t="s">
        <v>1824</v>
      </c>
      <c r="P763" t="s">
        <v>1827</v>
      </c>
      <c r="Q763" cm="1">
        <f t="array" ref="Q763">_xlfn.IFS(P763="2 Years", 24,P763="1 Year",12, P763="6 Months",6, P763="1 Month",1)</f>
        <v>12</v>
      </c>
      <c r="R763" t="str" cm="1">
        <f t="array" ref="R763">_xlfn.IFS(Q763=1,"Mensual",Q763=6,"Semestral",Q763=12,"Anual",Q763=24,"Bienal")</f>
        <v>Anual</v>
      </c>
      <c r="S763">
        <f>IFERROR(VLOOKUP(Sheet1[[#This Row],[ID usuario]],A764:$A$907,1,FALSE),0)</f>
        <v>0</v>
      </c>
    </row>
    <row r="764" spans="1:19" x14ac:dyDescent="0.25">
      <c r="A764" t="s">
        <v>762</v>
      </c>
      <c r="B764" t="s">
        <v>1667</v>
      </c>
      <c r="C764" t="s">
        <v>1810</v>
      </c>
      <c r="D764">
        <v>23.81</v>
      </c>
      <c r="E764" s="1">
        <v>44527</v>
      </c>
      <c r="F764" s="1" t="str">
        <f>TEXT(Sheet1[[#This Row],[Fecha ingreso]],"mmmm")</f>
        <v>noviembre</v>
      </c>
      <c r="G764" s="2">
        <f>YEAR(Sheet1[[#This Row],[Fecha ingreso]])</f>
        <v>2021</v>
      </c>
      <c r="H764" s="1" t="str">
        <f>TEXT(Sheet1[[#This Row],[Fecha ingreso]],"dddd")</f>
        <v>sábado</v>
      </c>
      <c r="I764" s="1">
        <v>44672</v>
      </c>
      <c r="J764" s="2">
        <f>DATEDIF(Sheet1[[#This Row],[Fecha ingreso]],Sheet1[[#This Row],[Fecha último pago]],"M")+1</f>
        <v>5</v>
      </c>
      <c r="K764" s="2">
        <f>Sheet1[[#This Row],[Ingresos mensuales]]*Sheet1[[#This Row],[Meses contratados]]</f>
        <v>119.05</v>
      </c>
      <c r="L764" t="s">
        <v>1813</v>
      </c>
      <c r="M764">
        <v>48</v>
      </c>
      <c r="N764" t="s">
        <v>1821</v>
      </c>
      <c r="O764" t="s">
        <v>1823</v>
      </c>
      <c r="P764" t="s">
        <v>1826</v>
      </c>
      <c r="Q764" cm="1">
        <f t="array" ref="Q764">_xlfn.IFS(P764="2 Years", 24,P764="1 Year",12, P764="6 Months",6, P764="1 Month",1)</f>
        <v>24</v>
      </c>
      <c r="R764" t="str" cm="1">
        <f t="array" ref="R764">_xlfn.IFS(Q764=1,"Mensual",Q764=6,"Semestral",Q764=12,"Anual",Q764=24,"Bienal")</f>
        <v>Bienal</v>
      </c>
      <c r="S764">
        <f>IFERROR(VLOOKUP(Sheet1[[#This Row],[ID usuario]],A765:$A$907,1,FALSE),0)</f>
        <v>0</v>
      </c>
    </row>
    <row r="765" spans="1:19" x14ac:dyDescent="0.25">
      <c r="A765" t="s">
        <v>763</v>
      </c>
      <c r="B765" t="s">
        <v>1668</v>
      </c>
      <c r="C765" t="s">
        <v>1810</v>
      </c>
      <c r="D765">
        <v>43.45</v>
      </c>
      <c r="E765" s="1">
        <v>44594</v>
      </c>
      <c r="F765" s="1" t="str">
        <f>TEXT(Sheet1[[#This Row],[Fecha ingreso]],"mmmm")</f>
        <v>febrero</v>
      </c>
      <c r="G765" s="2">
        <f>YEAR(Sheet1[[#This Row],[Fecha ingreso]])</f>
        <v>2022</v>
      </c>
      <c r="H765" s="1" t="str">
        <f>TEXT(Sheet1[[#This Row],[Fecha ingreso]],"dddd")</f>
        <v>miércoles</v>
      </c>
      <c r="I765" s="1">
        <v>44759</v>
      </c>
      <c r="J765" s="2">
        <f>DATEDIF(Sheet1[[#This Row],[Fecha ingreso]],Sheet1[[#This Row],[Fecha último pago]],"M")+1</f>
        <v>6</v>
      </c>
      <c r="K765" s="2">
        <f>Sheet1[[#This Row],[Ingresos mensuales]]*Sheet1[[#This Row],[Meses contratados]]</f>
        <v>260.70000000000005</v>
      </c>
      <c r="L765" t="s">
        <v>1816</v>
      </c>
      <c r="M765">
        <v>64</v>
      </c>
      <c r="N765" t="s">
        <v>1821</v>
      </c>
      <c r="O765" t="s">
        <v>1824</v>
      </c>
      <c r="P765" t="s">
        <v>1826</v>
      </c>
      <c r="Q765" cm="1">
        <f t="array" ref="Q765">_xlfn.IFS(P765="2 Years", 24,P765="1 Year",12, P765="6 Months",6, P765="1 Month",1)</f>
        <v>24</v>
      </c>
      <c r="R765" t="str" cm="1">
        <f t="array" ref="R765">_xlfn.IFS(Q765=1,"Mensual",Q765=6,"Semestral",Q765=12,"Anual",Q765=24,"Bienal")</f>
        <v>Bienal</v>
      </c>
      <c r="S765">
        <f>IFERROR(VLOOKUP(Sheet1[[#This Row],[ID usuario]],A766:$A$907,1,FALSE),0)</f>
        <v>0</v>
      </c>
    </row>
    <row r="766" spans="1:19" x14ac:dyDescent="0.25">
      <c r="A766" t="s">
        <v>764</v>
      </c>
      <c r="B766" t="s">
        <v>1669</v>
      </c>
      <c r="C766" t="s">
        <v>1811</v>
      </c>
      <c r="D766">
        <v>62.12</v>
      </c>
      <c r="E766" s="1">
        <v>44401</v>
      </c>
      <c r="F766" s="1" t="str">
        <f>TEXT(Sheet1[[#This Row],[Fecha ingreso]],"mmmm")</f>
        <v>julio</v>
      </c>
      <c r="G766" s="2">
        <f>YEAR(Sheet1[[#This Row],[Fecha ingreso]])</f>
        <v>2021</v>
      </c>
      <c r="H766" s="1" t="str">
        <f>TEXT(Sheet1[[#This Row],[Fecha ingreso]],"dddd")</f>
        <v>sábado</v>
      </c>
      <c r="I766" s="1">
        <v>44844</v>
      </c>
      <c r="J766" s="2">
        <f>DATEDIF(Sheet1[[#This Row],[Fecha ingreso]],Sheet1[[#This Row],[Fecha último pago]],"M")+1</f>
        <v>15</v>
      </c>
      <c r="K766" s="2">
        <f>Sheet1[[#This Row],[Ingresos mensuales]]*Sheet1[[#This Row],[Meses contratados]]</f>
        <v>931.8</v>
      </c>
      <c r="L766" t="s">
        <v>1817</v>
      </c>
      <c r="M766">
        <v>50</v>
      </c>
      <c r="N766" t="s">
        <v>1822</v>
      </c>
      <c r="O766" t="s">
        <v>1823</v>
      </c>
      <c r="P766" t="s">
        <v>1829</v>
      </c>
      <c r="Q766" cm="1">
        <f t="array" ref="Q766">_xlfn.IFS(P766="2 Years", 24,P766="1 Year",12, P766="6 Months",6, P766="1 Month",1)</f>
        <v>1</v>
      </c>
      <c r="R766" t="str" cm="1">
        <f t="array" ref="R766">_xlfn.IFS(Q766=1,"Mensual",Q766=6,"Semestral",Q766=12,"Anual",Q766=24,"Bienal")</f>
        <v>Mensual</v>
      </c>
      <c r="S766">
        <f>IFERROR(VLOOKUP(Sheet1[[#This Row],[ID usuario]],A767:$A$907,1,FALSE),0)</f>
        <v>0</v>
      </c>
    </row>
    <row r="767" spans="1:19" x14ac:dyDescent="0.25">
      <c r="A767" t="s">
        <v>765</v>
      </c>
      <c r="B767" t="s">
        <v>1670</v>
      </c>
      <c r="C767" t="s">
        <v>1810</v>
      </c>
      <c r="D767">
        <v>78.33</v>
      </c>
      <c r="E767" s="1">
        <v>44739</v>
      </c>
      <c r="F767" s="1" t="str">
        <f>TEXT(Sheet1[[#This Row],[Fecha ingreso]],"mmmm")</f>
        <v>junio</v>
      </c>
      <c r="G767" s="2">
        <f>YEAR(Sheet1[[#This Row],[Fecha ingreso]])</f>
        <v>2022</v>
      </c>
      <c r="H767" s="1" t="str">
        <f>TEXT(Sheet1[[#This Row],[Fecha ingreso]],"dddd")</f>
        <v>lunes</v>
      </c>
      <c r="I767" s="1">
        <v>45332</v>
      </c>
      <c r="J767" s="2">
        <f>DATEDIF(Sheet1[[#This Row],[Fecha ingreso]],Sheet1[[#This Row],[Fecha último pago]],"M")+1</f>
        <v>20</v>
      </c>
      <c r="K767" s="2">
        <f>Sheet1[[#This Row],[Ingresos mensuales]]*Sheet1[[#This Row],[Meses contratados]]</f>
        <v>1566.6</v>
      </c>
      <c r="L767" t="s">
        <v>1818</v>
      </c>
      <c r="M767">
        <v>64</v>
      </c>
      <c r="N767" t="s">
        <v>1821</v>
      </c>
      <c r="O767" t="s">
        <v>1825</v>
      </c>
      <c r="P767" t="s">
        <v>1828</v>
      </c>
      <c r="Q767" cm="1">
        <f t="array" ref="Q767">_xlfn.IFS(P767="2 Years", 24,P767="1 Year",12, P767="6 Months",6, P767="1 Month",1)</f>
        <v>6</v>
      </c>
      <c r="R767" t="str" cm="1">
        <f t="array" ref="R767">_xlfn.IFS(Q767=1,"Mensual",Q767=6,"Semestral",Q767=12,"Anual",Q767=24,"Bienal")</f>
        <v>Semestral</v>
      </c>
      <c r="S767">
        <f>IFERROR(VLOOKUP(Sheet1[[#This Row],[ID usuario]],A768:$A$907,1,FALSE),0)</f>
        <v>0</v>
      </c>
    </row>
    <row r="768" spans="1:19" x14ac:dyDescent="0.25">
      <c r="A768" t="s">
        <v>766</v>
      </c>
      <c r="B768" t="s">
        <v>1671</v>
      </c>
      <c r="C768" t="s">
        <v>1812</v>
      </c>
      <c r="D768">
        <v>44.24</v>
      </c>
      <c r="E768" s="1">
        <v>45032</v>
      </c>
      <c r="F768" s="1" t="str">
        <f>TEXT(Sheet1[[#This Row],[Fecha ingreso]],"mmmm")</f>
        <v>abril</v>
      </c>
      <c r="G768" s="2">
        <f>YEAR(Sheet1[[#This Row],[Fecha ingreso]])</f>
        <v>2023</v>
      </c>
      <c r="H768" s="1" t="str">
        <f>TEXT(Sheet1[[#This Row],[Fecha ingreso]],"dddd")</f>
        <v>domingo</v>
      </c>
      <c r="I768" s="1">
        <v>45286</v>
      </c>
      <c r="J768" s="2">
        <f>DATEDIF(Sheet1[[#This Row],[Fecha ingreso]],Sheet1[[#This Row],[Fecha último pago]],"M")+1</f>
        <v>9</v>
      </c>
      <c r="K768" s="2">
        <f>Sheet1[[#This Row],[Ingresos mensuales]]*Sheet1[[#This Row],[Meses contratados]]</f>
        <v>398.16</v>
      </c>
      <c r="L768" t="s">
        <v>1815</v>
      </c>
      <c r="M768">
        <v>53</v>
      </c>
      <c r="N768" t="s">
        <v>1820</v>
      </c>
      <c r="O768" t="s">
        <v>1824</v>
      </c>
      <c r="P768" t="s">
        <v>1827</v>
      </c>
      <c r="Q768" cm="1">
        <f t="array" ref="Q768">_xlfn.IFS(P768="2 Years", 24,P768="1 Year",12, P768="6 Months",6, P768="1 Month",1)</f>
        <v>12</v>
      </c>
      <c r="R768" t="str" cm="1">
        <f t="array" ref="R768">_xlfn.IFS(Q768=1,"Mensual",Q768=6,"Semestral",Q768=12,"Anual",Q768=24,"Bienal")</f>
        <v>Anual</v>
      </c>
      <c r="S768">
        <f>IFERROR(VLOOKUP(Sheet1[[#This Row],[ID usuario]],A769:$A$907,1,FALSE),0)</f>
        <v>0</v>
      </c>
    </row>
    <row r="769" spans="1:19" x14ac:dyDescent="0.25">
      <c r="A769" t="s">
        <v>767</v>
      </c>
      <c r="B769" t="s">
        <v>1672</v>
      </c>
      <c r="C769" t="s">
        <v>1810</v>
      </c>
      <c r="D769">
        <v>72.459999999999994</v>
      </c>
      <c r="E769" s="1">
        <v>44415</v>
      </c>
      <c r="F769" s="1" t="str">
        <f>TEXT(Sheet1[[#This Row],[Fecha ingreso]],"mmmm")</f>
        <v>agosto</v>
      </c>
      <c r="G769" s="2">
        <f>YEAR(Sheet1[[#This Row],[Fecha ingreso]])</f>
        <v>2021</v>
      </c>
      <c r="H769" s="1" t="str">
        <f>TEXT(Sheet1[[#This Row],[Fecha ingreso]],"dddd")</f>
        <v>sábado</v>
      </c>
      <c r="I769" s="1">
        <v>45286</v>
      </c>
      <c r="J769" s="2">
        <f>DATEDIF(Sheet1[[#This Row],[Fecha ingreso]],Sheet1[[#This Row],[Fecha último pago]],"M")+1</f>
        <v>29</v>
      </c>
      <c r="K769" s="2">
        <f>Sheet1[[#This Row],[Ingresos mensuales]]*Sheet1[[#This Row],[Meses contratados]]</f>
        <v>2101.3399999999997</v>
      </c>
      <c r="L769" t="s">
        <v>1817</v>
      </c>
      <c r="M769">
        <v>40</v>
      </c>
      <c r="N769" t="s">
        <v>1821</v>
      </c>
      <c r="O769" t="s">
        <v>1823</v>
      </c>
      <c r="P769" t="s">
        <v>1829</v>
      </c>
      <c r="Q769" cm="1">
        <f t="array" ref="Q769">_xlfn.IFS(P769="2 Years", 24,P769="1 Year",12, P769="6 Months",6, P769="1 Month",1)</f>
        <v>1</v>
      </c>
      <c r="R769" t="str" cm="1">
        <f t="array" ref="R769">_xlfn.IFS(Q769=1,"Mensual",Q769=6,"Semestral",Q769=12,"Anual",Q769=24,"Bienal")</f>
        <v>Mensual</v>
      </c>
      <c r="S769">
        <f>IFERROR(VLOOKUP(Sheet1[[#This Row],[ID usuario]],A770:$A$907,1,FALSE),0)</f>
        <v>0</v>
      </c>
    </row>
    <row r="770" spans="1:19" x14ac:dyDescent="0.25">
      <c r="A770" t="s">
        <v>768</v>
      </c>
      <c r="B770" t="s">
        <v>1673</v>
      </c>
      <c r="C770" t="s">
        <v>1810</v>
      </c>
      <c r="D770">
        <v>35.14</v>
      </c>
      <c r="E770" s="1">
        <v>45295</v>
      </c>
      <c r="F770" s="1" t="str">
        <f>TEXT(Sheet1[[#This Row],[Fecha ingreso]],"mmmm")</f>
        <v>enero</v>
      </c>
      <c r="G770" s="2">
        <f>YEAR(Sheet1[[#This Row],[Fecha ingreso]])</f>
        <v>2024</v>
      </c>
      <c r="H770" s="1" t="str">
        <f>TEXT(Sheet1[[#This Row],[Fecha ingreso]],"dddd")</f>
        <v>jueves</v>
      </c>
      <c r="I770" s="1">
        <v>45408</v>
      </c>
      <c r="J770" s="2">
        <f>DATEDIF(Sheet1[[#This Row],[Fecha ingreso]],Sheet1[[#This Row],[Fecha último pago]],"M")+1</f>
        <v>4</v>
      </c>
      <c r="K770" s="2">
        <f>Sheet1[[#This Row],[Ingresos mensuales]]*Sheet1[[#This Row],[Meses contratados]]</f>
        <v>140.56</v>
      </c>
      <c r="L770" t="s">
        <v>1815</v>
      </c>
      <c r="M770">
        <v>26</v>
      </c>
      <c r="N770" t="s">
        <v>1821</v>
      </c>
      <c r="O770" t="s">
        <v>1823</v>
      </c>
      <c r="P770" t="s">
        <v>1828</v>
      </c>
      <c r="Q770" cm="1">
        <f t="array" ref="Q770">_xlfn.IFS(P770="2 Years", 24,P770="1 Year",12, P770="6 Months",6, P770="1 Month",1)</f>
        <v>6</v>
      </c>
      <c r="R770" t="str" cm="1">
        <f t="array" ref="R770">_xlfn.IFS(Q770=1,"Mensual",Q770=6,"Semestral",Q770=12,"Anual",Q770=24,"Bienal")</f>
        <v>Semestral</v>
      </c>
      <c r="S770">
        <f>IFERROR(VLOOKUP(Sheet1[[#This Row],[ID usuario]],A771:$A$907,1,FALSE),0)</f>
        <v>0</v>
      </c>
    </row>
    <row r="771" spans="1:19" x14ac:dyDescent="0.25">
      <c r="A771" t="s">
        <v>769</v>
      </c>
      <c r="B771" t="s">
        <v>1674</v>
      </c>
      <c r="C771" t="s">
        <v>1810</v>
      </c>
      <c r="D771">
        <v>98.03</v>
      </c>
      <c r="E771" s="1">
        <v>44675</v>
      </c>
      <c r="F771" s="1" t="str">
        <f>TEXT(Sheet1[[#This Row],[Fecha ingreso]],"mmmm")</f>
        <v>abril</v>
      </c>
      <c r="G771" s="2">
        <f>YEAR(Sheet1[[#This Row],[Fecha ingreso]])</f>
        <v>2022</v>
      </c>
      <c r="H771" s="1" t="str">
        <f>TEXT(Sheet1[[#This Row],[Fecha ingreso]],"dddd")</f>
        <v>domingo</v>
      </c>
      <c r="I771" s="1">
        <v>45453</v>
      </c>
      <c r="J771" s="2">
        <f>DATEDIF(Sheet1[[#This Row],[Fecha ingreso]],Sheet1[[#This Row],[Fecha último pago]],"M")+1</f>
        <v>26</v>
      </c>
      <c r="K771" s="2">
        <f>Sheet1[[#This Row],[Ingresos mensuales]]*Sheet1[[#This Row],[Meses contratados]]</f>
        <v>2548.7800000000002</v>
      </c>
      <c r="L771" t="s">
        <v>1813</v>
      </c>
      <c r="M771">
        <v>21</v>
      </c>
      <c r="N771" t="s">
        <v>1820</v>
      </c>
      <c r="O771" t="s">
        <v>1823</v>
      </c>
      <c r="P771" t="s">
        <v>1829</v>
      </c>
      <c r="Q771" cm="1">
        <f t="array" ref="Q771">_xlfn.IFS(P771="2 Years", 24,P771="1 Year",12, P771="6 Months",6, P771="1 Month",1)</f>
        <v>1</v>
      </c>
      <c r="R771" t="str" cm="1">
        <f t="array" ref="R771">_xlfn.IFS(Q771=1,"Mensual",Q771=6,"Semestral",Q771=12,"Anual",Q771=24,"Bienal")</f>
        <v>Mensual</v>
      </c>
      <c r="S771">
        <f>IFERROR(VLOOKUP(Sheet1[[#This Row],[ID usuario]],A772:$A$907,1,FALSE),0)</f>
        <v>0</v>
      </c>
    </row>
    <row r="772" spans="1:19" x14ac:dyDescent="0.25">
      <c r="A772" t="s">
        <v>770</v>
      </c>
      <c r="B772" t="s">
        <v>1675</v>
      </c>
      <c r="C772" t="s">
        <v>1810</v>
      </c>
      <c r="D772">
        <v>88.69</v>
      </c>
      <c r="E772" s="1">
        <v>45171</v>
      </c>
      <c r="F772" s="1" t="str">
        <f>TEXT(Sheet1[[#This Row],[Fecha ingreso]],"mmmm")</f>
        <v>septiembre</v>
      </c>
      <c r="G772" s="2">
        <f>YEAR(Sheet1[[#This Row],[Fecha ingreso]])</f>
        <v>2023</v>
      </c>
      <c r="H772" s="1" t="str">
        <f>TEXT(Sheet1[[#This Row],[Fecha ingreso]],"dddd")</f>
        <v>sábado</v>
      </c>
      <c r="I772" s="1">
        <v>45341</v>
      </c>
      <c r="J772" s="2">
        <f>DATEDIF(Sheet1[[#This Row],[Fecha ingreso]],Sheet1[[#This Row],[Fecha último pago]],"M")+1</f>
        <v>6</v>
      </c>
      <c r="K772" s="2">
        <f>Sheet1[[#This Row],[Ingresos mensuales]]*Sheet1[[#This Row],[Meses contratados]]</f>
        <v>532.14</v>
      </c>
      <c r="L772" t="s">
        <v>1815</v>
      </c>
      <c r="M772">
        <v>32</v>
      </c>
      <c r="N772" t="s">
        <v>1820</v>
      </c>
      <c r="O772" t="s">
        <v>1825</v>
      </c>
      <c r="P772" t="s">
        <v>1828</v>
      </c>
      <c r="Q772" cm="1">
        <f t="array" ref="Q772">_xlfn.IFS(P772="2 Years", 24,P772="1 Year",12, P772="6 Months",6, P772="1 Month",1)</f>
        <v>6</v>
      </c>
      <c r="R772" t="str" cm="1">
        <f t="array" ref="R772">_xlfn.IFS(Q772=1,"Mensual",Q772=6,"Semestral",Q772=12,"Anual",Q772=24,"Bienal")</f>
        <v>Semestral</v>
      </c>
      <c r="S772">
        <f>IFERROR(VLOOKUP(Sheet1[[#This Row],[ID usuario]],A773:$A$907,1,FALSE),0)</f>
        <v>0</v>
      </c>
    </row>
    <row r="773" spans="1:19" x14ac:dyDescent="0.25">
      <c r="A773" t="s">
        <v>771</v>
      </c>
      <c r="B773" t="s">
        <v>1676</v>
      </c>
      <c r="C773" t="s">
        <v>1810</v>
      </c>
      <c r="D773">
        <v>57.81</v>
      </c>
      <c r="E773" s="1">
        <v>44552</v>
      </c>
      <c r="F773" s="1" t="str">
        <f>TEXT(Sheet1[[#This Row],[Fecha ingreso]],"mmmm")</f>
        <v>diciembre</v>
      </c>
      <c r="G773" s="2">
        <f>YEAR(Sheet1[[#This Row],[Fecha ingreso]])</f>
        <v>2021</v>
      </c>
      <c r="H773" s="1" t="str">
        <f>TEXT(Sheet1[[#This Row],[Fecha ingreso]],"dddd")</f>
        <v>miércoles</v>
      </c>
      <c r="I773" s="1">
        <v>44756</v>
      </c>
      <c r="J773" s="2">
        <f>DATEDIF(Sheet1[[#This Row],[Fecha ingreso]],Sheet1[[#This Row],[Fecha último pago]],"M")+1</f>
        <v>7</v>
      </c>
      <c r="K773" s="2">
        <f>Sheet1[[#This Row],[Ingresos mensuales]]*Sheet1[[#This Row],[Meses contratados]]</f>
        <v>404.67</v>
      </c>
      <c r="L773" t="s">
        <v>1816</v>
      </c>
      <c r="M773">
        <v>54</v>
      </c>
      <c r="N773" t="s">
        <v>1820</v>
      </c>
      <c r="O773" t="s">
        <v>1824</v>
      </c>
      <c r="P773" t="s">
        <v>1828</v>
      </c>
      <c r="Q773" cm="1">
        <f t="array" ref="Q773">_xlfn.IFS(P773="2 Years", 24,P773="1 Year",12, P773="6 Months",6, P773="1 Month",1)</f>
        <v>6</v>
      </c>
      <c r="R773" t="str" cm="1">
        <f t="array" ref="R773">_xlfn.IFS(Q773=1,"Mensual",Q773=6,"Semestral",Q773=12,"Anual",Q773=24,"Bienal")</f>
        <v>Semestral</v>
      </c>
      <c r="S773">
        <f>IFERROR(VLOOKUP(Sheet1[[#This Row],[ID usuario]],A774:$A$907,1,FALSE),0)</f>
        <v>0</v>
      </c>
    </row>
    <row r="774" spans="1:19" x14ac:dyDescent="0.25">
      <c r="A774" t="s">
        <v>772</v>
      </c>
      <c r="B774" t="s">
        <v>1677</v>
      </c>
      <c r="C774" t="s">
        <v>1811</v>
      </c>
      <c r="D774">
        <v>75.45</v>
      </c>
      <c r="E774" s="1">
        <v>45370</v>
      </c>
      <c r="F774" s="1" t="str">
        <f>TEXT(Sheet1[[#This Row],[Fecha ingreso]],"mmmm")</f>
        <v>marzo</v>
      </c>
      <c r="G774" s="2">
        <f>YEAR(Sheet1[[#This Row],[Fecha ingreso]])</f>
        <v>2024</v>
      </c>
      <c r="H774" s="1" t="str">
        <f>TEXT(Sheet1[[#This Row],[Fecha ingreso]],"dddd")</f>
        <v>martes</v>
      </c>
      <c r="I774" s="1">
        <v>45412</v>
      </c>
      <c r="J774" s="2">
        <f>DATEDIF(Sheet1[[#This Row],[Fecha ingreso]],Sheet1[[#This Row],[Fecha último pago]],"M")+1</f>
        <v>2</v>
      </c>
      <c r="K774" s="2">
        <f>Sheet1[[#This Row],[Ingresos mensuales]]*Sheet1[[#This Row],[Meses contratados]]</f>
        <v>150.9</v>
      </c>
      <c r="L774" t="s">
        <v>1818</v>
      </c>
      <c r="M774">
        <v>35</v>
      </c>
      <c r="N774" t="s">
        <v>1822</v>
      </c>
      <c r="O774" t="s">
        <v>1825</v>
      </c>
      <c r="P774" t="s">
        <v>1829</v>
      </c>
      <c r="Q774" cm="1">
        <f t="array" ref="Q774">_xlfn.IFS(P774="2 Years", 24,P774="1 Year",12, P774="6 Months",6, P774="1 Month",1)</f>
        <v>1</v>
      </c>
      <c r="R774" t="str" cm="1">
        <f t="array" ref="R774">_xlfn.IFS(Q774=1,"Mensual",Q774=6,"Semestral",Q774=12,"Anual",Q774=24,"Bienal")</f>
        <v>Mensual</v>
      </c>
      <c r="S774">
        <f>IFERROR(VLOOKUP(Sheet1[[#This Row],[ID usuario]],A775:$A$907,1,FALSE),0)</f>
        <v>0</v>
      </c>
    </row>
    <row r="775" spans="1:19" x14ac:dyDescent="0.25">
      <c r="A775" t="s">
        <v>773</v>
      </c>
      <c r="B775" t="s">
        <v>1678</v>
      </c>
      <c r="C775" t="s">
        <v>1810</v>
      </c>
      <c r="D775">
        <v>78.2</v>
      </c>
      <c r="E775" s="1">
        <v>45049</v>
      </c>
      <c r="F775" s="1" t="str">
        <f>TEXT(Sheet1[[#This Row],[Fecha ingreso]],"mmmm")</f>
        <v>mayo</v>
      </c>
      <c r="G775" s="2">
        <f>YEAR(Sheet1[[#This Row],[Fecha ingreso]])</f>
        <v>2023</v>
      </c>
      <c r="H775" s="1" t="str">
        <f>TEXT(Sheet1[[#This Row],[Fecha ingreso]],"dddd")</f>
        <v>miércoles</v>
      </c>
      <c r="I775" s="1">
        <v>45207</v>
      </c>
      <c r="J775" s="2">
        <f>DATEDIF(Sheet1[[#This Row],[Fecha ingreso]],Sheet1[[#This Row],[Fecha último pago]],"M")+1</f>
        <v>6</v>
      </c>
      <c r="K775" s="2">
        <f>Sheet1[[#This Row],[Ingresos mensuales]]*Sheet1[[#This Row],[Meses contratados]]</f>
        <v>469.20000000000005</v>
      </c>
      <c r="L775" t="s">
        <v>1813</v>
      </c>
      <c r="M775">
        <v>37</v>
      </c>
      <c r="N775" t="s">
        <v>1822</v>
      </c>
      <c r="O775" t="s">
        <v>1823</v>
      </c>
      <c r="P775" t="s">
        <v>1829</v>
      </c>
      <c r="Q775" cm="1">
        <f t="array" ref="Q775">_xlfn.IFS(P775="2 Years", 24,P775="1 Year",12, P775="6 Months",6, P775="1 Month",1)</f>
        <v>1</v>
      </c>
      <c r="R775" t="str" cm="1">
        <f t="array" ref="R775">_xlfn.IFS(Q775=1,"Mensual",Q775=6,"Semestral",Q775=12,"Anual",Q775=24,"Bienal")</f>
        <v>Mensual</v>
      </c>
      <c r="S775">
        <f>IFERROR(VLOOKUP(Sheet1[[#This Row],[ID usuario]],A776:$A$907,1,FALSE),0)</f>
        <v>0</v>
      </c>
    </row>
    <row r="776" spans="1:19" x14ac:dyDescent="0.25">
      <c r="A776" t="s">
        <v>774</v>
      </c>
      <c r="B776" t="s">
        <v>1679</v>
      </c>
      <c r="C776" t="s">
        <v>1812</v>
      </c>
      <c r="D776">
        <v>91.28</v>
      </c>
      <c r="E776" s="1">
        <v>45264</v>
      </c>
      <c r="F776" s="1" t="str">
        <f>TEXT(Sheet1[[#This Row],[Fecha ingreso]],"mmmm")</f>
        <v>diciembre</v>
      </c>
      <c r="G776" s="2">
        <f>YEAR(Sheet1[[#This Row],[Fecha ingreso]])</f>
        <v>2023</v>
      </c>
      <c r="H776" s="1" t="str">
        <f>TEXT(Sheet1[[#This Row],[Fecha ingreso]],"dddd")</f>
        <v>lunes</v>
      </c>
      <c r="I776" s="1">
        <v>45265</v>
      </c>
      <c r="J776" s="2">
        <f>DATEDIF(Sheet1[[#This Row],[Fecha ingreso]],Sheet1[[#This Row],[Fecha último pago]],"M")+1</f>
        <v>1</v>
      </c>
      <c r="K776" s="2">
        <f>Sheet1[[#This Row],[Ingresos mensuales]]*Sheet1[[#This Row],[Meses contratados]]</f>
        <v>91.28</v>
      </c>
      <c r="L776" t="s">
        <v>1816</v>
      </c>
      <c r="M776">
        <v>42</v>
      </c>
      <c r="N776" t="s">
        <v>1821</v>
      </c>
      <c r="O776" t="s">
        <v>1824</v>
      </c>
      <c r="P776" t="s">
        <v>1828</v>
      </c>
      <c r="Q776" cm="1">
        <f t="array" ref="Q776">_xlfn.IFS(P776="2 Years", 24,P776="1 Year",12, P776="6 Months",6, P776="1 Month",1)</f>
        <v>6</v>
      </c>
      <c r="R776" t="str" cm="1">
        <f t="array" ref="R776">_xlfn.IFS(Q776=1,"Mensual",Q776=6,"Semestral",Q776=12,"Anual",Q776=24,"Bienal")</f>
        <v>Semestral</v>
      </c>
      <c r="S776">
        <f>IFERROR(VLOOKUP(Sheet1[[#This Row],[ID usuario]],A777:$A$907,1,FALSE),0)</f>
        <v>0</v>
      </c>
    </row>
    <row r="777" spans="1:19" x14ac:dyDescent="0.25">
      <c r="A777" t="s">
        <v>775</v>
      </c>
      <c r="B777" t="s">
        <v>1680</v>
      </c>
      <c r="C777" t="s">
        <v>1810</v>
      </c>
      <c r="D777">
        <v>19.28</v>
      </c>
      <c r="E777" s="1">
        <v>45097</v>
      </c>
      <c r="F777" s="1" t="str">
        <f>TEXT(Sheet1[[#This Row],[Fecha ingreso]],"mmmm")</f>
        <v>junio</v>
      </c>
      <c r="G777" s="2">
        <f>YEAR(Sheet1[[#This Row],[Fecha ingreso]])</f>
        <v>2023</v>
      </c>
      <c r="H777" s="1" t="str">
        <f>TEXT(Sheet1[[#This Row],[Fecha ingreso]],"dddd")</f>
        <v>martes</v>
      </c>
      <c r="I777" s="1">
        <v>45336</v>
      </c>
      <c r="J777" s="2">
        <f>DATEDIF(Sheet1[[#This Row],[Fecha ingreso]],Sheet1[[#This Row],[Fecha último pago]],"M")+1</f>
        <v>8</v>
      </c>
      <c r="K777" s="2">
        <f>Sheet1[[#This Row],[Ingresos mensuales]]*Sheet1[[#This Row],[Meses contratados]]</f>
        <v>154.24</v>
      </c>
      <c r="L777" t="s">
        <v>1815</v>
      </c>
      <c r="M777">
        <v>42</v>
      </c>
      <c r="N777" t="s">
        <v>1821</v>
      </c>
      <c r="O777" t="s">
        <v>1824</v>
      </c>
      <c r="P777" t="s">
        <v>1826</v>
      </c>
      <c r="Q777" cm="1">
        <f t="array" ref="Q777">_xlfn.IFS(P777="2 Years", 24,P777="1 Year",12, P777="6 Months",6, P777="1 Month",1)</f>
        <v>24</v>
      </c>
      <c r="R777" t="str" cm="1">
        <f t="array" ref="R777">_xlfn.IFS(Q777=1,"Mensual",Q777=6,"Semestral",Q777=12,"Anual",Q777=24,"Bienal")</f>
        <v>Bienal</v>
      </c>
      <c r="S777">
        <f>IFERROR(VLOOKUP(Sheet1[[#This Row],[ID usuario]],A778:$A$907,1,FALSE),0)</f>
        <v>0</v>
      </c>
    </row>
    <row r="778" spans="1:19" x14ac:dyDescent="0.25">
      <c r="A778" t="s">
        <v>776</v>
      </c>
      <c r="B778" t="s">
        <v>1681</v>
      </c>
      <c r="C778" t="s">
        <v>1810</v>
      </c>
      <c r="D778">
        <v>58.04</v>
      </c>
      <c r="E778" s="1">
        <v>45334</v>
      </c>
      <c r="F778" s="1" t="str">
        <f>TEXT(Sheet1[[#This Row],[Fecha ingreso]],"mmmm")</f>
        <v>febrero</v>
      </c>
      <c r="G778" s="2">
        <f>YEAR(Sheet1[[#This Row],[Fecha ingreso]])</f>
        <v>2024</v>
      </c>
      <c r="H778" s="1" t="str">
        <f>TEXT(Sheet1[[#This Row],[Fecha ingreso]],"dddd")</f>
        <v>lunes</v>
      </c>
      <c r="I778" s="1">
        <v>45337</v>
      </c>
      <c r="J778" s="2">
        <f>DATEDIF(Sheet1[[#This Row],[Fecha ingreso]],Sheet1[[#This Row],[Fecha último pago]],"M")+1</f>
        <v>1</v>
      </c>
      <c r="K778" s="2">
        <f>Sheet1[[#This Row],[Ingresos mensuales]]*Sheet1[[#This Row],[Meses contratados]]</f>
        <v>58.04</v>
      </c>
      <c r="L778" t="s">
        <v>1817</v>
      </c>
      <c r="M778">
        <v>53</v>
      </c>
      <c r="N778" t="s">
        <v>1822</v>
      </c>
      <c r="O778" t="s">
        <v>1825</v>
      </c>
      <c r="P778" t="s">
        <v>1828</v>
      </c>
      <c r="Q778" cm="1">
        <f t="array" ref="Q778">_xlfn.IFS(P778="2 Years", 24,P778="1 Year",12, P778="6 Months",6, P778="1 Month",1)</f>
        <v>6</v>
      </c>
      <c r="R778" t="str" cm="1">
        <f t="array" ref="R778">_xlfn.IFS(Q778=1,"Mensual",Q778=6,"Semestral",Q778=12,"Anual",Q778=24,"Bienal")</f>
        <v>Semestral</v>
      </c>
      <c r="S778">
        <f>IFERROR(VLOOKUP(Sheet1[[#This Row],[ID usuario]],A779:$A$907,1,FALSE),0)</f>
        <v>0</v>
      </c>
    </row>
    <row r="779" spans="1:19" x14ac:dyDescent="0.25">
      <c r="A779" t="s">
        <v>777</v>
      </c>
      <c r="B779" t="s">
        <v>1682</v>
      </c>
      <c r="C779" t="s">
        <v>1811</v>
      </c>
      <c r="D779">
        <v>45.7</v>
      </c>
      <c r="E779" s="1">
        <v>45281</v>
      </c>
      <c r="F779" s="1" t="str">
        <f>TEXT(Sheet1[[#This Row],[Fecha ingreso]],"mmmm")</f>
        <v>diciembre</v>
      </c>
      <c r="G779" s="2">
        <f>YEAR(Sheet1[[#This Row],[Fecha ingreso]])</f>
        <v>2023</v>
      </c>
      <c r="H779" s="1" t="str">
        <f>TEXT(Sheet1[[#This Row],[Fecha ingreso]],"dddd")</f>
        <v>jueves</v>
      </c>
      <c r="I779" s="1">
        <v>45330</v>
      </c>
      <c r="J779" s="2">
        <f>DATEDIF(Sheet1[[#This Row],[Fecha ingreso]],Sheet1[[#This Row],[Fecha último pago]],"M")+1</f>
        <v>2</v>
      </c>
      <c r="K779" s="2">
        <f>Sheet1[[#This Row],[Ingresos mensuales]]*Sheet1[[#This Row],[Meses contratados]]</f>
        <v>91.4</v>
      </c>
      <c r="L779" t="s">
        <v>1815</v>
      </c>
      <c r="M779">
        <v>68</v>
      </c>
      <c r="N779" t="s">
        <v>1822</v>
      </c>
      <c r="O779" t="s">
        <v>1825</v>
      </c>
      <c r="P779" t="s">
        <v>1827</v>
      </c>
      <c r="Q779" cm="1">
        <f t="array" ref="Q779">_xlfn.IFS(P779="2 Years", 24,P779="1 Year",12, P779="6 Months",6, P779="1 Month",1)</f>
        <v>12</v>
      </c>
      <c r="R779" t="str" cm="1">
        <f t="array" ref="R779">_xlfn.IFS(Q779=1,"Mensual",Q779=6,"Semestral",Q779=12,"Anual",Q779=24,"Bienal")</f>
        <v>Anual</v>
      </c>
      <c r="S779">
        <f>IFERROR(VLOOKUP(Sheet1[[#This Row],[ID usuario]],A780:$A$907,1,FALSE),0)</f>
        <v>0</v>
      </c>
    </row>
    <row r="780" spans="1:19" x14ac:dyDescent="0.25">
      <c r="A780" t="s">
        <v>778</v>
      </c>
      <c r="B780" t="s">
        <v>1683</v>
      </c>
      <c r="C780" t="s">
        <v>1811</v>
      </c>
      <c r="D780">
        <v>92.7</v>
      </c>
      <c r="E780" s="1">
        <v>44880</v>
      </c>
      <c r="F780" s="1" t="str">
        <f>TEXT(Sheet1[[#This Row],[Fecha ingreso]],"mmmm")</f>
        <v>noviembre</v>
      </c>
      <c r="G780" s="2">
        <f>YEAR(Sheet1[[#This Row],[Fecha ingreso]])</f>
        <v>2022</v>
      </c>
      <c r="H780" s="1" t="str">
        <f>TEXT(Sheet1[[#This Row],[Fecha ingreso]],"dddd")</f>
        <v>martes</v>
      </c>
      <c r="I780" s="1">
        <v>45367</v>
      </c>
      <c r="J780" s="2">
        <f>DATEDIF(Sheet1[[#This Row],[Fecha ingreso]],Sheet1[[#This Row],[Fecha último pago]],"M")+1</f>
        <v>17</v>
      </c>
      <c r="K780" s="2">
        <f>Sheet1[[#This Row],[Ingresos mensuales]]*Sheet1[[#This Row],[Meses contratados]]</f>
        <v>1575.9</v>
      </c>
      <c r="L780" t="s">
        <v>1815</v>
      </c>
      <c r="M780">
        <v>19</v>
      </c>
      <c r="N780" t="s">
        <v>1822</v>
      </c>
      <c r="O780" t="s">
        <v>1824</v>
      </c>
      <c r="P780" t="s">
        <v>1827</v>
      </c>
      <c r="Q780" cm="1">
        <f t="array" ref="Q780">_xlfn.IFS(P780="2 Years", 24,P780="1 Year",12, P780="6 Months",6, P780="1 Month",1)</f>
        <v>12</v>
      </c>
      <c r="R780" t="str" cm="1">
        <f t="array" ref="R780">_xlfn.IFS(Q780=1,"Mensual",Q780=6,"Semestral",Q780=12,"Anual",Q780=24,"Bienal")</f>
        <v>Anual</v>
      </c>
      <c r="S780">
        <f>IFERROR(VLOOKUP(Sheet1[[#This Row],[ID usuario]],A781:$A$907,1,FALSE),0)</f>
        <v>0</v>
      </c>
    </row>
    <row r="781" spans="1:19" x14ac:dyDescent="0.25">
      <c r="A781" t="s">
        <v>779</v>
      </c>
      <c r="B781" t="s">
        <v>1684</v>
      </c>
      <c r="C781" t="s">
        <v>1811</v>
      </c>
      <c r="D781">
        <v>14.98</v>
      </c>
      <c r="E781" s="1">
        <v>44771</v>
      </c>
      <c r="F781" s="1" t="str">
        <f>TEXT(Sheet1[[#This Row],[Fecha ingreso]],"mmmm")</f>
        <v>julio</v>
      </c>
      <c r="G781" s="2">
        <f>YEAR(Sheet1[[#This Row],[Fecha ingreso]])</f>
        <v>2022</v>
      </c>
      <c r="H781" s="1" t="str">
        <f>TEXT(Sheet1[[#This Row],[Fecha ingreso]],"dddd")</f>
        <v>viernes</v>
      </c>
      <c r="I781" s="1">
        <v>45447</v>
      </c>
      <c r="J781" s="2">
        <f>DATEDIF(Sheet1[[#This Row],[Fecha ingreso]],Sheet1[[#This Row],[Fecha último pago]],"M")+1</f>
        <v>23</v>
      </c>
      <c r="K781" s="2">
        <f>Sheet1[[#This Row],[Ingresos mensuales]]*Sheet1[[#This Row],[Meses contratados]]</f>
        <v>344.54</v>
      </c>
      <c r="L781" t="s">
        <v>1815</v>
      </c>
      <c r="M781">
        <v>30</v>
      </c>
      <c r="N781" t="s">
        <v>1821</v>
      </c>
      <c r="O781" t="s">
        <v>1824</v>
      </c>
      <c r="P781" t="s">
        <v>1829</v>
      </c>
      <c r="Q781" cm="1">
        <f t="array" ref="Q781">_xlfn.IFS(P781="2 Years", 24,P781="1 Year",12, P781="6 Months",6, P781="1 Month",1)</f>
        <v>1</v>
      </c>
      <c r="R781" t="str" cm="1">
        <f t="array" ref="R781">_xlfn.IFS(Q781=1,"Mensual",Q781=6,"Semestral",Q781=12,"Anual",Q781=24,"Bienal")</f>
        <v>Mensual</v>
      </c>
      <c r="S781">
        <f>IFERROR(VLOOKUP(Sheet1[[#This Row],[ID usuario]],A782:$A$907,1,FALSE),0)</f>
        <v>0</v>
      </c>
    </row>
    <row r="782" spans="1:19" x14ac:dyDescent="0.25">
      <c r="A782" t="s">
        <v>780</v>
      </c>
      <c r="B782" t="s">
        <v>1685</v>
      </c>
      <c r="C782" t="s">
        <v>1811</v>
      </c>
      <c r="D782">
        <v>98.34</v>
      </c>
      <c r="E782" s="1">
        <v>45288</v>
      </c>
      <c r="F782" s="1" t="str">
        <f>TEXT(Sheet1[[#This Row],[Fecha ingreso]],"mmmm")</f>
        <v>diciembre</v>
      </c>
      <c r="G782" s="2">
        <f>YEAR(Sheet1[[#This Row],[Fecha ingreso]])</f>
        <v>2023</v>
      </c>
      <c r="H782" s="1" t="str">
        <f>TEXT(Sheet1[[#This Row],[Fecha ingreso]],"dddd")</f>
        <v>jueves</v>
      </c>
      <c r="I782" s="1">
        <v>45315</v>
      </c>
      <c r="J782" s="2">
        <f>DATEDIF(Sheet1[[#This Row],[Fecha ingreso]],Sheet1[[#This Row],[Fecha último pago]],"M")+1</f>
        <v>1</v>
      </c>
      <c r="K782" s="2">
        <f>Sheet1[[#This Row],[Ingresos mensuales]]*Sheet1[[#This Row],[Meses contratados]]</f>
        <v>98.34</v>
      </c>
      <c r="L782" t="s">
        <v>1818</v>
      </c>
      <c r="M782">
        <v>38</v>
      </c>
      <c r="N782" t="s">
        <v>1821</v>
      </c>
      <c r="O782" t="s">
        <v>1823</v>
      </c>
      <c r="P782" t="s">
        <v>1826</v>
      </c>
      <c r="Q782" cm="1">
        <f t="array" ref="Q782">_xlfn.IFS(P782="2 Years", 24,P782="1 Year",12, P782="6 Months",6, P782="1 Month",1)</f>
        <v>24</v>
      </c>
      <c r="R782" t="str" cm="1">
        <f t="array" ref="R782">_xlfn.IFS(Q782=1,"Mensual",Q782=6,"Semestral",Q782=12,"Anual",Q782=24,"Bienal")</f>
        <v>Bienal</v>
      </c>
      <c r="S782">
        <f>IFERROR(VLOOKUP(Sheet1[[#This Row],[ID usuario]],A783:$A$907,1,FALSE),0)</f>
        <v>0</v>
      </c>
    </row>
    <row r="783" spans="1:19" x14ac:dyDescent="0.25">
      <c r="A783" t="s">
        <v>781</v>
      </c>
      <c r="B783" t="s">
        <v>1686</v>
      </c>
      <c r="C783" t="s">
        <v>1810</v>
      </c>
      <c r="D783">
        <v>88.17</v>
      </c>
      <c r="E783" s="1">
        <v>44402</v>
      </c>
      <c r="F783" s="1" t="str">
        <f>TEXT(Sheet1[[#This Row],[Fecha ingreso]],"mmmm")</f>
        <v>julio</v>
      </c>
      <c r="G783" s="2">
        <f>YEAR(Sheet1[[#This Row],[Fecha ingreso]])</f>
        <v>2021</v>
      </c>
      <c r="H783" s="1" t="str">
        <f>TEXT(Sheet1[[#This Row],[Fecha ingreso]],"dddd")</f>
        <v>domingo</v>
      </c>
      <c r="I783" s="1">
        <v>44538</v>
      </c>
      <c r="J783" s="2">
        <f>DATEDIF(Sheet1[[#This Row],[Fecha ingreso]],Sheet1[[#This Row],[Fecha último pago]],"M")+1</f>
        <v>5</v>
      </c>
      <c r="K783" s="2">
        <f>Sheet1[[#This Row],[Ingresos mensuales]]*Sheet1[[#This Row],[Meses contratados]]</f>
        <v>440.85</v>
      </c>
      <c r="L783" t="s">
        <v>1814</v>
      </c>
      <c r="M783">
        <v>25</v>
      </c>
      <c r="N783" t="s">
        <v>1822</v>
      </c>
      <c r="O783" t="s">
        <v>1824</v>
      </c>
      <c r="P783" t="s">
        <v>1829</v>
      </c>
      <c r="Q783" cm="1">
        <f t="array" ref="Q783">_xlfn.IFS(P783="2 Years", 24,P783="1 Year",12, P783="6 Months",6, P783="1 Month",1)</f>
        <v>1</v>
      </c>
      <c r="R783" t="str" cm="1">
        <f t="array" ref="R783">_xlfn.IFS(Q783=1,"Mensual",Q783=6,"Semestral",Q783=12,"Anual",Q783=24,"Bienal")</f>
        <v>Mensual</v>
      </c>
      <c r="S783">
        <f>IFERROR(VLOOKUP(Sheet1[[#This Row],[ID usuario]],A784:$A$907,1,FALSE),0)</f>
        <v>0</v>
      </c>
    </row>
    <row r="784" spans="1:19" x14ac:dyDescent="0.25">
      <c r="A784" t="s">
        <v>782</v>
      </c>
      <c r="B784" t="s">
        <v>1687</v>
      </c>
      <c r="C784" t="s">
        <v>1812</v>
      </c>
      <c r="D784">
        <v>12.01</v>
      </c>
      <c r="E784" s="1">
        <v>45356</v>
      </c>
      <c r="F784" s="1" t="str">
        <f>TEXT(Sheet1[[#This Row],[Fecha ingreso]],"mmmm")</f>
        <v>marzo</v>
      </c>
      <c r="G784" s="2">
        <f>YEAR(Sheet1[[#This Row],[Fecha ingreso]])</f>
        <v>2024</v>
      </c>
      <c r="H784" s="1" t="str">
        <f>TEXT(Sheet1[[#This Row],[Fecha ingreso]],"dddd")</f>
        <v>martes</v>
      </c>
      <c r="I784" s="1">
        <v>45384</v>
      </c>
      <c r="J784" s="2">
        <f>DATEDIF(Sheet1[[#This Row],[Fecha ingreso]],Sheet1[[#This Row],[Fecha último pago]],"M")+1</f>
        <v>1</v>
      </c>
      <c r="K784" s="2">
        <f>Sheet1[[#This Row],[Ingresos mensuales]]*Sheet1[[#This Row],[Meses contratados]]</f>
        <v>12.01</v>
      </c>
      <c r="L784" t="s">
        <v>1816</v>
      </c>
      <c r="M784">
        <v>40</v>
      </c>
      <c r="N784" t="s">
        <v>1822</v>
      </c>
      <c r="O784" t="s">
        <v>1824</v>
      </c>
      <c r="P784" t="s">
        <v>1826</v>
      </c>
      <c r="Q784" cm="1">
        <f t="array" ref="Q784">_xlfn.IFS(P784="2 Years", 24,P784="1 Year",12, P784="6 Months",6, P784="1 Month",1)</f>
        <v>24</v>
      </c>
      <c r="R784" t="str" cm="1">
        <f t="array" ref="R784">_xlfn.IFS(Q784=1,"Mensual",Q784=6,"Semestral",Q784=12,"Anual",Q784=24,"Bienal")</f>
        <v>Bienal</v>
      </c>
      <c r="S784">
        <f>IFERROR(VLOOKUP(Sheet1[[#This Row],[ID usuario]],A785:$A$907,1,FALSE),0)</f>
        <v>0</v>
      </c>
    </row>
    <row r="785" spans="1:19" x14ac:dyDescent="0.25">
      <c r="A785" t="s">
        <v>783</v>
      </c>
      <c r="B785" t="s">
        <v>1688</v>
      </c>
      <c r="C785" t="s">
        <v>1812</v>
      </c>
      <c r="D785">
        <v>51.64</v>
      </c>
      <c r="E785" s="1">
        <v>44972</v>
      </c>
      <c r="F785" s="1" t="str">
        <f>TEXT(Sheet1[[#This Row],[Fecha ingreso]],"mmmm")</f>
        <v>febrero</v>
      </c>
      <c r="G785" s="2">
        <f>YEAR(Sheet1[[#This Row],[Fecha ingreso]])</f>
        <v>2023</v>
      </c>
      <c r="H785" s="1" t="str">
        <f>TEXT(Sheet1[[#This Row],[Fecha ingreso]],"dddd")</f>
        <v>miércoles</v>
      </c>
      <c r="I785" s="1">
        <v>45191</v>
      </c>
      <c r="J785" s="2">
        <f>DATEDIF(Sheet1[[#This Row],[Fecha ingreso]],Sheet1[[#This Row],[Fecha último pago]],"M")+1</f>
        <v>8</v>
      </c>
      <c r="K785" s="2">
        <f>Sheet1[[#This Row],[Ingresos mensuales]]*Sheet1[[#This Row],[Meses contratados]]</f>
        <v>413.12</v>
      </c>
      <c r="L785" t="s">
        <v>1817</v>
      </c>
      <c r="M785">
        <v>62</v>
      </c>
      <c r="N785" t="s">
        <v>1820</v>
      </c>
      <c r="O785" t="s">
        <v>1824</v>
      </c>
      <c r="P785" t="s">
        <v>1828</v>
      </c>
      <c r="Q785" cm="1">
        <f t="array" ref="Q785">_xlfn.IFS(P785="2 Years", 24,P785="1 Year",12, P785="6 Months",6, P785="1 Month",1)</f>
        <v>6</v>
      </c>
      <c r="R785" t="str" cm="1">
        <f t="array" ref="R785">_xlfn.IFS(Q785=1,"Mensual",Q785=6,"Semestral",Q785=12,"Anual",Q785=24,"Bienal")</f>
        <v>Semestral</v>
      </c>
      <c r="S785">
        <f>IFERROR(VLOOKUP(Sheet1[[#This Row],[ID usuario]],A786:$A$907,1,FALSE),0)</f>
        <v>0</v>
      </c>
    </row>
    <row r="786" spans="1:19" x14ac:dyDescent="0.25">
      <c r="A786" t="s">
        <v>784</v>
      </c>
      <c r="B786" t="s">
        <v>1689</v>
      </c>
      <c r="C786" t="s">
        <v>1812</v>
      </c>
      <c r="D786">
        <v>73.17</v>
      </c>
      <c r="E786" s="1">
        <v>45063</v>
      </c>
      <c r="F786" s="1" t="str">
        <f>TEXT(Sheet1[[#This Row],[Fecha ingreso]],"mmmm")</f>
        <v>mayo</v>
      </c>
      <c r="G786" s="2">
        <f>YEAR(Sheet1[[#This Row],[Fecha ingreso]])</f>
        <v>2023</v>
      </c>
      <c r="H786" s="1" t="str">
        <f>TEXT(Sheet1[[#This Row],[Fecha ingreso]],"dddd")</f>
        <v>miércoles</v>
      </c>
      <c r="I786" s="1">
        <v>45272</v>
      </c>
      <c r="J786" s="2">
        <f>DATEDIF(Sheet1[[#This Row],[Fecha ingreso]],Sheet1[[#This Row],[Fecha último pago]],"M")+1</f>
        <v>7</v>
      </c>
      <c r="K786" s="2">
        <f>Sheet1[[#This Row],[Ingresos mensuales]]*Sheet1[[#This Row],[Meses contratados]]</f>
        <v>512.19000000000005</v>
      </c>
      <c r="L786" t="s">
        <v>1815</v>
      </c>
      <c r="M786">
        <v>33</v>
      </c>
      <c r="N786" t="s">
        <v>1822</v>
      </c>
      <c r="O786" t="s">
        <v>1823</v>
      </c>
      <c r="P786" t="s">
        <v>1826</v>
      </c>
      <c r="Q786" cm="1">
        <f t="array" ref="Q786">_xlfn.IFS(P786="2 Years", 24,P786="1 Year",12, P786="6 Months",6, P786="1 Month",1)</f>
        <v>24</v>
      </c>
      <c r="R786" t="str" cm="1">
        <f t="array" ref="R786">_xlfn.IFS(Q786=1,"Mensual",Q786=6,"Semestral",Q786=12,"Anual",Q786=24,"Bienal")</f>
        <v>Bienal</v>
      </c>
      <c r="S786">
        <f>IFERROR(VLOOKUP(Sheet1[[#This Row],[ID usuario]],A787:$A$907,1,FALSE),0)</f>
        <v>0</v>
      </c>
    </row>
    <row r="787" spans="1:19" x14ac:dyDescent="0.25">
      <c r="A787" t="s">
        <v>785</v>
      </c>
      <c r="B787" t="s">
        <v>1690</v>
      </c>
      <c r="C787" t="s">
        <v>1811</v>
      </c>
      <c r="D787">
        <v>75.12</v>
      </c>
      <c r="E787" s="1">
        <v>44557</v>
      </c>
      <c r="F787" s="1" t="str">
        <f>TEXT(Sheet1[[#This Row],[Fecha ingreso]],"mmmm")</f>
        <v>diciembre</v>
      </c>
      <c r="G787" s="2">
        <f>YEAR(Sheet1[[#This Row],[Fecha ingreso]])</f>
        <v>2021</v>
      </c>
      <c r="H787" s="1" t="str">
        <f>TEXT(Sheet1[[#This Row],[Fecha ingreso]],"dddd")</f>
        <v>lunes</v>
      </c>
      <c r="I787" s="1">
        <v>44562</v>
      </c>
      <c r="J787" s="2">
        <f>DATEDIF(Sheet1[[#This Row],[Fecha ingreso]],Sheet1[[#This Row],[Fecha último pago]],"M")+1</f>
        <v>1</v>
      </c>
      <c r="K787" s="2">
        <f>Sheet1[[#This Row],[Ingresos mensuales]]*Sheet1[[#This Row],[Meses contratados]]</f>
        <v>75.12</v>
      </c>
      <c r="L787" t="s">
        <v>1815</v>
      </c>
      <c r="M787">
        <v>50</v>
      </c>
      <c r="N787" t="s">
        <v>1821</v>
      </c>
      <c r="O787" t="s">
        <v>1825</v>
      </c>
      <c r="P787" t="s">
        <v>1828</v>
      </c>
      <c r="Q787" cm="1">
        <f t="array" ref="Q787">_xlfn.IFS(P787="2 Years", 24,P787="1 Year",12, P787="6 Months",6, P787="1 Month",1)</f>
        <v>6</v>
      </c>
      <c r="R787" t="str" cm="1">
        <f t="array" ref="R787">_xlfn.IFS(Q787=1,"Mensual",Q787=6,"Semestral",Q787=12,"Anual",Q787=24,"Bienal")</f>
        <v>Semestral</v>
      </c>
      <c r="S787">
        <f>IFERROR(VLOOKUP(Sheet1[[#This Row],[ID usuario]],A788:$A$907,1,FALSE),0)</f>
        <v>0</v>
      </c>
    </row>
    <row r="788" spans="1:19" x14ac:dyDescent="0.25">
      <c r="A788" t="s">
        <v>786</v>
      </c>
      <c r="B788" t="s">
        <v>1691</v>
      </c>
      <c r="C788" t="s">
        <v>1810</v>
      </c>
      <c r="D788">
        <v>91.12</v>
      </c>
      <c r="E788" s="1">
        <v>44445</v>
      </c>
      <c r="F788" s="1" t="str">
        <f>TEXT(Sheet1[[#This Row],[Fecha ingreso]],"mmmm")</f>
        <v>septiembre</v>
      </c>
      <c r="G788" s="2">
        <f>YEAR(Sheet1[[#This Row],[Fecha ingreso]])</f>
        <v>2021</v>
      </c>
      <c r="H788" s="1" t="str">
        <f>TEXT(Sheet1[[#This Row],[Fecha ingreso]],"dddd")</f>
        <v>lunes</v>
      </c>
      <c r="I788" s="1">
        <v>44954</v>
      </c>
      <c r="J788" s="2">
        <f>DATEDIF(Sheet1[[#This Row],[Fecha ingreso]],Sheet1[[#This Row],[Fecha último pago]],"M")+1</f>
        <v>17</v>
      </c>
      <c r="K788" s="2">
        <f>Sheet1[[#This Row],[Ingresos mensuales]]*Sheet1[[#This Row],[Meses contratados]]</f>
        <v>1549.04</v>
      </c>
      <c r="L788" t="s">
        <v>1817</v>
      </c>
      <c r="M788">
        <v>51</v>
      </c>
      <c r="N788" t="s">
        <v>1821</v>
      </c>
      <c r="O788" t="s">
        <v>1824</v>
      </c>
      <c r="P788" t="s">
        <v>1829</v>
      </c>
      <c r="Q788" cm="1">
        <f t="array" ref="Q788">_xlfn.IFS(P788="2 Years", 24,P788="1 Year",12, P788="6 Months",6, P788="1 Month",1)</f>
        <v>1</v>
      </c>
      <c r="R788" t="str" cm="1">
        <f t="array" ref="R788">_xlfn.IFS(Q788=1,"Mensual",Q788=6,"Semestral",Q788=12,"Anual",Q788=24,"Bienal")</f>
        <v>Mensual</v>
      </c>
      <c r="S788">
        <f>IFERROR(VLOOKUP(Sheet1[[#This Row],[ID usuario]],A789:$A$907,1,FALSE),0)</f>
        <v>0</v>
      </c>
    </row>
    <row r="789" spans="1:19" x14ac:dyDescent="0.25">
      <c r="A789" t="s">
        <v>787</v>
      </c>
      <c r="B789" t="s">
        <v>1692</v>
      </c>
      <c r="C789" t="s">
        <v>1810</v>
      </c>
      <c r="D789">
        <v>80.989999999999995</v>
      </c>
      <c r="E789" s="1">
        <v>45415</v>
      </c>
      <c r="F789" s="1" t="str">
        <f>TEXT(Sheet1[[#This Row],[Fecha ingreso]],"mmmm")</f>
        <v>mayo</v>
      </c>
      <c r="G789" s="2">
        <f>YEAR(Sheet1[[#This Row],[Fecha ingreso]])</f>
        <v>2024</v>
      </c>
      <c r="H789" s="1" t="str">
        <f>TEXT(Sheet1[[#This Row],[Fecha ingreso]],"dddd")</f>
        <v>viernes</v>
      </c>
      <c r="I789" s="1">
        <v>45438</v>
      </c>
      <c r="J789" s="2">
        <f>DATEDIF(Sheet1[[#This Row],[Fecha ingreso]],Sheet1[[#This Row],[Fecha último pago]],"M")+1</f>
        <v>1</v>
      </c>
      <c r="K789" s="2">
        <f>Sheet1[[#This Row],[Ingresos mensuales]]*Sheet1[[#This Row],[Meses contratados]]</f>
        <v>80.989999999999995</v>
      </c>
      <c r="L789" t="s">
        <v>1818</v>
      </c>
      <c r="M789">
        <v>31</v>
      </c>
      <c r="N789" t="s">
        <v>1822</v>
      </c>
      <c r="O789" t="s">
        <v>1824</v>
      </c>
      <c r="P789" t="s">
        <v>1829</v>
      </c>
      <c r="Q789" cm="1">
        <f t="array" ref="Q789">_xlfn.IFS(P789="2 Years", 24,P789="1 Year",12, P789="6 Months",6, P789="1 Month",1)</f>
        <v>1</v>
      </c>
      <c r="R789" t="str" cm="1">
        <f t="array" ref="R789">_xlfn.IFS(Q789=1,"Mensual",Q789=6,"Semestral",Q789=12,"Anual",Q789=24,"Bienal")</f>
        <v>Mensual</v>
      </c>
      <c r="S789">
        <f>IFERROR(VLOOKUP(Sheet1[[#This Row],[ID usuario]],A790:$A$907,1,FALSE),0)</f>
        <v>0</v>
      </c>
    </row>
    <row r="790" spans="1:19" x14ac:dyDescent="0.25">
      <c r="A790" t="s">
        <v>788</v>
      </c>
      <c r="B790" t="s">
        <v>1693</v>
      </c>
      <c r="C790" t="s">
        <v>1810</v>
      </c>
      <c r="D790">
        <v>34.54</v>
      </c>
      <c r="E790" s="1">
        <v>45002</v>
      </c>
      <c r="F790" s="1" t="str">
        <f>TEXT(Sheet1[[#This Row],[Fecha ingreso]],"mmmm")</f>
        <v>marzo</v>
      </c>
      <c r="G790" s="2">
        <f>YEAR(Sheet1[[#This Row],[Fecha ingreso]])</f>
        <v>2023</v>
      </c>
      <c r="H790" s="1" t="str">
        <f>TEXT(Sheet1[[#This Row],[Fecha ingreso]],"dddd")</f>
        <v>viernes</v>
      </c>
      <c r="I790" s="1">
        <v>45226</v>
      </c>
      <c r="J790" s="2">
        <f>DATEDIF(Sheet1[[#This Row],[Fecha ingreso]],Sheet1[[#This Row],[Fecha último pago]],"M")+1</f>
        <v>8</v>
      </c>
      <c r="K790" s="2">
        <f>Sheet1[[#This Row],[Ingresos mensuales]]*Sheet1[[#This Row],[Meses contratados]]</f>
        <v>276.32</v>
      </c>
      <c r="L790" t="s">
        <v>1813</v>
      </c>
      <c r="M790">
        <v>19</v>
      </c>
      <c r="N790" t="s">
        <v>1821</v>
      </c>
      <c r="O790" t="s">
        <v>1823</v>
      </c>
      <c r="P790" t="s">
        <v>1829</v>
      </c>
      <c r="Q790" cm="1">
        <f t="array" ref="Q790">_xlfn.IFS(P790="2 Years", 24,P790="1 Year",12, P790="6 Months",6, P790="1 Month",1)</f>
        <v>1</v>
      </c>
      <c r="R790" t="str" cm="1">
        <f t="array" ref="R790">_xlfn.IFS(Q790=1,"Mensual",Q790=6,"Semestral",Q790=12,"Anual",Q790=24,"Bienal")</f>
        <v>Mensual</v>
      </c>
      <c r="S790">
        <f>IFERROR(VLOOKUP(Sheet1[[#This Row],[ID usuario]],A791:$A$907,1,FALSE),0)</f>
        <v>0</v>
      </c>
    </row>
    <row r="791" spans="1:19" x14ac:dyDescent="0.25">
      <c r="A791" t="s">
        <v>789</v>
      </c>
      <c r="B791" t="s">
        <v>1694</v>
      </c>
      <c r="C791" t="s">
        <v>1812</v>
      </c>
      <c r="D791">
        <v>52.35</v>
      </c>
      <c r="E791" s="1">
        <v>44874</v>
      </c>
      <c r="F791" s="1" t="str">
        <f>TEXT(Sheet1[[#This Row],[Fecha ingreso]],"mmmm")</f>
        <v>noviembre</v>
      </c>
      <c r="G791" s="2">
        <f>YEAR(Sheet1[[#This Row],[Fecha ingreso]])</f>
        <v>2022</v>
      </c>
      <c r="H791" s="1" t="str">
        <f>TEXT(Sheet1[[#This Row],[Fecha ingreso]],"dddd")</f>
        <v>miércoles</v>
      </c>
      <c r="I791" s="1">
        <v>44952</v>
      </c>
      <c r="J791" s="2">
        <f>DATEDIF(Sheet1[[#This Row],[Fecha ingreso]],Sheet1[[#This Row],[Fecha último pago]],"M")+1</f>
        <v>3</v>
      </c>
      <c r="K791" s="2">
        <f>Sheet1[[#This Row],[Ingresos mensuales]]*Sheet1[[#This Row],[Meses contratados]]</f>
        <v>157.05000000000001</v>
      </c>
      <c r="L791" t="s">
        <v>1815</v>
      </c>
      <c r="M791">
        <v>21</v>
      </c>
      <c r="N791" t="s">
        <v>1822</v>
      </c>
      <c r="O791" t="s">
        <v>1824</v>
      </c>
      <c r="P791" t="s">
        <v>1829</v>
      </c>
      <c r="Q791" cm="1">
        <f t="array" ref="Q791">_xlfn.IFS(P791="2 Years", 24,P791="1 Year",12, P791="6 Months",6, P791="1 Month",1)</f>
        <v>1</v>
      </c>
      <c r="R791" t="str" cm="1">
        <f t="array" ref="R791">_xlfn.IFS(Q791=1,"Mensual",Q791=6,"Semestral",Q791=12,"Anual",Q791=24,"Bienal")</f>
        <v>Mensual</v>
      </c>
      <c r="S791">
        <f>IFERROR(VLOOKUP(Sheet1[[#This Row],[ID usuario]],A792:$A$907,1,FALSE),0)</f>
        <v>0</v>
      </c>
    </row>
    <row r="792" spans="1:19" x14ac:dyDescent="0.25">
      <c r="A792" t="s">
        <v>790</v>
      </c>
      <c r="B792" t="s">
        <v>1695</v>
      </c>
      <c r="C792" t="s">
        <v>1812</v>
      </c>
      <c r="D792">
        <v>71.67</v>
      </c>
      <c r="E792" s="1">
        <v>45022</v>
      </c>
      <c r="F792" s="1" t="str">
        <f>TEXT(Sheet1[[#This Row],[Fecha ingreso]],"mmmm")</f>
        <v>abril</v>
      </c>
      <c r="G792" s="2">
        <f>YEAR(Sheet1[[#This Row],[Fecha ingreso]])</f>
        <v>2023</v>
      </c>
      <c r="H792" s="1" t="str">
        <f>TEXT(Sheet1[[#This Row],[Fecha ingreso]],"dddd")</f>
        <v>jueves</v>
      </c>
      <c r="I792" s="1">
        <v>45057</v>
      </c>
      <c r="J792" s="2">
        <f>DATEDIF(Sheet1[[#This Row],[Fecha ingreso]],Sheet1[[#This Row],[Fecha último pago]],"M")+1</f>
        <v>2</v>
      </c>
      <c r="K792" s="2">
        <f>Sheet1[[#This Row],[Ingresos mensuales]]*Sheet1[[#This Row],[Meses contratados]]</f>
        <v>143.34</v>
      </c>
      <c r="L792" t="s">
        <v>1816</v>
      </c>
      <c r="M792">
        <v>57</v>
      </c>
      <c r="N792" t="s">
        <v>1820</v>
      </c>
      <c r="O792" t="s">
        <v>1825</v>
      </c>
      <c r="P792" t="s">
        <v>1828</v>
      </c>
      <c r="Q792" cm="1">
        <f t="array" ref="Q792">_xlfn.IFS(P792="2 Years", 24,P792="1 Year",12, P792="6 Months",6, P792="1 Month",1)</f>
        <v>6</v>
      </c>
      <c r="R792" t="str" cm="1">
        <f t="array" ref="R792">_xlfn.IFS(Q792=1,"Mensual",Q792=6,"Semestral",Q792=12,"Anual",Q792=24,"Bienal")</f>
        <v>Semestral</v>
      </c>
      <c r="S792">
        <f>IFERROR(VLOOKUP(Sheet1[[#This Row],[ID usuario]],A793:$A$907,1,FALSE),0)</f>
        <v>0</v>
      </c>
    </row>
    <row r="793" spans="1:19" x14ac:dyDescent="0.25">
      <c r="A793" t="s">
        <v>791</v>
      </c>
      <c r="B793" t="s">
        <v>1696</v>
      </c>
      <c r="C793" t="s">
        <v>1811</v>
      </c>
      <c r="D793">
        <v>18.149999999999999</v>
      </c>
      <c r="E793" s="1">
        <v>45316</v>
      </c>
      <c r="F793" s="1" t="str">
        <f>TEXT(Sheet1[[#This Row],[Fecha ingreso]],"mmmm")</f>
        <v>enero</v>
      </c>
      <c r="G793" s="2">
        <f>YEAR(Sheet1[[#This Row],[Fecha ingreso]])</f>
        <v>2024</v>
      </c>
      <c r="H793" s="1" t="str">
        <f>TEXT(Sheet1[[#This Row],[Fecha ingreso]],"dddd")</f>
        <v>jueves</v>
      </c>
      <c r="I793" s="1">
        <v>45341</v>
      </c>
      <c r="J793" s="2">
        <f>DATEDIF(Sheet1[[#This Row],[Fecha ingreso]],Sheet1[[#This Row],[Fecha último pago]],"M")+1</f>
        <v>1</v>
      </c>
      <c r="K793" s="2">
        <f>Sheet1[[#This Row],[Ingresos mensuales]]*Sheet1[[#This Row],[Meses contratados]]</f>
        <v>18.149999999999999</v>
      </c>
      <c r="L793" t="s">
        <v>1814</v>
      </c>
      <c r="M793">
        <v>54</v>
      </c>
      <c r="N793" t="s">
        <v>1821</v>
      </c>
      <c r="O793" t="s">
        <v>1823</v>
      </c>
      <c r="P793" t="s">
        <v>1826</v>
      </c>
      <c r="Q793" cm="1">
        <f t="array" ref="Q793">_xlfn.IFS(P793="2 Years", 24,P793="1 Year",12, P793="6 Months",6, P793="1 Month",1)</f>
        <v>24</v>
      </c>
      <c r="R793" t="str" cm="1">
        <f t="array" ref="R793">_xlfn.IFS(Q793=1,"Mensual",Q793=6,"Semestral",Q793=12,"Anual",Q793=24,"Bienal")</f>
        <v>Bienal</v>
      </c>
      <c r="S793">
        <f>IFERROR(VLOOKUP(Sheet1[[#This Row],[ID usuario]],A794:$A$907,1,FALSE),0)</f>
        <v>0</v>
      </c>
    </row>
    <row r="794" spans="1:19" x14ac:dyDescent="0.25">
      <c r="A794" t="s">
        <v>792</v>
      </c>
      <c r="B794" t="s">
        <v>1697</v>
      </c>
      <c r="C794" t="s">
        <v>1812</v>
      </c>
      <c r="D794">
        <v>23.43</v>
      </c>
      <c r="E794" s="1">
        <v>45204</v>
      </c>
      <c r="F794" s="1" t="str">
        <f>TEXT(Sheet1[[#This Row],[Fecha ingreso]],"mmmm")</f>
        <v>octubre</v>
      </c>
      <c r="G794" s="2">
        <f>YEAR(Sheet1[[#This Row],[Fecha ingreso]])</f>
        <v>2023</v>
      </c>
      <c r="H794" s="1" t="str">
        <f>TEXT(Sheet1[[#This Row],[Fecha ingreso]],"dddd")</f>
        <v>jueves</v>
      </c>
      <c r="I794" s="1">
        <v>45379</v>
      </c>
      <c r="J794" s="2">
        <f>DATEDIF(Sheet1[[#This Row],[Fecha ingreso]],Sheet1[[#This Row],[Fecha último pago]],"M")+1</f>
        <v>6</v>
      </c>
      <c r="K794" s="2">
        <f>Sheet1[[#This Row],[Ingresos mensuales]]*Sheet1[[#This Row],[Meses contratados]]</f>
        <v>140.57999999999998</v>
      </c>
      <c r="L794" t="s">
        <v>1814</v>
      </c>
      <c r="M794">
        <v>56</v>
      </c>
      <c r="N794" t="s">
        <v>1821</v>
      </c>
      <c r="O794" t="s">
        <v>1823</v>
      </c>
      <c r="P794" t="s">
        <v>1827</v>
      </c>
      <c r="Q794" cm="1">
        <f t="array" ref="Q794">_xlfn.IFS(P794="2 Years", 24,P794="1 Year",12, P794="6 Months",6, P794="1 Month",1)</f>
        <v>12</v>
      </c>
      <c r="R794" t="str" cm="1">
        <f t="array" ref="R794">_xlfn.IFS(Q794=1,"Mensual",Q794=6,"Semestral",Q794=12,"Anual",Q794=24,"Bienal")</f>
        <v>Anual</v>
      </c>
      <c r="S794">
        <f>IFERROR(VLOOKUP(Sheet1[[#This Row],[ID usuario]],A795:$A$907,1,FALSE),0)</f>
        <v>0</v>
      </c>
    </row>
    <row r="795" spans="1:19" x14ac:dyDescent="0.25">
      <c r="A795" t="s">
        <v>793</v>
      </c>
      <c r="B795" t="s">
        <v>1698</v>
      </c>
      <c r="C795" t="s">
        <v>1812</v>
      </c>
      <c r="D795">
        <v>50.7</v>
      </c>
      <c r="E795" s="1">
        <v>44561</v>
      </c>
      <c r="F795" s="1" t="str">
        <f>TEXT(Sheet1[[#This Row],[Fecha ingreso]],"mmmm")</f>
        <v>diciembre</v>
      </c>
      <c r="G795" s="2">
        <f>YEAR(Sheet1[[#This Row],[Fecha ingreso]])</f>
        <v>2021</v>
      </c>
      <c r="H795" s="1" t="str">
        <f>TEXT(Sheet1[[#This Row],[Fecha ingreso]],"dddd")</f>
        <v>viernes</v>
      </c>
      <c r="I795" s="1">
        <v>45282</v>
      </c>
      <c r="J795" s="2">
        <f>DATEDIF(Sheet1[[#This Row],[Fecha ingreso]],Sheet1[[#This Row],[Fecha último pago]],"M")+1</f>
        <v>24</v>
      </c>
      <c r="K795" s="2">
        <f>Sheet1[[#This Row],[Ingresos mensuales]]*Sheet1[[#This Row],[Meses contratados]]</f>
        <v>1216.8000000000002</v>
      </c>
      <c r="L795" t="s">
        <v>1817</v>
      </c>
      <c r="M795">
        <v>45</v>
      </c>
      <c r="N795" t="s">
        <v>1822</v>
      </c>
      <c r="O795" t="s">
        <v>1824</v>
      </c>
      <c r="P795" t="s">
        <v>1827</v>
      </c>
      <c r="Q795" cm="1">
        <f t="array" ref="Q795">_xlfn.IFS(P795="2 Years", 24,P795="1 Year",12, P795="6 Months",6, P795="1 Month",1)</f>
        <v>12</v>
      </c>
      <c r="R795" t="str" cm="1">
        <f t="array" ref="R795">_xlfn.IFS(Q795=1,"Mensual",Q795=6,"Semestral",Q795=12,"Anual",Q795=24,"Bienal")</f>
        <v>Anual</v>
      </c>
      <c r="S795">
        <f>IFERROR(VLOOKUP(Sheet1[[#This Row],[ID usuario]],A796:$A$907,1,FALSE),0)</f>
        <v>0</v>
      </c>
    </row>
    <row r="796" spans="1:19" x14ac:dyDescent="0.25">
      <c r="A796" t="s">
        <v>794</v>
      </c>
      <c r="B796" t="s">
        <v>1699</v>
      </c>
      <c r="C796" t="s">
        <v>1812</v>
      </c>
      <c r="D796">
        <v>33.33</v>
      </c>
      <c r="E796" s="1">
        <v>45365</v>
      </c>
      <c r="F796" s="1" t="str">
        <f>TEXT(Sheet1[[#This Row],[Fecha ingreso]],"mmmm")</f>
        <v>marzo</v>
      </c>
      <c r="G796" s="2">
        <f>YEAR(Sheet1[[#This Row],[Fecha ingreso]])</f>
        <v>2024</v>
      </c>
      <c r="H796" s="1" t="str">
        <f>TEXT(Sheet1[[#This Row],[Fecha ingreso]],"dddd")</f>
        <v>jueves</v>
      </c>
      <c r="I796" s="1">
        <v>45411</v>
      </c>
      <c r="J796" s="2">
        <f>DATEDIF(Sheet1[[#This Row],[Fecha ingreso]],Sheet1[[#This Row],[Fecha último pago]],"M")+1</f>
        <v>2</v>
      </c>
      <c r="K796" s="2">
        <f>Sheet1[[#This Row],[Ingresos mensuales]]*Sheet1[[#This Row],[Meses contratados]]</f>
        <v>66.66</v>
      </c>
      <c r="L796" t="s">
        <v>1817</v>
      </c>
      <c r="M796">
        <v>52</v>
      </c>
      <c r="N796" t="s">
        <v>1822</v>
      </c>
      <c r="O796" t="s">
        <v>1824</v>
      </c>
      <c r="P796" t="s">
        <v>1829</v>
      </c>
      <c r="Q796" cm="1">
        <f t="array" ref="Q796">_xlfn.IFS(P796="2 Years", 24,P796="1 Year",12, P796="6 Months",6, P796="1 Month",1)</f>
        <v>1</v>
      </c>
      <c r="R796" t="str" cm="1">
        <f t="array" ref="R796">_xlfn.IFS(Q796=1,"Mensual",Q796=6,"Semestral",Q796=12,"Anual",Q796=24,"Bienal")</f>
        <v>Mensual</v>
      </c>
      <c r="S796">
        <f>IFERROR(VLOOKUP(Sheet1[[#This Row],[ID usuario]],A797:$A$907,1,FALSE),0)</f>
        <v>0</v>
      </c>
    </row>
    <row r="797" spans="1:19" x14ac:dyDescent="0.25">
      <c r="A797" t="s">
        <v>795</v>
      </c>
      <c r="B797" t="s">
        <v>1700</v>
      </c>
      <c r="C797" t="s">
        <v>1812</v>
      </c>
      <c r="D797">
        <v>86.94</v>
      </c>
      <c r="E797" s="1">
        <v>44425</v>
      </c>
      <c r="F797" s="1" t="str">
        <f>TEXT(Sheet1[[#This Row],[Fecha ingreso]],"mmmm")</f>
        <v>agosto</v>
      </c>
      <c r="G797" s="2">
        <f>YEAR(Sheet1[[#This Row],[Fecha ingreso]])</f>
        <v>2021</v>
      </c>
      <c r="H797" s="1" t="str">
        <f>TEXT(Sheet1[[#This Row],[Fecha ingreso]],"dddd")</f>
        <v>martes</v>
      </c>
      <c r="I797" s="1">
        <v>44670</v>
      </c>
      <c r="J797" s="2">
        <f>DATEDIF(Sheet1[[#This Row],[Fecha ingreso]],Sheet1[[#This Row],[Fecha último pago]],"M")+1</f>
        <v>9</v>
      </c>
      <c r="K797" s="2">
        <f>Sheet1[[#This Row],[Ingresos mensuales]]*Sheet1[[#This Row],[Meses contratados]]</f>
        <v>782.46</v>
      </c>
      <c r="L797" t="s">
        <v>1816</v>
      </c>
      <c r="M797">
        <v>63</v>
      </c>
      <c r="N797" t="s">
        <v>1821</v>
      </c>
      <c r="O797" t="s">
        <v>1825</v>
      </c>
      <c r="P797" t="s">
        <v>1829</v>
      </c>
      <c r="Q797" cm="1">
        <f t="array" ref="Q797">_xlfn.IFS(P797="2 Years", 24,P797="1 Year",12, P797="6 Months",6, P797="1 Month",1)</f>
        <v>1</v>
      </c>
      <c r="R797" t="str" cm="1">
        <f t="array" ref="R797">_xlfn.IFS(Q797=1,"Mensual",Q797=6,"Semestral",Q797=12,"Anual",Q797=24,"Bienal")</f>
        <v>Mensual</v>
      </c>
      <c r="S797">
        <f>IFERROR(VLOOKUP(Sheet1[[#This Row],[ID usuario]],A798:$A$907,1,FALSE),0)</f>
        <v>0</v>
      </c>
    </row>
    <row r="798" spans="1:19" x14ac:dyDescent="0.25">
      <c r="A798" t="s">
        <v>796</v>
      </c>
      <c r="B798" t="s">
        <v>1701</v>
      </c>
      <c r="C798" t="s">
        <v>1810</v>
      </c>
      <c r="D798">
        <v>60.7</v>
      </c>
      <c r="E798" s="1">
        <v>44637</v>
      </c>
      <c r="F798" s="1" t="str">
        <f>TEXT(Sheet1[[#This Row],[Fecha ingreso]],"mmmm")</f>
        <v>marzo</v>
      </c>
      <c r="G798" s="2">
        <f>YEAR(Sheet1[[#This Row],[Fecha ingreso]])</f>
        <v>2022</v>
      </c>
      <c r="H798" s="1" t="str">
        <f>TEXT(Sheet1[[#This Row],[Fecha ingreso]],"dddd")</f>
        <v>jueves</v>
      </c>
      <c r="I798" s="1">
        <v>44659</v>
      </c>
      <c r="J798" s="2">
        <f>DATEDIF(Sheet1[[#This Row],[Fecha ingreso]],Sheet1[[#This Row],[Fecha último pago]],"M")+1</f>
        <v>1</v>
      </c>
      <c r="K798" s="2">
        <f>Sheet1[[#This Row],[Ingresos mensuales]]*Sheet1[[#This Row],[Meses contratados]]</f>
        <v>60.7</v>
      </c>
      <c r="L798" t="s">
        <v>1815</v>
      </c>
      <c r="M798">
        <v>56</v>
      </c>
      <c r="N798" t="s">
        <v>1822</v>
      </c>
      <c r="O798" t="s">
        <v>1823</v>
      </c>
      <c r="P798" t="s">
        <v>1827</v>
      </c>
      <c r="Q798" cm="1">
        <f t="array" ref="Q798">_xlfn.IFS(P798="2 Years", 24,P798="1 Year",12, P798="6 Months",6, P798="1 Month",1)</f>
        <v>12</v>
      </c>
      <c r="R798" t="str" cm="1">
        <f t="array" ref="R798">_xlfn.IFS(Q798=1,"Mensual",Q798=6,"Semestral",Q798=12,"Anual",Q798=24,"Bienal")</f>
        <v>Anual</v>
      </c>
      <c r="S798">
        <f>IFERROR(VLOOKUP(Sheet1[[#This Row],[ID usuario]],A799:$A$907,1,FALSE),0)</f>
        <v>0</v>
      </c>
    </row>
    <row r="799" spans="1:19" x14ac:dyDescent="0.25">
      <c r="A799" t="s">
        <v>797</v>
      </c>
      <c r="B799" t="s">
        <v>1702</v>
      </c>
      <c r="C799" t="s">
        <v>1812</v>
      </c>
      <c r="D799">
        <v>85.64</v>
      </c>
      <c r="E799" s="1">
        <v>45361</v>
      </c>
      <c r="F799" s="1" t="str">
        <f>TEXT(Sheet1[[#This Row],[Fecha ingreso]],"mmmm")</f>
        <v>marzo</v>
      </c>
      <c r="G799" s="2">
        <f>YEAR(Sheet1[[#This Row],[Fecha ingreso]])</f>
        <v>2024</v>
      </c>
      <c r="H799" s="1" t="str">
        <f>TEXT(Sheet1[[#This Row],[Fecha ingreso]],"dddd")</f>
        <v>domingo</v>
      </c>
      <c r="I799" s="1">
        <v>45413</v>
      </c>
      <c r="J799" s="2">
        <f>DATEDIF(Sheet1[[#This Row],[Fecha ingreso]],Sheet1[[#This Row],[Fecha último pago]],"M")+1</f>
        <v>2</v>
      </c>
      <c r="K799" s="2">
        <f>Sheet1[[#This Row],[Ingresos mensuales]]*Sheet1[[#This Row],[Meses contratados]]</f>
        <v>171.28</v>
      </c>
      <c r="L799" t="s">
        <v>1816</v>
      </c>
      <c r="M799">
        <v>43</v>
      </c>
      <c r="N799" t="s">
        <v>1820</v>
      </c>
      <c r="O799" t="s">
        <v>1823</v>
      </c>
      <c r="P799" t="s">
        <v>1828</v>
      </c>
      <c r="Q799" cm="1">
        <f t="array" ref="Q799">_xlfn.IFS(P799="2 Years", 24,P799="1 Year",12, P799="6 Months",6, P799="1 Month",1)</f>
        <v>6</v>
      </c>
      <c r="R799" t="str" cm="1">
        <f t="array" ref="R799">_xlfn.IFS(Q799=1,"Mensual",Q799=6,"Semestral",Q799=12,"Anual",Q799=24,"Bienal")</f>
        <v>Semestral</v>
      </c>
      <c r="S799">
        <f>IFERROR(VLOOKUP(Sheet1[[#This Row],[ID usuario]],A800:$A$907,1,FALSE),0)</f>
        <v>0</v>
      </c>
    </row>
    <row r="800" spans="1:19" x14ac:dyDescent="0.25">
      <c r="A800" t="s">
        <v>798</v>
      </c>
      <c r="B800" t="s">
        <v>1703</v>
      </c>
      <c r="C800" t="s">
        <v>1812</v>
      </c>
      <c r="D800">
        <v>81.459999999999994</v>
      </c>
      <c r="E800" s="1">
        <v>44955</v>
      </c>
      <c r="F800" s="1" t="str">
        <f>TEXT(Sheet1[[#This Row],[Fecha ingreso]],"mmmm")</f>
        <v>enero</v>
      </c>
      <c r="G800" s="2">
        <f>YEAR(Sheet1[[#This Row],[Fecha ingreso]])</f>
        <v>2023</v>
      </c>
      <c r="H800" s="1" t="str">
        <f>TEXT(Sheet1[[#This Row],[Fecha ingreso]],"dddd")</f>
        <v>domingo</v>
      </c>
      <c r="I800" s="1">
        <v>45370</v>
      </c>
      <c r="J800" s="2">
        <f>DATEDIF(Sheet1[[#This Row],[Fecha ingreso]],Sheet1[[#This Row],[Fecha último pago]],"M")+1</f>
        <v>14</v>
      </c>
      <c r="K800" s="2">
        <f>Sheet1[[#This Row],[Ingresos mensuales]]*Sheet1[[#This Row],[Meses contratados]]</f>
        <v>1140.4399999999998</v>
      </c>
      <c r="L800" t="s">
        <v>1815</v>
      </c>
      <c r="M800">
        <v>34</v>
      </c>
      <c r="N800" t="s">
        <v>1820</v>
      </c>
      <c r="O800" t="s">
        <v>1823</v>
      </c>
      <c r="P800" t="s">
        <v>1826</v>
      </c>
      <c r="Q800" cm="1">
        <f t="array" ref="Q800">_xlfn.IFS(P800="2 Years", 24,P800="1 Year",12, P800="6 Months",6, P800="1 Month",1)</f>
        <v>24</v>
      </c>
      <c r="R800" t="str" cm="1">
        <f t="array" ref="R800">_xlfn.IFS(Q800=1,"Mensual",Q800=6,"Semestral",Q800=12,"Anual",Q800=24,"Bienal")</f>
        <v>Bienal</v>
      </c>
      <c r="S800">
        <f>IFERROR(VLOOKUP(Sheet1[[#This Row],[ID usuario]],A801:$A$907,1,FALSE),0)</f>
        <v>0</v>
      </c>
    </row>
    <row r="801" spans="1:19" x14ac:dyDescent="0.25">
      <c r="A801" t="s">
        <v>799</v>
      </c>
      <c r="B801" t="s">
        <v>1704</v>
      </c>
      <c r="C801" t="s">
        <v>1812</v>
      </c>
      <c r="D801">
        <v>99.84</v>
      </c>
      <c r="E801" s="1">
        <v>44798</v>
      </c>
      <c r="F801" s="1" t="str">
        <f>TEXT(Sheet1[[#This Row],[Fecha ingreso]],"mmmm")</f>
        <v>agosto</v>
      </c>
      <c r="G801" s="2">
        <f>YEAR(Sheet1[[#This Row],[Fecha ingreso]])</f>
        <v>2022</v>
      </c>
      <c r="H801" s="1" t="str">
        <f>TEXT(Sheet1[[#This Row],[Fecha ingreso]],"dddd")</f>
        <v>jueves</v>
      </c>
      <c r="I801" s="1">
        <v>44883</v>
      </c>
      <c r="J801" s="2">
        <f>DATEDIF(Sheet1[[#This Row],[Fecha ingreso]],Sheet1[[#This Row],[Fecha último pago]],"M")+1</f>
        <v>3</v>
      </c>
      <c r="K801" s="2">
        <f>Sheet1[[#This Row],[Ingresos mensuales]]*Sheet1[[#This Row],[Meses contratados]]</f>
        <v>299.52</v>
      </c>
      <c r="L801" t="s">
        <v>1817</v>
      </c>
      <c r="M801">
        <v>66</v>
      </c>
      <c r="N801" t="s">
        <v>1821</v>
      </c>
      <c r="O801" t="s">
        <v>1823</v>
      </c>
      <c r="P801" t="s">
        <v>1826</v>
      </c>
      <c r="Q801" cm="1">
        <f t="array" ref="Q801">_xlfn.IFS(P801="2 Years", 24,P801="1 Year",12, P801="6 Months",6, P801="1 Month",1)</f>
        <v>24</v>
      </c>
      <c r="R801" t="str" cm="1">
        <f t="array" ref="R801">_xlfn.IFS(Q801=1,"Mensual",Q801=6,"Semestral",Q801=12,"Anual",Q801=24,"Bienal")</f>
        <v>Bienal</v>
      </c>
      <c r="S801">
        <f>IFERROR(VLOOKUP(Sheet1[[#This Row],[ID usuario]],A802:$A$907,1,FALSE),0)</f>
        <v>0</v>
      </c>
    </row>
    <row r="802" spans="1:19" x14ac:dyDescent="0.25">
      <c r="A802" t="s">
        <v>800</v>
      </c>
      <c r="B802" t="s">
        <v>1705</v>
      </c>
      <c r="C802" t="s">
        <v>1812</v>
      </c>
      <c r="D802">
        <v>85.49</v>
      </c>
      <c r="E802" s="1">
        <v>45244</v>
      </c>
      <c r="F802" s="1" t="str">
        <f>TEXT(Sheet1[[#This Row],[Fecha ingreso]],"mmmm")</f>
        <v>noviembre</v>
      </c>
      <c r="G802" s="2">
        <f>YEAR(Sheet1[[#This Row],[Fecha ingreso]])</f>
        <v>2023</v>
      </c>
      <c r="H802" s="1" t="str">
        <f>TEXT(Sheet1[[#This Row],[Fecha ingreso]],"dddd")</f>
        <v>martes</v>
      </c>
      <c r="I802" s="1">
        <v>45445</v>
      </c>
      <c r="J802" s="2">
        <f>DATEDIF(Sheet1[[#This Row],[Fecha ingreso]],Sheet1[[#This Row],[Fecha último pago]],"M")+1</f>
        <v>7</v>
      </c>
      <c r="K802" s="2">
        <f>Sheet1[[#This Row],[Ingresos mensuales]]*Sheet1[[#This Row],[Meses contratados]]</f>
        <v>598.42999999999995</v>
      </c>
      <c r="L802" t="s">
        <v>1814</v>
      </c>
      <c r="M802">
        <v>68</v>
      </c>
      <c r="N802" t="s">
        <v>1822</v>
      </c>
      <c r="O802" t="s">
        <v>1825</v>
      </c>
      <c r="P802" t="s">
        <v>1829</v>
      </c>
      <c r="Q802" cm="1">
        <f t="array" ref="Q802">_xlfn.IFS(P802="2 Years", 24,P802="1 Year",12, P802="6 Months",6, P802="1 Month",1)</f>
        <v>1</v>
      </c>
      <c r="R802" t="str" cm="1">
        <f t="array" ref="R802">_xlfn.IFS(Q802=1,"Mensual",Q802=6,"Semestral",Q802=12,"Anual",Q802=24,"Bienal")</f>
        <v>Mensual</v>
      </c>
      <c r="S802">
        <f>IFERROR(VLOOKUP(Sheet1[[#This Row],[ID usuario]],A803:$A$907,1,FALSE),0)</f>
        <v>0</v>
      </c>
    </row>
    <row r="803" spans="1:19" x14ac:dyDescent="0.25">
      <c r="A803" t="s">
        <v>801</v>
      </c>
      <c r="B803" t="s">
        <v>1706</v>
      </c>
      <c r="C803" t="s">
        <v>1812</v>
      </c>
      <c r="D803">
        <v>44.37</v>
      </c>
      <c r="E803" s="1">
        <v>44696</v>
      </c>
      <c r="F803" s="1" t="str">
        <f>TEXT(Sheet1[[#This Row],[Fecha ingreso]],"mmmm")</f>
        <v>mayo</v>
      </c>
      <c r="G803" s="2">
        <f>YEAR(Sheet1[[#This Row],[Fecha ingreso]])</f>
        <v>2022</v>
      </c>
      <c r="H803" s="1" t="str">
        <f>TEXT(Sheet1[[#This Row],[Fecha ingreso]],"dddd")</f>
        <v>domingo</v>
      </c>
      <c r="I803" s="1">
        <v>44920</v>
      </c>
      <c r="J803" s="2">
        <f>DATEDIF(Sheet1[[#This Row],[Fecha ingreso]],Sheet1[[#This Row],[Fecha último pago]],"M")+1</f>
        <v>8</v>
      </c>
      <c r="K803" s="2">
        <f>Sheet1[[#This Row],[Ingresos mensuales]]*Sheet1[[#This Row],[Meses contratados]]</f>
        <v>354.96</v>
      </c>
      <c r="L803" t="s">
        <v>1813</v>
      </c>
      <c r="M803">
        <v>27</v>
      </c>
      <c r="N803" t="s">
        <v>1821</v>
      </c>
      <c r="O803" t="s">
        <v>1825</v>
      </c>
      <c r="P803" t="s">
        <v>1829</v>
      </c>
      <c r="Q803" cm="1">
        <f t="array" ref="Q803">_xlfn.IFS(P803="2 Years", 24,P803="1 Year",12, P803="6 Months",6, P803="1 Month",1)</f>
        <v>1</v>
      </c>
      <c r="R803" t="str" cm="1">
        <f t="array" ref="R803">_xlfn.IFS(Q803=1,"Mensual",Q803=6,"Semestral",Q803=12,"Anual",Q803=24,"Bienal")</f>
        <v>Mensual</v>
      </c>
      <c r="S803">
        <f>IFERROR(VLOOKUP(Sheet1[[#This Row],[ID usuario]],A804:$A$907,1,FALSE),0)</f>
        <v>0</v>
      </c>
    </row>
    <row r="804" spans="1:19" x14ac:dyDescent="0.25">
      <c r="A804" t="s">
        <v>802</v>
      </c>
      <c r="B804" t="s">
        <v>1707</v>
      </c>
      <c r="C804" t="s">
        <v>1811</v>
      </c>
      <c r="D804">
        <v>84.86</v>
      </c>
      <c r="E804" s="1">
        <v>44635</v>
      </c>
      <c r="F804" s="1" t="str">
        <f>TEXT(Sheet1[[#This Row],[Fecha ingreso]],"mmmm")</f>
        <v>marzo</v>
      </c>
      <c r="G804" s="2">
        <f>YEAR(Sheet1[[#This Row],[Fecha ingreso]])</f>
        <v>2022</v>
      </c>
      <c r="H804" s="1" t="str">
        <f>TEXT(Sheet1[[#This Row],[Fecha ingreso]],"dddd")</f>
        <v>martes</v>
      </c>
      <c r="I804" s="1">
        <v>44922</v>
      </c>
      <c r="J804" s="2">
        <f>DATEDIF(Sheet1[[#This Row],[Fecha ingreso]],Sheet1[[#This Row],[Fecha último pago]],"M")+1</f>
        <v>10</v>
      </c>
      <c r="K804" s="2">
        <f>Sheet1[[#This Row],[Ingresos mensuales]]*Sheet1[[#This Row],[Meses contratados]]</f>
        <v>848.6</v>
      </c>
      <c r="L804" t="s">
        <v>1815</v>
      </c>
      <c r="M804">
        <v>18</v>
      </c>
      <c r="N804" t="s">
        <v>1821</v>
      </c>
      <c r="O804" t="s">
        <v>1823</v>
      </c>
      <c r="P804" t="s">
        <v>1826</v>
      </c>
      <c r="Q804" cm="1">
        <f t="array" ref="Q804">_xlfn.IFS(P804="2 Years", 24,P804="1 Year",12, P804="6 Months",6, P804="1 Month",1)</f>
        <v>24</v>
      </c>
      <c r="R804" t="str" cm="1">
        <f t="array" ref="R804">_xlfn.IFS(Q804=1,"Mensual",Q804=6,"Semestral",Q804=12,"Anual",Q804=24,"Bienal")</f>
        <v>Bienal</v>
      </c>
      <c r="S804">
        <f>IFERROR(VLOOKUP(Sheet1[[#This Row],[ID usuario]],A805:$A$907,1,FALSE),0)</f>
        <v>0</v>
      </c>
    </row>
    <row r="805" spans="1:19" x14ac:dyDescent="0.25">
      <c r="A805" t="s">
        <v>803</v>
      </c>
      <c r="B805" t="s">
        <v>1708</v>
      </c>
      <c r="C805" t="s">
        <v>1810</v>
      </c>
      <c r="D805">
        <v>10.68</v>
      </c>
      <c r="E805" s="1">
        <v>44724</v>
      </c>
      <c r="F805" s="1" t="str">
        <f>TEXT(Sheet1[[#This Row],[Fecha ingreso]],"mmmm")</f>
        <v>junio</v>
      </c>
      <c r="G805" s="2">
        <f>YEAR(Sheet1[[#This Row],[Fecha ingreso]])</f>
        <v>2022</v>
      </c>
      <c r="H805" s="1" t="str">
        <f>TEXT(Sheet1[[#This Row],[Fecha ingreso]],"dddd")</f>
        <v>domingo</v>
      </c>
      <c r="I805" s="1">
        <v>44770</v>
      </c>
      <c r="J805" s="2">
        <f>DATEDIF(Sheet1[[#This Row],[Fecha ingreso]],Sheet1[[#This Row],[Fecha último pago]],"M")+1</f>
        <v>2</v>
      </c>
      <c r="K805" s="2">
        <f>Sheet1[[#This Row],[Ingresos mensuales]]*Sheet1[[#This Row],[Meses contratados]]</f>
        <v>21.36</v>
      </c>
      <c r="L805" t="s">
        <v>1818</v>
      </c>
      <c r="M805">
        <v>33</v>
      </c>
      <c r="N805" t="s">
        <v>1820</v>
      </c>
      <c r="O805" t="s">
        <v>1825</v>
      </c>
      <c r="P805" t="s">
        <v>1829</v>
      </c>
      <c r="Q805" cm="1">
        <f t="array" ref="Q805">_xlfn.IFS(P805="2 Years", 24,P805="1 Year",12, P805="6 Months",6, P805="1 Month",1)</f>
        <v>1</v>
      </c>
      <c r="R805" t="str" cm="1">
        <f t="array" ref="R805">_xlfn.IFS(Q805=1,"Mensual",Q805=6,"Semestral",Q805=12,"Anual",Q805=24,"Bienal")</f>
        <v>Mensual</v>
      </c>
      <c r="S805">
        <f>IFERROR(VLOOKUP(Sheet1[[#This Row],[ID usuario]],A806:$A$907,1,FALSE),0)</f>
        <v>0</v>
      </c>
    </row>
    <row r="806" spans="1:19" x14ac:dyDescent="0.25">
      <c r="A806" t="s">
        <v>804</v>
      </c>
      <c r="B806" t="s">
        <v>1709</v>
      </c>
      <c r="C806" t="s">
        <v>1811</v>
      </c>
      <c r="D806">
        <v>38.28</v>
      </c>
      <c r="E806" s="1">
        <v>44498</v>
      </c>
      <c r="F806" s="1" t="str">
        <f>TEXT(Sheet1[[#This Row],[Fecha ingreso]],"mmmm")</f>
        <v>octubre</v>
      </c>
      <c r="G806" s="2">
        <f>YEAR(Sheet1[[#This Row],[Fecha ingreso]])</f>
        <v>2021</v>
      </c>
      <c r="H806" s="1" t="str">
        <f>TEXT(Sheet1[[#This Row],[Fecha ingreso]],"dddd")</f>
        <v>viernes</v>
      </c>
      <c r="I806" s="1">
        <v>44682</v>
      </c>
      <c r="J806" s="2">
        <f>DATEDIF(Sheet1[[#This Row],[Fecha ingreso]],Sheet1[[#This Row],[Fecha último pago]],"M")+1</f>
        <v>7</v>
      </c>
      <c r="K806" s="2">
        <f>Sheet1[[#This Row],[Ingresos mensuales]]*Sheet1[[#This Row],[Meses contratados]]</f>
        <v>267.96000000000004</v>
      </c>
      <c r="L806" t="s">
        <v>1814</v>
      </c>
      <c r="M806">
        <v>34</v>
      </c>
      <c r="N806" t="s">
        <v>1820</v>
      </c>
      <c r="O806" t="s">
        <v>1823</v>
      </c>
      <c r="P806" t="s">
        <v>1827</v>
      </c>
      <c r="Q806" cm="1">
        <f t="array" ref="Q806">_xlfn.IFS(P806="2 Years", 24,P806="1 Year",12, P806="6 Months",6, P806="1 Month",1)</f>
        <v>12</v>
      </c>
      <c r="R806" t="str" cm="1">
        <f t="array" ref="R806">_xlfn.IFS(Q806=1,"Mensual",Q806=6,"Semestral",Q806=12,"Anual",Q806=24,"Bienal")</f>
        <v>Anual</v>
      </c>
      <c r="S806">
        <f>IFERROR(VLOOKUP(Sheet1[[#This Row],[ID usuario]],A807:$A$907,1,FALSE),0)</f>
        <v>0</v>
      </c>
    </row>
    <row r="807" spans="1:19" x14ac:dyDescent="0.25">
      <c r="A807" t="s">
        <v>805</v>
      </c>
      <c r="B807" t="s">
        <v>1710</v>
      </c>
      <c r="C807" t="s">
        <v>1810</v>
      </c>
      <c r="D807">
        <v>92.38</v>
      </c>
      <c r="E807" s="1">
        <v>45269</v>
      </c>
      <c r="F807" s="1" t="str">
        <f>TEXT(Sheet1[[#This Row],[Fecha ingreso]],"mmmm")</f>
        <v>diciembre</v>
      </c>
      <c r="G807" s="2">
        <f>YEAR(Sheet1[[#This Row],[Fecha ingreso]])</f>
        <v>2023</v>
      </c>
      <c r="H807" s="1" t="str">
        <f>TEXT(Sheet1[[#This Row],[Fecha ingreso]],"dddd")</f>
        <v>sábado</v>
      </c>
      <c r="I807" s="1">
        <v>45358</v>
      </c>
      <c r="J807" s="2">
        <f>DATEDIF(Sheet1[[#This Row],[Fecha ingreso]],Sheet1[[#This Row],[Fecha último pago]],"M")+1</f>
        <v>3</v>
      </c>
      <c r="K807" s="2">
        <f>Sheet1[[#This Row],[Ingresos mensuales]]*Sheet1[[#This Row],[Meses contratados]]</f>
        <v>277.14</v>
      </c>
      <c r="L807" t="s">
        <v>1815</v>
      </c>
      <c r="M807">
        <v>60</v>
      </c>
      <c r="N807" t="s">
        <v>1820</v>
      </c>
      <c r="O807" t="s">
        <v>1825</v>
      </c>
      <c r="P807" t="s">
        <v>1828</v>
      </c>
      <c r="Q807" cm="1">
        <f t="array" ref="Q807">_xlfn.IFS(P807="2 Years", 24,P807="1 Year",12, P807="6 Months",6, P807="1 Month",1)</f>
        <v>6</v>
      </c>
      <c r="R807" t="str" cm="1">
        <f t="array" ref="R807">_xlfn.IFS(Q807=1,"Mensual",Q807=6,"Semestral",Q807=12,"Anual",Q807=24,"Bienal")</f>
        <v>Semestral</v>
      </c>
      <c r="S807">
        <f>IFERROR(VLOOKUP(Sheet1[[#This Row],[ID usuario]],A808:$A$907,1,FALSE),0)</f>
        <v>0</v>
      </c>
    </row>
    <row r="808" spans="1:19" x14ac:dyDescent="0.25">
      <c r="A808" t="s">
        <v>806</v>
      </c>
      <c r="B808" t="s">
        <v>1711</v>
      </c>
      <c r="C808" t="s">
        <v>1811</v>
      </c>
      <c r="D808">
        <v>96.27</v>
      </c>
      <c r="E808" s="1">
        <v>44818</v>
      </c>
      <c r="F808" s="1" t="str">
        <f>TEXT(Sheet1[[#This Row],[Fecha ingreso]],"mmmm")</f>
        <v>septiembre</v>
      </c>
      <c r="G808" s="2">
        <f>YEAR(Sheet1[[#This Row],[Fecha ingreso]])</f>
        <v>2022</v>
      </c>
      <c r="H808" s="1" t="str">
        <f>TEXT(Sheet1[[#This Row],[Fecha ingreso]],"dddd")</f>
        <v>miércoles</v>
      </c>
      <c r="I808" s="1">
        <v>45071</v>
      </c>
      <c r="J808" s="2">
        <f>DATEDIF(Sheet1[[#This Row],[Fecha ingreso]],Sheet1[[#This Row],[Fecha último pago]],"M")+1</f>
        <v>9</v>
      </c>
      <c r="K808" s="2">
        <f>Sheet1[[#This Row],[Ingresos mensuales]]*Sheet1[[#This Row],[Meses contratados]]</f>
        <v>866.43</v>
      </c>
      <c r="L808" t="s">
        <v>1815</v>
      </c>
      <c r="M808">
        <v>54</v>
      </c>
      <c r="N808" t="s">
        <v>1820</v>
      </c>
      <c r="O808" t="s">
        <v>1824</v>
      </c>
      <c r="P808" t="s">
        <v>1826</v>
      </c>
      <c r="Q808" cm="1">
        <f t="array" ref="Q808">_xlfn.IFS(P808="2 Years", 24,P808="1 Year",12, P808="6 Months",6, P808="1 Month",1)</f>
        <v>24</v>
      </c>
      <c r="R808" t="str" cm="1">
        <f t="array" ref="R808">_xlfn.IFS(Q808=1,"Mensual",Q808=6,"Semestral",Q808=12,"Anual",Q808=24,"Bienal")</f>
        <v>Bienal</v>
      </c>
      <c r="S808">
        <f>IFERROR(VLOOKUP(Sheet1[[#This Row],[ID usuario]],A809:$A$907,1,FALSE),0)</f>
        <v>0</v>
      </c>
    </row>
    <row r="809" spans="1:19" x14ac:dyDescent="0.25">
      <c r="A809" t="s">
        <v>807</v>
      </c>
      <c r="B809" t="s">
        <v>1712</v>
      </c>
      <c r="C809" t="s">
        <v>1811</v>
      </c>
      <c r="D809">
        <v>65.849999999999994</v>
      </c>
      <c r="E809" s="1">
        <v>44447</v>
      </c>
      <c r="F809" s="1" t="str">
        <f>TEXT(Sheet1[[#This Row],[Fecha ingreso]],"mmmm")</f>
        <v>septiembre</v>
      </c>
      <c r="G809" s="2">
        <f>YEAR(Sheet1[[#This Row],[Fecha ingreso]])</f>
        <v>2021</v>
      </c>
      <c r="H809" s="1" t="str">
        <f>TEXT(Sheet1[[#This Row],[Fecha ingreso]],"dddd")</f>
        <v>miércoles</v>
      </c>
      <c r="I809" s="1">
        <v>45393</v>
      </c>
      <c r="J809" s="2">
        <f>DATEDIF(Sheet1[[#This Row],[Fecha ingreso]],Sheet1[[#This Row],[Fecha último pago]],"M")+1</f>
        <v>32</v>
      </c>
      <c r="K809" s="2">
        <f>Sheet1[[#This Row],[Ingresos mensuales]]*Sheet1[[#This Row],[Meses contratados]]</f>
        <v>2107.1999999999998</v>
      </c>
      <c r="L809" t="s">
        <v>1817</v>
      </c>
      <c r="M809">
        <v>25</v>
      </c>
      <c r="N809" t="s">
        <v>1821</v>
      </c>
      <c r="O809" t="s">
        <v>1824</v>
      </c>
      <c r="P809" t="s">
        <v>1829</v>
      </c>
      <c r="Q809" cm="1">
        <f t="array" ref="Q809">_xlfn.IFS(P809="2 Years", 24,P809="1 Year",12, P809="6 Months",6, P809="1 Month",1)</f>
        <v>1</v>
      </c>
      <c r="R809" t="str" cm="1">
        <f t="array" ref="R809">_xlfn.IFS(Q809=1,"Mensual",Q809=6,"Semestral",Q809=12,"Anual",Q809=24,"Bienal")</f>
        <v>Mensual</v>
      </c>
      <c r="S809">
        <f>IFERROR(VLOOKUP(Sheet1[[#This Row],[ID usuario]],A810:$A$907,1,FALSE),0)</f>
        <v>0</v>
      </c>
    </row>
    <row r="810" spans="1:19" x14ac:dyDescent="0.25">
      <c r="A810" t="s">
        <v>808</v>
      </c>
      <c r="B810" t="s">
        <v>1713</v>
      </c>
      <c r="C810" t="s">
        <v>1811</v>
      </c>
      <c r="D810">
        <v>70.42</v>
      </c>
      <c r="E810" s="1">
        <v>45400</v>
      </c>
      <c r="F810" s="1" t="str">
        <f>TEXT(Sheet1[[#This Row],[Fecha ingreso]],"mmmm")</f>
        <v>abril</v>
      </c>
      <c r="G810" s="2">
        <f>YEAR(Sheet1[[#This Row],[Fecha ingreso]])</f>
        <v>2024</v>
      </c>
      <c r="H810" s="1" t="str">
        <f>TEXT(Sheet1[[#This Row],[Fecha ingreso]],"dddd")</f>
        <v>jueves</v>
      </c>
      <c r="I810" s="1">
        <v>45450</v>
      </c>
      <c r="J810" s="2">
        <f>DATEDIF(Sheet1[[#This Row],[Fecha ingreso]],Sheet1[[#This Row],[Fecha último pago]],"M")+1</f>
        <v>2</v>
      </c>
      <c r="K810" s="2">
        <f>Sheet1[[#This Row],[Ingresos mensuales]]*Sheet1[[#This Row],[Meses contratados]]</f>
        <v>140.84</v>
      </c>
      <c r="L810" t="s">
        <v>1816</v>
      </c>
      <c r="M810">
        <v>41</v>
      </c>
      <c r="N810" t="s">
        <v>1820</v>
      </c>
      <c r="O810" t="s">
        <v>1823</v>
      </c>
      <c r="P810" t="s">
        <v>1826</v>
      </c>
      <c r="Q810" cm="1">
        <f t="array" ref="Q810">_xlfn.IFS(P810="2 Years", 24,P810="1 Year",12, P810="6 Months",6, P810="1 Month",1)</f>
        <v>24</v>
      </c>
      <c r="R810" t="str" cm="1">
        <f t="array" ref="R810">_xlfn.IFS(Q810=1,"Mensual",Q810=6,"Semestral",Q810=12,"Anual",Q810=24,"Bienal")</f>
        <v>Bienal</v>
      </c>
      <c r="S810">
        <f>IFERROR(VLOOKUP(Sheet1[[#This Row],[ID usuario]],A811:$A$907,1,FALSE),0)</f>
        <v>0</v>
      </c>
    </row>
    <row r="811" spans="1:19" x14ac:dyDescent="0.25">
      <c r="A811" t="s">
        <v>809</v>
      </c>
      <c r="B811" t="s">
        <v>1714</v>
      </c>
      <c r="C811" t="s">
        <v>1810</v>
      </c>
      <c r="D811">
        <v>9.0299999999999994</v>
      </c>
      <c r="E811" s="1">
        <v>44420</v>
      </c>
      <c r="F811" s="1" t="str">
        <f>TEXT(Sheet1[[#This Row],[Fecha ingreso]],"mmmm")</f>
        <v>agosto</v>
      </c>
      <c r="G811" s="2">
        <f>YEAR(Sheet1[[#This Row],[Fecha ingreso]])</f>
        <v>2021</v>
      </c>
      <c r="H811" s="1" t="str">
        <f>TEXT(Sheet1[[#This Row],[Fecha ingreso]],"dddd")</f>
        <v>jueves</v>
      </c>
      <c r="I811" s="1">
        <v>45154</v>
      </c>
      <c r="J811" s="2">
        <f>DATEDIF(Sheet1[[#This Row],[Fecha ingreso]],Sheet1[[#This Row],[Fecha último pago]],"M")+1</f>
        <v>25</v>
      </c>
      <c r="K811" s="2">
        <f>Sheet1[[#This Row],[Ingresos mensuales]]*Sheet1[[#This Row],[Meses contratados]]</f>
        <v>225.74999999999997</v>
      </c>
      <c r="L811" t="s">
        <v>1813</v>
      </c>
      <c r="M811">
        <v>67</v>
      </c>
      <c r="N811" t="s">
        <v>1822</v>
      </c>
      <c r="O811" t="s">
        <v>1825</v>
      </c>
      <c r="P811" t="s">
        <v>1826</v>
      </c>
      <c r="Q811" cm="1">
        <f t="array" ref="Q811">_xlfn.IFS(P811="2 Years", 24,P811="1 Year",12, P811="6 Months",6, P811="1 Month",1)</f>
        <v>24</v>
      </c>
      <c r="R811" t="str" cm="1">
        <f t="array" ref="R811">_xlfn.IFS(Q811=1,"Mensual",Q811=6,"Semestral",Q811=12,"Anual",Q811=24,"Bienal")</f>
        <v>Bienal</v>
      </c>
      <c r="S811">
        <f>IFERROR(VLOOKUP(Sheet1[[#This Row],[ID usuario]],A812:$A$907,1,FALSE),0)</f>
        <v>0</v>
      </c>
    </row>
    <row r="812" spans="1:19" x14ac:dyDescent="0.25">
      <c r="A812" t="s">
        <v>810</v>
      </c>
      <c r="B812" t="s">
        <v>1715</v>
      </c>
      <c r="C812" t="s">
        <v>1810</v>
      </c>
      <c r="D812">
        <v>53.88</v>
      </c>
      <c r="E812" s="1">
        <v>45136</v>
      </c>
      <c r="F812" s="1" t="str">
        <f>TEXT(Sheet1[[#This Row],[Fecha ingreso]],"mmmm")</f>
        <v>julio</v>
      </c>
      <c r="G812" s="2">
        <f>YEAR(Sheet1[[#This Row],[Fecha ingreso]])</f>
        <v>2023</v>
      </c>
      <c r="H812" s="1" t="str">
        <f>TEXT(Sheet1[[#This Row],[Fecha ingreso]],"dddd")</f>
        <v>sábado</v>
      </c>
      <c r="I812" s="1">
        <v>45296</v>
      </c>
      <c r="J812" s="2">
        <f>DATEDIF(Sheet1[[#This Row],[Fecha ingreso]],Sheet1[[#This Row],[Fecha último pago]],"M")+1</f>
        <v>6</v>
      </c>
      <c r="K812" s="2">
        <f>Sheet1[[#This Row],[Ingresos mensuales]]*Sheet1[[#This Row],[Meses contratados]]</f>
        <v>323.28000000000003</v>
      </c>
      <c r="L812" t="s">
        <v>1818</v>
      </c>
      <c r="M812">
        <v>58</v>
      </c>
      <c r="N812" t="s">
        <v>1820</v>
      </c>
      <c r="O812" t="s">
        <v>1824</v>
      </c>
      <c r="P812" t="s">
        <v>1827</v>
      </c>
      <c r="Q812" cm="1">
        <f t="array" ref="Q812">_xlfn.IFS(P812="2 Years", 24,P812="1 Year",12, P812="6 Months",6, P812="1 Month",1)</f>
        <v>12</v>
      </c>
      <c r="R812" t="str" cm="1">
        <f t="array" ref="R812">_xlfn.IFS(Q812=1,"Mensual",Q812=6,"Semestral",Q812=12,"Anual",Q812=24,"Bienal")</f>
        <v>Anual</v>
      </c>
      <c r="S812">
        <f>IFERROR(VLOOKUP(Sheet1[[#This Row],[ID usuario]],A813:$A$907,1,FALSE),0)</f>
        <v>0</v>
      </c>
    </row>
    <row r="813" spans="1:19" x14ac:dyDescent="0.25">
      <c r="A813" t="s">
        <v>811</v>
      </c>
      <c r="B813" t="s">
        <v>1716</v>
      </c>
      <c r="C813" t="s">
        <v>1811</v>
      </c>
      <c r="D813">
        <v>56.95</v>
      </c>
      <c r="E813" s="1">
        <v>44889</v>
      </c>
      <c r="F813" s="1" t="str">
        <f>TEXT(Sheet1[[#This Row],[Fecha ingreso]],"mmmm")</f>
        <v>noviembre</v>
      </c>
      <c r="G813" s="2">
        <f>YEAR(Sheet1[[#This Row],[Fecha ingreso]])</f>
        <v>2022</v>
      </c>
      <c r="H813" s="1" t="str">
        <f>TEXT(Sheet1[[#This Row],[Fecha ingreso]],"dddd")</f>
        <v>jueves</v>
      </c>
      <c r="I813" s="1">
        <v>45323</v>
      </c>
      <c r="J813" s="2">
        <f>DATEDIF(Sheet1[[#This Row],[Fecha ingreso]],Sheet1[[#This Row],[Fecha último pago]],"M")+1</f>
        <v>15</v>
      </c>
      <c r="K813" s="2">
        <f>Sheet1[[#This Row],[Ingresos mensuales]]*Sheet1[[#This Row],[Meses contratados]]</f>
        <v>854.25</v>
      </c>
      <c r="L813" t="s">
        <v>1814</v>
      </c>
      <c r="M813">
        <v>56</v>
      </c>
      <c r="N813" t="s">
        <v>1822</v>
      </c>
      <c r="O813" t="s">
        <v>1823</v>
      </c>
      <c r="P813" t="s">
        <v>1829</v>
      </c>
      <c r="Q813" cm="1">
        <f t="array" ref="Q813">_xlfn.IFS(P813="2 Years", 24,P813="1 Year",12, P813="6 Months",6, P813="1 Month",1)</f>
        <v>1</v>
      </c>
      <c r="R813" t="str" cm="1">
        <f t="array" ref="R813">_xlfn.IFS(Q813=1,"Mensual",Q813=6,"Semestral",Q813=12,"Anual",Q813=24,"Bienal")</f>
        <v>Mensual</v>
      </c>
      <c r="S813">
        <f>IFERROR(VLOOKUP(Sheet1[[#This Row],[ID usuario]],A814:$A$907,1,FALSE),0)</f>
        <v>0</v>
      </c>
    </row>
    <row r="814" spans="1:19" x14ac:dyDescent="0.25">
      <c r="A814" t="s">
        <v>812</v>
      </c>
      <c r="B814" t="s">
        <v>1717</v>
      </c>
      <c r="C814" t="s">
        <v>1811</v>
      </c>
      <c r="D814">
        <v>37.31</v>
      </c>
      <c r="E814" s="1">
        <v>45172</v>
      </c>
      <c r="F814" s="1" t="str">
        <f>TEXT(Sheet1[[#This Row],[Fecha ingreso]],"mmmm")</f>
        <v>septiembre</v>
      </c>
      <c r="G814" s="2">
        <f>YEAR(Sheet1[[#This Row],[Fecha ingreso]])</f>
        <v>2023</v>
      </c>
      <c r="H814" s="1" t="str">
        <f>TEXT(Sheet1[[#This Row],[Fecha ingreso]],"dddd")</f>
        <v>domingo</v>
      </c>
      <c r="I814" s="1">
        <v>45460</v>
      </c>
      <c r="J814" s="2">
        <f>DATEDIF(Sheet1[[#This Row],[Fecha ingreso]],Sheet1[[#This Row],[Fecha último pago]],"M")+1</f>
        <v>10</v>
      </c>
      <c r="K814" s="2">
        <f>Sheet1[[#This Row],[Ingresos mensuales]]*Sheet1[[#This Row],[Meses contratados]]</f>
        <v>373.1</v>
      </c>
      <c r="L814" t="s">
        <v>1815</v>
      </c>
      <c r="M814">
        <v>63</v>
      </c>
      <c r="N814" t="s">
        <v>1820</v>
      </c>
      <c r="O814" t="s">
        <v>1824</v>
      </c>
      <c r="P814" t="s">
        <v>1826</v>
      </c>
      <c r="Q814" cm="1">
        <f t="array" ref="Q814">_xlfn.IFS(P814="2 Years", 24,P814="1 Year",12, P814="6 Months",6, P814="1 Month",1)</f>
        <v>24</v>
      </c>
      <c r="R814" t="str" cm="1">
        <f t="array" ref="R814">_xlfn.IFS(Q814=1,"Mensual",Q814=6,"Semestral",Q814=12,"Anual",Q814=24,"Bienal")</f>
        <v>Bienal</v>
      </c>
      <c r="S814">
        <f>IFERROR(VLOOKUP(Sheet1[[#This Row],[ID usuario]],A815:$A$907,1,FALSE),0)</f>
        <v>0</v>
      </c>
    </row>
    <row r="815" spans="1:19" x14ac:dyDescent="0.25">
      <c r="A815" t="s">
        <v>813</v>
      </c>
      <c r="B815" t="s">
        <v>1718</v>
      </c>
      <c r="C815" t="s">
        <v>1810</v>
      </c>
      <c r="D815">
        <v>11.52</v>
      </c>
      <c r="E815" s="1">
        <v>45130</v>
      </c>
      <c r="F815" s="1" t="str">
        <f>TEXT(Sheet1[[#This Row],[Fecha ingreso]],"mmmm")</f>
        <v>julio</v>
      </c>
      <c r="G815" s="2">
        <f>YEAR(Sheet1[[#This Row],[Fecha ingreso]])</f>
        <v>2023</v>
      </c>
      <c r="H815" s="1" t="str">
        <f>TEXT(Sheet1[[#This Row],[Fecha ingreso]],"dddd")</f>
        <v>domingo</v>
      </c>
      <c r="I815" s="1">
        <v>45201</v>
      </c>
      <c r="J815" s="2">
        <f>DATEDIF(Sheet1[[#This Row],[Fecha ingreso]],Sheet1[[#This Row],[Fecha último pago]],"M")+1</f>
        <v>3</v>
      </c>
      <c r="K815" s="2">
        <f>Sheet1[[#This Row],[Ingresos mensuales]]*Sheet1[[#This Row],[Meses contratados]]</f>
        <v>34.56</v>
      </c>
      <c r="L815" t="s">
        <v>1814</v>
      </c>
      <c r="M815">
        <v>55</v>
      </c>
      <c r="N815" t="s">
        <v>1822</v>
      </c>
      <c r="O815" t="s">
        <v>1824</v>
      </c>
      <c r="P815" t="s">
        <v>1826</v>
      </c>
      <c r="Q815" cm="1">
        <f t="array" ref="Q815">_xlfn.IFS(P815="2 Years", 24,P815="1 Year",12, P815="6 Months",6, P815="1 Month",1)</f>
        <v>24</v>
      </c>
      <c r="R815" t="str" cm="1">
        <f t="array" ref="R815">_xlfn.IFS(Q815=1,"Mensual",Q815=6,"Semestral",Q815=12,"Anual",Q815=24,"Bienal")</f>
        <v>Bienal</v>
      </c>
      <c r="S815">
        <f>IFERROR(VLOOKUP(Sheet1[[#This Row],[ID usuario]],A816:$A$907,1,FALSE),0)</f>
        <v>0</v>
      </c>
    </row>
    <row r="816" spans="1:19" x14ac:dyDescent="0.25">
      <c r="A816" t="s">
        <v>814</v>
      </c>
      <c r="B816" t="s">
        <v>1719</v>
      </c>
      <c r="C816" t="s">
        <v>1810</v>
      </c>
      <c r="D816">
        <v>26.75</v>
      </c>
      <c r="E816" s="1">
        <v>44448</v>
      </c>
      <c r="F816" s="1" t="str">
        <f>TEXT(Sheet1[[#This Row],[Fecha ingreso]],"mmmm")</f>
        <v>septiembre</v>
      </c>
      <c r="G816" s="2">
        <f>YEAR(Sheet1[[#This Row],[Fecha ingreso]])</f>
        <v>2021</v>
      </c>
      <c r="H816" s="1" t="str">
        <f>TEXT(Sheet1[[#This Row],[Fecha ingreso]],"dddd")</f>
        <v>jueves</v>
      </c>
      <c r="I816" s="1">
        <v>45295</v>
      </c>
      <c r="J816" s="2">
        <f>DATEDIF(Sheet1[[#This Row],[Fecha ingreso]],Sheet1[[#This Row],[Fecha último pago]],"M")+1</f>
        <v>28</v>
      </c>
      <c r="K816" s="2">
        <f>Sheet1[[#This Row],[Ingresos mensuales]]*Sheet1[[#This Row],[Meses contratados]]</f>
        <v>749</v>
      </c>
      <c r="L816" t="s">
        <v>1813</v>
      </c>
      <c r="M816">
        <v>67</v>
      </c>
      <c r="N816" t="s">
        <v>1820</v>
      </c>
      <c r="O816" t="s">
        <v>1823</v>
      </c>
      <c r="P816" t="s">
        <v>1829</v>
      </c>
      <c r="Q816" cm="1">
        <f t="array" ref="Q816">_xlfn.IFS(P816="2 Years", 24,P816="1 Year",12, P816="6 Months",6, P816="1 Month",1)</f>
        <v>1</v>
      </c>
      <c r="R816" t="str" cm="1">
        <f t="array" ref="R816">_xlfn.IFS(Q816=1,"Mensual",Q816=6,"Semestral",Q816=12,"Anual",Q816=24,"Bienal")</f>
        <v>Mensual</v>
      </c>
      <c r="S816">
        <f>IFERROR(VLOOKUP(Sheet1[[#This Row],[ID usuario]],A817:$A$907,1,FALSE),0)</f>
        <v>0</v>
      </c>
    </row>
    <row r="817" spans="1:19" x14ac:dyDescent="0.25">
      <c r="A817" t="s">
        <v>815</v>
      </c>
      <c r="B817" t="s">
        <v>1720</v>
      </c>
      <c r="C817" t="s">
        <v>1811</v>
      </c>
      <c r="D817">
        <v>39.01</v>
      </c>
      <c r="E817" s="1">
        <v>44817</v>
      </c>
      <c r="F817" s="1" t="str">
        <f>TEXT(Sheet1[[#This Row],[Fecha ingreso]],"mmmm")</f>
        <v>septiembre</v>
      </c>
      <c r="G817" s="2">
        <f>YEAR(Sheet1[[#This Row],[Fecha ingreso]])</f>
        <v>2022</v>
      </c>
      <c r="H817" s="1" t="str">
        <f>TEXT(Sheet1[[#This Row],[Fecha ingreso]],"dddd")</f>
        <v>martes</v>
      </c>
      <c r="I817" s="1">
        <v>45120</v>
      </c>
      <c r="J817" s="2">
        <f>DATEDIF(Sheet1[[#This Row],[Fecha ingreso]],Sheet1[[#This Row],[Fecha último pago]],"M")+1</f>
        <v>11</v>
      </c>
      <c r="K817" s="2">
        <f>Sheet1[[#This Row],[Ingresos mensuales]]*Sheet1[[#This Row],[Meses contratados]]</f>
        <v>429.10999999999996</v>
      </c>
      <c r="L817" t="s">
        <v>1818</v>
      </c>
      <c r="M817">
        <v>55</v>
      </c>
      <c r="N817" t="s">
        <v>1821</v>
      </c>
      <c r="O817" t="s">
        <v>1824</v>
      </c>
      <c r="P817" t="s">
        <v>1826</v>
      </c>
      <c r="Q817" cm="1">
        <f t="array" ref="Q817">_xlfn.IFS(P817="2 Years", 24,P817="1 Year",12, P817="6 Months",6, P817="1 Month",1)</f>
        <v>24</v>
      </c>
      <c r="R817" t="str" cm="1">
        <f t="array" ref="R817">_xlfn.IFS(Q817=1,"Mensual",Q817=6,"Semestral",Q817=12,"Anual",Q817=24,"Bienal")</f>
        <v>Bienal</v>
      </c>
      <c r="S817">
        <f>IFERROR(VLOOKUP(Sheet1[[#This Row],[ID usuario]],A818:$A$907,1,FALSE),0)</f>
        <v>0</v>
      </c>
    </row>
    <row r="818" spans="1:19" x14ac:dyDescent="0.25">
      <c r="A818" t="s">
        <v>816</v>
      </c>
      <c r="B818" t="s">
        <v>1721</v>
      </c>
      <c r="C818" t="s">
        <v>1811</v>
      </c>
      <c r="D818">
        <v>46.34</v>
      </c>
      <c r="E818" s="1">
        <v>44789</v>
      </c>
      <c r="F818" s="1" t="str">
        <f>TEXT(Sheet1[[#This Row],[Fecha ingreso]],"mmmm")</f>
        <v>agosto</v>
      </c>
      <c r="G818" s="2">
        <f>YEAR(Sheet1[[#This Row],[Fecha ingreso]])</f>
        <v>2022</v>
      </c>
      <c r="H818" s="1" t="str">
        <f>TEXT(Sheet1[[#This Row],[Fecha ingreso]],"dddd")</f>
        <v>martes</v>
      </c>
      <c r="I818" s="1">
        <v>45347</v>
      </c>
      <c r="J818" s="2">
        <f>DATEDIF(Sheet1[[#This Row],[Fecha ingreso]],Sheet1[[#This Row],[Fecha último pago]],"M")+1</f>
        <v>19</v>
      </c>
      <c r="K818" s="2">
        <f>Sheet1[[#This Row],[Ingresos mensuales]]*Sheet1[[#This Row],[Meses contratados]]</f>
        <v>880.46</v>
      </c>
      <c r="L818" t="s">
        <v>1814</v>
      </c>
      <c r="M818">
        <v>22</v>
      </c>
      <c r="N818" t="s">
        <v>1820</v>
      </c>
      <c r="O818" t="s">
        <v>1824</v>
      </c>
      <c r="P818" t="s">
        <v>1827</v>
      </c>
      <c r="Q818" cm="1">
        <f t="array" ref="Q818">_xlfn.IFS(P818="2 Years", 24,P818="1 Year",12, P818="6 Months",6, P818="1 Month",1)</f>
        <v>12</v>
      </c>
      <c r="R818" t="str" cm="1">
        <f t="array" ref="R818">_xlfn.IFS(Q818=1,"Mensual",Q818=6,"Semestral",Q818=12,"Anual",Q818=24,"Bienal")</f>
        <v>Anual</v>
      </c>
      <c r="S818">
        <f>IFERROR(VLOOKUP(Sheet1[[#This Row],[ID usuario]],A819:$A$907,1,FALSE),0)</f>
        <v>0</v>
      </c>
    </row>
    <row r="819" spans="1:19" x14ac:dyDescent="0.25">
      <c r="A819" t="s">
        <v>817</v>
      </c>
      <c r="B819" t="s">
        <v>1722</v>
      </c>
      <c r="C819" t="s">
        <v>1811</v>
      </c>
      <c r="D819">
        <v>61.14</v>
      </c>
      <c r="E819" s="1">
        <v>45185</v>
      </c>
      <c r="F819" s="1" t="str">
        <f>TEXT(Sheet1[[#This Row],[Fecha ingreso]],"mmmm")</f>
        <v>septiembre</v>
      </c>
      <c r="G819" s="2">
        <f>YEAR(Sheet1[[#This Row],[Fecha ingreso]])</f>
        <v>2023</v>
      </c>
      <c r="H819" s="1" t="str">
        <f>TEXT(Sheet1[[#This Row],[Fecha ingreso]],"dddd")</f>
        <v>sábado</v>
      </c>
      <c r="I819" s="1">
        <v>45219</v>
      </c>
      <c r="J819" s="2">
        <f>DATEDIF(Sheet1[[#This Row],[Fecha ingreso]],Sheet1[[#This Row],[Fecha último pago]],"M")+1</f>
        <v>2</v>
      </c>
      <c r="K819" s="2">
        <f>Sheet1[[#This Row],[Ingresos mensuales]]*Sheet1[[#This Row],[Meses contratados]]</f>
        <v>122.28</v>
      </c>
      <c r="L819" t="s">
        <v>1813</v>
      </c>
      <c r="M819">
        <v>52</v>
      </c>
      <c r="N819" t="s">
        <v>1820</v>
      </c>
      <c r="O819" t="s">
        <v>1823</v>
      </c>
      <c r="P819" t="s">
        <v>1826</v>
      </c>
      <c r="Q819" cm="1">
        <f t="array" ref="Q819">_xlfn.IFS(P819="2 Years", 24,P819="1 Year",12, P819="6 Months",6, P819="1 Month",1)</f>
        <v>24</v>
      </c>
      <c r="R819" t="str" cm="1">
        <f t="array" ref="R819">_xlfn.IFS(Q819=1,"Mensual",Q819=6,"Semestral",Q819=12,"Anual",Q819=24,"Bienal")</f>
        <v>Bienal</v>
      </c>
      <c r="S819">
        <f>IFERROR(VLOOKUP(Sheet1[[#This Row],[ID usuario]],A820:$A$907,1,FALSE),0)</f>
        <v>0</v>
      </c>
    </row>
    <row r="820" spans="1:19" x14ac:dyDescent="0.25">
      <c r="A820" t="s">
        <v>818</v>
      </c>
      <c r="B820" t="s">
        <v>1723</v>
      </c>
      <c r="C820" t="s">
        <v>1811</v>
      </c>
      <c r="D820">
        <v>73.63</v>
      </c>
      <c r="E820" s="1">
        <v>44895</v>
      </c>
      <c r="F820" s="1" t="str">
        <f>TEXT(Sheet1[[#This Row],[Fecha ingreso]],"mmmm")</f>
        <v>noviembre</v>
      </c>
      <c r="G820" s="2">
        <f>YEAR(Sheet1[[#This Row],[Fecha ingreso]])</f>
        <v>2022</v>
      </c>
      <c r="H820" s="1" t="str">
        <f>TEXT(Sheet1[[#This Row],[Fecha ingreso]],"dddd")</f>
        <v>miércoles</v>
      </c>
      <c r="I820" s="1">
        <v>44960</v>
      </c>
      <c r="J820" s="2">
        <f>DATEDIF(Sheet1[[#This Row],[Fecha ingreso]],Sheet1[[#This Row],[Fecha último pago]],"M")+1</f>
        <v>3</v>
      </c>
      <c r="K820" s="2">
        <f>Sheet1[[#This Row],[Ingresos mensuales]]*Sheet1[[#This Row],[Meses contratados]]</f>
        <v>220.89</v>
      </c>
      <c r="L820" t="s">
        <v>1818</v>
      </c>
      <c r="M820">
        <v>40</v>
      </c>
      <c r="N820" t="s">
        <v>1821</v>
      </c>
      <c r="O820" t="s">
        <v>1823</v>
      </c>
      <c r="P820" t="s">
        <v>1829</v>
      </c>
      <c r="Q820" cm="1">
        <f t="array" ref="Q820">_xlfn.IFS(P820="2 Years", 24,P820="1 Year",12, P820="6 Months",6, P820="1 Month",1)</f>
        <v>1</v>
      </c>
      <c r="R820" t="str" cm="1">
        <f t="array" ref="R820">_xlfn.IFS(Q820=1,"Mensual",Q820=6,"Semestral",Q820=12,"Anual",Q820=24,"Bienal")</f>
        <v>Mensual</v>
      </c>
      <c r="S820">
        <f>IFERROR(VLOOKUP(Sheet1[[#This Row],[ID usuario]],A821:$A$907,1,FALSE),0)</f>
        <v>0</v>
      </c>
    </row>
    <row r="821" spans="1:19" x14ac:dyDescent="0.25">
      <c r="A821" t="s">
        <v>819</v>
      </c>
      <c r="B821" t="s">
        <v>1724</v>
      </c>
      <c r="C821" t="s">
        <v>1812</v>
      </c>
      <c r="D821">
        <v>36.25</v>
      </c>
      <c r="E821" s="1">
        <v>45431</v>
      </c>
      <c r="F821" s="1" t="str">
        <f>TEXT(Sheet1[[#This Row],[Fecha ingreso]],"mmmm")</f>
        <v>mayo</v>
      </c>
      <c r="G821" s="2">
        <f>YEAR(Sheet1[[#This Row],[Fecha ingreso]])</f>
        <v>2024</v>
      </c>
      <c r="H821" s="1" t="str">
        <f>TEXT(Sheet1[[#This Row],[Fecha ingreso]],"dddd")</f>
        <v>domingo</v>
      </c>
      <c r="I821" s="1">
        <v>45459</v>
      </c>
      <c r="J821" s="2">
        <f>DATEDIF(Sheet1[[#This Row],[Fecha ingreso]],Sheet1[[#This Row],[Fecha último pago]],"M")+1</f>
        <v>1</v>
      </c>
      <c r="K821" s="2">
        <f>Sheet1[[#This Row],[Ingresos mensuales]]*Sheet1[[#This Row],[Meses contratados]]</f>
        <v>36.25</v>
      </c>
      <c r="L821" t="s">
        <v>1815</v>
      </c>
      <c r="M821">
        <v>48</v>
      </c>
      <c r="N821" t="s">
        <v>1821</v>
      </c>
      <c r="O821" t="s">
        <v>1824</v>
      </c>
      <c r="P821" t="s">
        <v>1826</v>
      </c>
      <c r="Q821" cm="1">
        <f t="array" ref="Q821">_xlfn.IFS(P821="2 Years", 24,P821="1 Year",12, P821="6 Months",6, P821="1 Month",1)</f>
        <v>24</v>
      </c>
      <c r="R821" t="str" cm="1">
        <f t="array" ref="R821">_xlfn.IFS(Q821=1,"Mensual",Q821=6,"Semestral",Q821=12,"Anual",Q821=24,"Bienal")</f>
        <v>Bienal</v>
      </c>
      <c r="S821">
        <f>IFERROR(VLOOKUP(Sheet1[[#This Row],[ID usuario]],A822:$A$907,1,FALSE),0)</f>
        <v>0</v>
      </c>
    </row>
    <row r="822" spans="1:19" x14ac:dyDescent="0.25">
      <c r="A822" t="s">
        <v>820</v>
      </c>
      <c r="B822" t="s">
        <v>1725</v>
      </c>
      <c r="C822" t="s">
        <v>1810</v>
      </c>
      <c r="D822">
        <v>6.87</v>
      </c>
      <c r="E822" s="1">
        <v>45393</v>
      </c>
      <c r="F822" s="1" t="str">
        <f>TEXT(Sheet1[[#This Row],[Fecha ingreso]],"mmmm")</f>
        <v>abril</v>
      </c>
      <c r="G822" s="2">
        <f>YEAR(Sheet1[[#This Row],[Fecha ingreso]])</f>
        <v>2024</v>
      </c>
      <c r="H822" s="1" t="str">
        <f>TEXT(Sheet1[[#This Row],[Fecha ingreso]],"dddd")</f>
        <v>jueves</v>
      </c>
      <c r="I822" s="1">
        <v>45414</v>
      </c>
      <c r="J822" s="2">
        <f>DATEDIF(Sheet1[[#This Row],[Fecha ingreso]],Sheet1[[#This Row],[Fecha último pago]],"M")+1</f>
        <v>1</v>
      </c>
      <c r="K822" s="2">
        <f>Sheet1[[#This Row],[Ingresos mensuales]]*Sheet1[[#This Row],[Meses contratados]]</f>
        <v>6.87</v>
      </c>
      <c r="L822" t="s">
        <v>1813</v>
      </c>
      <c r="M822">
        <v>51</v>
      </c>
      <c r="N822" t="s">
        <v>1822</v>
      </c>
      <c r="O822" t="s">
        <v>1825</v>
      </c>
      <c r="P822" t="s">
        <v>1829</v>
      </c>
      <c r="Q822" cm="1">
        <f t="array" ref="Q822">_xlfn.IFS(P822="2 Years", 24,P822="1 Year",12, P822="6 Months",6, P822="1 Month",1)</f>
        <v>1</v>
      </c>
      <c r="R822" t="str" cm="1">
        <f t="array" ref="R822">_xlfn.IFS(Q822=1,"Mensual",Q822=6,"Semestral",Q822=12,"Anual",Q822=24,"Bienal")</f>
        <v>Mensual</v>
      </c>
      <c r="S822">
        <f>IFERROR(VLOOKUP(Sheet1[[#This Row],[ID usuario]],A823:$A$907,1,FALSE),0)</f>
        <v>0</v>
      </c>
    </row>
    <row r="823" spans="1:19" x14ac:dyDescent="0.25">
      <c r="A823" t="s">
        <v>821</v>
      </c>
      <c r="B823" t="s">
        <v>1726</v>
      </c>
      <c r="C823" t="s">
        <v>1810</v>
      </c>
      <c r="D823">
        <v>8.8800000000000008</v>
      </c>
      <c r="E823" s="1">
        <v>45383</v>
      </c>
      <c r="F823" s="1" t="str">
        <f>TEXT(Sheet1[[#This Row],[Fecha ingreso]],"mmmm")</f>
        <v>abril</v>
      </c>
      <c r="G823" s="2">
        <f>YEAR(Sheet1[[#This Row],[Fecha ingreso]])</f>
        <v>2024</v>
      </c>
      <c r="H823" s="1" t="str">
        <f>TEXT(Sheet1[[#This Row],[Fecha ingreso]],"dddd")</f>
        <v>lunes</v>
      </c>
      <c r="I823" s="1">
        <v>45411</v>
      </c>
      <c r="J823" s="2">
        <f>DATEDIF(Sheet1[[#This Row],[Fecha ingreso]],Sheet1[[#This Row],[Fecha último pago]],"M")+1</f>
        <v>1</v>
      </c>
      <c r="K823" s="2">
        <f>Sheet1[[#This Row],[Ingresos mensuales]]*Sheet1[[#This Row],[Meses contratados]]</f>
        <v>8.8800000000000008</v>
      </c>
      <c r="L823" t="s">
        <v>1815</v>
      </c>
      <c r="M823">
        <v>45</v>
      </c>
      <c r="N823" t="s">
        <v>1822</v>
      </c>
      <c r="O823" t="s">
        <v>1823</v>
      </c>
      <c r="P823" t="s">
        <v>1829</v>
      </c>
      <c r="Q823" cm="1">
        <f t="array" ref="Q823">_xlfn.IFS(P823="2 Years", 24,P823="1 Year",12, P823="6 Months",6, P823="1 Month",1)</f>
        <v>1</v>
      </c>
      <c r="R823" t="str" cm="1">
        <f t="array" ref="R823">_xlfn.IFS(Q823=1,"Mensual",Q823=6,"Semestral",Q823=12,"Anual",Q823=24,"Bienal")</f>
        <v>Mensual</v>
      </c>
      <c r="S823">
        <f>IFERROR(VLOOKUP(Sheet1[[#This Row],[ID usuario]],A824:$A$907,1,FALSE),0)</f>
        <v>0</v>
      </c>
    </row>
    <row r="824" spans="1:19" x14ac:dyDescent="0.25">
      <c r="A824" t="s">
        <v>822</v>
      </c>
      <c r="B824" t="s">
        <v>1727</v>
      </c>
      <c r="C824" t="s">
        <v>1812</v>
      </c>
      <c r="D824">
        <v>29.49</v>
      </c>
      <c r="E824" s="1">
        <v>44546</v>
      </c>
      <c r="F824" s="1" t="str">
        <f>TEXT(Sheet1[[#This Row],[Fecha ingreso]],"mmmm")</f>
        <v>diciembre</v>
      </c>
      <c r="G824" s="2">
        <f>YEAR(Sheet1[[#This Row],[Fecha ingreso]])</f>
        <v>2021</v>
      </c>
      <c r="H824" s="1" t="str">
        <f>TEXT(Sheet1[[#This Row],[Fecha ingreso]],"dddd")</f>
        <v>jueves</v>
      </c>
      <c r="I824" s="1">
        <v>45383</v>
      </c>
      <c r="J824" s="2">
        <f>DATEDIF(Sheet1[[#This Row],[Fecha ingreso]],Sheet1[[#This Row],[Fecha último pago]],"M")+1</f>
        <v>28</v>
      </c>
      <c r="K824" s="2">
        <f>Sheet1[[#This Row],[Ingresos mensuales]]*Sheet1[[#This Row],[Meses contratados]]</f>
        <v>825.71999999999991</v>
      </c>
      <c r="L824" t="s">
        <v>1813</v>
      </c>
      <c r="M824">
        <v>25</v>
      </c>
      <c r="N824" t="s">
        <v>1821</v>
      </c>
      <c r="O824" t="s">
        <v>1825</v>
      </c>
      <c r="P824" t="s">
        <v>1829</v>
      </c>
      <c r="Q824" cm="1">
        <f t="array" ref="Q824">_xlfn.IFS(P824="2 Years", 24,P824="1 Year",12, P824="6 Months",6, P824="1 Month",1)</f>
        <v>1</v>
      </c>
      <c r="R824" t="str" cm="1">
        <f t="array" ref="R824">_xlfn.IFS(Q824=1,"Mensual",Q824=6,"Semestral",Q824=12,"Anual",Q824=24,"Bienal")</f>
        <v>Mensual</v>
      </c>
      <c r="S824">
        <f>IFERROR(VLOOKUP(Sheet1[[#This Row],[ID usuario]],A825:$A$907,1,FALSE),0)</f>
        <v>0</v>
      </c>
    </row>
    <row r="825" spans="1:19" x14ac:dyDescent="0.25">
      <c r="A825" t="s">
        <v>823</v>
      </c>
      <c r="B825" t="s">
        <v>1728</v>
      </c>
      <c r="C825" t="s">
        <v>1812</v>
      </c>
      <c r="D825">
        <v>75.319999999999993</v>
      </c>
      <c r="E825" s="1">
        <v>44604</v>
      </c>
      <c r="F825" s="1" t="str">
        <f>TEXT(Sheet1[[#This Row],[Fecha ingreso]],"mmmm")</f>
        <v>febrero</v>
      </c>
      <c r="G825" s="2">
        <f>YEAR(Sheet1[[#This Row],[Fecha ingreso]])</f>
        <v>2022</v>
      </c>
      <c r="H825" s="1" t="str">
        <f>TEXT(Sheet1[[#This Row],[Fecha ingreso]],"dddd")</f>
        <v>sábado</v>
      </c>
      <c r="I825" s="1">
        <v>45375</v>
      </c>
      <c r="J825" s="2">
        <f>DATEDIF(Sheet1[[#This Row],[Fecha ingreso]],Sheet1[[#This Row],[Fecha último pago]],"M")+1</f>
        <v>26</v>
      </c>
      <c r="K825" s="2">
        <f>Sheet1[[#This Row],[Ingresos mensuales]]*Sheet1[[#This Row],[Meses contratados]]</f>
        <v>1958.3199999999997</v>
      </c>
      <c r="L825" t="s">
        <v>1815</v>
      </c>
      <c r="M825">
        <v>31</v>
      </c>
      <c r="N825" t="s">
        <v>1821</v>
      </c>
      <c r="O825" t="s">
        <v>1825</v>
      </c>
      <c r="P825" t="s">
        <v>1826</v>
      </c>
      <c r="Q825" cm="1">
        <f t="array" ref="Q825">_xlfn.IFS(P825="2 Years", 24,P825="1 Year",12, P825="6 Months",6, P825="1 Month",1)</f>
        <v>24</v>
      </c>
      <c r="R825" t="str" cm="1">
        <f t="array" ref="R825">_xlfn.IFS(Q825=1,"Mensual",Q825=6,"Semestral",Q825=12,"Anual",Q825=24,"Bienal")</f>
        <v>Bienal</v>
      </c>
      <c r="S825">
        <f>IFERROR(VLOOKUP(Sheet1[[#This Row],[ID usuario]],A826:$A$907,1,FALSE),0)</f>
        <v>0</v>
      </c>
    </row>
    <row r="826" spans="1:19" x14ac:dyDescent="0.25">
      <c r="A826" t="s">
        <v>824</v>
      </c>
      <c r="B826" t="s">
        <v>1729</v>
      </c>
      <c r="C826" t="s">
        <v>1810</v>
      </c>
      <c r="D826">
        <v>64.69</v>
      </c>
      <c r="E826" s="1">
        <v>44465</v>
      </c>
      <c r="F826" s="1" t="str">
        <f>TEXT(Sheet1[[#This Row],[Fecha ingreso]],"mmmm")</f>
        <v>septiembre</v>
      </c>
      <c r="G826" s="2">
        <f>YEAR(Sheet1[[#This Row],[Fecha ingreso]])</f>
        <v>2021</v>
      </c>
      <c r="H826" s="1" t="str">
        <f>TEXT(Sheet1[[#This Row],[Fecha ingreso]],"dddd")</f>
        <v>domingo</v>
      </c>
      <c r="I826" s="1">
        <v>44880</v>
      </c>
      <c r="J826" s="2">
        <f>DATEDIF(Sheet1[[#This Row],[Fecha ingreso]],Sheet1[[#This Row],[Fecha último pago]],"M")+1</f>
        <v>14</v>
      </c>
      <c r="K826" s="2">
        <f>Sheet1[[#This Row],[Ingresos mensuales]]*Sheet1[[#This Row],[Meses contratados]]</f>
        <v>905.66</v>
      </c>
      <c r="L826" t="s">
        <v>1816</v>
      </c>
      <c r="M826">
        <v>43</v>
      </c>
      <c r="N826" t="s">
        <v>1821</v>
      </c>
      <c r="O826" t="s">
        <v>1824</v>
      </c>
      <c r="P826" t="s">
        <v>1827</v>
      </c>
      <c r="Q826" cm="1">
        <f t="array" ref="Q826">_xlfn.IFS(P826="2 Years", 24,P826="1 Year",12, P826="6 Months",6, P826="1 Month",1)</f>
        <v>12</v>
      </c>
      <c r="R826" t="str" cm="1">
        <f t="array" ref="R826">_xlfn.IFS(Q826=1,"Mensual",Q826=6,"Semestral",Q826=12,"Anual",Q826=24,"Bienal")</f>
        <v>Anual</v>
      </c>
      <c r="S826">
        <f>IFERROR(VLOOKUP(Sheet1[[#This Row],[ID usuario]],A827:$A$907,1,FALSE),0)</f>
        <v>0</v>
      </c>
    </row>
    <row r="827" spans="1:19" x14ac:dyDescent="0.25">
      <c r="A827" t="s">
        <v>825</v>
      </c>
      <c r="B827" t="s">
        <v>1730</v>
      </c>
      <c r="C827" t="s">
        <v>1810</v>
      </c>
      <c r="D827">
        <v>78.13</v>
      </c>
      <c r="E827" s="1">
        <v>45388</v>
      </c>
      <c r="F827" s="1" t="str">
        <f>TEXT(Sheet1[[#This Row],[Fecha ingreso]],"mmmm")</f>
        <v>abril</v>
      </c>
      <c r="G827" s="2">
        <f>YEAR(Sheet1[[#This Row],[Fecha ingreso]])</f>
        <v>2024</v>
      </c>
      <c r="H827" s="1" t="str">
        <f>TEXT(Sheet1[[#This Row],[Fecha ingreso]],"dddd")</f>
        <v>sábado</v>
      </c>
      <c r="I827" s="1">
        <v>45429</v>
      </c>
      <c r="J827" s="2">
        <f>DATEDIF(Sheet1[[#This Row],[Fecha ingreso]],Sheet1[[#This Row],[Fecha último pago]],"M")+1</f>
        <v>2</v>
      </c>
      <c r="K827" s="2">
        <f>Sheet1[[#This Row],[Ingresos mensuales]]*Sheet1[[#This Row],[Meses contratados]]</f>
        <v>156.26</v>
      </c>
      <c r="L827" t="s">
        <v>1815</v>
      </c>
      <c r="M827">
        <v>55</v>
      </c>
      <c r="N827" t="s">
        <v>1821</v>
      </c>
      <c r="O827" t="s">
        <v>1823</v>
      </c>
      <c r="P827" t="s">
        <v>1826</v>
      </c>
      <c r="Q827" cm="1">
        <f t="array" ref="Q827">_xlfn.IFS(P827="2 Years", 24,P827="1 Year",12, P827="6 Months",6, P827="1 Month",1)</f>
        <v>24</v>
      </c>
      <c r="R827" t="str" cm="1">
        <f t="array" ref="R827">_xlfn.IFS(Q827=1,"Mensual",Q827=6,"Semestral",Q827=12,"Anual",Q827=24,"Bienal")</f>
        <v>Bienal</v>
      </c>
      <c r="S827">
        <f>IFERROR(VLOOKUP(Sheet1[[#This Row],[ID usuario]],A828:$A$907,1,FALSE),0)</f>
        <v>0</v>
      </c>
    </row>
    <row r="828" spans="1:19" x14ac:dyDescent="0.25">
      <c r="A828" t="s">
        <v>826</v>
      </c>
      <c r="B828" t="s">
        <v>1731</v>
      </c>
      <c r="C828" t="s">
        <v>1812</v>
      </c>
      <c r="D828">
        <v>78.05</v>
      </c>
      <c r="E828" s="1">
        <v>44505</v>
      </c>
      <c r="F828" s="1" t="str">
        <f>TEXT(Sheet1[[#This Row],[Fecha ingreso]],"mmmm")</f>
        <v>noviembre</v>
      </c>
      <c r="G828" s="2">
        <f>YEAR(Sheet1[[#This Row],[Fecha ingreso]])</f>
        <v>2021</v>
      </c>
      <c r="H828" s="1" t="str">
        <f>TEXT(Sheet1[[#This Row],[Fecha ingreso]],"dddd")</f>
        <v>viernes</v>
      </c>
      <c r="I828" s="1">
        <v>44524</v>
      </c>
      <c r="J828" s="2">
        <f>DATEDIF(Sheet1[[#This Row],[Fecha ingreso]],Sheet1[[#This Row],[Fecha último pago]],"M")+1</f>
        <v>1</v>
      </c>
      <c r="K828" s="2">
        <f>Sheet1[[#This Row],[Ingresos mensuales]]*Sheet1[[#This Row],[Meses contratados]]</f>
        <v>78.05</v>
      </c>
      <c r="L828" t="s">
        <v>1816</v>
      </c>
      <c r="M828">
        <v>49</v>
      </c>
      <c r="N828" t="s">
        <v>1821</v>
      </c>
      <c r="O828" t="s">
        <v>1824</v>
      </c>
      <c r="P828" t="s">
        <v>1829</v>
      </c>
      <c r="Q828" cm="1">
        <f t="array" ref="Q828">_xlfn.IFS(P828="2 Years", 24,P828="1 Year",12, P828="6 Months",6, P828="1 Month",1)</f>
        <v>1</v>
      </c>
      <c r="R828" t="str" cm="1">
        <f t="array" ref="R828">_xlfn.IFS(Q828=1,"Mensual",Q828=6,"Semestral",Q828=12,"Anual",Q828=24,"Bienal")</f>
        <v>Mensual</v>
      </c>
      <c r="S828">
        <f>IFERROR(VLOOKUP(Sheet1[[#This Row],[ID usuario]],A829:$A$907,1,FALSE),0)</f>
        <v>0</v>
      </c>
    </row>
    <row r="829" spans="1:19" x14ac:dyDescent="0.25">
      <c r="A829" t="s">
        <v>827</v>
      </c>
      <c r="B829" t="s">
        <v>1732</v>
      </c>
      <c r="C829" t="s">
        <v>1812</v>
      </c>
      <c r="D829">
        <v>86.37</v>
      </c>
      <c r="E829" s="1">
        <v>44606</v>
      </c>
      <c r="F829" s="1" t="str">
        <f>TEXT(Sheet1[[#This Row],[Fecha ingreso]],"mmmm")</f>
        <v>febrero</v>
      </c>
      <c r="G829" s="2">
        <f>YEAR(Sheet1[[#This Row],[Fecha ingreso]])</f>
        <v>2022</v>
      </c>
      <c r="H829" s="1" t="str">
        <f>TEXT(Sheet1[[#This Row],[Fecha ingreso]],"dddd")</f>
        <v>lunes</v>
      </c>
      <c r="I829" s="1">
        <v>44776</v>
      </c>
      <c r="J829" s="2">
        <f>DATEDIF(Sheet1[[#This Row],[Fecha ingreso]],Sheet1[[#This Row],[Fecha último pago]],"M")+1</f>
        <v>6</v>
      </c>
      <c r="K829" s="2">
        <f>Sheet1[[#This Row],[Ingresos mensuales]]*Sheet1[[#This Row],[Meses contratados]]</f>
        <v>518.22</v>
      </c>
      <c r="L829" t="s">
        <v>1814</v>
      </c>
      <c r="M829">
        <v>54</v>
      </c>
      <c r="N829" t="s">
        <v>1820</v>
      </c>
      <c r="O829" t="s">
        <v>1823</v>
      </c>
      <c r="P829" t="s">
        <v>1828</v>
      </c>
      <c r="Q829" cm="1">
        <f t="array" ref="Q829">_xlfn.IFS(P829="2 Years", 24,P829="1 Year",12, P829="6 Months",6, P829="1 Month",1)</f>
        <v>6</v>
      </c>
      <c r="R829" t="str" cm="1">
        <f t="array" ref="R829">_xlfn.IFS(Q829=1,"Mensual",Q829=6,"Semestral",Q829=12,"Anual",Q829=24,"Bienal")</f>
        <v>Semestral</v>
      </c>
      <c r="S829">
        <f>IFERROR(VLOOKUP(Sheet1[[#This Row],[ID usuario]],A830:$A$907,1,FALSE),0)</f>
        <v>0</v>
      </c>
    </row>
    <row r="830" spans="1:19" x14ac:dyDescent="0.25">
      <c r="A830" t="s">
        <v>828</v>
      </c>
      <c r="B830" t="s">
        <v>1733</v>
      </c>
      <c r="C830" t="s">
        <v>1812</v>
      </c>
      <c r="D830">
        <v>73.430000000000007</v>
      </c>
      <c r="E830" s="1">
        <v>44775</v>
      </c>
      <c r="F830" s="1" t="str">
        <f>TEXT(Sheet1[[#This Row],[Fecha ingreso]],"mmmm")</f>
        <v>agosto</v>
      </c>
      <c r="G830" s="2">
        <f>YEAR(Sheet1[[#This Row],[Fecha ingreso]])</f>
        <v>2022</v>
      </c>
      <c r="H830" s="1" t="str">
        <f>TEXT(Sheet1[[#This Row],[Fecha ingreso]],"dddd")</f>
        <v>martes</v>
      </c>
      <c r="I830" s="1">
        <v>45155</v>
      </c>
      <c r="J830" s="2">
        <f>DATEDIF(Sheet1[[#This Row],[Fecha ingreso]],Sheet1[[#This Row],[Fecha último pago]],"M")+1</f>
        <v>13</v>
      </c>
      <c r="K830" s="2">
        <f>Sheet1[[#This Row],[Ingresos mensuales]]*Sheet1[[#This Row],[Meses contratados]]</f>
        <v>954.59000000000015</v>
      </c>
      <c r="L830" t="s">
        <v>1814</v>
      </c>
      <c r="M830">
        <v>67</v>
      </c>
      <c r="N830" t="s">
        <v>1820</v>
      </c>
      <c r="O830" t="s">
        <v>1823</v>
      </c>
      <c r="P830" t="s">
        <v>1827</v>
      </c>
      <c r="Q830" cm="1">
        <f t="array" ref="Q830">_xlfn.IFS(P830="2 Years", 24,P830="1 Year",12, P830="6 Months",6, P830="1 Month",1)</f>
        <v>12</v>
      </c>
      <c r="R830" t="str" cm="1">
        <f t="array" ref="R830">_xlfn.IFS(Q830=1,"Mensual",Q830=6,"Semestral",Q830=12,"Anual",Q830=24,"Bienal")</f>
        <v>Anual</v>
      </c>
      <c r="S830">
        <f>IFERROR(VLOOKUP(Sheet1[[#This Row],[ID usuario]],A831:$A$907,1,FALSE),0)</f>
        <v>0</v>
      </c>
    </row>
    <row r="831" spans="1:19" x14ac:dyDescent="0.25">
      <c r="A831" t="s">
        <v>829</v>
      </c>
      <c r="B831" t="s">
        <v>1734</v>
      </c>
      <c r="C831" t="s">
        <v>1810</v>
      </c>
      <c r="D831">
        <v>98.01</v>
      </c>
      <c r="E831" s="1">
        <v>45332</v>
      </c>
      <c r="F831" s="1" t="str">
        <f>TEXT(Sheet1[[#This Row],[Fecha ingreso]],"mmmm")</f>
        <v>febrero</v>
      </c>
      <c r="G831" s="2">
        <f>YEAR(Sheet1[[#This Row],[Fecha ingreso]])</f>
        <v>2024</v>
      </c>
      <c r="H831" s="1" t="str">
        <f>TEXT(Sheet1[[#This Row],[Fecha ingreso]],"dddd")</f>
        <v>sábado</v>
      </c>
      <c r="I831" s="1">
        <v>45422</v>
      </c>
      <c r="J831" s="2">
        <f>DATEDIF(Sheet1[[#This Row],[Fecha ingreso]],Sheet1[[#This Row],[Fecha último pago]],"M")+1</f>
        <v>4</v>
      </c>
      <c r="K831" s="2">
        <f>Sheet1[[#This Row],[Ingresos mensuales]]*Sheet1[[#This Row],[Meses contratados]]</f>
        <v>392.04</v>
      </c>
      <c r="L831" t="s">
        <v>1815</v>
      </c>
      <c r="M831">
        <v>65</v>
      </c>
      <c r="N831" t="s">
        <v>1821</v>
      </c>
      <c r="O831" t="s">
        <v>1825</v>
      </c>
      <c r="P831" t="s">
        <v>1828</v>
      </c>
      <c r="Q831" cm="1">
        <f t="array" ref="Q831">_xlfn.IFS(P831="2 Years", 24,P831="1 Year",12, P831="6 Months",6, P831="1 Month",1)</f>
        <v>6</v>
      </c>
      <c r="R831" t="str" cm="1">
        <f t="array" ref="R831">_xlfn.IFS(Q831=1,"Mensual",Q831=6,"Semestral",Q831=12,"Anual",Q831=24,"Bienal")</f>
        <v>Semestral</v>
      </c>
      <c r="S831">
        <f>IFERROR(VLOOKUP(Sheet1[[#This Row],[ID usuario]],A832:$A$907,1,FALSE),0)</f>
        <v>0</v>
      </c>
    </row>
    <row r="832" spans="1:19" x14ac:dyDescent="0.25">
      <c r="A832" t="s">
        <v>830</v>
      </c>
      <c r="B832" t="s">
        <v>1735</v>
      </c>
      <c r="C832" t="s">
        <v>1811</v>
      </c>
      <c r="D832">
        <v>90.39</v>
      </c>
      <c r="E832" s="1">
        <v>44788</v>
      </c>
      <c r="F832" s="1" t="str">
        <f>TEXT(Sheet1[[#This Row],[Fecha ingreso]],"mmmm")</f>
        <v>agosto</v>
      </c>
      <c r="G832" s="2">
        <f>YEAR(Sheet1[[#This Row],[Fecha ingreso]])</f>
        <v>2022</v>
      </c>
      <c r="H832" s="1" t="str">
        <f>TEXT(Sheet1[[#This Row],[Fecha ingreso]],"dddd")</f>
        <v>lunes</v>
      </c>
      <c r="I832" s="1">
        <v>45150</v>
      </c>
      <c r="J832" s="2">
        <f>DATEDIF(Sheet1[[#This Row],[Fecha ingreso]],Sheet1[[#This Row],[Fecha último pago]],"M")+1</f>
        <v>12</v>
      </c>
      <c r="K832" s="2">
        <f>Sheet1[[#This Row],[Ingresos mensuales]]*Sheet1[[#This Row],[Meses contratados]]</f>
        <v>1084.68</v>
      </c>
      <c r="L832" t="s">
        <v>1813</v>
      </c>
      <c r="M832">
        <v>57</v>
      </c>
      <c r="N832" t="s">
        <v>1820</v>
      </c>
      <c r="O832" t="s">
        <v>1824</v>
      </c>
      <c r="P832" t="s">
        <v>1828</v>
      </c>
      <c r="Q832" cm="1">
        <f t="array" ref="Q832">_xlfn.IFS(P832="2 Years", 24,P832="1 Year",12, P832="6 Months",6, P832="1 Month",1)</f>
        <v>6</v>
      </c>
      <c r="R832" t="str" cm="1">
        <f t="array" ref="R832">_xlfn.IFS(Q832=1,"Mensual",Q832=6,"Semestral",Q832=12,"Anual",Q832=24,"Bienal")</f>
        <v>Semestral</v>
      </c>
      <c r="S832">
        <f>IFERROR(VLOOKUP(Sheet1[[#This Row],[ID usuario]],A833:$A$907,1,FALSE),0)</f>
        <v>0</v>
      </c>
    </row>
    <row r="833" spans="1:19" x14ac:dyDescent="0.25">
      <c r="A833" t="s">
        <v>831</v>
      </c>
      <c r="B833" t="s">
        <v>1736</v>
      </c>
      <c r="C833" t="s">
        <v>1812</v>
      </c>
      <c r="D833">
        <v>60.74</v>
      </c>
      <c r="E833" s="1">
        <v>44459</v>
      </c>
      <c r="F833" s="1" t="str">
        <f>TEXT(Sheet1[[#This Row],[Fecha ingreso]],"mmmm")</f>
        <v>septiembre</v>
      </c>
      <c r="G833" s="2">
        <f>YEAR(Sheet1[[#This Row],[Fecha ingreso]])</f>
        <v>2021</v>
      </c>
      <c r="H833" s="1" t="str">
        <f>TEXT(Sheet1[[#This Row],[Fecha ingreso]],"dddd")</f>
        <v>lunes</v>
      </c>
      <c r="I833" s="1">
        <v>45297</v>
      </c>
      <c r="J833" s="2">
        <f>DATEDIF(Sheet1[[#This Row],[Fecha ingreso]],Sheet1[[#This Row],[Fecha último pago]],"M")+1</f>
        <v>28</v>
      </c>
      <c r="K833" s="2">
        <f>Sheet1[[#This Row],[Ingresos mensuales]]*Sheet1[[#This Row],[Meses contratados]]</f>
        <v>1700.72</v>
      </c>
      <c r="L833" t="s">
        <v>1815</v>
      </c>
      <c r="M833">
        <v>26</v>
      </c>
      <c r="N833" t="s">
        <v>1821</v>
      </c>
      <c r="O833" t="s">
        <v>1825</v>
      </c>
      <c r="P833" t="s">
        <v>1827</v>
      </c>
      <c r="Q833" cm="1">
        <f t="array" ref="Q833">_xlfn.IFS(P833="2 Years", 24,P833="1 Year",12, P833="6 Months",6, P833="1 Month",1)</f>
        <v>12</v>
      </c>
      <c r="R833" t="str" cm="1">
        <f t="array" ref="R833">_xlfn.IFS(Q833=1,"Mensual",Q833=6,"Semestral",Q833=12,"Anual",Q833=24,"Bienal")</f>
        <v>Anual</v>
      </c>
      <c r="S833">
        <f>IFERROR(VLOOKUP(Sheet1[[#This Row],[ID usuario]],A834:$A$907,1,FALSE),0)</f>
        <v>0</v>
      </c>
    </row>
    <row r="834" spans="1:19" x14ac:dyDescent="0.25">
      <c r="A834" t="s">
        <v>832</v>
      </c>
      <c r="B834" t="s">
        <v>1737</v>
      </c>
      <c r="C834" t="s">
        <v>1810</v>
      </c>
      <c r="D834">
        <v>99.86</v>
      </c>
      <c r="E834" s="1">
        <v>45271</v>
      </c>
      <c r="F834" s="1" t="str">
        <f>TEXT(Sheet1[[#This Row],[Fecha ingreso]],"mmmm")</f>
        <v>diciembre</v>
      </c>
      <c r="G834" s="2">
        <f>YEAR(Sheet1[[#This Row],[Fecha ingreso]])</f>
        <v>2023</v>
      </c>
      <c r="H834" s="1" t="str">
        <f>TEXT(Sheet1[[#This Row],[Fecha ingreso]],"dddd")</f>
        <v>lunes</v>
      </c>
      <c r="I834" s="1">
        <v>45376</v>
      </c>
      <c r="J834" s="2">
        <f>DATEDIF(Sheet1[[#This Row],[Fecha ingreso]],Sheet1[[#This Row],[Fecha último pago]],"M")+1</f>
        <v>4</v>
      </c>
      <c r="K834" s="2">
        <f>Sheet1[[#This Row],[Ingresos mensuales]]*Sheet1[[#This Row],[Meses contratados]]</f>
        <v>399.44</v>
      </c>
      <c r="L834" t="s">
        <v>1813</v>
      </c>
      <c r="M834">
        <v>43</v>
      </c>
      <c r="N834" t="s">
        <v>1821</v>
      </c>
      <c r="O834" t="s">
        <v>1823</v>
      </c>
      <c r="P834" t="s">
        <v>1828</v>
      </c>
      <c r="Q834" cm="1">
        <f t="array" ref="Q834">_xlfn.IFS(P834="2 Years", 24,P834="1 Year",12, P834="6 Months",6, P834="1 Month",1)</f>
        <v>6</v>
      </c>
      <c r="R834" t="str" cm="1">
        <f t="array" ref="R834">_xlfn.IFS(Q834=1,"Mensual",Q834=6,"Semestral",Q834=12,"Anual",Q834=24,"Bienal")</f>
        <v>Semestral</v>
      </c>
      <c r="S834">
        <f>IFERROR(VLOOKUP(Sheet1[[#This Row],[ID usuario]],A835:$A$907,1,FALSE),0)</f>
        <v>0</v>
      </c>
    </row>
    <row r="835" spans="1:19" x14ac:dyDescent="0.25">
      <c r="A835" t="s">
        <v>833</v>
      </c>
      <c r="B835" t="s">
        <v>1738</v>
      </c>
      <c r="C835" t="s">
        <v>1810</v>
      </c>
      <c r="D835">
        <v>17.5</v>
      </c>
      <c r="E835" s="1">
        <v>45370</v>
      </c>
      <c r="F835" s="1" t="str">
        <f>TEXT(Sheet1[[#This Row],[Fecha ingreso]],"mmmm")</f>
        <v>marzo</v>
      </c>
      <c r="G835" s="2">
        <f>YEAR(Sheet1[[#This Row],[Fecha ingreso]])</f>
        <v>2024</v>
      </c>
      <c r="H835" s="1" t="str">
        <f>TEXT(Sheet1[[#This Row],[Fecha ingreso]],"dddd")</f>
        <v>martes</v>
      </c>
      <c r="I835" s="1">
        <v>45381</v>
      </c>
      <c r="J835" s="2">
        <f>DATEDIF(Sheet1[[#This Row],[Fecha ingreso]],Sheet1[[#This Row],[Fecha último pago]],"M")+1</f>
        <v>1</v>
      </c>
      <c r="K835" s="2">
        <f>Sheet1[[#This Row],[Ingresos mensuales]]*Sheet1[[#This Row],[Meses contratados]]</f>
        <v>17.5</v>
      </c>
      <c r="L835" t="s">
        <v>1815</v>
      </c>
      <c r="M835">
        <v>57</v>
      </c>
      <c r="N835" t="s">
        <v>1822</v>
      </c>
      <c r="O835" t="s">
        <v>1823</v>
      </c>
      <c r="P835" t="s">
        <v>1826</v>
      </c>
      <c r="Q835" cm="1">
        <f t="array" ref="Q835">_xlfn.IFS(P835="2 Years", 24,P835="1 Year",12, P835="6 Months",6, P835="1 Month",1)</f>
        <v>24</v>
      </c>
      <c r="R835" t="str" cm="1">
        <f t="array" ref="R835">_xlfn.IFS(Q835=1,"Mensual",Q835=6,"Semestral",Q835=12,"Anual",Q835=24,"Bienal")</f>
        <v>Bienal</v>
      </c>
      <c r="S835">
        <f>IFERROR(VLOOKUP(Sheet1[[#This Row],[ID usuario]],A836:$A$907,1,FALSE),0)</f>
        <v>0</v>
      </c>
    </row>
    <row r="836" spans="1:19" x14ac:dyDescent="0.25">
      <c r="A836" t="s">
        <v>834</v>
      </c>
      <c r="B836" t="s">
        <v>1739</v>
      </c>
      <c r="C836" t="s">
        <v>1811</v>
      </c>
      <c r="D836">
        <v>75.33</v>
      </c>
      <c r="E836" s="1">
        <v>44946</v>
      </c>
      <c r="F836" s="1" t="str">
        <f>TEXT(Sheet1[[#This Row],[Fecha ingreso]],"mmmm")</f>
        <v>enero</v>
      </c>
      <c r="G836" s="2">
        <f>YEAR(Sheet1[[#This Row],[Fecha ingreso]])</f>
        <v>2023</v>
      </c>
      <c r="H836" s="1" t="str">
        <f>TEXT(Sheet1[[#This Row],[Fecha ingreso]],"dddd")</f>
        <v>viernes</v>
      </c>
      <c r="I836" s="1">
        <v>45170</v>
      </c>
      <c r="J836" s="2">
        <f>DATEDIF(Sheet1[[#This Row],[Fecha ingreso]],Sheet1[[#This Row],[Fecha último pago]],"M")+1</f>
        <v>8</v>
      </c>
      <c r="K836" s="2">
        <f>Sheet1[[#This Row],[Ingresos mensuales]]*Sheet1[[#This Row],[Meses contratados]]</f>
        <v>602.64</v>
      </c>
      <c r="L836" t="s">
        <v>1817</v>
      </c>
      <c r="M836">
        <v>47</v>
      </c>
      <c r="N836" t="s">
        <v>1821</v>
      </c>
      <c r="O836" t="s">
        <v>1823</v>
      </c>
      <c r="P836" t="s">
        <v>1826</v>
      </c>
      <c r="Q836" cm="1">
        <f t="array" ref="Q836">_xlfn.IFS(P836="2 Years", 24,P836="1 Year",12, P836="6 Months",6, P836="1 Month",1)</f>
        <v>24</v>
      </c>
      <c r="R836" t="str" cm="1">
        <f t="array" ref="R836">_xlfn.IFS(Q836=1,"Mensual",Q836=6,"Semestral",Q836=12,"Anual",Q836=24,"Bienal")</f>
        <v>Bienal</v>
      </c>
      <c r="S836">
        <f>IFERROR(VLOOKUP(Sheet1[[#This Row],[ID usuario]],A837:$A$907,1,FALSE),0)</f>
        <v>0</v>
      </c>
    </row>
    <row r="837" spans="1:19" x14ac:dyDescent="0.25">
      <c r="A837" t="s">
        <v>835</v>
      </c>
      <c r="B837" t="s">
        <v>1740</v>
      </c>
      <c r="C837" t="s">
        <v>1810</v>
      </c>
      <c r="D837">
        <v>83</v>
      </c>
      <c r="E837" s="1">
        <v>44874</v>
      </c>
      <c r="F837" s="1" t="str">
        <f>TEXT(Sheet1[[#This Row],[Fecha ingreso]],"mmmm")</f>
        <v>noviembre</v>
      </c>
      <c r="G837" s="2">
        <f>YEAR(Sheet1[[#This Row],[Fecha ingreso]])</f>
        <v>2022</v>
      </c>
      <c r="H837" s="1" t="str">
        <f>TEXT(Sheet1[[#This Row],[Fecha ingreso]],"dddd")</f>
        <v>miércoles</v>
      </c>
      <c r="I837" s="1">
        <v>45362</v>
      </c>
      <c r="J837" s="2">
        <f>DATEDIF(Sheet1[[#This Row],[Fecha ingreso]],Sheet1[[#This Row],[Fecha último pago]],"M")+1</f>
        <v>17</v>
      </c>
      <c r="K837" s="2">
        <f>Sheet1[[#This Row],[Ingresos mensuales]]*Sheet1[[#This Row],[Meses contratados]]</f>
        <v>1411</v>
      </c>
      <c r="L837" t="s">
        <v>1815</v>
      </c>
      <c r="M837">
        <v>20</v>
      </c>
      <c r="N837" t="s">
        <v>1822</v>
      </c>
      <c r="O837" t="s">
        <v>1824</v>
      </c>
      <c r="P837" t="s">
        <v>1826</v>
      </c>
      <c r="Q837" cm="1">
        <f t="array" ref="Q837">_xlfn.IFS(P837="2 Years", 24,P837="1 Year",12, P837="6 Months",6, P837="1 Month",1)</f>
        <v>24</v>
      </c>
      <c r="R837" t="str" cm="1">
        <f t="array" ref="R837">_xlfn.IFS(Q837=1,"Mensual",Q837=6,"Semestral",Q837=12,"Anual",Q837=24,"Bienal")</f>
        <v>Bienal</v>
      </c>
      <c r="S837">
        <f>IFERROR(VLOOKUP(Sheet1[[#This Row],[ID usuario]],A838:$A$907,1,FALSE),0)</f>
        <v>0</v>
      </c>
    </row>
    <row r="838" spans="1:19" x14ac:dyDescent="0.25">
      <c r="A838" t="s">
        <v>836</v>
      </c>
      <c r="B838" t="s">
        <v>1741</v>
      </c>
      <c r="C838" t="s">
        <v>1812</v>
      </c>
      <c r="D838">
        <v>40.44</v>
      </c>
      <c r="E838" s="1">
        <v>45344</v>
      </c>
      <c r="F838" s="1" t="str">
        <f>TEXT(Sheet1[[#This Row],[Fecha ingreso]],"mmmm")</f>
        <v>febrero</v>
      </c>
      <c r="G838" s="2">
        <f>YEAR(Sheet1[[#This Row],[Fecha ingreso]])</f>
        <v>2024</v>
      </c>
      <c r="H838" s="1" t="str">
        <f>TEXT(Sheet1[[#This Row],[Fecha ingreso]],"dddd")</f>
        <v>jueves</v>
      </c>
      <c r="I838" s="1">
        <v>45419</v>
      </c>
      <c r="J838" s="2">
        <f>DATEDIF(Sheet1[[#This Row],[Fecha ingreso]],Sheet1[[#This Row],[Fecha último pago]],"M")+1</f>
        <v>3</v>
      </c>
      <c r="K838" s="2">
        <f>Sheet1[[#This Row],[Ingresos mensuales]]*Sheet1[[#This Row],[Meses contratados]]</f>
        <v>121.32</v>
      </c>
      <c r="L838" t="s">
        <v>1813</v>
      </c>
      <c r="M838">
        <v>58</v>
      </c>
      <c r="N838" t="s">
        <v>1822</v>
      </c>
      <c r="O838" t="s">
        <v>1823</v>
      </c>
      <c r="P838" t="s">
        <v>1827</v>
      </c>
      <c r="Q838" cm="1">
        <f t="array" ref="Q838">_xlfn.IFS(P838="2 Years", 24,P838="1 Year",12, P838="6 Months",6, P838="1 Month",1)</f>
        <v>12</v>
      </c>
      <c r="R838" t="str" cm="1">
        <f t="array" ref="R838">_xlfn.IFS(Q838=1,"Mensual",Q838=6,"Semestral",Q838=12,"Anual",Q838=24,"Bienal")</f>
        <v>Anual</v>
      </c>
      <c r="S838">
        <f>IFERROR(VLOOKUP(Sheet1[[#This Row],[ID usuario]],A839:$A$907,1,FALSE),0)</f>
        <v>0</v>
      </c>
    </row>
    <row r="839" spans="1:19" x14ac:dyDescent="0.25">
      <c r="A839" t="s">
        <v>837</v>
      </c>
      <c r="B839" t="s">
        <v>1742</v>
      </c>
      <c r="C839" t="s">
        <v>1812</v>
      </c>
      <c r="D839">
        <v>23.7</v>
      </c>
      <c r="E839" s="1">
        <v>44878</v>
      </c>
      <c r="F839" s="1" t="str">
        <f>TEXT(Sheet1[[#This Row],[Fecha ingreso]],"mmmm")</f>
        <v>noviembre</v>
      </c>
      <c r="G839" s="2">
        <f>YEAR(Sheet1[[#This Row],[Fecha ingreso]])</f>
        <v>2022</v>
      </c>
      <c r="H839" s="1" t="str">
        <f>TEXT(Sheet1[[#This Row],[Fecha ingreso]],"dddd")</f>
        <v>domingo</v>
      </c>
      <c r="I839" s="1">
        <v>45358</v>
      </c>
      <c r="J839" s="2">
        <f>DATEDIF(Sheet1[[#This Row],[Fecha ingreso]],Sheet1[[#This Row],[Fecha último pago]],"M")+1</f>
        <v>16</v>
      </c>
      <c r="K839" s="2">
        <f>Sheet1[[#This Row],[Ingresos mensuales]]*Sheet1[[#This Row],[Meses contratados]]</f>
        <v>379.2</v>
      </c>
      <c r="L839" t="s">
        <v>1814</v>
      </c>
      <c r="M839">
        <v>68</v>
      </c>
      <c r="N839" t="s">
        <v>1822</v>
      </c>
      <c r="O839" t="s">
        <v>1824</v>
      </c>
      <c r="P839" t="s">
        <v>1828</v>
      </c>
      <c r="Q839" cm="1">
        <f t="array" ref="Q839">_xlfn.IFS(P839="2 Years", 24,P839="1 Year",12, P839="6 Months",6, P839="1 Month",1)</f>
        <v>6</v>
      </c>
      <c r="R839" t="str" cm="1">
        <f t="array" ref="R839">_xlfn.IFS(Q839=1,"Mensual",Q839=6,"Semestral",Q839=12,"Anual",Q839=24,"Bienal")</f>
        <v>Semestral</v>
      </c>
      <c r="S839">
        <f>IFERROR(VLOOKUP(Sheet1[[#This Row],[ID usuario]],A840:$A$907,1,FALSE),0)</f>
        <v>0</v>
      </c>
    </row>
    <row r="840" spans="1:19" x14ac:dyDescent="0.25">
      <c r="A840" t="s">
        <v>838</v>
      </c>
      <c r="B840" t="s">
        <v>1743</v>
      </c>
      <c r="C840" t="s">
        <v>1811</v>
      </c>
      <c r="D840">
        <v>14.38</v>
      </c>
      <c r="E840" s="1">
        <v>44903</v>
      </c>
      <c r="F840" s="1" t="str">
        <f>TEXT(Sheet1[[#This Row],[Fecha ingreso]],"mmmm")</f>
        <v>diciembre</v>
      </c>
      <c r="G840" s="2">
        <f>YEAR(Sheet1[[#This Row],[Fecha ingreso]])</f>
        <v>2022</v>
      </c>
      <c r="H840" s="1" t="str">
        <f>TEXT(Sheet1[[#This Row],[Fecha ingreso]],"dddd")</f>
        <v>jueves</v>
      </c>
      <c r="I840" s="1">
        <v>45011</v>
      </c>
      <c r="J840" s="2">
        <f>DATEDIF(Sheet1[[#This Row],[Fecha ingreso]],Sheet1[[#This Row],[Fecha último pago]],"M")+1</f>
        <v>4</v>
      </c>
      <c r="K840" s="2">
        <f>Sheet1[[#This Row],[Ingresos mensuales]]*Sheet1[[#This Row],[Meses contratados]]</f>
        <v>57.52</v>
      </c>
      <c r="L840" t="s">
        <v>1814</v>
      </c>
      <c r="M840">
        <v>35</v>
      </c>
      <c r="N840" t="s">
        <v>1821</v>
      </c>
      <c r="O840" t="s">
        <v>1825</v>
      </c>
      <c r="P840" t="s">
        <v>1829</v>
      </c>
      <c r="Q840" cm="1">
        <f t="array" ref="Q840">_xlfn.IFS(P840="2 Years", 24,P840="1 Year",12, P840="6 Months",6, P840="1 Month",1)</f>
        <v>1</v>
      </c>
      <c r="R840" t="str" cm="1">
        <f t="array" ref="R840">_xlfn.IFS(Q840=1,"Mensual",Q840=6,"Semestral",Q840=12,"Anual",Q840=24,"Bienal")</f>
        <v>Mensual</v>
      </c>
      <c r="S840">
        <f>IFERROR(VLOOKUP(Sheet1[[#This Row],[ID usuario]],A841:$A$907,1,FALSE),0)</f>
        <v>0</v>
      </c>
    </row>
    <row r="841" spans="1:19" x14ac:dyDescent="0.25">
      <c r="A841" t="s">
        <v>839</v>
      </c>
      <c r="B841" t="s">
        <v>1744</v>
      </c>
      <c r="C841" t="s">
        <v>1811</v>
      </c>
      <c r="D841">
        <v>76.12</v>
      </c>
      <c r="E841" s="1">
        <v>44640</v>
      </c>
      <c r="F841" s="1" t="str">
        <f>TEXT(Sheet1[[#This Row],[Fecha ingreso]],"mmmm")</f>
        <v>marzo</v>
      </c>
      <c r="G841" s="2">
        <f>YEAR(Sheet1[[#This Row],[Fecha ingreso]])</f>
        <v>2022</v>
      </c>
      <c r="H841" s="1" t="str">
        <f>TEXT(Sheet1[[#This Row],[Fecha ingreso]],"dddd")</f>
        <v>domingo</v>
      </c>
      <c r="I841" s="1">
        <v>45136</v>
      </c>
      <c r="J841" s="2">
        <f>DATEDIF(Sheet1[[#This Row],[Fecha ingreso]],Sheet1[[#This Row],[Fecha último pago]],"M")+1</f>
        <v>17</v>
      </c>
      <c r="K841" s="2">
        <f>Sheet1[[#This Row],[Ingresos mensuales]]*Sheet1[[#This Row],[Meses contratados]]</f>
        <v>1294.04</v>
      </c>
      <c r="L841" t="s">
        <v>1818</v>
      </c>
      <c r="M841">
        <v>58</v>
      </c>
      <c r="N841" t="s">
        <v>1822</v>
      </c>
      <c r="O841" t="s">
        <v>1825</v>
      </c>
      <c r="P841" t="s">
        <v>1827</v>
      </c>
      <c r="Q841" cm="1">
        <f t="array" ref="Q841">_xlfn.IFS(P841="2 Years", 24,P841="1 Year",12, P841="6 Months",6, P841="1 Month",1)</f>
        <v>12</v>
      </c>
      <c r="R841" t="str" cm="1">
        <f t="array" ref="R841">_xlfn.IFS(Q841=1,"Mensual",Q841=6,"Semestral",Q841=12,"Anual",Q841=24,"Bienal")</f>
        <v>Anual</v>
      </c>
      <c r="S841">
        <f>IFERROR(VLOOKUP(Sheet1[[#This Row],[ID usuario]],A842:$A$907,1,FALSE),0)</f>
        <v>0</v>
      </c>
    </row>
    <row r="842" spans="1:19" x14ac:dyDescent="0.25">
      <c r="A842" t="s">
        <v>840</v>
      </c>
      <c r="B842" t="s">
        <v>1745</v>
      </c>
      <c r="C842" t="s">
        <v>1812</v>
      </c>
      <c r="D842">
        <v>48</v>
      </c>
      <c r="E842" s="1">
        <v>45067</v>
      </c>
      <c r="F842" s="1" t="str">
        <f>TEXT(Sheet1[[#This Row],[Fecha ingreso]],"mmmm")</f>
        <v>mayo</v>
      </c>
      <c r="G842" s="2">
        <f>YEAR(Sheet1[[#This Row],[Fecha ingreso]])</f>
        <v>2023</v>
      </c>
      <c r="H842" s="1" t="str">
        <f>TEXT(Sheet1[[#This Row],[Fecha ingreso]],"dddd")</f>
        <v>domingo</v>
      </c>
      <c r="I842" s="1">
        <v>45269</v>
      </c>
      <c r="J842" s="2">
        <f>DATEDIF(Sheet1[[#This Row],[Fecha ingreso]],Sheet1[[#This Row],[Fecha último pago]],"M")+1</f>
        <v>7</v>
      </c>
      <c r="K842" s="2">
        <f>Sheet1[[#This Row],[Ingresos mensuales]]*Sheet1[[#This Row],[Meses contratados]]</f>
        <v>336</v>
      </c>
      <c r="L842" t="s">
        <v>1815</v>
      </c>
      <c r="M842">
        <v>57</v>
      </c>
      <c r="N842" t="s">
        <v>1822</v>
      </c>
      <c r="O842" t="s">
        <v>1825</v>
      </c>
      <c r="P842" t="s">
        <v>1827</v>
      </c>
      <c r="Q842" cm="1">
        <f t="array" ref="Q842">_xlfn.IFS(P842="2 Years", 24,P842="1 Year",12, P842="6 Months",6, P842="1 Month",1)</f>
        <v>12</v>
      </c>
      <c r="R842" t="str" cm="1">
        <f t="array" ref="R842">_xlfn.IFS(Q842=1,"Mensual",Q842=6,"Semestral",Q842=12,"Anual",Q842=24,"Bienal")</f>
        <v>Anual</v>
      </c>
      <c r="S842">
        <f>IFERROR(VLOOKUP(Sheet1[[#This Row],[ID usuario]],A843:$A$907,1,FALSE),0)</f>
        <v>0</v>
      </c>
    </row>
    <row r="843" spans="1:19" x14ac:dyDescent="0.25">
      <c r="A843" t="s">
        <v>841</v>
      </c>
      <c r="B843" t="s">
        <v>1746</v>
      </c>
      <c r="C843" t="s">
        <v>1812</v>
      </c>
      <c r="D843">
        <v>72.8</v>
      </c>
      <c r="E843" s="1">
        <v>44873</v>
      </c>
      <c r="F843" s="1" t="str">
        <f>TEXT(Sheet1[[#This Row],[Fecha ingreso]],"mmmm")</f>
        <v>noviembre</v>
      </c>
      <c r="G843" s="2">
        <f>YEAR(Sheet1[[#This Row],[Fecha ingreso]])</f>
        <v>2022</v>
      </c>
      <c r="H843" s="1" t="str">
        <f>TEXT(Sheet1[[#This Row],[Fecha ingreso]],"dddd")</f>
        <v>martes</v>
      </c>
      <c r="I843" s="1">
        <v>45117</v>
      </c>
      <c r="J843" s="2">
        <f>DATEDIF(Sheet1[[#This Row],[Fecha ingreso]],Sheet1[[#This Row],[Fecha último pago]],"M")+1</f>
        <v>9</v>
      </c>
      <c r="K843" s="2">
        <f>Sheet1[[#This Row],[Ingresos mensuales]]*Sheet1[[#This Row],[Meses contratados]]</f>
        <v>655.19999999999993</v>
      </c>
      <c r="L843" t="s">
        <v>1814</v>
      </c>
      <c r="M843">
        <v>51</v>
      </c>
      <c r="N843" t="s">
        <v>1821</v>
      </c>
      <c r="O843" t="s">
        <v>1823</v>
      </c>
      <c r="P843" t="s">
        <v>1828</v>
      </c>
      <c r="Q843" cm="1">
        <f t="array" ref="Q843">_xlfn.IFS(P843="2 Years", 24,P843="1 Year",12, P843="6 Months",6, P843="1 Month",1)</f>
        <v>6</v>
      </c>
      <c r="R843" t="str" cm="1">
        <f t="array" ref="R843">_xlfn.IFS(Q843=1,"Mensual",Q843=6,"Semestral",Q843=12,"Anual",Q843=24,"Bienal")</f>
        <v>Semestral</v>
      </c>
      <c r="S843">
        <f>IFERROR(VLOOKUP(Sheet1[[#This Row],[ID usuario]],A844:$A$907,1,FALSE),0)</f>
        <v>0</v>
      </c>
    </row>
    <row r="844" spans="1:19" x14ac:dyDescent="0.25">
      <c r="A844" t="s">
        <v>842</v>
      </c>
      <c r="B844" t="s">
        <v>1747</v>
      </c>
      <c r="C844" t="s">
        <v>1812</v>
      </c>
      <c r="D844">
        <v>18.93</v>
      </c>
      <c r="E844" s="1">
        <v>45333</v>
      </c>
      <c r="F844" s="1" t="str">
        <f>TEXT(Sheet1[[#This Row],[Fecha ingreso]],"mmmm")</f>
        <v>febrero</v>
      </c>
      <c r="G844" s="2">
        <f>YEAR(Sheet1[[#This Row],[Fecha ingreso]])</f>
        <v>2024</v>
      </c>
      <c r="H844" s="1" t="str">
        <f>TEXT(Sheet1[[#This Row],[Fecha ingreso]],"dddd")</f>
        <v>domingo</v>
      </c>
      <c r="I844" s="1">
        <v>45343</v>
      </c>
      <c r="J844" s="2">
        <f>DATEDIF(Sheet1[[#This Row],[Fecha ingreso]],Sheet1[[#This Row],[Fecha último pago]],"M")+1</f>
        <v>1</v>
      </c>
      <c r="K844" s="2">
        <f>Sheet1[[#This Row],[Ingresos mensuales]]*Sheet1[[#This Row],[Meses contratados]]</f>
        <v>18.93</v>
      </c>
      <c r="L844" t="s">
        <v>1814</v>
      </c>
      <c r="M844">
        <v>44</v>
      </c>
      <c r="N844" t="s">
        <v>1821</v>
      </c>
      <c r="O844" t="s">
        <v>1823</v>
      </c>
      <c r="P844" t="s">
        <v>1828</v>
      </c>
      <c r="Q844" cm="1">
        <f t="array" ref="Q844">_xlfn.IFS(P844="2 Years", 24,P844="1 Year",12, P844="6 Months",6, P844="1 Month",1)</f>
        <v>6</v>
      </c>
      <c r="R844" t="str" cm="1">
        <f t="array" ref="R844">_xlfn.IFS(Q844=1,"Mensual",Q844=6,"Semestral",Q844=12,"Anual",Q844=24,"Bienal")</f>
        <v>Semestral</v>
      </c>
      <c r="S844">
        <f>IFERROR(VLOOKUP(Sheet1[[#This Row],[ID usuario]],A845:$A$907,1,FALSE),0)</f>
        <v>0</v>
      </c>
    </row>
    <row r="845" spans="1:19" x14ac:dyDescent="0.25">
      <c r="A845" t="s">
        <v>843</v>
      </c>
      <c r="B845" t="s">
        <v>1748</v>
      </c>
      <c r="C845" t="s">
        <v>1810</v>
      </c>
      <c r="D845">
        <v>92.32</v>
      </c>
      <c r="E845" s="1">
        <v>45196</v>
      </c>
      <c r="F845" s="1" t="str">
        <f>TEXT(Sheet1[[#This Row],[Fecha ingreso]],"mmmm")</f>
        <v>septiembre</v>
      </c>
      <c r="G845" s="2">
        <f>YEAR(Sheet1[[#This Row],[Fecha ingreso]])</f>
        <v>2023</v>
      </c>
      <c r="H845" s="1" t="str">
        <f>TEXT(Sheet1[[#This Row],[Fecha ingreso]],"dddd")</f>
        <v>miércoles</v>
      </c>
      <c r="I845" s="1">
        <v>45445</v>
      </c>
      <c r="J845" s="2">
        <f>DATEDIF(Sheet1[[#This Row],[Fecha ingreso]],Sheet1[[#This Row],[Fecha último pago]],"M")+1</f>
        <v>9</v>
      </c>
      <c r="K845" s="2">
        <f>Sheet1[[#This Row],[Ingresos mensuales]]*Sheet1[[#This Row],[Meses contratados]]</f>
        <v>830.87999999999988</v>
      </c>
      <c r="L845" t="s">
        <v>1816</v>
      </c>
      <c r="M845">
        <v>65</v>
      </c>
      <c r="N845" t="s">
        <v>1821</v>
      </c>
      <c r="O845" t="s">
        <v>1823</v>
      </c>
      <c r="P845" t="s">
        <v>1828</v>
      </c>
      <c r="Q845" cm="1">
        <f t="array" ref="Q845">_xlfn.IFS(P845="2 Years", 24,P845="1 Year",12, P845="6 Months",6, P845="1 Month",1)</f>
        <v>6</v>
      </c>
      <c r="R845" t="str" cm="1">
        <f t="array" ref="R845">_xlfn.IFS(Q845=1,"Mensual",Q845=6,"Semestral",Q845=12,"Anual",Q845=24,"Bienal")</f>
        <v>Semestral</v>
      </c>
      <c r="S845">
        <f>IFERROR(VLOOKUP(Sheet1[[#This Row],[ID usuario]],A846:$A$907,1,FALSE),0)</f>
        <v>0</v>
      </c>
    </row>
    <row r="846" spans="1:19" x14ac:dyDescent="0.25">
      <c r="A846" t="s">
        <v>844</v>
      </c>
      <c r="B846" t="s">
        <v>1749</v>
      </c>
      <c r="C846" t="s">
        <v>1810</v>
      </c>
      <c r="D846">
        <v>44.1</v>
      </c>
      <c r="E846" s="1">
        <v>44804</v>
      </c>
      <c r="F846" s="1" t="str">
        <f>TEXT(Sheet1[[#This Row],[Fecha ingreso]],"mmmm")</f>
        <v>agosto</v>
      </c>
      <c r="G846" s="2">
        <f>YEAR(Sheet1[[#This Row],[Fecha ingreso]])</f>
        <v>2022</v>
      </c>
      <c r="H846" s="1" t="str">
        <f>TEXT(Sheet1[[#This Row],[Fecha ingreso]],"dddd")</f>
        <v>miércoles</v>
      </c>
      <c r="I846" s="1">
        <v>45181</v>
      </c>
      <c r="J846" s="2">
        <f>DATEDIF(Sheet1[[#This Row],[Fecha ingreso]],Sheet1[[#This Row],[Fecha último pago]],"M")+1</f>
        <v>13</v>
      </c>
      <c r="K846" s="2">
        <f>Sheet1[[#This Row],[Ingresos mensuales]]*Sheet1[[#This Row],[Meses contratados]]</f>
        <v>573.30000000000007</v>
      </c>
      <c r="L846" t="s">
        <v>1816</v>
      </c>
      <c r="M846">
        <v>42</v>
      </c>
      <c r="N846" t="s">
        <v>1821</v>
      </c>
      <c r="O846" t="s">
        <v>1823</v>
      </c>
      <c r="P846" t="s">
        <v>1828</v>
      </c>
      <c r="Q846" cm="1">
        <f t="array" ref="Q846">_xlfn.IFS(P846="2 Years", 24,P846="1 Year",12, P846="6 Months",6, P846="1 Month",1)</f>
        <v>6</v>
      </c>
      <c r="R846" t="str" cm="1">
        <f t="array" ref="R846">_xlfn.IFS(Q846=1,"Mensual",Q846=6,"Semestral",Q846=12,"Anual",Q846=24,"Bienal")</f>
        <v>Semestral</v>
      </c>
      <c r="S846">
        <f>IFERROR(VLOOKUP(Sheet1[[#This Row],[ID usuario]],A847:$A$907,1,FALSE),0)</f>
        <v>0</v>
      </c>
    </row>
    <row r="847" spans="1:19" x14ac:dyDescent="0.25">
      <c r="A847" t="s">
        <v>845</v>
      </c>
      <c r="B847" t="s">
        <v>1750</v>
      </c>
      <c r="C847" t="s">
        <v>1811</v>
      </c>
      <c r="D847">
        <v>34</v>
      </c>
      <c r="E847" s="1">
        <v>45050</v>
      </c>
      <c r="F847" s="1" t="str">
        <f>TEXT(Sheet1[[#This Row],[Fecha ingreso]],"mmmm")</f>
        <v>mayo</v>
      </c>
      <c r="G847" s="2">
        <f>YEAR(Sheet1[[#This Row],[Fecha ingreso]])</f>
        <v>2023</v>
      </c>
      <c r="H847" s="1" t="str">
        <f>TEXT(Sheet1[[#This Row],[Fecha ingreso]],"dddd")</f>
        <v>jueves</v>
      </c>
      <c r="I847" s="1">
        <v>45086</v>
      </c>
      <c r="J847" s="2">
        <f>DATEDIF(Sheet1[[#This Row],[Fecha ingreso]],Sheet1[[#This Row],[Fecha último pago]],"M")+1</f>
        <v>2</v>
      </c>
      <c r="K847" s="2">
        <f>Sheet1[[#This Row],[Ingresos mensuales]]*Sheet1[[#This Row],[Meses contratados]]</f>
        <v>68</v>
      </c>
      <c r="L847" t="s">
        <v>1817</v>
      </c>
      <c r="M847">
        <v>67</v>
      </c>
      <c r="N847" t="s">
        <v>1821</v>
      </c>
      <c r="O847" t="s">
        <v>1824</v>
      </c>
      <c r="P847" t="s">
        <v>1829</v>
      </c>
      <c r="Q847" cm="1">
        <f t="array" ref="Q847">_xlfn.IFS(P847="2 Years", 24,P847="1 Year",12, P847="6 Months",6, P847="1 Month",1)</f>
        <v>1</v>
      </c>
      <c r="R847" t="str" cm="1">
        <f t="array" ref="R847">_xlfn.IFS(Q847=1,"Mensual",Q847=6,"Semestral",Q847=12,"Anual",Q847=24,"Bienal")</f>
        <v>Mensual</v>
      </c>
      <c r="S847">
        <f>IFERROR(VLOOKUP(Sheet1[[#This Row],[ID usuario]],A848:$A$907,1,FALSE),0)</f>
        <v>0</v>
      </c>
    </row>
    <row r="848" spans="1:19" x14ac:dyDescent="0.25">
      <c r="A848" t="s">
        <v>846</v>
      </c>
      <c r="B848" t="s">
        <v>1751</v>
      </c>
      <c r="C848" t="s">
        <v>1810</v>
      </c>
      <c r="D848">
        <v>94.59</v>
      </c>
      <c r="E848" s="1">
        <v>45052</v>
      </c>
      <c r="F848" s="1" t="str">
        <f>TEXT(Sheet1[[#This Row],[Fecha ingreso]],"mmmm")</f>
        <v>mayo</v>
      </c>
      <c r="G848" s="2">
        <f>YEAR(Sheet1[[#This Row],[Fecha ingreso]])</f>
        <v>2023</v>
      </c>
      <c r="H848" s="1" t="str">
        <f>TEXT(Sheet1[[#This Row],[Fecha ingreso]],"dddd")</f>
        <v>sábado</v>
      </c>
      <c r="I848" s="1">
        <v>45284</v>
      </c>
      <c r="J848" s="2">
        <f>DATEDIF(Sheet1[[#This Row],[Fecha ingreso]],Sheet1[[#This Row],[Fecha último pago]],"M")+1</f>
        <v>8</v>
      </c>
      <c r="K848" s="2">
        <f>Sheet1[[#This Row],[Ingresos mensuales]]*Sheet1[[#This Row],[Meses contratados]]</f>
        <v>756.72</v>
      </c>
      <c r="L848" t="s">
        <v>1814</v>
      </c>
      <c r="M848">
        <v>48</v>
      </c>
      <c r="N848" t="s">
        <v>1820</v>
      </c>
      <c r="O848" t="s">
        <v>1824</v>
      </c>
      <c r="P848" t="s">
        <v>1826</v>
      </c>
      <c r="Q848" cm="1">
        <f t="array" ref="Q848">_xlfn.IFS(P848="2 Years", 24,P848="1 Year",12, P848="6 Months",6, P848="1 Month",1)</f>
        <v>24</v>
      </c>
      <c r="R848" t="str" cm="1">
        <f t="array" ref="R848">_xlfn.IFS(Q848=1,"Mensual",Q848=6,"Semestral",Q848=12,"Anual",Q848=24,"Bienal")</f>
        <v>Bienal</v>
      </c>
      <c r="S848">
        <f>IFERROR(VLOOKUP(Sheet1[[#This Row],[ID usuario]],A849:$A$907,1,FALSE),0)</f>
        <v>0</v>
      </c>
    </row>
    <row r="849" spans="1:19" x14ac:dyDescent="0.25">
      <c r="A849" t="s">
        <v>847</v>
      </c>
      <c r="B849" t="s">
        <v>1752</v>
      </c>
      <c r="C849" t="s">
        <v>1811</v>
      </c>
      <c r="D849">
        <v>99.11</v>
      </c>
      <c r="E849" s="1">
        <v>45033</v>
      </c>
      <c r="F849" s="1" t="str">
        <f>TEXT(Sheet1[[#This Row],[Fecha ingreso]],"mmmm")</f>
        <v>abril</v>
      </c>
      <c r="G849" s="2">
        <f>YEAR(Sheet1[[#This Row],[Fecha ingreso]])</f>
        <v>2023</v>
      </c>
      <c r="H849" s="1" t="str">
        <f>TEXT(Sheet1[[#This Row],[Fecha ingreso]],"dddd")</f>
        <v>lunes</v>
      </c>
      <c r="I849" s="1">
        <v>45261</v>
      </c>
      <c r="J849" s="2">
        <f>DATEDIF(Sheet1[[#This Row],[Fecha ingreso]],Sheet1[[#This Row],[Fecha último pago]],"M")+1</f>
        <v>8</v>
      </c>
      <c r="K849" s="2">
        <f>Sheet1[[#This Row],[Ingresos mensuales]]*Sheet1[[#This Row],[Meses contratados]]</f>
        <v>792.88</v>
      </c>
      <c r="L849" t="s">
        <v>1814</v>
      </c>
      <c r="M849">
        <v>69</v>
      </c>
      <c r="N849" t="s">
        <v>1822</v>
      </c>
      <c r="O849" t="s">
        <v>1823</v>
      </c>
      <c r="P849" t="s">
        <v>1826</v>
      </c>
      <c r="Q849" cm="1">
        <f t="array" ref="Q849">_xlfn.IFS(P849="2 Years", 24,P849="1 Year",12, P849="6 Months",6, P849="1 Month",1)</f>
        <v>24</v>
      </c>
      <c r="R849" t="str" cm="1">
        <f t="array" ref="R849">_xlfn.IFS(Q849=1,"Mensual",Q849=6,"Semestral",Q849=12,"Anual",Q849=24,"Bienal")</f>
        <v>Bienal</v>
      </c>
      <c r="S849">
        <f>IFERROR(VLOOKUP(Sheet1[[#This Row],[ID usuario]],A850:$A$907,1,FALSE),0)</f>
        <v>0</v>
      </c>
    </row>
    <row r="850" spans="1:19" x14ac:dyDescent="0.25">
      <c r="A850" t="s">
        <v>848</v>
      </c>
      <c r="B850" t="s">
        <v>1753</v>
      </c>
      <c r="C850" t="s">
        <v>1810</v>
      </c>
      <c r="D850">
        <v>23.89</v>
      </c>
      <c r="E850" s="1">
        <v>44859</v>
      </c>
      <c r="F850" s="1" t="str">
        <f>TEXT(Sheet1[[#This Row],[Fecha ingreso]],"mmmm")</f>
        <v>octubre</v>
      </c>
      <c r="G850" s="2">
        <f>YEAR(Sheet1[[#This Row],[Fecha ingreso]])</f>
        <v>2022</v>
      </c>
      <c r="H850" s="1" t="str">
        <f>TEXT(Sheet1[[#This Row],[Fecha ingreso]],"dddd")</f>
        <v>martes</v>
      </c>
      <c r="I850" s="1">
        <v>45015</v>
      </c>
      <c r="J850" s="2">
        <f>DATEDIF(Sheet1[[#This Row],[Fecha ingreso]],Sheet1[[#This Row],[Fecha último pago]],"M")+1</f>
        <v>6</v>
      </c>
      <c r="K850" s="2">
        <f>Sheet1[[#This Row],[Ingresos mensuales]]*Sheet1[[#This Row],[Meses contratados]]</f>
        <v>143.34</v>
      </c>
      <c r="L850" t="s">
        <v>1813</v>
      </c>
      <c r="M850">
        <v>19</v>
      </c>
      <c r="N850" t="s">
        <v>1821</v>
      </c>
      <c r="O850" t="s">
        <v>1823</v>
      </c>
      <c r="P850" t="s">
        <v>1827</v>
      </c>
      <c r="Q850" cm="1">
        <f t="array" ref="Q850">_xlfn.IFS(P850="2 Years", 24,P850="1 Year",12, P850="6 Months",6, P850="1 Month",1)</f>
        <v>12</v>
      </c>
      <c r="R850" t="str" cm="1">
        <f t="array" ref="R850">_xlfn.IFS(Q850=1,"Mensual",Q850=6,"Semestral",Q850=12,"Anual",Q850=24,"Bienal")</f>
        <v>Anual</v>
      </c>
      <c r="S850">
        <f>IFERROR(VLOOKUP(Sheet1[[#This Row],[ID usuario]],A851:$A$907,1,FALSE),0)</f>
        <v>0</v>
      </c>
    </row>
    <row r="851" spans="1:19" x14ac:dyDescent="0.25">
      <c r="A851" t="s">
        <v>849</v>
      </c>
      <c r="B851" t="s">
        <v>1754</v>
      </c>
      <c r="C851" t="s">
        <v>1810</v>
      </c>
      <c r="D851">
        <v>67.400000000000006</v>
      </c>
      <c r="E851" s="1">
        <v>44959</v>
      </c>
      <c r="F851" s="1" t="str">
        <f>TEXT(Sheet1[[#This Row],[Fecha ingreso]],"mmmm")</f>
        <v>febrero</v>
      </c>
      <c r="G851" s="2">
        <f>YEAR(Sheet1[[#This Row],[Fecha ingreso]])</f>
        <v>2023</v>
      </c>
      <c r="H851" s="1" t="str">
        <f>TEXT(Sheet1[[#This Row],[Fecha ingreso]],"dddd")</f>
        <v>jueves</v>
      </c>
      <c r="I851" s="1">
        <v>45021</v>
      </c>
      <c r="J851" s="2">
        <f>DATEDIF(Sheet1[[#This Row],[Fecha ingreso]],Sheet1[[#This Row],[Fecha último pago]],"M")+1</f>
        <v>3</v>
      </c>
      <c r="K851" s="2">
        <f>Sheet1[[#This Row],[Ingresos mensuales]]*Sheet1[[#This Row],[Meses contratados]]</f>
        <v>202.20000000000002</v>
      </c>
      <c r="L851" t="s">
        <v>1814</v>
      </c>
      <c r="M851">
        <v>60</v>
      </c>
      <c r="N851" t="s">
        <v>1822</v>
      </c>
      <c r="O851" t="s">
        <v>1824</v>
      </c>
      <c r="P851" t="s">
        <v>1826</v>
      </c>
      <c r="Q851" cm="1">
        <f t="array" ref="Q851">_xlfn.IFS(P851="2 Years", 24,P851="1 Year",12, P851="6 Months",6, P851="1 Month",1)</f>
        <v>24</v>
      </c>
      <c r="R851" t="str" cm="1">
        <f t="array" ref="R851">_xlfn.IFS(Q851=1,"Mensual",Q851=6,"Semestral",Q851=12,"Anual",Q851=24,"Bienal")</f>
        <v>Bienal</v>
      </c>
      <c r="S851">
        <f>IFERROR(VLOOKUP(Sheet1[[#This Row],[ID usuario]],A852:$A$907,1,FALSE),0)</f>
        <v>0</v>
      </c>
    </row>
    <row r="852" spans="1:19" x14ac:dyDescent="0.25">
      <c r="A852" t="s">
        <v>850</v>
      </c>
      <c r="B852" t="s">
        <v>1755</v>
      </c>
      <c r="C852" t="s">
        <v>1811</v>
      </c>
      <c r="D852">
        <v>15.12</v>
      </c>
      <c r="E852" s="1">
        <v>45328</v>
      </c>
      <c r="F852" s="1" t="str">
        <f>TEXT(Sheet1[[#This Row],[Fecha ingreso]],"mmmm")</f>
        <v>febrero</v>
      </c>
      <c r="G852" s="2">
        <f>YEAR(Sheet1[[#This Row],[Fecha ingreso]])</f>
        <v>2024</v>
      </c>
      <c r="H852" s="1" t="str">
        <f>TEXT(Sheet1[[#This Row],[Fecha ingreso]],"dddd")</f>
        <v>martes</v>
      </c>
      <c r="I852" s="1">
        <v>45342</v>
      </c>
      <c r="J852" s="2">
        <f>DATEDIF(Sheet1[[#This Row],[Fecha ingreso]],Sheet1[[#This Row],[Fecha último pago]],"M")+1</f>
        <v>1</v>
      </c>
      <c r="K852" s="2">
        <f>Sheet1[[#This Row],[Ingresos mensuales]]*Sheet1[[#This Row],[Meses contratados]]</f>
        <v>15.12</v>
      </c>
      <c r="L852" t="s">
        <v>1817</v>
      </c>
      <c r="M852">
        <v>36</v>
      </c>
      <c r="N852" t="s">
        <v>1822</v>
      </c>
      <c r="O852" t="s">
        <v>1823</v>
      </c>
      <c r="P852" t="s">
        <v>1826</v>
      </c>
      <c r="Q852" cm="1">
        <f t="array" ref="Q852">_xlfn.IFS(P852="2 Years", 24,P852="1 Year",12, P852="6 Months",6, P852="1 Month",1)</f>
        <v>24</v>
      </c>
      <c r="R852" t="str" cm="1">
        <f t="array" ref="R852">_xlfn.IFS(Q852=1,"Mensual",Q852=6,"Semestral",Q852=12,"Anual",Q852=24,"Bienal")</f>
        <v>Bienal</v>
      </c>
      <c r="S852">
        <f>IFERROR(VLOOKUP(Sheet1[[#This Row],[ID usuario]],A853:$A$907,1,FALSE),0)</f>
        <v>0</v>
      </c>
    </row>
    <row r="853" spans="1:19" x14ac:dyDescent="0.25">
      <c r="A853" t="s">
        <v>851</v>
      </c>
      <c r="B853" t="s">
        <v>1756</v>
      </c>
      <c r="C853" t="s">
        <v>1812</v>
      </c>
      <c r="D853">
        <v>66.84</v>
      </c>
      <c r="E853" s="1">
        <v>45189</v>
      </c>
      <c r="F853" s="1" t="str">
        <f>TEXT(Sheet1[[#This Row],[Fecha ingreso]],"mmmm")</f>
        <v>septiembre</v>
      </c>
      <c r="G853" s="2">
        <f>YEAR(Sheet1[[#This Row],[Fecha ingreso]])</f>
        <v>2023</v>
      </c>
      <c r="H853" s="1" t="str">
        <f>TEXT(Sheet1[[#This Row],[Fecha ingreso]],"dddd")</f>
        <v>miércoles</v>
      </c>
      <c r="I853" s="1">
        <v>45265</v>
      </c>
      <c r="J853" s="2">
        <f>DATEDIF(Sheet1[[#This Row],[Fecha ingreso]],Sheet1[[#This Row],[Fecha último pago]],"M")+1</f>
        <v>3</v>
      </c>
      <c r="K853" s="2">
        <f>Sheet1[[#This Row],[Ingresos mensuales]]*Sheet1[[#This Row],[Meses contratados]]</f>
        <v>200.52</v>
      </c>
      <c r="L853" t="s">
        <v>1813</v>
      </c>
      <c r="M853">
        <v>25</v>
      </c>
      <c r="N853" t="s">
        <v>1820</v>
      </c>
      <c r="O853" t="s">
        <v>1824</v>
      </c>
      <c r="P853" t="s">
        <v>1826</v>
      </c>
      <c r="Q853" cm="1">
        <f t="array" ref="Q853">_xlfn.IFS(P853="2 Years", 24,P853="1 Year",12, P853="6 Months",6, P853="1 Month",1)</f>
        <v>24</v>
      </c>
      <c r="R853" t="str" cm="1">
        <f t="array" ref="R853">_xlfn.IFS(Q853=1,"Mensual",Q853=6,"Semestral",Q853=12,"Anual",Q853=24,"Bienal")</f>
        <v>Bienal</v>
      </c>
      <c r="S853">
        <f>IFERROR(VLOOKUP(Sheet1[[#This Row],[ID usuario]],A854:$A$907,1,FALSE),0)</f>
        <v>0</v>
      </c>
    </row>
    <row r="854" spans="1:19" x14ac:dyDescent="0.25">
      <c r="A854" t="s">
        <v>852</v>
      </c>
      <c r="B854" t="s">
        <v>1757</v>
      </c>
      <c r="C854" t="s">
        <v>1811</v>
      </c>
      <c r="D854">
        <v>83.59</v>
      </c>
      <c r="E854" s="1">
        <v>44489</v>
      </c>
      <c r="F854" s="1" t="str">
        <f>TEXT(Sheet1[[#This Row],[Fecha ingreso]],"mmmm")</f>
        <v>octubre</v>
      </c>
      <c r="G854" s="2">
        <f>YEAR(Sheet1[[#This Row],[Fecha ingreso]])</f>
        <v>2021</v>
      </c>
      <c r="H854" s="1" t="str">
        <f>TEXT(Sheet1[[#This Row],[Fecha ingreso]],"dddd")</f>
        <v>miércoles</v>
      </c>
      <c r="I854" s="1">
        <v>44976</v>
      </c>
      <c r="J854" s="2">
        <f>DATEDIF(Sheet1[[#This Row],[Fecha ingreso]],Sheet1[[#This Row],[Fecha último pago]],"M")+1</f>
        <v>16</v>
      </c>
      <c r="K854" s="2">
        <f>Sheet1[[#This Row],[Ingresos mensuales]]*Sheet1[[#This Row],[Meses contratados]]</f>
        <v>1337.44</v>
      </c>
      <c r="L854" t="s">
        <v>1814</v>
      </c>
      <c r="M854">
        <v>61</v>
      </c>
      <c r="N854" t="s">
        <v>1820</v>
      </c>
      <c r="O854" t="s">
        <v>1825</v>
      </c>
      <c r="P854" t="s">
        <v>1829</v>
      </c>
      <c r="Q854" cm="1">
        <f t="array" ref="Q854">_xlfn.IFS(P854="2 Years", 24,P854="1 Year",12, P854="6 Months",6, P854="1 Month",1)</f>
        <v>1</v>
      </c>
      <c r="R854" t="str" cm="1">
        <f t="array" ref="R854">_xlfn.IFS(Q854=1,"Mensual",Q854=6,"Semestral",Q854=12,"Anual",Q854=24,"Bienal")</f>
        <v>Mensual</v>
      </c>
      <c r="S854">
        <f>IFERROR(VLOOKUP(Sheet1[[#This Row],[ID usuario]],A855:$A$907,1,FALSE),0)</f>
        <v>0</v>
      </c>
    </row>
    <row r="855" spans="1:19" x14ac:dyDescent="0.25">
      <c r="A855" t="s">
        <v>853</v>
      </c>
      <c r="B855" t="s">
        <v>1758</v>
      </c>
      <c r="C855" t="s">
        <v>1811</v>
      </c>
      <c r="D855">
        <v>70.03</v>
      </c>
      <c r="E855" s="1">
        <v>45249</v>
      </c>
      <c r="F855" s="1" t="str">
        <f>TEXT(Sheet1[[#This Row],[Fecha ingreso]],"mmmm")</f>
        <v>noviembre</v>
      </c>
      <c r="G855" s="2">
        <f>YEAR(Sheet1[[#This Row],[Fecha ingreso]])</f>
        <v>2023</v>
      </c>
      <c r="H855" s="1" t="str">
        <f>TEXT(Sheet1[[#This Row],[Fecha ingreso]],"dddd")</f>
        <v>domingo</v>
      </c>
      <c r="I855" s="1">
        <v>45406</v>
      </c>
      <c r="J855" s="2">
        <f>DATEDIF(Sheet1[[#This Row],[Fecha ingreso]],Sheet1[[#This Row],[Fecha último pago]],"M")+1</f>
        <v>6</v>
      </c>
      <c r="K855" s="2">
        <f>Sheet1[[#This Row],[Ingresos mensuales]]*Sheet1[[#This Row],[Meses contratados]]</f>
        <v>420.18</v>
      </c>
      <c r="L855" t="s">
        <v>1813</v>
      </c>
      <c r="M855">
        <v>23</v>
      </c>
      <c r="N855" t="s">
        <v>1820</v>
      </c>
      <c r="O855" t="s">
        <v>1825</v>
      </c>
      <c r="P855" t="s">
        <v>1829</v>
      </c>
      <c r="Q855" cm="1">
        <f t="array" ref="Q855">_xlfn.IFS(P855="2 Years", 24,P855="1 Year",12, P855="6 Months",6, P855="1 Month",1)</f>
        <v>1</v>
      </c>
      <c r="R855" t="str" cm="1">
        <f t="array" ref="R855">_xlfn.IFS(Q855=1,"Mensual",Q855=6,"Semestral",Q855=12,"Anual",Q855=24,"Bienal")</f>
        <v>Mensual</v>
      </c>
      <c r="S855">
        <f>IFERROR(VLOOKUP(Sheet1[[#This Row],[ID usuario]],A856:$A$907,1,FALSE),0)</f>
        <v>0</v>
      </c>
    </row>
    <row r="856" spans="1:19" x14ac:dyDescent="0.25">
      <c r="A856" t="s">
        <v>854</v>
      </c>
      <c r="B856" t="s">
        <v>1759</v>
      </c>
      <c r="C856" t="s">
        <v>1812</v>
      </c>
      <c r="D856">
        <v>44.65</v>
      </c>
      <c r="E856" s="1">
        <v>44779</v>
      </c>
      <c r="F856" s="1" t="str">
        <f>TEXT(Sheet1[[#This Row],[Fecha ingreso]],"mmmm")</f>
        <v>agosto</v>
      </c>
      <c r="G856" s="2">
        <f>YEAR(Sheet1[[#This Row],[Fecha ingreso]])</f>
        <v>2022</v>
      </c>
      <c r="H856" s="1" t="str">
        <f>TEXT(Sheet1[[#This Row],[Fecha ingreso]],"dddd")</f>
        <v>sábado</v>
      </c>
      <c r="I856" s="1">
        <v>45103</v>
      </c>
      <c r="J856" s="2">
        <f>DATEDIF(Sheet1[[#This Row],[Fecha ingreso]],Sheet1[[#This Row],[Fecha último pago]],"M")+1</f>
        <v>11</v>
      </c>
      <c r="K856" s="2">
        <f>Sheet1[[#This Row],[Ingresos mensuales]]*Sheet1[[#This Row],[Meses contratados]]</f>
        <v>491.15</v>
      </c>
      <c r="L856" t="s">
        <v>1816</v>
      </c>
      <c r="M856">
        <v>58</v>
      </c>
      <c r="N856" t="s">
        <v>1822</v>
      </c>
      <c r="O856" t="s">
        <v>1823</v>
      </c>
      <c r="P856" t="s">
        <v>1826</v>
      </c>
      <c r="Q856" cm="1">
        <f t="array" ref="Q856">_xlfn.IFS(P856="2 Years", 24,P856="1 Year",12, P856="6 Months",6, P856="1 Month",1)</f>
        <v>24</v>
      </c>
      <c r="R856" t="str" cm="1">
        <f t="array" ref="R856">_xlfn.IFS(Q856=1,"Mensual",Q856=6,"Semestral",Q856=12,"Anual",Q856=24,"Bienal")</f>
        <v>Bienal</v>
      </c>
      <c r="S856">
        <f>IFERROR(VLOOKUP(Sheet1[[#This Row],[ID usuario]],A857:$A$907,1,FALSE),0)</f>
        <v>0</v>
      </c>
    </row>
    <row r="857" spans="1:19" x14ac:dyDescent="0.25">
      <c r="A857" t="s">
        <v>855</v>
      </c>
      <c r="B857" t="s">
        <v>1760</v>
      </c>
      <c r="C857" t="s">
        <v>1810</v>
      </c>
      <c r="D857">
        <v>41.39</v>
      </c>
      <c r="E857" s="1">
        <v>44555</v>
      </c>
      <c r="F857" s="1" t="str">
        <f>TEXT(Sheet1[[#This Row],[Fecha ingreso]],"mmmm")</f>
        <v>diciembre</v>
      </c>
      <c r="G857" s="2">
        <f>YEAR(Sheet1[[#This Row],[Fecha ingreso]])</f>
        <v>2021</v>
      </c>
      <c r="H857" s="1" t="str">
        <f>TEXT(Sheet1[[#This Row],[Fecha ingreso]],"dddd")</f>
        <v>sábado</v>
      </c>
      <c r="I857" s="1">
        <v>44928</v>
      </c>
      <c r="J857" s="2">
        <f>DATEDIF(Sheet1[[#This Row],[Fecha ingreso]],Sheet1[[#This Row],[Fecha último pago]],"M")+1</f>
        <v>13</v>
      </c>
      <c r="K857" s="2">
        <f>Sheet1[[#This Row],[Ingresos mensuales]]*Sheet1[[#This Row],[Meses contratados]]</f>
        <v>538.07000000000005</v>
      </c>
      <c r="L857" t="s">
        <v>1816</v>
      </c>
      <c r="M857">
        <v>55</v>
      </c>
      <c r="N857" t="s">
        <v>1822</v>
      </c>
      <c r="O857" t="s">
        <v>1824</v>
      </c>
      <c r="P857" t="s">
        <v>1828</v>
      </c>
      <c r="Q857" cm="1">
        <f t="array" ref="Q857">_xlfn.IFS(P857="2 Years", 24,P857="1 Year",12, P857="6 Months",6, P857="1 Month",1)</f>
        <v>6</v>
      </c>
      <c r="R857" t="str" cm="1">
        <f t="array" ref="R857">_xlfn.IFS(Q857=1,"Mensual",Q857=6,"Semestral",Q857=12,"Anual",Q857=24,"Bienal")</f>
        <v>Semestral</v>
      </c>
      <c r="S857">
        <f>IFERROR(VLOOKUP(Sheet1[[#This Row],[ID usuario]],A858:$A$907,1,FALSE),0)</f>
        <v>0</v>
      </c>
    </row>
    <row r="858" spans="1:19" x14ac:dyDescent="0.25">
      <c r="A858" t="s">
        <v>856</v>
      </c>
      <c r="B858" t="s">
        <v>1761</v>
      </c>
      <c r="C858" t="s">
        <v>1811</v>
      </c>
      <c r="D858">
        <v>61.02</v>
      </c>
      <c r="E858" s="1">
        <v>44808</v>
      </c>
      <c r="F858" s="1" t="str">
        <f>TEXT(Sheet1[[#This Row],[Fecha ingreso]],"mmmm")</f>
        <v>septiembre</v>
      </c>
      <c r="G858" s="2">
        <f>YEAR(Sheet1[[#This Row],[Fecha ingreso]])</f>
        <v>2022</v>
      </c>
      <c r="H858" s="1" t="str">
        <f>TEXT(Sheet1[[#This Row],[Fecha ingreso]],"dddd")</f>
        <v>domingo</v>
      </c>
      <c r="I858" s="1">
        <v>45175</v>
      </c>
      <c r="J858" s="2">
        <f>DATEDIF(Sheet1[[#This Row],[Fecha ingreso]],Sheet1[[#This Row],[Fecha último pago]],"M")+1</f>
        <v>13</v>
      </c>
      <c r="K858" s="2">
        <f>Sheet1[[#This Row],[Ingresos mensuales]]*Sheet1[[#This Row],[Meses contratados]]</f>
        <v>793.26</v>
      </c>
      <c r="L858" t="s">
        <v>1818</v>
      </c>
      <c r="M858">
        <v>52</v>
      </c>
      <c r="N858" t="s">
        <v>1822</v>
      </c>
      <c r="O858" t="s">
        <v>1823</v>
      </c>
      <c r="P858" t="s">
        <v>1828</v>
      </c>
      <c r="Q858" cm="1">
        <f t="array" ref="Q858">_xlfn.IFS(P858="2 Years", 24,P858="1 Year",12, P858="6 Months",6, P858="1 Month",1)</f>
        <v>6</v>
      </c>
      <c r="R858" t="str" cm="1">
        <f t="array" ref="R858">_xlfn.IFS(Q858=1,"Mensual",Q858=6,"Semestral",Q858=12,"Anual",Q858=24,"Bienal")</f>
        <v>Semestral</v>
      </c>
      <c r="S858">
        <f>IFERROR(VLOOKUP(Sheet1[[#This Row],[ID usuario]],A859:$A$907,1,FALSE),0)</f>
        <v>0</v>
      </c>
    </row>
    <row r="859" spans="1:19" x14ac:dyDescent="0.25">
      <c r="A859" t="s">
        <v>857</v>
      </c>
      <c r="B859" t="s">
        <v>1762</v>
      </c>
      <c r="C859" t="s">
        <v>1811</v>
      </c>
      <c r="D859">
        <v>88.75</v>
      </c>
      <c r="E859" s="1">
        <v>44615</v>
      </c>
      <c r="F859" s="1" t="str">
        <f>TEXT(Sheet1[[#This Row],[Fecha ingreso]],"mmmm")</f>
        <v>febrero</v>
      </c>
      <c r="G859" s="2">
        <f>YEAR(Sheet1[[#This Row],[Fecha ingreso]])</f>
        <v>2022</v>
      </c>
      <c r="H859" s="1" t="str">
        <f>TEXT(Sheet1[[#This Row],[Fecha ingreso]],"dddd")</f>
        <v>miércoles</v>
      </c>
      <c r="I859" s="1">
        <v>45449</v>
      </c>
      <c r="J859" s="2">
        <f>DATEDIF(Sheet1[[#This Row],[Fecha ingreso]],Sheet1[[#This Row],[Fecha último pago]],"M")+1</f>
        <v>28</v>
      </c>
      <c r="K859" s="2">
        <f>Sheet1[[#This Row],[Ingresos mensuales]]*Sheet1[[#This Row],[Meses contratados]]</f>
        <v>2485</v>
      </c>
      <c r="L859" t="s">
        <v>1819</v>
      </c>
      <c r="M859">
        <v>39</v>
      </c>
      <c r="N859" t="s">
        <v>1820</v>
      </c>
      <c r="O859" t="s">
        <v>1823</v>
      </c>
      <c r="P859" t="s">
        <v>1827</v>
      </c>
      <c r="Q859" cm="1">
        <f t="array" ref="Q859">_xlfn.IFS(P859="2 Years", 24,P859="1 Year",12, P859="6 Months",6, P859="1 Month",1)</f>
        <v>12</v>
      </c>
      <c r="R859" t="str" cm="1">
        <f t="array" ref="R859">_xlfn.IFS(Q859=1,"Mensual",Q859=6,"Semestral",Q859=12,"Anual",Q859=24,"Bienal")</f>
        <v>Anual</v>
      </c>
      <c r="S859">
        <f>IFERROR(VLOOKUP(Sheet1[[#This Row],[ID usuario]],A860:$A$907,1,FALSE),0)</f>
        <v>0</v>
      </c>
    </row>
    <row r="860" spans="1:19" x14ac:dyDescent="0.25">
      <c r="A860" t="s">
        <v>858</v>
      </c>
      <c r="B860" t="s">
        <v>1763</v>
      </c>
      <c r="C860" t="s">
        <v>1810</v>
      </c>
      <c r="D860">
        <v>93.26</v>
      </c>
      <c r="E860" s="1">
        <v>45175</v>
      </c>
      <c r="F860" s="1" t="str">
        <f>TEXT(Sheet1[[#This Row],[Fecha ingreso]],"mmmm")</f>
        <v>septiembre</v>
      </c>
      <c r="G860" s="2">
        <f>YEAR(Sheet1[[#This Row],[Fecha ingreso]])</f>
        <v>2023</v>
      </c>
      <c r="H860" s="1" t="str">
        <f>TEXT(Sheet1[[#This Row],[Fecha ingreso]],"dddd")</f>
        <v>miércoles</v>
      </c>
      <c r="I860" s="1">
        <v>45416</v>
      </c>
      <c r="J860" s="2">
        <f>DATEDIF(Sheet1[[#This Row],[Fecha ingreso]],Sheet1[[#This Row],[Fecha último pago]],"M")+1</f>
        <v>8</v>
      </c>
      <c r="K860" s="2">
        <f>Sheet1[[#This Row],[Ingresos mensuales]]*Sheet1[[#This Row],[Meses contratados]]</f>
        <v>746.08</v>
      </c>
      <c r="L860" t="s">
        <v>1813</v>
      </c>
      <c r="M860">
        <v>54</v>
      </c>
      <c r="N860" t="s">
        <v>1822</v>
      </c>
      <c r="O860" t="s">
        <v>1824</v>
      </c>
      <c r="P860" t="s">
        <v>1828</v>
      </c>
      <c r="Q860" cm="1">
        <f t="array" ref="Q860">_xlfn.IFS(P860="2 Years", 24,P860="1 Year",12, P860="6 Months",6, P860="1 Month",1)</f>
        <v>6</v>
      </c>
      <c r="R860" t="str" cm="1">
        <f t="array" ref="R860">_xlfn.IFS(Q860=1,"Mensual",Q860=6,"Semestral",Q860=12,"Anual",Q860=24,"Bienal")</f>
        <v>Semestral</v>
      </c>
      <c r="S860">
        <f>IFERROR(VLOOKUP(Sheet1[[#This Row],[ID usuario]],A861:$A$907,1,FALSE),0)</f>
        <v>0</v>
      </c>
    </row>
    <row r="861" spans="1:19" x14ac:dyDescent="0.25">
      <c r="A861" t="s">
        <v>859</v>
      </c>
      <c r="B861" t="s">
        <v>1764</v>
      </c>
      <c r="C861" t="s">
        <v>1810</v>
      </c>
      <c r="D861">
        <v>10.09</v>
      </c>
      <c r="E861" s="1">
        <v>45267</v>
      </c>
      <c r="F861" s="1" t="str">
        <f>TEXT(Sheet1[[#This Row],[Fecha ingreso]],"mmmm")</f>
        <v>diciembre</v>
      </c>
      <c r="G861" s="2">
        <f>YEAR(Sheet1[[#This Row],[Fecha ingreso]])</f>
        <v>2023</v>
      </c>
      <c r="H861" s="1" t="str">
        <f>TEXT(Sheet1[[#This Row],[Fecha ingreso]],"dddd")</f>
        <v>jueves</v>
      </c>
      <c r="I861" s="1">
        <v>45362</v>
      </c>
      <c r="J861" s="2">
        <f>DATEDIF(Sheet1[[#This Row],[Fecha ingreso]],Sheet1[[#This Row],[Fecha último pago]],"M")+1</f>
        <v>4</v>
      </c>
      <c r="K861" s="2">
        <f>Sheet1[[#This Row],[Ingresos mensuales]]*Sheet1[[#This Row],[Meses contratados]]</f>
        <v>40.36</v>
      </c>
      <c r="L861" t="s">
        <v>1817</v>
      </c>
      <c r="M861">
        <v>42</v>
      </c>
      <c r="N861" t="s">
        <v>1820</v>
      </c>
      <c r="O861" t="s">
        <v>1825</v>
      </c>
      <c r="P861" t="s">
        <v>1829</v>
      </c>
      <c r="Q861" cm="1">
        <f t="array" ref="Q861">_xlfn.IFS(P861="2 Years", 24,P861="1 Year",12, P861="6 Months",6, P861="1 Month",1)</f>
        <v>1</v>
      </c>
      <c r="R861" t="str" cm="1">
        <f t="array" ref="R861">_xlfn.IFS(Q861=1,"Mensual",Q861=6,"Semestral",Q861=12,"Anual",Q861=24,"Bienal")</f>
        <v>Mensual</v>
      </c>
      <c r="S861">
        <f>IFERROR(VLOOKUP(Sheet1[[#This Row],[ID usuario]],A862:$A$907,1,FALSE),0)</f>
        <v>0</v>
      </c>
    </row>
    <row r="862" spans="1:19" x14ac:dyDescent="0.25">
      <c r="A862" t="s">
        <v>860</v>
      </c>
      <c r="B862" t="s">
        <v>1765</v>
      </c>
      <c r="C862" t="s">
        <v>1812</v>
      </c>
      <c r="D862">
        <v>22.25</v>
      </c>
      <c r="E862" s="1">
        <v>44495</v>
      </c>
      <c r="F862" s="1" t="str">
        <f>TEXT(Sheet1[[#This Row],[Fecha ingreso]],"mmmm")</f>
        <v>octubre</v>
      </c>
      <c r="G862" s="2">
        <f>YEAR(Sheet1[[#This Row],[Fecha ingreso]])</f>
        <v>2021</v>
      </c>
      <c r="H862" s="1" t="str">
        <f>TEXT(Sheet1[[#This Row],[Fecha ingreso]],"dddd")</f>
        <v>martes</v>
      </c>
      <c r="I862" s="1">
        <v>44678</v>
      </c>
      <c r="J862" s="2">
        <f>DATEDIF(Sheet1[[#This Row],[Fecha ingreso]],Sheet1[[#This Row],[Fecha último pago]],"M")+1</f>
        <v>7</v>
      </c>
      <c r="K862" s="2">
        <f>Sheet1[[#This Row],[Ingresos mensuales]]*Sheet1[[#This Row],[Meses contratados]]</f>
        <v>155.75</v>
      </c>
      <c r="L862" t="s">
        <v>1818</v>
      </c>
      <c r="M862">
        <v>48</v>
      </c>
      <c r="N862" t="s">
        <v>1820</v>
      </c>
      <c r="O862" t="s">
        <v>1823</v>
      </c>
      <c r="P862" t="s">
        <v>1827</v>
      </c>
      <c r="Q862" cm="1">
        <f t="array" ref="Q862">_xlfn.IFS(P862="2 Years", 24,P862="1 Year",12, P862="6 Months",6, P862="1 Month",1)</f>
        <v>12</v>
      </c>
      <c r="R862" t="str" cm="1">
        <f t="array" ref="R862">_xlfn.IFS(Q862=1,"Mensual",Q862=6,"Semestral",Q862=12,"Anual",Q862=24,"Bienal")</f>
        <v>Anual</v>
      </c>
      <c r="S862">
        <f>IFERROR(VLOOKUP(Sheet1[[#This Row],[ID usuario]],A863:$A$907,1,FALSE),0)</f>
        <v>0</v>
      </c>
    </row>
    <row r="863" spans="1:19" x14ac:dyDescent="0.25">
      <c r="A863" t="s">
        <v>861</v>
      </c>
      <c r="B863" t="s">
        <v>1766</v>
      </c>
      <c r="C863" t="s">
        <v>1811</v>
      </c>
      <c r="D863">
        <v>15.66</v>
      </c>
      <c r="E863" s="1">
        <v>45330</v>
      </c>
      <c r="F863" s="1" t="str">
        <f>TEXT(Sheet1[[#This Row],[Fecha ingreso]],"mmmm")</f>
        <v>febrero</v>
      </c>
      <c r="G863" s="2">
        <f>YEAR(Sheet1[[#This Row],[Fecha ingreso]])</f>
        <v>2024</v>
      </c>
      <c r="H863" s="1" t="str">
        <f>TEXT(Sheet1[[#This Row],[Fecha ingreso]],"dddd")</f>
        <v>jueves</v>
      </c>
      <c r="I863" s="1">
        <v>45443</v>
      </c>
      <c r="J863" s="2">
        <f>DATEDIF(Sheet1[[#This Row],[Fecha ingreso]],Sheet1[[#This Row],[Fecha último pago]],"M")+1</f>
        <v>4</v>
      </c>
      <c r="K863" s="2">
        <f>Sheet1[[#This Row],[Ingresos mensuales]]*Sheet1[[#This Row],[Meses contratados]]</f>
        <v>62.64</v>
      </c>
      <c r="L863" t="s">
        <v>1814</v>
      </c>
      <c r="M863">
        <v>19</v>
      </c>
      <c r="N863" t="s">
        <v>1820</v>
      </c>
      <c r="O863" t="s">
        <v>1824</v>
      </c>
      <c r="P863" t="s">
        <v>1829</v>
      </c>
      <c r="Q863" cm="1">
        <f t="array" ref="Q863">_xlfn.IFS(P863="2 Years", 24,P863="1 Year",12, P863="6 Months",6, P863="1 Month",1)</f>
        <v>1</v>
      </c>
      <c r="R863" t="str" cm="1">
        <f t="array" ref="R863">_xlfn.IFS(Q863=1,"Mensual",Q863=6,"Semestral",Q863=12,"Anual",Q863=24,"Bienal")</f>
        <v>Mensual</v>
      </c>
      <c r="S863">
        <f>IFERROR(VLOOKUP(Sheet1[[#This Row],[ID usuario]],A864:$A$907,1,FALSE),0)</f>
        <v>0</v>
      </c>
    </row>
    <row r="864" spans="1:19" x14ac:dyDescent="0.25">
      <c r="A864" t="s">
        <v>862</v>
      </c>
      <c r="B864" t="s">
        <v>1767</v>
      </c>
      <c r="C864" t="s">
        <v>1812</v>
      </c>
      <c r="D864">
        <v>23.37</v>
      </c>
      <c r="E864" s="1">
        <v>44766</v>
      </c>
      <c r="F864" s="1" t="str">
        <f>TEXT(Sheet1[[#This Row],[Fecha ingreso]],"mmmm")</f>
        <v>julio</v>
      </c>
      <c r="G864" s="2">
        <f>YEAR(Sheet1[[#This Row],[Fecha ingreso]])</f>
        <v>2022</v>
      </c>
      <c r="H864" s="1" t="str">
        <f>TEXT(Sheet1[[#This Row],[Fecha ingreso]],"dddd")</f>
        <v>domingo</v>
      </c>
      <c r="I864" s="1">
        <v>45122</v>
      </c>
      <c r="J864" s="2">
        <f>DATEDIF(Sheet1[[#This Row],[Fecha ingreso]],Sheet1[[#This Row],[Fecha último pago]],"M")+1</f>
        <v>12</v>
      </c>
      <c r="K864" s="2">
        <f>Sheet1[[#This Row],[Ingresos mensuales]]*Sheet1[[#This Row],[Meses contratados]]</f>
        <v>280.44</v>
      </c>
      <c r="L864" t="s">
        <v>1814</v>
      </c>
      <c r="M864">
        <v>18</v>
      </c>
      <c r="N864" t="s">
        <v>1820</v>
      </c>
      <c r="O864" t="s">
        <v>1825</v>
      </c>
      <c r="P864" t="s">
        <v>1829</v>
      </c>
      <c r="Q864" cm="1">
        <f t="array" ref="Q864">_xlfn.IFS(P864="2 Years", 24,P864="1 Year",12, P864="6 Months",6, P864="1 Month",1)</f>
        <v>1</v>
      </c>
      <c r="R864" t="str" cm="1">
        <f t="array" ref="R864">_xlfn.IFS(Q864=1,"Mensual",Q864=6,"Semestral",Q864=12,"Anual",Q864=24,"Bienal")</f>
        <v>Mensual</v>
      </c>
      <c r="S864">
        <f>IFERROR(VLOOKUP(Sheet1[[#This Row],[ID usuario]],A865:$A$907,1,FALSE),0)</f>
        <v>0</v>
      </c>
    </row>
    <row r="865" spans="1:19" x14ac:dyDescent="0.25">
      <c r="A865" t="s">
        <v>863</v>
      </c>
      <c r="B865" t="s">
        <v>1768</v>
      </c>
      <c r="C865" t="s">
        <v>1811</v>
      </c>
      <c r="D865">
        <v>53.12</v>
      </c>
      <c r="E865" s="1">
        <v>45396</v>
      </c>
      <c r="F865" s="1" t="str">
        <f>TEXT(Sheet1[[#This Row],[Fecha ingreso]],"mmmm")</f>
        <v>abril</v>
      </c>
      <c r="G865" s="2">
        <f>YEAR(Sheet1[[#This Row],[Fecha ingreso]])</f>
        <v>2024</v>
      </c>
      <c r="H865" s="1" t="str">
        <f>TEXT(Sheet1[[#This Row],[Fecha ingreso]],"dddd")</f>
        <v>domingo</v>
      </c>
      <c r="I865" s="1">
        <v>45403</v>
      </c>
      <c r="J865" s="2">
        <f>DATEDIF(Sheet1[[#This Row],[Fecha ingreso]],Sheet1[[#This Row],[Fecha último pago]],"M")+1</f>
        <v>1</v>
      </c>
      <c r="K865" s="2">
        <f>Sheet1[[#This Row],[Ingresos mensuales]]*Sheet1[[#This Row],[Meses contratados]]</f>
        <v>53.12</v>
      </c>
      <c r="L865" t="s">
        <v>1815</v>
      </c>
      <c r="M865">
        <v>63</v>
      </c>
      <c r="N865" t="s">
        <v>1820</v>
      </c>
      <c r="O865" t="s">
        <v>1825</v>
      </c>
      <c r="P865" t="s">
        <v>1826</v>
      </c>
      <c r="Q865" cm="1">
        <f t="array" ref="Q865">_xlfn.IFS(P865="2 Years", 24,P865="1 Year",12, P865="6 Months",6, P865="1 Month",1)</f>
        <v>24</v>
      </c>
      <c r="R865" t="str" cm="1">
        <f t="array" ref="R865">_xlfn.IFS(Q865=1,"Mensual",Q865=6,"Semestral",Q865=12,"Anual",Q865=24,"Bienal")</f>
        <v>Bienal</v>
      </c>
      <c r="S865">
        <f>IFERROR(VLOOKUP(Sheet1[[#This Row],[ID usuario]],A866:$A$907,1,FALSE),0)</f>
        <v>0</v>
      </c>
    </row>
    <row r="866" spans="1:19" x14ac:dyDescent="0.25">
      <c r="A866" t="s">
        <v>864</v>
      </c>
      <c r="B866" t="s">
        <v>1769</v>
      </c>
      <c r="C866" t="s">
        <v>1811</v>
      </c>
      <c r="D866">
        <v>64.8</v>
      </c>
      <c r="E866" s="1">
        <v>44995</v>
      </c>
      <c r="F866" s="1" t="str">
        <f>TEXT(Sheet1[[#This Row],[Fecha ingreso]],"mmmm")</f>
        <v>marzo</v>
      </c>
      <c r="G866" s="2">
        <f>YEAR(Sheet1[[#This Row],[Fecha ingreso]])</f>
        <v>2023</v>
      </c>
      <c r="H866" s="1" t="str">
        <f>TEXT(Sheet1[[#This Row],[Fecha ingreso]],"dddd")</f>
        <v>viernes</v>
      </c>
      <c r="I866" s="1">
        <v>45057</v>
      </c>
      <c r="J866" s="2">
        <f>DATEDIF(Sheet1[[#This Row],[Fecha ingreso]],Sheet1[[#This Row],[Fecha último pago]],"M")+1</f>
        <v>3</v>
      </c>
      <c r="K866" s="2">
        <f>Sheet1[[#This Row],[Ingresos mensuales]]*Sheet1[[#This Row],[Meses contratados]]</f>
        <v>194.39999999999998</v>
      </c>
      <c r="L866" t="s">
        <v>1818</v>
      </c>
      <c r="M866">
        <v>65</v>
      </c>
      <c r="N866" t="s">
        <v>1820</v>
      </c>
      <c r="O866" t="s">
        <v>1825</v>
      </c>
      <c r="P866" t="s">
        <v>1829</v>
      </c>
      <c r="Q866" cm="1">
        <f t="array" ref="Q866">_xlfn.IFS(P866="2 Years", 24,P866="1 Year",12, P866="6 Months",6, P866="1 Month",1)</f>
        <v>1</v>
      </c>
      <c r="R866" t="str" cm="1">
        <f t="array" ref="R866">_xlfn.IFS(Q866=1,"Mensual",Q866=6,"Semestral",Q866=12,"Anual",Q866=24,"Bienal")</f>
        <v>Mensual</v>
      </c>
      <c r="S866">
        <f>IFERROR(VLOOKUP(Sheet1[[#This Row],[ID usuario]],A867:$A$907,1,FALSE),0)</f>
        <v>0</v>
      </c>
    </row>
    <row r="867" spans="1:19" x14ac:dyDescent="0.25">
      <c r="A867" t="s">
        <v>865</v>
      </c>
      <c r="B867" t="s">
        <v>1770</v>
      </c>
      <c r="C867" t="s">
        <v>1812</v>
      </c>
      <c r="D867">
        <v>74.55</v>
      </c>
      <c r="E867" s="1">
        <v>44810</v>
      </c>
      <c r="F867" s="1" t="str">
        <f>TEXT(Sheet1[[#This Row],[Fecha ingreso]],"mmmm")</f>
        <v>septiembre</v>
      </c>
      <c r="G867" s="2">
        <f>YEAR(Sheet1[[#This Row],[Fecha ingreso]])</f>
        <v>2022</v>
      </c>
      <c r="H867" s="1" t="str">
        <f>TEXT(Sheet1[[#This Row],[Fecha ingreso]],"dddd")</f>
        <v>martes</v>
      </c>
      <c r="I867" s="1">
        <v>44970</v>
      </c>
      <c r="J867" s="2">
        <f>DATEDIF(Sheet1[[#This Row],[Fecha ingreso]],Sheet1[[#This Row],[Fecha último pago]],"M")+1</f>
        <v>6</v>
      </c>
      <c r="K867" s="2">
        <f>Sheet1[[#This Row],[Ingresos mensuales]]*Sheet1[[#This Row],[Meses contratados]]</f>
        <v>447.29999999999995</v>
      </c>
      <c r="L867" t="s">
        <v>1817</v>
      </c>
      <c r="M867">
        <v>22</v>
      </c>
      <c r="N867" t="s">
        <v>1822</v>
      </c>
      <c r="O867" t="s">
        <v>1823</v>
      </c>
      <c r="P867" t="s">
        <v>1829</v>
      </c>
      <c r="Q867" cm="1">
        <f t="array" ref="Q867">_xlfn.IFS(P867="2 Years", 24,P867="1 Year",12, P867="6 Months",6, P867="1 Month",1)</f>
        <v>1</v>
      </c>
      <c r="R867" t="str" cm="1">
        <f t="array" ref="R867">_xlfn.IFS(Q867=1,"Mensual",Q867=6,"Semestral",Q867=12,"Anual",Q867=24,"Bienal")</f>
        <v>Mensual</v>
      </c>
      <c r="S867">
        <f>IFERROR(VLOOKUP(Sheet1[[#This Row],[ID usuario]],A868:$A$907,1,FALSE),0)</f>
        <v>0</v>
      </c>
    </row>
    <row r="868" spans="1:19" x14ac:dyDescent="0.25">
      <c r="A868" t="s">
        <v>866</v>
      </c>
      <c r="B868" t="s">
        <v>1771</v>
      </c>
      <c r="C868" t="s">
        <v>1810</v>
      </c>
      <c r="D868">
        <v>89.56</v>
      </c>
      <c r="E868" s="1">
        <v>45025</v>
      </c>
      <c r="F868" s="1" t="str">
        <f>TEXT(Sheet1[[#This Row],[Fecha ingreso]],"mmmm")</f>
        <v>abril</v>
      </c>
      <c r="G868" s="2">
        <f>YEAR(Sheet1[[#This Row],[Fecha ingreso]])</f>
        <v>2023</v>
      </c>
      <c r="H868" s="1" t="str">
        <f>TEXT(Sheet1[[#This Row],[Fecha ingreso]],"dddd")</f>
        <v>domingo</v>
      </c>
      <c r="I868" s="1">
        <v>45338</v>
      </c>
      <c r="J868" s="2">
        <f>DATEDIF(Sheet1[[#This Row],[Fecha ingreso]],Sheet1[[#This Row],[Fecha último pago]],"M")+1</f>
        <v>11</v>
      </c>
      <c r="K868" s="2">
        <f>Sheet1[[#This Row],[Ingresos mensuales]]*Sheet1[[#This Row],[Meses contratados]]</f>
        <v>985.16000000000008</v>
      </c>
      <c r="L868" t="s">
        <v>1814</v>
      </c>
      <c r="M868">
        <v>18</v>
      </c>
      <c r="N868" t="s">
        <v>1822</v>
      </c>
      <c r="O868" t="s">
        <v>1824</v>
      </c>
      <c r="P868" t="s">
        <v>1829</v>
      </c>
      <c r="Q868" cm="1">
        <f t="array" ref="Q868">_xlfn.IFS(P868="2 Years", 24,P868="1 Year",12, P868="6 Months",6, P868="1 Month",1)</f>
        <v>1</v>
      </c>
      <c r="R868" t="str" cm="1">
        <f t="array" ref="R868">_xlfn.IFS(Q868=1,"Mensual",Q868=6,"Semestral",Q868=12,"Anual",Q868=24,"Bienal")</f>
        <v>Mensual</v>
      </c>
      <c r="S868">
        <f>IFERROR(VLOOKUP(Sheet1[[#This Row],[ID usuario]],A869:$A$907,1,FALSE),0)</f>
        <v>0</v>
      </c>
    </row>
    <row r="869" spans="1:19" x14ac:dyDescent="0.25">
      <c r="A869" t="s">
        <v>867</v>
      </c>
      <c r="B869" t="s">
        <v>1772</v>
      </c>
      <c r="C869" t="s">
        <v>1812</v>
      </c>
      <c r="D869">
        <v>98.96</v>
      </c>
      <c r="E869" s="1">
        <v>44709</v>
      </c>
      <c r="F869" s="1" t="str">
        <f>TEXT(Sheet1[[#This Row],[Fecha ingreso]],"mmmm")</f>
        <v>mayo</v>
      </c>
      <c r="G869" s="2">
        <f>YEAR(Sheet1[[#This Row],[Fecha ingreso]])</f>
        <v>2022</v>
      </c>
      <c r="H869" s="1" t="str">
        <f>TEXT(Sheet1[[#This Row],[Fecha ingreso]],"dddd")</f>
        <v>sábado</v>
      </c>
      <c r="I869" s="1">
        <v>44909</v>
      </c>
      <c r="J869" s="2">
        <f>DATEDIF(Sheet1[[#This Row],[Fecha ingreso]],Sheet1[[#This Row],[Fecha último pago]],"M")+1</f>
        <v>7</v>
      </c>
      <c r="K869" s="2">
        <f>Sheet1[[#This Row],[Ingresos mensuales]]*Sheet1[[#This Row],[Meses contratados]]</f>
        <v>692.71999999999991</v>
      </c>
      <c r="L869" t="s">
        <v>1813</v>
      </c>
      <c r="M869">
        <v>54</v>
      </c>
      <c r="N869" t="s">
        <v>1821</v>
      </c>
      <c r="O869" t="s">
        <v>1824</v>
      </c>
      <c r="P869" t="s">
        <v>1826</v>
      </c>
      <c r="Q869" cm="1">
        <f t="array" ref="Q869">_xlfn.IFS(P869="2 Years", 24,P869="1 Year",12, P869="6 Months",6, P869="1 Month",1)</f>
        <v>24</v>
      </c>
      <c r="R869" t="str" cm="1">
        <f t="array" ref="R869">_xlfn.IFS(Q869=1,"Mensual",Q869=6,"Semestral",Q869=12,"Anual",Q869=24,"Bienal")</f>
        <v>Bienal</v>
      </c>
      <c r="S869">
        <f>IFERROR(VLOOKUP(Sheet1[[#This Row],[ID usuario]],A870:$A$907,1,FALSE),0)</f>
        <v>0</v>
      </c>
    </row>
    <row r="870" spans="1:19" x14ac:dyDescent="0.25">
      <c r="A870" t="s">
        <v>868</v>
      </c>
      <c r="B870" t="s">
        <v>1773</v>
      </c>
      <c r="C870" t="s">
        <v>1810</v>
      </c>
      <c r="D870">
        <v>67.97</v>
      </c>
      <c r="E870" s="1">
        <v>44990</v>
      </c>
      <c r="F870" s="1" t="str">
        <f>TEXT(Sheet1[[#This Row],[Fecha ingreso]],"mmmm")</f>
        <v>marzo</v>
      </c>
      <c r="G870" s="2">
        <f>YEAR(Sheet1[[#This Row],[Fecha ingreso]])</f>
        <v>2023</v>
      </c>
      <c r="H870" s="1" t="str">
        <f>TEXT(Sheet1[[#This Row],[Fecha ingreso]],"dddd")</f>
        <v>domingo</v>
      </c>
      <c r="I870" s="1">
        <v>45430</v>
      </c>
      <c r="J870" s="2">
        <f>DATEDIF(Sheet1[[#This Row],[Fecha ingreso]],Sheet1[[#This Row],[Fecha último pago]],"M")+1</f>
        <v>15</v>
      </c>
      <c r="K870" s="2">
        <f>Sheet1[[#This Row],[Ingresos mensuales]]*Sheet1[[#This Row],[Meses contratados]]</f>
        <v>1019.55</v>
      </c>
      <c r="L870" t="s">
        <v>1816</v>
      </c>
      <c r="M870">
        <v>68</v>
      </c>
      <c r="N870" t="s">
        <v>1821</v>
      </c>
      <c r="O870" t="s">
        <v>1824</v>
      </c>
      <c r="P870" t="s">
        <v>1826</v>
      </c>
      <c r="Q870" cm="1">
        <f t="array" ref="Q870">_xlfn.IFS(P870="2 Years", 24,P870="1 Year",12, P870="6 Months",6, P870="1 Month",1)</f>
        <v>24</v>
      </c>
      <c r="R870" t="str" cm="1">
        <f t="array" ref="R870">_xlfn.IFS(Q870=1,"Mensual",Q870=6,"Semestral",Q870=12,"Anual",Q870=24,"Bienal")</f>
        <v>Bienal</v>
      </c>
      <c r="S870">
        <f>IFERROR(VLOOKUP(Sheet1[[#This Row],[ID usuario]],A871:$A$907,1,FALSE),0)</f>
        <v>0</v>
      </c>
    </row>
    <row r="871" spans="1:19" x14ac:dyDescent="0.25">
      <c r="A871" t="s">
        <v>869</v>
      </c>
      <c r="B871" t="s">
        <v>1774</v>
      </c>
      <c r="C871" t="s">
        <v>1810</v>
      </c>
      <c r="D871">
        <v>85.31</v>
      </c>
      <c r="E871" s="1">
        <v>44377</v>
      </c>
      <c r="F871" s="1" t="str">
        <f>TEXT(Sheet1[[#This Row],[Fecha ingreso]],"mmmm")</f>
        <v>junio</v>
      </c>
      <c r="G871" s="2">
        <f>YEAR(Sheet1[[#This Row],[Fecha ingreso]])</f>
        <v>2021</v>
      </c>
      <c r="H871" s="1" t="str">
        <f>TEXT(Sheet1[[#This Row],[Fecha ingreso]],"dddd")</f>
        <v>miércoles</v>
      </c>
      <c r="I871" s="1">
        <v>44747</v>
      </c>
      <c r="J871" s="2">
        <f>DATEDIF(Sheet1[[#This Row],[Fecha ingreso]],Sheet1[[#This Row],[Fecha último pago]],"M")+1</f>
        <v>13</v>
      </c>
      <c r="K871" s="2">
        <f>Sheet1[[#This Row],[Ingresos mensuales]]*Sheet1[[#This Row],[Meses contratados]]</f>
        <v>1109.03</v>
      </c>
      <c r="L871" t="s">
        <v>1815</v>
      </c>
      <c r="M871">
        <v>38</v>
      </c>
      <c r="N871" t="s">
        <v>1821</v>
      </c>
      <c r="O871" t="s">
        <v>1825</v>
      </c>
      <c r="P871" t="s">
        <v>1829</v>
      </c>
      <c r="Q871" cm="1">
        <f t="array" ref="Q871">_xlfn.IFS(P871="2 Years", 24,P871="1 Year",12, P871="6 Months",6, P871="1 Month",1)</f>
        <v>1</v>
      </c>
      <c r="R871" t="str" cm="1">
        <f t="array" ref="R871">_xlfn.IFS(Q871=1,"Mensual",Q871=6,"Semestral",Q871=12,"Anual",Q871=24,"Bienal")</f>
        <v>Mensual</v>
      </c>
      <c r="S871">
        <f>IFERROR(VLOOKUP(Sheet1[[#This Row],[ID usuario]],A872:$A$907,1,FALSE),0)</f>
        <v>0</v>
      </c>
    </row>
    <row r="872" spans="1:19" x14ac:dyDescent="0.25">
      <c r="A872" t="s">
        <v>870</v>
      </c>
      <c r="B872" t="s">
        <v>1775</v>
      </c>
      <c r="C872" t="s">
        <v>1812</v>
      </c>
      <c r="D872">
        <v>78.91</v>
      </c>
      <c r="E872" s="1">
        <v>44407</v>
      </c>
      <c r="F872" s="1" t="str">
        <f>TEXT(Sheet1[[#This Row],[Fecha ingreso]],"mmmm")</f>
        <v>julio</v>
      </c>
      <c r="G872" s="2">
        <f>YEAR(Sheet1[[#This Row],[Fecha ingreso]])</f>
        <v>2021</v>
      </c>
      <c r="H872" s="1" t="str">
        <f>TEXT(Sheet1[[#This Row],[Fecha ingreso]],"dddd")</f>
        <v>viernes</v>
      </c>
      <c r="I872" s="1">
        <v>45256</v>
      </c>
      <c r="J872" s="2">
        <f>DATEDIF(Sheet1[[#This Row],[Fecha ingreso]],Sheet1[[#This Row],[Fecha último pago]],"M")+1</f>
        <v>28</v>
      </c>
      <c r="K872" s="2">
        <f>Sheet1[[#This Row],[Ingresos mensuales]]*Sheet1[[#This Row],[Meses contratados]]</f>
        <v>2209.48</v>
      </c>
      <c r="L872" t="s">
        <v>1813</v>
      </c>
      <c r="M872">
        <v>22</v>
      </c>
      <c r="N872" t="s">
        <v>1820</v>
      </c>
      <c r="O872" t="s">
        <v>1825</v>
      </c>
      <c r="P872" t="s">
        <v>1829</v>
      </c>
      <c r="Q872" cm="1">
        <f t="array" ref="Q872">_xlfn.IFS(P872="2 Years", 24,P872="1 Year",12, P872="6 Months",6, P872="1 Month",1)</f>
        <v>1</v>
      </c>
      <c r="R872" t="str" cm="1">
        <f t="array" ref="R872">_xlfn.IFS(Q872=1,"Mensual",Q872=6,"Semestral",Q872=12,"Anual",Q872=24,"Bienal")</f>
        <v>Mensual</v>
      </c>
      <c r="S872">
        <f>IFERROR(VLOOKUP(Sheet1[[#This Row],[ID usuario]],A873:$A$907,1,FALSE),0)</f>
        <v>0</v>
      </c>
    </row>
    <row r="873" spans="1:19" x14ac:dyDescent="0.25">
      <c r="A873" t="s">
        <v>871</v>
      </c>
      <c r="B873" t="s">
        <v>1776</v>
      </c>
      <c r="C873" t="s">
        <v>1811</v>
      </c>
      <c r="D873">
        <v>34.22</v>
      </c>
      <c r="E873" s="1">
        <v>45113</v>
      </c>
      <c r="F873" s="1" t="str">
        <f>TEXT(Sheet1[[#This Row],[Fecha ingreso]],"mmmm")</f>
        <v>julio</v>
      </c>
      <c r="G873" s="2">
        <f>YEAR(Sheet1[[#This Row],[Fecha ingreso]])</f>
        <v>2023</v>
      </c>
      <c r="H873" s="1" t="str">
        <f>TEXT(Sheet1[[#This Row],[Fecha ingreso]],"dddd")</f>
        <v>jueves</v>
      </c>
      <c r="I873" s="1">
        <v>45330</v>
      </c>
      <c r="J873" s="2">
        <f>DATEDIF(Sheet1[[#This Row],[Fecha ingreso]],Sheet1[[#This Row],[Fecha último pago]],"M")+1</f>
        <v>8</v>
      </c>
      <c r="K873" s="2">
        <f>Sheet1[[#This Row],[Ingresos mensuales]]*Sheet1[[#This Row],[Meses contratados]]</f>
        <v>273.76</v>
      </c>
      <c r="L873" t="s">
        <v>1818</v>
      </c>
      <c r="M873">
        <v>23</v>
      </c>
      <c r="N873" t="s">
        <v>1822</v>
      </c>
      <c r="O873" t="s">
        <v>1825</v>
      </c>
      <c r="P873" t="s">
        <v>1827</v>
      </c>
      <c r="Q873" cm="1">
        <f t="array" ref="Q873">_xlfn.IFS(P873="2 Years", 24,P873="1 Year",12, P873="6 Months",6, P873="1 Month",1)</f>
        <v>12</v>
      </c>
      <c r="R873" t="str" cm="1">
        <f t="array" ref="R873">_xlfn.IFS(Q873=1,"Mensual",Q873=6,"Semestral",Q873=12,"Anual",Q873=24,"Bienal")</f>
        <v>Anual</v>
      </c>
      <c r="S873">
        <f>IFERROR(VLOOKUP(Sheet1[[#This Row],[ID usuario]],A874:$A$907,1,FALSE),0)</f>
        <v>0</v>
      </c>
    </row>
    <row r="874" spans="1:19" x14ac:dyDescent="0.25">
      <c r="A874" t="s">
        <v>872</v>
      </c>
      <c r="B874" t="s">
        <v>1777</v>
      </c>
      <c r="C874" t="s">
        <v>1812</v>
      </c>
      <c r="D874">
        <v>9.06</v>
      </c>
      <c r="E874" s="1">
        <v>44949</v>
      </c>
      <c r="F874" s="1" t="str">
        <f>TEXT(Sheet1[[#This Row],[Fecha ingreso]],"mmmm")</f>
        <v>enero</v>
      </c>
      <c r="G874" s="2">
        <f>YEAR(Sheet1[[#This Row],[Fecha ingreso]])</f>
        <v>2023</v>
      </c>
      <c r="H874" s="1" t="str">
        <f>TEXT(Sheet1[[#This Row],[Fecha ingreso]],"dddd")</f>
        <v>lunes</v>
      </c>
      <c r="I874" s="1">
        <v>45375</v>
      </c>
      <c r="J874" s="2">
        <f>DATEDIF(Sheet1[[#This Row],[Fecha ingreso]],Sheet1[[#This Row],[Fecha último pago]],"M")+1</f>
        <v>15</v>
      </c>
      <c r="K874" s="2">
        <f>Sheet1[[#This Row],[Ingresos mensuales]]*Sheet1[[#This Row],[Meses contratados]]</f>
        <v>135.9</v>
      </c>
      <c r="L874" t="s">
        <v>1817</v>
      </c>
      <c r="M874">
        <v>40</v>
      </c>
      <c r="N874" t="s">
        <v>1822</v>
      </c>
      <c r="O874" t="s">
        <v>1823</v>
      </c>
      <c r="P874" t="s">
        <v>1828</v>
      </c>
      <c r="Q874" cm="1">
        <f t="array" ref="Q874">_xlfn.IFS(P874="2 Years", 24,P874="1 Year",12, P874="6 Months",6, P874="1 Month",1)</f>
        <v>6</v>
      </c>
      <c r="R874" t="str" cm="1">
        <f t="array" ref="R874">_xlfn.IFS(Q874=1,"Mensual",Q874=6,"Semestral",Q874=12,"Anual",Q874=24,"Bienal")</f>
        <v>Semestral</v>
      </c>
      <c r="S874">
        <f>IFERROR(VLOOKUP(Sheet1[[#This Row],[ID usuario]],A875:$A$907,1,FALSE),0)</f>
        <v>0</v>
      </c>
    </row>
    <row r="875" spans="1:19" x14ac:dyDescent="0.25">
      <c r="A875" t="s">
        <v>873</v>
      </c>
      <c r="B875" t="s">
        <v>1778</v>
      </c>
      <c r="C875" t="s">
        <v>1810</v>
      </c>
      <c r="D875">
        <v>5.03</v>
      </c>
      <c r="E875" s="1">
        <v>44675</v>
      </c>
      <c r="F875" s="1" t="str">
        <f>TEXT(Sheet1[[#This Row],[Fecha ingreso]],"mmmm")</f>
        <v>abril</v>
      </c>
      <c r="G875" s="2">
        <f>YEAR(Sheet1[[#This Row],[Fecha ingreso]])</f>
        <v>2022</v>
      </c>
      <c r="H875" s="1" t="str">
        <f>TEXT(Sheet1[[#This Row],[Fecha ingreso]],"dddd")</f>
        <v>domingo</v>
      </c>
      <c r="I875" s="1">
        <v>44694</v>
      </c>
      <c r="J875" s="2">
        <f>DATEDIF(Sheet1[[#This Row],[Fecha ingreso]],Sheet1[[#This Row],[Fecha último pago]],"M")+1</f>
        <v>1</v>
      </c>
      <c r="K875" s="2">
        <f>Sheet1[[#This Row],[Ingresos mensuales]]*Sheet1[[#This Row],[Meses contratados]]</f>
        <v>5.03</v>
      </c>
      <c r="L875" t="s">
        <v>1818</v>
      </c>
      <c r="M875">
        <v>33</v>
      </c>
      <c r="N875" t="s">
        <v>1821</v>
      </c>
      <c r="O875" t="s">
        <v>1823</v>
      </c>
      <c r="P875" t="s">
        <v>1826</v>
      </c>
      <c r="Q875" cm="1">
        <f t="array" ref="Q875">_xlfn.IFS(P875="2 Years", 24,P875="1 Year",12, P875="6 Months",6, P875="1 Month",1)</f>
        <v>24</v>
      </c>
      <c r="R875" t="str" cm="1">
        <f t="array" ref="R875">_xlfn.IFS(Q875=1,"Mensual",Q875=6,"Semestral",Q875=12,"Anual",Q875=24,"Bienal")</f>
        <v>Bienal</v>
      </c>
      <c r="S875">
        <f>IFERROR(VLOOKUP(Sheet1[[#This Row],[ID usuario]],A876:$A$907,1,FALSE),0)</f>
        <v>0</v>
      </c>
    </row>
    <row r="876" spans="1:19" x14ac:dyDescent="0.25">
      <c r="A876" t="s">
        <v>874</v>
      </c>
      <c r="B876" t="s">
        <v>1779</v>
      </c>
      <c r="C876" t="s">
        <v>1812</v>
      </c>
      <c r="D876">
        <v>31</v>
      </c>
      <c r="E876" s="1">
        <v>44759</v>
      </c>
      <c r="F876" s="1" t="str">
        <f>TEXT(Sheet1[[#This Row],[Fecha ingreso]],"mmmm")</f>
        <v>julio</v>
      </c>
      <c r="G876" s="2">
        <f>YEAR(Sheet1[[#This Row],[Fecha ingreso]])</f>
        <v>2022</v>
      </c>
      <c r="H876" s="1" t="str">
        <f>TEXT(Sheet1[[#This Row],[Fecha ingreso]],"dddd")</f>
        <v>domingo</v>
      </c>
      <c r="I876" s="1">
        <v>45189</v>
      </c>
      <c r="J876" s="2">
        <f>DATEDIF(Sheet1[[#This Row],[Fecha ingreso]],Sheet1[[#This Row],[Fecha último pago]],"M")+1</f>
        <v>15</v>
      </c>
      <c r="K876" s="2">
        <f>Sheet1[[#This Row],[Ingresos mensuales]]*Sheet1[[#This Row],[Meses contratados]]</f>
        <v>465</v>
      </c>
      <c r="L876" t="s">
        <v>1818</v>
      </c>
      <c r="M876">
        <v>37</v>
      </c>
      <c r="N876" t="s">
        <v>1820</v>
      </c>
      <c r="O876" t="s">
        <v>1825</v>
      </c>
      <c r="P876" t="s">
        <v>1827</v>
      </c>
      <c r="Q876" cm="1">
        <f t="array" ref="Q876">_xlfn.IFS(P876="2 Years", 24,P876="1 Year",12, P876="6 Months",6, P876="1 Month",1)</f>
        <v>12</v>
      </c>
      <c r="R876" t="str" cm="1">
        <f t="array" ref="R876">_xlfn.IFS(Q876=1,"Mensual",Q876=6,"Semestral",Q876=12,"Anual",Q876=24,"Bienal")</f>
        <v>Anual</v>
      </c>
      <c r="S876">
        <f>IFERROR(VLOOKUP(Sheet1[[#This Row],[ID usuario]],A877:$A$907,1,FALSE),0)</f>
        <v>0</v>
      </c>
    </row>
    <row r="877" spans="1:19" x14ac:dyDescent="0.25">
      <c r="A877" t="s">
        <v>875</v>
      </c>
      <c r="B877" t="s">
        <v>1780</v>
      </c>
      <c r="C877" t="s">
        <v>1811</v>
      </c>
      <c r="D877">
        <v>48.9</v>
      </c>
      <c r="E877" s="1">
        <v>45272</v>
      </c>
      <c r="F877" s="1" t="str">
        <f>TEXT(Sheet1[[#This Row],[Fecha ingreso]],"mmmm")</f>
        <v>diciembre</v>
      </c>
      <c r="G877" s="2">
        <f>YEAR(Sheet1[[#This Row],[Fecha ingreso]])</f>
        <v>2023</v>
      </c>
      <c r="H877" s="1" t="str">
        <f>TEXT(Sheet1[[#This Row],[Fecha ingreso]],"dddd")</f>
        <v>martes</v>
      </c>
      <c r="I877" s="1">
        <v>45393</v>
      </c>
      <c r="J877" s="2">
        <f>DATEDIF(Sheet1[[#This Row],[Fecha ingreso]],Sheet1[[#This Row],[Fecha último pago]],"M")+1</f>
        <v>4</v>
      </c>
      <c r="K877" s="2">
        <f>Sheet1[[#This Row],[Ingresos mensuales]]*Sheet1[[#This Row],[Meses contratados]]</f>
        <v>195.6</v>
      </c>
      <c r="L877" t="s">
        <v>1813</v>
      </c>
      <c r="M877">
        <v>30</v>
      </c>
      <c r="N877" t="s">
        <v>1822</v>
      </c>
      <c r="O877" t="s">
        <v>1823</v>
      </c>
      <c r="P877" t="s">
        <v>1828</v>
      </c>
      <c r="Q877" cm="1">
        <f t="array" ref="Q877">_xlfn.IFS(P877="2 Years", 24,P877="1 Year",12, P877="6 Months",6, P877="1 Month",1)</f>
        <v>6</v>
      </c>
      <c r="R877" t="str" cm="1">
        <f t="array" ref="R877">_xlfn.IFS(Q877=1,"Mensual",Q877=6,"Semestral",Q877=12,"Anual",Q877=24,"Bienal")</f>
        <v>Semestral</v>
      </c>
      <c r="S877">
        <f>IFERROR(VLOOKUP(Sheet1[[#This Row],[ID usuario]],A878:$A$907,1,FALSE),0)</f>
        <v>0</v>
      </c>
    </row>
    <row r="878" spans="1:19" x14ac:dyDescent="0.25">
      <c r="A878" t="s">
        <v>876</v>
      </c>
      <c r="B878" t="s">
        <v>1781</v>
      </c>
      <c r="C878" t="s">
        <v>1812</v>
      </c>
      <c r="D878">
        <v>65.64</v>
      </c>
      <c r="E878" s="1">
        <v>45370</v>
      </c>
      <c r="F878" s="1" t="str">
        <f>TEXT(Sheet1[[#This Row],[Fecha ingreso]],"mmmm")</f>
        <v>marzo</v>
      </c>
      <c r="G878" s="2">
        <f>YEAR(Sheet1[[#This Row],[Fecha ingreso]])</f>
        <v>2024</v>
      </c>
      <c r="H878" s="1" t="str">
        <f>TEXT(Sheet1[[#This Row],[Fecha ingreso]],"dddd")</f>
        <v>martes</v>
      </c>
      <c r="I878" s="1">
        <v>45446</v>
      </c>
      <c r="J878" s="2">
        <f>DATEDIF(Sheet1[[#This Row],[Fecha ingreso]],Sheet1[[#This Row],[Fecha último pago]],"M")+1</f>
        <v>3</v>
      </c>
      <c r="K878" s="2">
        <f>Sheet1[[#This Row],[Ingresos mensuales]]*Sheet1[[#This Row],[Meses contratados]]</f>
        <v>196.92000000000002</v>
      </c>
      <c r="L878" t="s">
        <v>1813</v>
      </c>
      <c r="M878">
        <v>57</v>
      </c>
      <c r="N878" t="s">
        <v>1821</v>
      </c>
      <c r="O878" t="s">
        <v>1823</v>
      </c>
      <c r="P878" t="s">
        <v>1829</v>
      </c>
      <c r="Q878" cm="1">
        <f t="array" ref="Q878">_xlfn.IFS(P878="2 Years", 24,P878="1 Year",12, P878="6 Months",6, P878="1 Month",1)</f>
        <v>1</v>
      </c>
      <c r="R878" t="str" cm="1">
        <f t="array" ref="R878">_xlfn.IFS(Q878=1,"Mensual",Q878=6,"Semestral",Q878=12,"Anual",Q878=24,"Bienal")</f>
        <v>Mensual</v>
      </c>
      <c r="S878">
        <f>IFERROR(VLOOKUP(Sheet1[[#This Row],[ID usuario]],A879:$A$907,1,FALSE),0)</f>
        <v>0</v>
      </c>
    </row>
    <row r="879" spans="1:19" x14ac:dyDescent="0.25">
      <c r="A879" t="s">
        <v>877</v>
      </c>
      <c r="B879" t="s">
        <v>1782</v>
      </c>
      <c r="C879" t="s">
        <v>1812</v>
      </c>
      <c r="D879">
        <v>14.67</v>
      </c>
      <c r="E879" s="1">
        <v>45129</v>
      </c>
      <c r="F879" s="1" t="str">
        <f>TEXT(Sheet1[[#This Row],[Fecha ingreso]],"mmmm")</f>
        <v>julio</v>
      </c>
      <c r="G879" s="2">
        <f>YEAR(Sheet1[[#This Row],[Fecha ingreso]])</f>
        <v>2023</v>
      </c>
      <c r="H879" s="1" t="str">
        <f>TEXT(Sheet1[[#This Row],[Fecha ingreso]],"dddd")</f>
        <v>sábado</v>
      </c>
      <c r="I879" s="1">
        <v>45227</v>
      </c>
      <c r="J879" s="2">
        <f>DATEDIF(Sheet1[[#This Row],[Fecha ingreso]],Sheet1[[#This Row],[Fecha último pago]],"M")+1</f>
        <v>4</v>
      </c>
      <c r="K879" s="2">
        <f>Sheet1[[#This Row],[Ingresos mensuales]]*Sheet1[[#This Row],[Meses contratados]]</f>
        <v>58.68</v>
      </c>
      <c r="L879" t="s">
        <v>1814</v>
      </c>
      <c r="M879">
        <v>50</v>
      </c>
      <c r="N879" t="s">
        <v>1821</v>
      </c>
      <c r="O879" t="s">
        <v>1825</v>
      </c>
      <c r="P879" t="s">
        <v>1827</v>
      </c>
      <c r="Q879" cm="1">
        <f t="array" ref="Q879">_xlfn.IFS(P879="2 Years", 24,P879="1 Year",12, P879="6 Months",6, P879="1 Month",1)</f>
        <v>12</v>
      </c>
      <c r="R879" t="str" cm="1">
        <f t="array" ref="R879">_xlfn.IFS(Q879=1,"Mensual",Q879=6,"Semestral",Q879=12,"Anual",Q879=24,"Bienal")</f>
        <v>Anual</v>
      </c>
      <c r="S879">
        <f>IFERROR(VLOOKUP(Sheet1[[#This Row],[ID usuario]],A880:$A$907,1,FALSE),0)</f>
        <v>0</v>
      </c>
    </row>
    <row r="880" spans="1:19" x14ac:dyDescent="0.25">
      <c r="A880" t="s">
        <v>878</v>
      </c>
      <c r="B880" t="s">
        <v>1783</v>
      </c>
      <c r="C880" t="s">
        <v>1810</v>
      </c>
      <c r="D880">
        <v>68.94</v>
      </c>
      <c r="E880" s="1">
        <v>44778</v>
      </c>
      <c r="F880" s="1" t="str">
        <f>TEXT(Sheet1[[#This Row],[Fecha ingreso]],"mmmm")</f>
        <v>agosto</v>
      </c>
      <c r="G880" s="2">
        <f>YEAR(Sheet1[[#This Row],[Fecha ingreso]])</f>
        <v>2022</v>
      </c>
      <c r="H880" s="1" t="str">
        <f>TEXT(Sheet1[[#This Row],[Fecha ingreso]],"dddd")</f>
        <v>viernes</v>
      </c>
      <c r="I880" s="1">
        <v>44926</v>
      </c>
      <c r="J880" s="2">
        <f>DATEDIF(Sheet1[[#This Row],[Fecha ingreso]],Sheet1[[#This Row],[Fecha último pago]],"M")+1</f>
        <v>5</v>
      </c>
      <c r="K880" s="2">
        <f>Sheet1[[#This Row],[Ingresos mensuales]]*Sheet1[[#This Row],[Meses contratados]]</f>
        <v>344.7</v>
      </c>
      <c r="L880" t="s">
        <v>1813</v>
      </c>
      <c r="M880">
        <v>48</v>
      </c>
      <c r="N880" t="s">
        <v>1822</v>
      </c>
      <c r="O880" t="s">
        <v>1825</v>
      </c>
      <c r="P880" t="s">
        <v>1827</v>
      </c>
      <c r="Q880" cm="1">
        <f t="array" ref="Q880">_xlfn.IFS(P880="2 Years", 24,P880="1 Year",12, P880="6 Months",6, P880="1 Month",1)</f>
        <v>12</v>
      </c>
      <c r="R880" t="str" cm="1">
        <f t="array" ref="R880">_xlfn.IFS(Q880=1,"Mensual",Q880=6,"Semestral",Q880=12,"Anual",Q880=24,"Bienal")</f>
        <v>Anual</v>
      </c>
      <c r="S880">
        <f>IFERROR(VLOOKUP(Sheet1[[#This Row],[ID usuario]],A881:$A$907,1,FALSE),0)</f>
        <v>0</v>
      </c>
    </row>
    <row r="881" spans="1:19" x14ac:dyDescent="0.25">
      <c r="A881" t="s">
        <v>879</v>
      </c>
      <c r="B881" t="s">
        <v>1784</v>
      </c>
      <c r="C881" t="s">
        <v>1811</v>
      </c>
      <c r="D881">
        <v>81.17</v>
      </c>
      <c r="E881" s="1">
        <v>44818</v>
      </c>
      <c r="F881" s="1" t="str">
        <f>TEXT(Sheet1[[#This Row],[Fecha ingreso]],"mmmm")</f>
        <v>septiembre</v>
      </c>
      <c r="G881" s="2">
        <f>YEAR(Sheet1[[#This Row],[Fecha ingreso]])</f>
        <v>2022</v>
      </c>
      <c r="H881" s="1" t="str">
        <f>TEXT(Sheet1[[#This Row],[Fecha ingreso]],"dddd")</f>
        <v>miércoles</v>
      </c>
      <c r="I881" s="1">
        <v>45111</v>
      </c>
      <c r="J881" s="2">
        <f>DATEDIF(Sheet1[[#This Row],[Fecha ingreso]],Sheet1[[#This Row],[Fecha último pago]],"M")+1</f>
        <v>10</v>
      </c>
      <c r="K881" s="2">
        <f>Sheet1[[#This Row],[Ingresos mensuales]]*Sheet1[[#This Row],[Meses contratados]]</f>
        <v>811.7</v>
      </c>
      <c r="L881" t="s">
        <v>1815</v>
      </c>
      <c r="M881">
        <v>38</v>
      </c>
      <c r="N881" t="s">
        <v>1822</v>
      </c>
      <c r="O881" t="s">
        <v>1825</v>
      </c>
      <c r="P881" t="s">
        <v>1826</v>
      </c>
      <c r="Q881" cm="1">
        <f t="array" ref="Q881">_xlfn.IFS(P881="2 Years", 24,P881="1 Year",12, P881="6 Months",6, P881="1 Month",1)</f>
        <v>24</v>
      </c>
      <c r="R881" t="str" cm="1">
        <f t="array" ref="R881">_xlfn.IFS(Q881=1,"Mensual",Q881=6,"Semestral",Q881=12,"Anual",Q881=24,"Bienal")</f>
        <v>Bienal</v>
      </c>
      <c r="S881">
        <f>IFERROR(VLOOKUP(Sheet1[[#This Row],[ID usuario]],A882:$A$907,1,FALSE),0)</f>
        <v>0</v>
      </c>
    </row>
    <row r="882" spans="1:19" x14ac:dyDescent="0.25">
      <c r="A882" t="s">
        <v>880</v>
      </c>
      <c r="B882" t="s">
        <v>1785</v>
      </c>
      <c r="C882" t="s">
        <v>1811</v>
      </c>
      <c r="D882">
        <v>22.6</v>
      </c>
      <c r="E882" s="1">
        <v>44487</v>
      </c>
      <c r="F882" s="1" t="str">
        <f>TEXT(Sheet1[[#This Row],[Fecha ingreso]],"mmmm")</f>
        <v>octubre</v>
      </c>
      <c r="G882" s="2">
        <f>YEAR(Sheet1[[#This Row],[Fecha ingreso]])</f>
        <v>2021</v>
      </c>
      <c r="H882" s="1" t="str">
        <f>TEXT(Sheet1[[#This Row],[Fecha ingreso]],"dddd")</f>
        <v>lunes</v>
      </c>
      <c r="I882" s="1">
        <v>45063</v>
      </c>
      <c r="J882" s="2">
        <f>DATEDIF(Sheet1[[#This Row],[Fecha ingreso]],Sheet1[[#This Row],[Fecha último pago]],"M")+1</f>
        <v>19</v>
      </c>
      <c r="K882" s="2">
        <f>Sheet1[[#This Row],[Ingresos mensuales]]*Sheet1[[#This Row],[Meses contratados]]</f>
        <v>429.40000000000003</v>
      </c>
      <c r="L882" t="s">
        <v>1814</v>
      </c>
      <c r="M882">
        <v>38</v>
      </c>
      <c r="N882" t="s">
        <v>1822</v>
      </c>
      <c r="O882" t="s">
        <v>1824</v>
      </c>
      <c r="P882" t="s">
        <v>1828</v>
      </c>
      <c r="Q882" cm="1">
        <f t="array" ref="Q882">_xlfn.IFS(P882="2 Years", 24,P882="1 Year",12, P882="6 Months",6, P882="1 Month",1)</f>
        <v>6</v>
      </c>
      <c r="R882" t="str" cm="1">
        <f t="array" ref="R882">_xlfn.IFS(Q882=1,"Mensual",Q882=6,"Semestral",Q882=12,"Anual",Q882=24,"Bienal")</f>
        <v>Semestral</v>
      </c>
      <c r="S882">
        <f>IFERROR(VLOOKUP(Sheet1[[#This Row],[ID usuario]],A883:$A$907,1,FALSE),0)</f>
        <v>0</v>
      </c>
    </row>
    <row r="883" spans="1:19" x14ac:dyDescent="0.25">
      <c r="A883" t="s">
        <v>881</v>
      </c>
      <c r="B883" t="s">
        <v>1786</v>
      </c>
      <c r="C883" t="s">
        <v>1810</v>
      </c>
      <c r="D883">
        <v>44.44</v>
      </c>
      <c r="E883" s="1">
        <v>45316</v>
      </c>
      <c r="F883" s="1" t="str">
        <f>TEXT(Sheet1[[#This Row],[Fecha ingreso]],"mmmm")</f>
        <v>enero</v>
      </c>
      <c r="G883" s="2">
        <f>YEAR(Sheet1[[#This Row],[Fecha ingreso]])</f>
        <v>2024</v>
      </c>
      <c r="H883" s="1" t="str">
        <f>TEXT(Sheet1[[#This Row],[Fecha ingreso]],"dddd")</f>
        <v>jueves</v>
      </c>
      <c r="I883" s="1">
        <v>45394</v>
      </c>
      <c r="J883" s="2">
        <f>DATEDIF(Sheet1[[#This Row],[Fecha ingreso]],Sheet1[[#This Row],[Fecha último pago]],"M")+1</f>
        <v>3</v>
      </c>
      <c r="K883" s="2">
        <f>Sheet1[[#This Row],[Ingresos mensuales]]*Sheet1[[#This Row],[Meses contratados]]</f>
        <v>133.32</v>
      </c>
      <c r="L883" t="s">
        <v>1817</v>
      </c>
      <c r="M883">
        <v>23</v>
      </c>
      <c r="N883" t="s">
        <v>1822</v>
      </c>
      <c r="O883" t="s">
        <v>1823</v>
      </c>
      <c r="P883" t="s">
        <v>1827</v>
      </c>
      <c r="Q883" cm="1">
        <f t="array" ref="Q883">_xlfn.IFS(P883="2 Years", 24,P883="1 Year",12, P883="6 Months",6, P883="1 Month",1)</f>
        <v>12</v>
      </c>
      <c r="R883" t="str" cm="1">
        <f t="array" ref="R883">_xlfn.IFS(Q883=1,"Mensual",Q883=6,"Semestral",Q883=12,"Anual",Q883=24,"Bienal")</f>
        <v>Anual</v>
      </c>
      <c r="S883">
        <f>IFERROR(VLOOKUP(Sheet1[[#This Row],[ID usuario]],A884:$A$907,1,FALSE),0)</f>
        <v>0</v>
      </c>
    </row>
    <row r="884" spans="1:19" x14ac:dyDescent="0.25">
      <c r="A884" t="s">
        <v>882</v>
      </c>
      <c r="B884" t="s">
        <v>1787</v>
      </c>
      <c r="C884" t="s">
        <v>1811</v>
      </c>
      <c r="D884">
        <v>54.4</v>
      </c>
      <c r="E884" s="1">
        <v>44545</v>
      </c>
      <c r="F884" s="1" t="str">
        <f>TEXT(Sheet1[[#This Row],[Fecha ingreso]],"mmmm")</f>
        <v>diciembre</v>
      </c>
      <c r="G884" s="2">
        <f>YEAR(Sheet1[[#This Row],[Fecha ingreso]])</f>
        <v>2021</v>
      </c>
      <c r="H884" s="1" t="str">
        <f>TEXT(Sheet1[[#This Row],[Fecha ingreso]],"dddd")</f>
        <v>miércoles</v>
      </c>
      <c r="I884" s="1">
        <v>44811</v>
      </c>
      <c r="J884" s="2">
        <f>DATEDIF(Sheet1[[#This Row],[Fecha ingreso]],Sheet1[[#This Row],[Fecha último pago]],"M")+1</f>
        <v>9</v>
      </c>
      <c r="K884" s="2">
        <f>Sheet1[[#This Row],[Ingresos mensuales]]*Sheet1[[#This Row],[Meses contratados]]</f>
        <v>489.59999999999997</v>
      </c>
      <c r="L884" t="s">
        <v>1815</v>
      </c>
      <c r="M884">
        <v>28</v>
      </c>
      <c r="N884" t="s">
        <v>1822</v>
      </c>
      <c r="O884" t="s">
        <v>1823</v>
      </c>
      <c r="P884" t="s">
        <v>1826</v>
      </c>
      <c r="Q884" cm="1">
        <f t="array" ref="Q884">_xlfn.IFS(P884="2 Years", 24,P884="1 Year",12, P884="6 Months",6, P884="1 Month",1)</f>
        <v>24</v>
      </c>
      <c r="R884" t="str" cm="1">
        <f t="array" ref="R884">_xlfn.IFS(Q884=1,"Mensual",Q884=6,"Semestral",Q884=12,"Anual",Q884=24,"Bienal")</f>
        <v>Bienal</v>
      </c>
      <c r="S884">
        <f>IFERROR(VLOOKUP(Sheet1[[#This Row],[ID usuario]],A885:$A$907,1,FALSE),0)</f>
        <v>0</v>
      </c>
    </row>
    <row r="885" spans="1:19" x14ac:dyDescent="0.25">
      <c r="A885" t="s">
        <v>883</v>
      </c>
      <c r="B885" t="s">
        <v>1788</v>
      </c>
      <c r="C885" t="s">
        <v>1811</v>
      </c>
      <c r="D885">
        <v>47.92</v>
      </c>
      <c r="E885" s="1">
        <v>44439</v>
      </c>
      <c r="F885" s="1" t="str">
        <f>TEXT(Sheet1[[#This Row],[Fecha ingreso]],"mmmm")</f>
        <v>agosto</v>
      </c>
      <c r="G885" s="2">
        <f>YEAR(Sheet1[[#This Row],[Fecha ingreso]])</f>
        <v>2021</v>
      </c>
      <c r="H885" s="1" t="str">
        <f>TEXT(Sheet1[[#This Row],[Fecha ingreso]],"dddd")</f>
        <v>martes</v>
      </c>
      <c r="I885" s="1">
        <v>44742</v>
      </c>
      <c r="J885" s="2">
        <f>DATEDIF(Sheet1[[#This Row],[Fecha ingreso]],Sheet1[[#This Row],[Fecha último pago]],"M")+1</f>
        <v>10</v>
      </c>
      <c r="K885" s="2">
        <f>Sheet1[[#This Row],[Ingresos mensuales]]*Sheet1[[#This Row],[Meses contratados]]</f>
        <v>479.20000000000005</v>
      </c>
      <c r="L885" t="s">
        <v>1818</v>
      </c>
      <c r="M885">
        <v>42</v>
      </c>
      <c r="N885" t="s">
        <v>1821</v>
      </c>
      <c r="O885" t="s">
        <v>1825</v>
      </c>
      <c r="P885" t="s">
        <v>1828</v>
      </c>
      <c r="Q885" cm="1">
        <f t="array" ref="Q885">_xlfn.IFS(P885="2 Years", 24,P885="1 Year",12, P885="6 Months",6, P885="1 Month",1)</f>
        <v>6</v>
      </c>
      <c r="R885" t="str" cm="1">
        <f t="array" ref="R885">_xlfn.IFS(Q885=1,"Mensual",Q885=6,"Semestral",Q885=12,"Anual",Q885=24,"Bienal")</f>
        <v>Semestral</v>
      </c>
      <c r="S885">
        <f>IFERROR(VLOOKUP(Sheet1[[#This Row],[ID usuario]],A886:$A$907,1,FALSE),0)</f>
        <v>0</v>
      </c>
    </row>
    <row r="886" spans="1:19" x14ac:dyDescent="0.25">
      <c r="A886" t="s">
        <v>884</v>
      </c>
      <c r="B886" t="s">
        <v>1789</v>
      </c>
      <c r="C886" t="s">
        <v>1812</v>
      </c>
      <c r="D886">
        <v>80.98</v>
      </c>
      <c r="E886" s="1">
        <v>44858</v>
      </c>
      <c r="F886" s="1" t="str">
        <f>TEXT(Sheet1[[#This Row],[Fecha ingreso]],"mmmm")</f>
        <v>octubre</v>
      </c>
      <c r="G886" s="2">
        <f>YEAR(Sheet1[[#This Row],[Fecha ingreso]])</f>
        <v>2022</v>
      </c>
      <c r="H886" s="1" t="str">
        <f>TEXT(Sheet1[[#This Row],[Fecha ingreso]],"dddd")</f>
        <v>lunes</v>
      </c>
      <c r="I886" s="1">
        <v>45334</v>
      </c>
      <c r="J886" s="2">
        <f>DATEDIF(Sheet1[[#This Row],[Fecha ingreso]],Sheet1[[#This Row],[Fecha último pago]],"M")+1</f>
        <v>16</v>
      </c>
      <c r="K886" s="2">
        <f>Sheet1[[#This Row],[Ingresos mensuales]]*Sheet1[[#This Row],[Meses contratados]]</f>
        <v>1295.68</v>
      </c>
      <c r="L886" t="s">
        <v>1816</v>
      </c>
      <c r="M886">
        <v>29</v>
      </c>
      <c r="N886" t="s">
        <v>1822</v>
      </c>
      <c r="O886" t="s">
        <v>1825</v>
      </c>
      <c r="P886" t="s">
        <v>1826</v>
      </c>
      <c r="Q886" cm="1">
        <f t="array" ref="Q886">_xlfn.IFS(P886="2 Years", 24,P886="1 Year",12, P886="6 Months",6, P886="1 Month",1)</f>
        <v>24</v>
      </c>
      <c r="R886" t="str" cm="1">
        <f t="array" ref="R886">_xlfn.IFS(Q886=1,"Mensual",Q886=6,"Semestral",Q886=12,"Anual",Q886=24,"Bienal")</f>
        <v>Bienal</v>
      </c>
      <c r="S886">
        <f>IFERROR(VLOOKUP(Sheet1[[#This Row],[ID usuario]],A887:$A$907,1,FALSE),0)</f>
        <v>0</v>
      </c>
    </row>
    <row r="887" spans="1:19" x14ac:dyDescent="0.25">
      <c r="A887" t="s">
        <v>885</v>
      </c>
      <c r="B887" t="s">
        <v>1790</v>
      </c>
      <c r="C887" t="s">
        <v>1810</v>
      </c>
      <c r="D887">
        <v>96.25</v>
      </c>
      <c r="E887" s="1">
        <v>45148</v>
      </c>
      <c r="F887" s="1" t="str">
        <f>TEXT(Sheet1[[#This Row],[Fecha ingreso]],"mmmm")</f>
        <v>agosto</v>
      </c>
      <c r="G887" s="2">
        <f>YEAR(Sheet1[[#This Row],[Fecha ingreso]])</f>
        <v>2023</v>
      </c>
      <c r="H887" s="1" t="str">
        <f>TEXT(Sheet1[[#This Row],[Fecha ingreso]],"dddd")</f>
        <v>jueves</v>
      </c>
      <c r="I887" s="1">
        <v>45220</v>
      </c>
      <c r="J887" s="2">
        <f>DATEDIF(Sheet1[[#This Row],[Fecha ingreso]],Sheet1[[#This Row],[Fecha último pago]],"M")+1</f>
        <v>3</v>
      </c>
      <c r="K887" s="2">
        <f>Sheet1[[#This Row],[Ingresos mensuales]]*Sheet1[[#This Row],[Meses contratados]]</f>
        <v>288.75</v>
      </c>
      <c r="L887" t="s">
        <v>1813</v>
      </c>
      <c r="M887">
        <v>39</v>
      </c>
      <c r="N887" t="s">
        <v>1821</v>
      </c>
      <c r="O887" t="s">
        <v>1824</v>
      </c>
      <c r="P887" t="s">
        <v>1826</v>
      </c>
      <c r="Q887" cm="1">
        <f t="array" ref="Q887">_xlfn.IFS(P887="2 Years", 24,P887="1 Year",12, P887="6 Months",6, P887="1 Month",1)</f>
        <v>24</v>
      </c>
      <c r="R887" t="str" cm="1">
        <f t="array" ref="R887">_xlfn.IFS(Q887=1,"Mensual",Q887=6,"Semestral",Q887=12,"Anual",Q887=24,"Bienal")</f>
        <v>Bienal</v>
      </c>
      <c r="S887">
        <f>IFERROR(VLOOKUP(Sheet1[[#This Row],[ID usuario]],A888:$A$907,1,FALSE),0)</f>
        <v>0</v>
      </c>
    </row>
    <row r="888" spans="1:19" x14ac:dyDescent="0.25">
      <c r="A888" t="s">
        <v>886</v>
      </c>
      <c r="B888" t="s">
        <v>1791</v>
      </c>
      <c r="C888" t="s">
        <v>1811</v>
      </c>
      <c r="D888">
        <v>80.900000000000006</v>
      </c>
      <c r="E888" s="1">
        <v>45027</v>
      </c>
      <c r="F888" s="1" t="str">
        <f>TEXT(Sheet1[[#This Row],[Fecha ingreso]],"mmmm")</f>
        <v>abril</v>
      </c>
      <c r="G888" s="2">
        <f>YEAR(Sheet1[[#This Row],[Fecha ingreso]])</f>
        <v>2023</v>
      </c>
      <c r="H888" s="1" t="str">
        <f>TEXT(Sheet1[[#This Row],[Fecha ingreso]],"dddd")</f>
        <v>martes</v>
      </c>
      <c r="I888" s="1">
        <v>45388</v>
      </c>
      <c r="J888" s="2">
        <f>DATEDIF(Sheet1[[#This Row],[Fecha ingreso]],Sheet1[[#This Row],[Fecha último pago]],"M")+1</f>
        <v>12</v>
      </c>
      <c r="K888" s="2">
        <f>Sheet1[[#This Row],[Ingresos mensuales]]*Sheet1[[#This Row],[Meses contratados]]</f>
        <v>970.80000000000007</v>
      </c>
      <c r="L888" t="s">
        <v>1818</v>
      </c>
      <c r="M888">
        <v>24</v>
      </c>
      <c r="N888" t="s">
        <v>1821</v>
      </c>
      <c r="O888" t="s">
        <v>1823</v>
      </c>
      <c r="P888" t="s">
        <v>1827</v>
      </c>
      <c r="Q888" cm="1">
        <f t="array" ref="Q888">_xlfn.IFS(P888="2 Years", 24,P888="1 Year",12, P888="6 Months",6, P888="1 Month",1)</f>
        <v>12</v>
      </c>
      <c r="R888" t="str" cm="1">
        <f t="array" ref="R888">_xlfn.IFS(Q888=1,"Mensual",Q888=6,"Semestral",Q888=12,"Anual",Q888=24,"Bienal")</f>
        <v>Anual</v>
      </c>
      <c r="S888">
        <f>IFERROR(VLOOKUP(Sheet1[[#This Row],[ID usuario]],A889:$A$907,1,FALSE),0)</f>
        <v>0</v>
      </c>
    </row>
    <row r="889" spans="1:19" x14ac:dyDescent="0.25">
      <c r="A889" t="s">
        <v>887</v>
      </c>
      <c r="B889" t="s">
        <v>1792</v>
      </c>
      <c r="C889" t="s">
        <v>1810</v>
      </c>
      <c r="D889">
        <v>12.41</v>
      </c>
      <c r="E889" s="1">
        <v>44809</v>
      </c>
      <c r="F889" s="1" t="str">
        <f>TEXT(Sheet1[[#This Row],[Fecha ingreso]],"mmmm")</f>
        <v>septiembre</v>
      </c>
      <c r="G889" s="2">
        <f>YEAR(Sheet1[[#This Row],[Fecha ingreso]])</f>
        <v>2022</v>
      </c>
      <c r="H889" s="1" t="str">
        <f>TEXT(Sheet1[[#This Row],[Fecha ingreso]],"dddd")</f>
        <v>lunes</v>
      </c>
      <c r="I889" s="1">
        <v>45125</v>
      </c>
      <c r="J889" s="2">
        <f>DATEDIF(Sheet1[[#This Row],[Fecha ingreso]],Sheet1[[#This Row],[Fecha último pago]],"M")+1</f>
        <v>11</v>
      </c>
      <c r="K889" s="2">
        <f>Sheet1[[#This Row],[Ingresos mensuales]]*Sheet1[[#This Row],[Meses contratados]]</f>
        <v>136.51</v>
      </c>
      <c r="L889" t="s">
        <v>1814</v>
      </c>
      <c r="M889">
        <v>19</v>
      </c>
      <c r="N889" t="s">
        <v>1822</v>
      </c>
      <c r="O889" t="s">
        <v>1825</v>
      </c>
      <c r="P889" t="s">
        <v>1826</v>
      </c>
      <c r="Q889" cm="1">
        <f t="array" ref="Q889">_xlfn.IFS(P889="2 Years", 24,P889="1 Year",12, P889="6 Months",6, P889="1 Month",1)</f>
        <v>24</v>
      </c>
      <c r="R889" t="str" cm="1">
        <f t="array" ref="R889">_xlfn.IFS(Q889=1,"Mensual",Q889=6,"Semestral",Q889=12,"Anual",Q889=24,"Bienal")</f>
        <v>Bienal</v>
      </c>
      <c r="S889">
        <f>IFERROR(VLOOKUP(Sheet1[[#This Row],[ID usuario]],A890:$A$907,1,FALSE),0)</f>
        <v>0</v>
      </c>
    </row>
    <row r="890" spans="1:19" x14ac:dyDescent="0.25">
      <c r="A890" t="s">
        <v>888</v>
      </c>
      <c r="B890" t="s">
        <v>1793</v>
      </c>
      <c r="C890" t="s">
        <v>1812</v>
      </c>
      <c r="D890">
        <v>81.47</v>
      </c>
      <c r="E890" s="1">
        <v>44550</v>
      </c>
      <c r="F890" s="1" t="str">
        <f>TEXT(Sheet1[[#This Row],[Fecha ingreso]],"mmmm")</f>
        <v>diciembre</v>
      </c>
      <c r="G890" s="2">
        <f>YEAR(Sheet1[[#This Row],[Fecha ingreso]])</f>
        <v>2021</v>
      </c>
      <c r="H890" s="1" t="str">
        <f>TEXT(Sheet1[[#This Row],[Fecha ingreso]],"dddd")</f>
        <v>lunes</v>
      </c>
      <c r="I890" s="1">
        <v>44948</v>
      </c>
      <c r="J890" s="2">
        <f>DATEDIF(Sheet1[[#This Row],[Fecha ingreso]],Sheet1[[#This Row],[Fecha último pago]],"M")+1</f>
        <v>14</v>
      </c>
      <c r="K890" s="2">
        <f>Sheet1[[#This Row],[Ingresos mensuales]]*Sheet1[[#This Row],[Meses contratados]]</f>
        <v>1140.58</v>
      </c>
      <c r="L890" t="s">
        <v>1813</v>
      </c>
      <c r="M890">
        <v>31</v>
      </c>
      <c r="N890" t="s">
        <v>1822</v>
      </c>
      <c r="O890" t="s">
        <v>1824</v>
      </c>
      <c r="P890" t="s">
        <v>1827</v>
      </c>
      <c r="Q890" cm="1">
        <f t="array" ref="Q890">_xlfn.IFS(P890="2 Years", 24,P890="1 Year",12, P890="6 Months",6, P890="1 Month",1)</f>
        <v>12</v>
      </c>
      <c r="R890" t="str" cm="1">
        <f t="array" ref="R890">_xlfn.IFS(Q890=1,"Mensual",Q890=6,"Semestral",Q890=12,"Anual",Q890=24,"Bienal")</f>
        <v>Anual</v>
      </c>
      <c r="S890">
        <f>IFERROR(VLOOKUP(Sheet1[[#This Row],[ID usuario]],A891:$A$907,1,FALSE),0)</f>
        <v>0</v>
      </c>
    </row>
    <row r="891" spans="1:19" x14ac:dyDescent="0.25">
      <c r="A891" t="s">
        <v>889</v>
      </c>
      <c r="B891" t="s">
        <v>1794</v>
      </c>
      <c r="C891" t="s">
        <v>1811</v>
      </c>
      <c r="D891">
        <v>11.33</v>
      </c>
      <c r="E891" s="1">
        <v>44780</v>
      </c>
      <c r="F891" s="1" t="str">
        <f>TEXT(Sheet1[[#This Row],[Fecha ingreso]],"mmmm")</f>
        <v>agosto</v>
      </c>
      <c r="G891" s="2">
        <f>YEAR(Sheet1[[#This Row],[Fecha ingreso]])</f>
        <v>2022</v>
      </c>
      <c r="H891" s="1" t="str">
        <f>TEXT(Sheet1[[#This Row],[Fecha ingreso]],"dddd")</f>
        <v>domingo</v>
      </c>
      <c r="I891" s="1">
        <v>45049</v>
      </c>
      <c r="J891" s="2">
        <f>DATEDIF(Sheet1[[#This Row],[Fecha ingreso]],Sheet1[[#This Row],[Fecha último pago]],"M")+1</f>
        <v>9</v>
      </c>
      <c r="K891" s="2">
        <f>Sheet1[[#This Row],[Ingresos mensuales]]*Sheet1[[#This Row],[Meses contratados]]</f>
        <v>101.97</v>
      </c>
      <c r="L891" t="s">
        <v>1815</v>
      </c>
      <c r="M891">
        <v>33</v>
      </c>
      <c r="N891" t="s">
        <v>1821</v>
      </c>
      <c r="O891" t="s">
        <v>1823</v>
      </c>
      <c r="P891" t="s">
        <v>1829</v>
      </c>
      <c r="Q891" cm="1">
        <f t="array" ref="Q891">_xlfn.IFS(P891="2 Years", 24,P891="1 Year",12, P891="6 Months",6, P891="1 Month",1)</f>
        <v>1</v>
      </c>
      <c r="R891" t="str" cm="1">
        <f t="array" ref="R891">_xlfn.IFS(Q891=1,"Mensual",Q891=6,"Semestral",Q891=12,"Anual",Q891=24,"Bienal")</f>
        <v>Mensual</v>
      </c>
      <c r="S891">
        <f>IFERROR(VLOOKUP(Sheet1[[#This Row],[ID usuario]],A892:$A$907,1,FALSE),0)</f>
        <v>0</v>
      </c>
    </row>
    <row r="892" spans="1:19" x14ac:dyDescent="0.25">
      <c r="A892" t="s">
        <v>890</v>
      </c>
      <c r="B892" t="s">
        <v>1795</v>
      </c>
      <c r="C892" t="s">
        <v>1810</v>
      </c>
      <c r="D892">
        <v>27.42</v>
      </c>
      <c r="E892" s="1">
        <v>45374</v>
      </c>
      <c r="F892" s="1" t="str">
        <f>TEXT(Sheet1[[#This Row],[Fecha ingreso]],"mmmm")</f>
        <v>marzo</v>
      </c>
      <c r="G892" s="2">
        <f>YEAR(Sheet1[[#This Row],[Fecha ingreso]])</f>
        <v>2024</v>
      </c>
      <c r="H892" s="1" t="str">
        <f>TEXT(Sheet1[[#This Row],[Fecha ingreso]],"dddd")</f>
        <v>sábado</v>
      </c>
      <c r="I892" s="1">
        <v>45455</v>
      </c>
      <c r="J892" s="2">
        <f>DATEDIF(Sheet1[[#This Row],[Fecha ingreso]],Sheet1[[#This Row],[Fecha último pago]],"M")+1</f>
        <v>3</v>
      </c>
      <c r="K892" s="2">
        <f>Sheet1[[#This Row],[Ingresos mensuales]]*Sheet1[[#This Row],[Meses contratados]]</f>
        <v>82.26</v>
      </c>
      <c r="L892" t="s">
        <v>1818</v>
      </c>
      <c r="M892">
        <v>65</v>
      </c>
      <c r="N892" t="s">
        <v>1822</v>
      </c>
      <c r="O892" t="s">
        <v>1825</v>
      </c>
      <c r="P892" t="s">
        <v>1829</v>
      </c>
      <c r="Q892" cm="1">
        <f t="array" ref="Q892">_xlfn.IFS(P892="2 Years", 24,P892="1 Year",12, P892="6 Months",6, P892="1 Month",1)</f>
        <v>1</v>
      </c>
      <c r="R892" t="str" cm="1">
        <f t="array" ref="R892">_xlfn.IFS(Q892=1,"Mensual",Q892=6,"Semestral",Q892=12,"Anual",Q892=24,"Bienal")</f>
        <v>Mensual</v>
      </c>
      <c r="S892">
        <f>IFERROR(VLOOKUP(Sheet1[[#This Row],[ID usuario]],A893:$A$907,1,FALSE),0)</f>
        <v>0</v>
      </c>
    </row>
    <row r="893" spans="1:19" x14ac:dyDescent="0.25">
      <c r="A893" t="s">
        <v>891</v>
      </c>
      <c r="B893" t="s">
        <v>1796</v>
      </c>
      <c r="C893" t="s">
        <v>1811</v>
      </c>
      <c r="D893">
        <v>19.54</v>
      </c>
      <c r="E893" s="1">
        <v>45134</v>
      </c>
      <c r="F893" s="1" t="str">
        <f>TEXT(Sheet1[[#This Row],[Fecha ingreso]],"mmmm")</f>
        <v>julio</v>
      </c>
      <c r="G893" s="2">
        <f>YEAR(Sheet1[[#This Row],[Fecha ingreso]])</f>
        <v>2023</v>
      </c>
      <c r="H893" s="1" t="str">
        <f>TEXT(Sheet1[[#This Row],[Fecha ingreso]],"dddd")</f>
        <v>jueves</v>
      </c>
      <c r="I893" s="1">
        <v>45399</v>
      </c>
      <c r="J893" s="2">
        <f>DATEDIF(Sheet1[[#This Row],[Fecha ingreso]],Sheet1[[#This Row],[Fecha último pago]],"M")+1</f>
        <v>9</v>
      </c>
      <c r="K893" s="2">
        <f>Sheet1[[#This Row],[Ingresos mensuales]]*Sheet1[[#This Row],[Meses contratados]]</f>
        <v>175.85999999999999</v>
      </c>
      <c r="L893" t="s">
        <v>1818</v>
      </c>
      <c r="M893">
        <v>61</v>
      </c>
      <c r="N893" t="s">
        <v>1821</v>
      </c>
      <c r="O893" t="s">
        <v>1823</v>
      </c>
      <c r="P893" t="s">
        <v>1829</v>
      </c>
      <c r="Q893" cm="1">
        <f t="array" ref="Q893">_xlfn.IFS(P893="2 Years", 24,P893="1 Year",12, P893="6 Months",6, P893="1 Month",1)</f>
        <v>1</v>
      </c>
      <c r="R893" t="str" cm="1">
        <f t="array" ref="R893">_xlfn.IFS(Q893=1,"Mensual",Q893=6,"Semestral",Q893=12,"Anual",Q893=24,"Bienal")</f>
        <v>Mensual</v>
      </c>
      <c r="S893">
        <f>IFERROR(VLOOKUP(Sheet1[[#This Row],[ID usuario]],A894:$A$907,1,FALSE),0)</f>
        <v>0</v>
      </c>
    </row>
    <row r="894" spans="1:19" x14ac:dyDescent="0.25">
      <c r="A894" t="s">
        <v>892</v>
      </c>
      <c r="B894" t="s">
        <v>1797</v>
      </c>
      <c r="C894" t="s">
        <v>1810</v>
      </c>
      <c r="D894">
        <v>23.76</v>
      </c>
      <c r="E894" s="1">
        <v>45425</v>
      </c>
      <c r="F894" s="1" t="str">
        <f>TEXT(Sheet1[[#This Row],[Fecha ingreso]],"mmmm")</f>
        <v>mayo</v>
      </c>
      <c r="G894" s="2">
        <f>YEAR(Sheet1[[#This Row],[Fecha ingreso]])</f>
        <v>2024</v>
      </c>
      <c r="H894" s="1" t="str">
        <f>TEXT(Sheet1[[#This Row],[Fecha ingreso]],"dddd")</f>
        <v>lunes</v>
      </c>
      <c r="I894" s="1">
        <v>45448</v>
      </c>
      <c r="J894" s="2">
        <f>DATEDIF(Sheet1[[#This Row],[Fecha ingreso]],Sheet1[[#This Row],[Fecha último pago]],"M")+1</f>
        <v>1</v>
      </c>
      <c r="K894" s="2">
        <f>Sheet1[[#This Row],[Ingresos mensuales]]*Sheet1[[#This Row],[Meses contratados]]</f>
        <v>23.76</v>
      </c>
      <c r="L894" t="s">
        <v>1813</v>
      </c>
      <c r="M894">
        <v>39</v>
      </c>
      <c r="N894" t="s">
        <v>1822</v>
      </c>
      <c r="O894" t="s">
        <v>1824</v>
      </c>
      <c r="P894" t="s">
        <v>1829</v>
      </c>
      <c r="Q894" cm="1">
        <f t="array" ref="Q894">_xlfn.IFS(P894="2 Years", 24,P894="1 Year",12, P894="6 Months",6, P894="1 Month",1)</f>
        <v>1</v>
      </c>
      <c r="R894" t="str" cm="1">
        <f t="array" ref="R894">_xlfn.IFS(Q894=1,"Mensual",Q894=6,"Semestral",Q894=12,"Anual",Q894=24,"Bienal")</f>
        <v>Mensual</v>
      </c>
      <c r="S894">
        <f>IFERROR(VLOOKUP(Sheet1[[#This Row],[ID usuario]],A895:$A$907,1,FALSE),0)</f>
        <v>0</v>
      </c>
    </row>
    <row r="895" spans="1:19" x14ac:dyDescent="0.25">
      <c r="A895" t="s">
        <v>893</v>
      </c>
      <c r="B895" t="s">
        <v>1798</v>
      </c>
      <c r="C895" t="s">
        <v>1812</v>
      </c>
      <c r="D895">
        <v>55.19</v>
      </c>
      <c r="E895" s="1">
        <v>44730</v>
      </c>
      <c r="F895" s="1" t="str">
        <f>TEXT(Sheet1[[#This Row],[Fecha ingreso]],"mmmm")</f>
        <v>junio</v>
      </c>
      <c r="G895" s="2">
        <f>YEAR(Sheet1[[#This Row],[Fecha ingreso]])</f>
        <v>2022</v>
      </c>
      <c r="H895" s="1" t="str">
        <f>TEXT(Sheet1[[#This Row],[Fecha ingreso]],"dddd")</f>
        <v>sábado</v>
      </c>
      <c r="I895" s="1">
        <v>45413</v>
      </c>
      <c r="J895" s="2">
        <f>DATEDIF(Sheet1[[#This Row],[Fecha ingreso]],Sheet1[[#This Row],[Fecha último pago]],"M")+1</f>
        <v>23</v>
      </c>
      <c r="K895" s="2">
        <f>Sheet1[[#This Row],[Ingresos mensuales]]*Sheet1[[#This Row],[Meses contratados]]</f>
        <v>1269.3699999999999</v>
      </c>
      <c r="L895" t="s">
        <v>1814</v>
      </c>
      <c r="M895">
        <v>21</v>
      </c>
      <c r="N895" t="s">
        <v>1820</v>
      </c>
      <c r="O895" t="s">
        <v>1823</v>
      </c>
      <c r="P895" t="s">
        <v>1828</v>
      </c>
      <c r="Q895" cm="1">
        <f t="array" ref="Q895">_xlfn.IFS(P895="2 Years", 24,P895="1 Year",12, P895="6 Months",6, P895="1 Month",1)</f>
        <v>6</v>
      </c>
      <c r="R895" t="str" cm="1">
        <f t="array" ref="R895">_xlfn.IFS(Q895=1,"Mensual",Q895=6,"Semestral",Q895=12,"Anual",Q895=24,"Bienal")</f>
        <v>Semestral</v>
      </c>
      <c r="S895">
        <f>IFERROR(VLOOKUP(Sheet1[[#This Row],[ID usuario]],A896:$A$907,1,FALSE),0)</f>
        <v>0</v>
      </c>
    </row>
    <row r="896" spans="1:19" x14ac:dyDescent="0.25">
      <c r="A896" t="s">
        <v>894</v>
      </c>
      <c r="B896" t="s">
        <v>1799</v>
      </c>
      <c r="C896" t="s">
        <v>1812</v>
      </c>
      <c r="D896">
        <v>68.81</v>
      </c>
      <c r="E896" s="1">
        <v>44702</v>
      </c>
      <c r="F896" s="1" t="str">
        <f>TEXT(Sheet1[[#This Row],[Fecha ingreso]],"mmmm")</f>
        <v>mayo</v>
      </c>
      <c r="G896" s="2">
        <f>YEAR(Sheet1[[#This Row],[Fecha ingreso]])</f>
        <v>2022</v>
      </c>
      <c r="H896" s="1" t="str">
        <f>TEXT(Sheet1[[#This Row],[Fecha ingreso]],"dddd")</f>
        <v>sábado</v>
      </c>
      <c r="I896" s="1">
        <v>44897</v>
      </c>
      <c r="J896" s="2">
        <f>DATEDIF(Sheet1[[#This Row],[Fecha ingreso]],Sheet1[[#This Row],[Fecha último pago]],"M")+1</f>
        <v>7</v>
      </c>
      <c r="K896" s="2">
        <f>Sheet1[[#This Row],[Ingresos mensuales]]*Sheet1[[#This Row],[Meses contratados]]</f>
        <v>481.67</v>
      </c>
      <c r="L896" t="s">
        <v>1814</v>
      </c>
      <c r="M896">
        <v>47</v>
      </c>
      <c r="N896" t="s">
        <v>1822</v>
      </c>
      <c r="O896" t="s">
        <v>1824</v>
      </c>
      <c r="P896" t="s">
        <v>1827</v>
      </c>
      <c r="Q896" cm="1">
        <f t="array" ref="Q896">_xlfn.IFS(P896="2 Years", 24,P896="1 Year",12, P896="6 Months",6, P896="1 Month",1)</f>
        <v>12</v>
      </c>
      <c r="R896" t="str" cm="1">
        <f t="array" ref="R896">_xlfn.IFS(Q896=1,"Mensual",Q896=6,"Semestral",Q896=12,"Anual",Q896=24,"Bienal")</f>
        <v>Anual</v>
      </c>
      <c r="S896">
        <f>IFERROR(VLOOKUP(Sheet1[[#This Row],[ID usuario]],A897:$A$907,1,FALSE),0)</f>
        <v>0</v>
      </c>
    </row>
    <row r="897" spans="1:19" x14ac:dyDescent="0.25">
      <c r="A897" t="s">
        <v>895</v>
      </c>
      <c r="B897" t="s">
        <v>1800</v>
      </c>
      <c r="C897" t="s">
        <v>1811</v>
      </c>
      <c r="D897">
        <v>49.68</v>
      </c>
      <c r="E897" s="1">
        <v>45459</v>
      </c>
      <c r="F897" s="1" t="str">
        <f>TEXT(Sheet1[[#This Row],[Fecha ingreso]],"mmmm")</f>
        <v>junio</v>
      </c>
      <c r="G897" s="2">
        <f>YEAR(Sheet1[[#This Row],[Fecha ingreso]])</f>
        <v>2024</v>
      </c>
      <c r="H897" s="1" t="str">
        <f>TEXT(Sheet1[[#This Row],[Fecha ingreso]],"dddd")</f>
        <v>domingo</v>
      </c>
      <c r="I897" s="1">
        <v>45459</v>
      </c>
      <c r="J897" s="2">
        <f>DATEDIF(Sheet1[[#This Row],[Fecha ingreso]],Sheet1[[#This Row],[Fecha último pago]],"M")+1</f>
        <v>1</v>
      </c>
      <c r="K897" s="2">
        <f>Sheet1[[#This Row],[Ingresos mensuales]]*Sheet1[[#This Row],[Meses contratados]]</f>
        <v>49.68</v>
      </c>
      <c r="L897" t="s">
        <v>1813</v>
      </c>
      <c r="M897">
        <v>27</v>
      </c>
      <c r="N897" t="s">
        <v>1822</v>
      </c>
      <c r="O897" t="s">
        <v>1825</v>
      </c>
      <c r="P897" t="s">
        <v>1827</v>
      </c>
      <c r="Q897" cm="1">
        <f t="array" ref="Q897">_xlfn.IFS(P897="2 Years", 24,P897="1 Year",12, P897="6 Months",6, P897="1 Month",1)</f>
        <v>12</v>
      </c>
      <c r="R897" t="str" cm="1">
        <f t="array" ref="R897">_xlfn.IFS(Q897=1,"Mensual",Q897=6,"Semestral",Q897=12,"Anual",Q897=24,"Bienal")</f>
        <v>Anual</v>
      </c>
      <c r="S897">
        <f>IFERROR(VLOOKUP(Sheet1[[#This Row],[ID usuario]],A898:$A$907,1,FALSE),0)</f>
        <v>0</v>
      </c>
    </row>
    <row r="898" spans="1:19" x14ac:dyDescent="0.25">
      <c r="A898" t="s">
        <v>896</v>
      </c>
      <c r="B898" t="s">
        <v>1801</v>
      </c>
      <c r="C898" t="s">
        <v>1811</v>
      </c>
      <c r="D898">
        <v>96.17</v>
      </c>
      <c r="E898" s="1">
        <v>44899</v>
      </c>
      <c r="F898" s="1" t="str">
        <f>TEXT(Sheet1[[#This Row],[Fecha ingreso]],"mmmm")</f>
        <v>diciembre</v>
      </c>
      <c r="G898" s="2">
        <f>YEAR(Sheet1[[#This Row],[Fecha ingreso]])</f>
        <v>2022</v>
      </c>
      <c r="H898" s="1" t="str">
        <f>TEXT(Sheet1[[#This Row],[Fecha ingreso]],"dddd")</f>
        <v>domingo</v>
      </c>
      <c r="I898" s="1">
        <v>45424</v>
      </c>
      <c r="J898" s="2">
        <f>DATEDIF(Sheet1[[#This Row],[Fecha ingreso]],Sheet1[[#This Row],[Fecha último pago]],"M")+1</f>
        <v>18</v>
      </c>
      <c r="K898" s="2">
        <f>Sheet1[[#This Row],[Ingresos mensuales]]*Sheet1[[#This Row],[Meses contratados]]</f>
        <v>1731.06</v>
      </c>
      <c r="L898" t="s">
        <v>1816</v>
      </c>
      <c r="M898">
        <v>42</v>
      </c>
      <c r="N898" t="s">
        <v>1820</v>
      </c>
      <c r="O898" t="s">
        <v>1824</v>
      </c>
      <c r="P898" t="s">
        <v>1829</v>
      </c>
      <c r="Q898" cm="1">
        <f t="array" ref="Q898">_xlfn.IFS(P898="2 Years", 24,P898="1 Year",12, P898="6 Months",6, P898="1 Month",1)</f>
        <v>1</v>
      </c>
      <c r="R898" t="str" cm="1">
        <f t="array" ref="R898">_xlfn.IFS(Q898=1,"Mensual",Q898=6,"Semestral",Q898=12,"Anual",Q898=24,"Bienal")</f>
        <v>Mensual</v>
      </c>
      <c r="S898">
        <f>IFERROR(VLOOKUP(Sheet1[[#This Row],[ID usuario]],A899:$A$907,1,FALSE),0)</f>
        <v>0</v>
      </c>
    </row>
    <row r="899" spans="1:19" x14ac:dyDescent="0.25">
      <c r="A899" t="s">
        <v>897</v>
      </c>
      <c r="B899" t="s">
        <v>1802</v>
      </c>
      <c r="C899" t="s">
        <v>1810</v>
      </c>
      <c r="D899">
        <v>27.83</v>
      </c>
      <c r="E899" s="1">
        <v>44794</v>
      </c>
      <c r="F899" s="1" t="str">
        <f>TEXT(Sheet1[[#This Row],[Fecha ingreso]],"mmmm")</f>
        <v>agosto</v>
      </c>
      <c r="G899" s="2">
        <f>YEAR(Sheet1[[#This Row],[Fecha ingreso]])</f>
        <v>2022</v>
      </c>
      <c r="H899" s="1" t="str">
        <f>TEXT(Sheet1[[#This Row],[Fecha ingreso]],"dddd")</f>
        <v>domingo</v>
      </c>
      <c r="I899" s="1">
        <v>45330</v>
      </c>
      <c r="J899" s="2">
        <f>DATEDIF(Sheet1[[#This Row],[Fecha ingreso]],Sheet1[[#This Row],[Fecha último pago]],"M")+1</f>
        <v>18</v>
      </c>
      <c r="K899" s="2">
        <f>Sheet1[[#This Row],[Ingresos mensuales]]*Sheet1[[#This Row],[Meses contratados]]</f>
        <v>500.93999999999994</v>
      </c>
      <c r="L899" t="s">
        <v>1813</v>
      </c>
      <c r="M899">
        <v>54</v>
      </c>
      <c r="N899" t="s">
        <v>1820</v>
      </c>
      <c r="O899" t="s">
        <v>1825</v>
      </c>
      <c r="P899" t="s">
        <v>1826</v>
      </c>
      <c r="Q899" cm="1">
        <f t="array" ref="Q899">_xlfn.IFS(P899="2 Years", 24,P899="1 Year",12, P899="6 Months",6, P899="1 Month",1)</f>
        <v>24</v>
      </c>
      <c r="R899" t="str" cm="1">
        <f t="array" ref="R899">_xlfn.IFS(Q899=1,"Mensual",Q899=6,"Semestral",Q899=12,"Anual",Q899=24,"Bienal")</f>
        <v>Bienal</v>
      </c>
      <c r="S899">
        <f>IFERROR(VLOOKUP(Sheet1[[#This Row],[ID usuario]],A900:$A$907,1,FALSE),0)</f>
        <v>0</v>
      </c>
    </row>
    <row r="900" spans="1:19" x14ac:dyDescent="0.25">
      <c r="A900" t="s">
        <v>898</v>
      </c>
      <c r="B900" t="s">
        <v>1803</v>
      </c>
      <c r="C900" t="s">
        <v>1811</v>
      </c>
      <c r="D900">
        <v>77.5</v>
      </c>
      <c r="E900" s="1">
        <v>44687</v>
      </c>
      <c r="F900" s="1" t="str">
        <f>TEXT(Sheet1[[#This Row],[Fecha ingreso]],"mmmm")</f>
        <v>mayo</v>
      </c>
      <c r="G900" s="2">
        <f>YEAR(Sheet1[[#This Row],[Fecha ingreso]])</f>
        <v>2022</v>
      </c>
      <c r="H900" s="1" t="str">
        <f>TEXT(Sheet1[[#This Row],[Fecha ingreso]],"dddd")</f>
        <v>viernes</v>
      </c>
      <c r="I900" s="1">
        <v>45305</v>
      </c>
      <c r="J900" s="2">
        <f>DATEDIF(Sheet1[[#This Row],[Fecha ingreso]],Sheet1[[#This Row],[Fecha último pago]],"M")+1</f>
        <v>21</v>
      </c>
      <c r="K900" s="2">
        <f>Sheet1[[#This Row],[Ingresos mensuales]]*Sheet1[[#This Row],[Meses contratados]]</f>
        <v>1627.5</v>
      </c>
      <c r="L900" t="s">
        <v>1813</v>
      </c>
      <c r="M900">
        <v>67</v>
      </c>
      <c r="N900" t="s">
        <v>1822</v>
      </c>
      <c r="O900" t="s">
        <v>1824</v>
      </c>
      <c r="P900" t="s">
        <v>1827</v>
      </c>
      <c r="Q900" cm="1">
        <f t="array" ref="Q900">_xlfn.IFS(P900="2 Years", 24,P900="1 Year",12, P900="6 Months",6, P900="1 Month",1)</f>
        <v>12</v>
      </c>
      <c r="R900" t="str" cm="1">
        <f t="array" ref="R900">_xlfn.IFS(Q900=1,"Mensual",Q900=6,"Semestral",Q900=12,"Anual",Q900=24,"Bienal")</f>
        <v>Anual</v>
      </c>
      <c r="S900">
        <f>IFERROR(VLOOKUP(Sheet1[[#This Row],[ID usuario]],A901:$A$907,1,FALSE),0)</f>
        <v>0</v>
      </c>
    </row>
    <row r="901" spans="1:19" x14ac:dyDescent="0.25">
      <c r="A901" t="s">
        <v>899</v>
      </c>
      <c r="B901" t="s">
        <v>1804</v>
      </c>
      <c r="C901" t="s">
        <v>1812</v>
      </c>
      <c r="D901">
        <v>87.67</v>
      </c>
      <c r="E901" s="1">
        <v>45449</v>
      </c>
      <c r="F901" s="1" t="str">
        <f>TEXT(Sheet1[[#This Row],[Fecha ingreso]],"mmmm")</f>
        <v>junio</v>
      </c>
      <c r="G901" s="2">
        <f>YEAR(Sheet1[[#This Row],[Fecha ingreso]])</f>
        <v>2024</v>
      </c>
      <c r="H901" s="1" t="str">
        <f>TEXT(Sheet1[[#This Row],[Fecha ingreso]],"dddd")</f>
        <v>jueves</v>
      </c>
      <c r="I901" s="1">
        <v>45451</v>
      </c>
      <c r="J901" s="2">
        <f>DATEDIF(Sheet1[[#This Row],[Fecha ingreso]],Sheet1[[#This Row],[Fecha último pago]],"M")+1</f>
        <v>1</v>
      </c>
      <c r="K901" s="2">
        <f>Sheet1[[#This Row],[Ingresos mensuales]]*Sheet1[[#This Row],[Meses contratados]]</f>
        <v>87.67</v>
      </c>
      <c r="L901" t="s">
        <v>1818</v>
      </c>
      <c r="M901">
        <v>38</v>
      </c>
      <c r="N901" t="s">
        <v>1822</v>
      </c>
      <c r="O901" t="s">
        <v>1823</v>
      </c>
      <c r="P901" t="s">
        <v>1829</v>
      </c>
      <c r="Q901" cm="1">
        <f t="array" ref="Q901">_xlfn.IFS(P901="2 Years", 24,P901="1 Year",12, P901="6 Months",6, P901="1 Month",1)</f>
        <v>1</v>
      </c>
      <c r="R901" t="str" cm="1">
        <f t="array" ref="R901">_xlfn.IFS(Q901=1,"Mensual",Q901=6,"Semestral",Q901=12,"Anual",Q901=24,"Bienal")</f>
        <v>Mensual</v>
      </c>
      <c r="S901">
        <f>IFERROR(VLOOKUP(Sheet1[[#This Row],[ID usuario]],A902:$A$907,1,FALSE),0)</f>
        <v>0</v>
      </c>
    </row>
    <row r="902" spans="1:19" x14ac:dyDescent="0.25">
      <c r="A902" t="s">
        <v>900</v>
      </c>
      <c r="B902" t="s">
        <v>1805</v>
      </c>
      <c r="C902" t="s">
        <v>1812</v>
      </c>
      <c r="D902">
        <v>58.4</v>
      </c>
      <c r="E902" s="1">
        <v>44664</v>
      </c>
      <c r="F902" s="1" t="str">
        <f>TEXT(Sheet1[[#This Row],[Fecha ingreso]],"mmmm")</f>
        <v>abril</v>
      </c>
      <c r="G902" s="2">
        <f>YEAR(Sheet1[[#This Row],[Fecha ingreso]])</f>
        <v>2022</v>
      </c>
      <c r="H902" s="1" t="str">
        <f>TEXT(Sheet1[[#This Row],[Fecha ingreso]],"dddd")</f>
        <v>miércoles</v>
      </c>
      <c r="I902" s="1">
        <v>44932</v>
      </c>
      <c r="J902" s="2">
        <f>DATEDIF(Sheet1[[#This Row],[Fecha ingreso]],Sheet1[[#This Row],[Fecha último pago]],"M")+1</f>
        <v>9</v>
      </c>
      <c r="K902" s="2">
        <f>Sheet1[[#This Row],[Ingresos mensuales]]*Sheet1[[#This Row],[Meses contratados]]</f>
        <v>525.6</v>
      </c>
      <c r="L902" t="s">
        <v>1817</v>
      </c>
      <c r="M902">
        <v>55</v>
      </c>
      <c r="N902" t="s">
        <v>1820</v>
      </c>
      <c r="O902" t="s">
        <v>1825</v>
      </c>
      <c r="P902" t="s">
        <v>1826</v>
      </c>
      <c r="Q902" cm="1">
        <f t="array" ref="Q902">_xlfn.IFS(P902="2 Years", 24,P902="1 Year",12, P902="6 Months",6, P902="1 Month",1)</f>
        <v>24</v>
      </c>
      <c r="R902" t="str" cm="1">
        <f t="array" ref="R902">_xlfn.IFS(Q902=1,"Mensual",Q902=6,"Semestral",Q902=12,"Anual",Q902=24,"Bienal")</f>
        <v>Bienal</v>
      </c>
      <c r="S902">
        <f>IFERROR(VLOOKUP(Sheet1[[#This Row],[ID usuario]],A903:$A$907,1,FALSE),0)</f>
        <v>0</v>
      </c>
    </row>
    <row r="903" spans="1:19" x14ac:dyDescent="0.25">
      <c r="A903" t="s">
        <v>901</v>
      </c>
      <c r="B903" t="s">
        <v>1806</v>
      </c>
      <c r="C903" t="s">
        <v>1811</v>
      </c>
      <c r="D903">
        <v>61.64</v>
      </c>
      <c r="E903" s="1">
        <v>44984</v>
      </c>
      <c r="F903" s="1" t="str">
        <f>TEXT(Sheet1[[#This Row],[Fecha ingreso]],"mmmm")</f>
        <v>febrero</v>
      </c>
      <c r="G903" s="2">
        <f>YEAR(Sheet1[[#This Row],[Fecha ingreso]])</f>
        <v>2023</v>
      </c>
      <c r="H903" s="1" t="str">
        <f>TEXT(Sheet1[[#This Row],[Fecha ingreso]],"dddd")</f>
        <v>lunes</v>
      </c>
      <c r="I903" s="1">
        <v>45149</v>
      </c>
      <c r="J903" s="2">
        <f>DATEDIF(Sheet1[[#This Row],[Fecha ingreso]],Sheet1[[#This Row],[Fecha último pago]],"M")+1</f>
        <v>6</v>
      </c>
      <c r="K903" s="2">
        <f>Sheet1[[#This Row],[Ingresos mensuales]]*Sheet1[[#This Row],[Meses contratados]]</f>
        <v>369.84000000000003</v>
      </c>
      <c r="L903" t="s">
        <v>1817</v>
      </c>
      <c r="M903">
        <v>37</v>
      </c>
      <c r="N903" t="s">
        <v>1820</v>
      </c>
      <c r="O903" t="s">
        <v>1823</v>
      </c>
      <c r="P903" t="s">
        <v>1827</v>
      </c>
      <c r="Q903" cm="1">
        <f t="array" ref="Q903">_xlfn.IFS(P903="2 Years", 24,P903="1 Year",12, P903="6 Months",6, P903="1 Month",1)</f>
        <v>12</v>
      </c>
      <c r="R903" t="str" cm="1">
        <f t="array" ref="R903">_xlfn.IFS(Q903=1,"Mensual",Q903=6,"Semestral",Q903=12,"Anual",Q903=24,"Bienal")</f>
        <v>Anual</v>
      </c>
      <c r="S903">
        <f>IFERROR(VLOOKUP(Sheet1[[#This Row],[ID usuario]],A904:$A$907,1,FALSE),0)</f>
        <v>0</v>
      </c>
    </row>
    <row r="904" spans="1:19" x14ac:dyDescent="0.25">
      <c r="A904" t="s">
        <v>902</v>
      </c>
      <c r="B904" t="s">
        <v>1807</v>
      </c>
      <c r="C904" t="s">
        <v>1810</v>
      </c>
      <c r="D904">
        <v>45.74</v>
      </c>
      <c r="E904" s="1">
        <v>44566</v>
      </c>
      <c r="F904" s="1" t="str">
        <f>TEXT(Sheet1[[#This Row],[Fecha ingreso]],"mmmm")</f>
        <v>enero</v>
      </c>
      <c r="G904" s="2">
        <f>YEAR(Sheet1[[#This Row],[Fecha ingreso]])</f>
        <v>2022</v>
      </c>
      <c r="H904" s="1" t="str">
        <f>TEXT(Sheet1[[#This Row],[Fecha ingreso]],"dddd")</f>
        <v>miércoles</v>
      </c>
      <c r="I904" s="1">
        <v>44886</v>
      </c>
      <c r="J904" s="2">
        <f>DATEDIF(Sheet1[[#This Row],[Fecha ingreso]],Sheet1[[#This Row],[Fecha último pago]],"M")+1</f>
        <v>11</v>
      </c>
      <c r="K904" s="2">
        <f>Sheet1[[#This Row],[Ingresos mensuales]]*Sheet1[[#This Row],[Meses contratados]]</f>
        <v>503.14000000000004</v>
      </c>
      <c r="L904" t="s">
        <v>1815</v>
      </c>
      <c r="M904">
        <v>58</v>
      </c>
      <c r="N904" t="s">
        <v>1822</v>
      </c>
      <c r="O904" t="s">
        <v>1823</v>
      </c>
      <c r="P904" t="s">
        <v>1829</v>
      </c>
      <c r="Q904" cm="1">
        <f t="array" ref="Q904">_xlfn.IFS(P904="2 Years", 24,P904="1 Year",12, P904="6 Months",6, P904="1 Month",1)</f>
        <v>1</v>
      </c>
      <c r="R904" t="str" cm="1">
        <f t="array" ref="R904">_xlfn.IFS(Q904=1,"Mensual",Q904=6,"Semestral",Q904=12,"Anual",Q904=24,"Bienal")</f>
        <v>Mensual</v>
      </c>
      <c r="S904">
        <f>IFERROR(VLOOKUP(Sheet1[[#This Row],[ID usuario]],A905:$A$907,1,FALSE),0)</f>
        <v>0</v>
      </c>
    </row>
    <row r="905" spans="1:19" x14ac:dyDescent="0.25">
      <c r="A905" t="s">
        <v>903</v>
      </c>
      <c r="B905" t="s">
        <v>1808</v>
      </c>
      <c r="C905" t="s">
        <v>1812</v>
      </c>
      <c r="D905">
        <v>57.74</v>
      </c>
      <c r="E905" s="1">
        <v>44694</v>
      </c>
      <c r="F905" s="1" t="str">
        <f>TEXT(Sheet1[[#This Row],[Fecha ingreso]],"mmmm")</f>
        <v>mayo</v>
      </c>
      <c r="G905" s="2">
        <f>YEAR(Sheet1[[#This Row],[Fecha ingreso]])</f>
        <v>2022</v>
      </c>
      <c r="H905" s="1" t="str">
        <f>TEXT(Sheet1[[#This Row],[Fecha ingreso]],"dddd")</f>
        <v>viernes</v>
      </c>
      <c r="I905" s="1">
        <v>44769</v>
      </c>
      <c r="J905" s="2">
        <f>DATEDIF(Sheet1[[#This Row],[Fecha ingreso]],Sheet1[[#This Row],[Fecha último pago]],"M")+1</f>
        <v>3</v>
      </c>
      <c r="K905" s="2">
        <f>Sheet1[[#This Row],[Ingresos mensuales]]*Sheet1[[#This Row],[Meses contratados]]</f>
        <v>173.22</v>
      </c>
      <c r="L905" t="s">
        <v>1813</v>
      </c>
      <c r="M905">
        <v>21</v>
      </c>
      <c r="N905" t="s">
        <v>1820</v>
      </c>
      <c r="O905" t="s">
        <v>1824</v>
      </c>
      <c r="P905" t="s">
        <v>1826</v>
      </c>
      <c r="Q905" cm="1">
        <f t="array" ref="Q905">_xlfn.IFS(P905="2 Years", 24,P905="1 Year",12, P905="6 Months",6, P905="1 Month",1)</f>
        <v>24</v>
      </c>
      <c r="R905" t="str" cm="1">
        <f t="array" ref="R905">_xlfn.IFS(Q905=1,"Mensual",Q905=6,"Semestral",Q905=12,"Anual",Q905=24,"Bienal")</f>
        <v>Bienal</v>
      </c>
      <c r="S905">
        <f>IFERROR(VLOOKUP(Sheet1[[#This Row],[ID usuario]],A906:$A$907,1,FALSE),0)</f>
        <v>0</v>
      </c>
    </row>
    <row r="906" spans="1:19" x14ac:dyDescent="0.25">
      <c r="A906" t="s">
        <v>904</v>
      </c>
      <c r="B906" t="s">
        <v>1809</v>
      </c>
      <c r="C906" t="s">
        <v>1812</v>
      </c>
      <c r="D906">
        <v>44.61</v>
      </c>
      <c r="E906" s="1">
        <v>44912</v>
      </c>
      <c r="F906" s="1" t="str">
        <f>TEXT(Sheet1[[#This Row],[Fecha ingreso]],"mmmm")</f>
        <v>diciembre</v>
      </c>
      <c r="G906" s="2">
        <f>YEAR(Sheet1[[#This Row],[Fecha ingreso]])</f>
        <v>2022</v>
      </c>
      <c r="H906" s="1" t="str">
        <f>TEXT(Sheet1[[#This Row],[Fecha ingreso]],"dddd")</f>
        <v>sábado</v>
      </c>
      <c r="I906" s="1">
        <v>45441</v>
      </c>
      <c r="J906" s="2">
        <f>DATEDIF(Sheet1[[#This Row],[Fecha ingreso]],Sheet1[[#This Row],[Fecha último pago]],"M")+1</f>
        <v>18</v>
      </c>
      <c r="K906" s="2">
        <f>Sheet1[[#This Row],[Ingresos mensuales]]*Sheet1[[#This Row],[Meses contratados]]</f>
        <v>802.98</v>
      </c>
      <c r="L906" t="s">
        <v>1813</v>
      </c>
      <c r="M906">
        <v>55</v>
      </c>
      <c r="N906" t="s">
        <v>1820</v>
      </c>
      <c r="O906" t="s">
        <v>1823</v>
      </c>
      <c r="P906" t="s">
        <v>1828</v>
      </c>
      <c r="Q906" cm="1">
        <f t="array" ref="Q906">_xlfn.IFS(P906="2 Years", 24,P906="1 Year",12, P906="6 Months",6, P906="1 Month",1)</f>
        <v>6</v>
      </c>
      <c r="R906" t="str" cm="1">
        <f t="array" ref="R906">_xlfn.IFS(Q906=1,"Mensual",Q906=6,"Semestral",Q906=12,"Anual",Q906=24,"Bienal")</f>
        <v>Semestral</v>
      </c>
      <c r="S906">
        <f>IFERROR(VLOOKUP(Sheet1[[#This Row],[ID usuario]],A907:$A$907,1,FALSE),0)</f>
        <v>0</v>
      </c>
    </row>
  </sheetData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E742-45F5-414C-A506-BB8C93550A05}">
  <sheetPr codeName="Hoja2"/>
  <dimension ref="C3:U11"/>
  <sheetViews>
    <sheetView workbookViewId="0">
      <selection activeCell="F18" sqref="F18"/>
    </sheetView>
  </sheetViews>
  <sheetFormatPr baseColWidth="10" defaultRowHeight="15" x14ac:dyDescent="0.25"/>
  <sheetData>
    <row r="3" spans="3:21" x14ac:dyDescent="0.25">
      <c r="C3" s="9" t="s">
        <v>1841</v>
      </c>
      <c r="E3" s="9" t="s">
        <v>1842</v>
      </c>
    </row>
    <row r="4" spans="3:21" x14ac:dyDescent="0.25">
      <c r="C4">
        <f>COUNTA(Sheet1[ID usuario])</f>
        <v>905</v>
      </c>
      <c r="E4">
        <f>SUM(Sheet1[Duplicados])</f>
        <v>0</v>
      </c>
    </row>
    <row r="8" spans="3:21" x14ac:dyDescent="0.25">
      <c r="C8" s="14" t="s">
        <v>1899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10" spans="3:21" x14ac:dyDescent="0.25">
      <c r="C10" s="10" t="str" cm="1">
        <f t="array" ref="C10:U10">Sheet1[#Headers]</f>
        <v>ID usuario</v>
      </c>
      <c r="D10" s="10" t="str">
        <v>Número de serie</v>
      </c>
      <c r="E10" s="10" t="str">
        <v>Tipo de suscripción</v>
      </c>
      <c r="F10" s="10" t="str">
        <v>Ingresos mensuales</v>
      </c>
      <c r="G10" s="10" t="str">
        <v>Fecha ingreso</v>
      </c>
      <c r="H10" s="10" t="str">
        <v>Mes suscripción</v>
      </c>
      <c r="I10" s="10" t="str">
        <v>Año suscripción</v>
      </c>
      <c r="J10" s="10" t="str">
        <v>Semana ingreso</v>
      </c>
      <c r="K10" s="10" t="str">
        <v>Fecha último pago</v>
      </c>
      <c r="L10" s="10" t="str">
        <v>Meses contratados</v>
      </c>
      <c r="M10" s="10" t="str">
        <v>Ingresos totales</v>
      </c>
      <c r="N10" s="10" t="str">
        <v>País</v>
      </c>
      <c r="O10" s="10" t="str">
        <v>Edad</v>
      </c>
      <c r="P10" s="10" t="str">
        <v>Género</v>
      </c>
      <c r="Q10" s="10" t="str">
        <v>Dispositivo</v>
      </c>
      <c r="R10" s="10" t="str">
        <v>Duración del plan</v>
      </c>
      <c r="S10" s="10" t="str">
        <v>Duración del plan (Mes)</v>
      </c>
      <c r="T10" s="10" t="str">
        <v>Plan duración</v>
      </c>
      <c r="U10" s="10" t="str">
        <v>Duplicados</v>
      </c>
    </row>
    <row r="11" spans="3:21" x14ac:dyDescent="0.25">
      <c r="C11">
        <f>COUNTBLANK(Sheet1[ID usuario])</f>
        <v>0</v>
      </c>
      <c r="D11">
        <f>COUNTBLANK(Sheet1[Número de serie])</f>
        <v>0</v>
      </c>
      <c r="E11">
        <f>COUNTBLANK(Sheet1[Tipo de suscripción])</f>
        <v>0</v>
      </c>
      <c r="F11">
        <f>COUNTBLANK(Sheet1[Ingresos mensuales])</f>
        <v>0</v>
      </c>
      <c r="G11">
        <f>COUNTBLANK(Sheet1[Fecha ingreso])</f>
        <v>0</v>
      </c>
      <c r="H11">
        <f>COUNTBLANK(Sheet1[Fecha último pago])</f>
        <v>0</v>
      </c>
      <c r="I11">
        <f>COUNTBLANK(Sheet1[País])</f>
        <v>0</v>
      </c>
      <c r="J11">
        <f>COUNTBLANK(Sheet1[Edad])</f>
        <v>0</v>
      </c>
      <c r="K11">
        <f>COUNTBLANK(Sheet1[Género])</f>
        <v>0</v>
      </c>
      <c r="L11">
        <f>COUNTBLANK(Sheet1[Dispositivo])</f>
        <v>0</v>
      </c>
      <c r="M11">
        <f>COUNTBLANK(Sheet1[Duración del plan])</f>
        <v>0</v>
      </c>
      <c r="N11">
        <f>COUNTBLANK(Sheet1[Duplicados])</f>
        <v>0</v>
      </c>
      <c r="O11">
        <f>COUNTBLANK(Sheet1[ID usuario])</f>
        <v>0</v>
      </c>
      <c r="P11">
        <f>COUNTBLANK(Sheet1[Número de serie])</f>
        <v>0</v>
      </c>
      <c r="Q11">
        <f>COUNTBLANK(Sheet1[Tipo de suscripción])</f>
        <v>0</v>
      </c>
      <c r="R11">
        <f>COUNTBLANK(Sheet1[Ingresos mensuales])</f>
        <v>0</v>
      </c>
      <c r="S11">
        <f>COUNTBLANK(Sheet1[Fecha ingreso])</f>
        <v>0</v>
      </c>
      <c r="T11">
        <f>COUNTBLANK(Sheet1[Mes suscripción])</f>
        <v>0</v>
      </c>
      <c r="U11">
        <f>COUNTBLANK(Sheet1[Año suscripción])</f>
        <v>0</v>
      </c>
    </row>
  </sheetData>
  <mergeCells count="1">
    <mergeCell ref="C8:U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5058-7B9B-46F1-BB45-9BE43B08406F}">
  <sheetPr codeName="Hoja3"/>
  <dimension ref="C2:R161"/>
  <sheetViews>
    <sheetView workbookViewId="0">
      <selection activeCell="A43" sqref="A43"/>
    </sheetView>
  </sheetViews>
  <sheetFormatPr baseColWidth="10" defaultRowHeight="15" x14ac:dyDescent="0.25"/>
  <cols>
    <col min="3" max="3" width="17.5703125" bestFit="1" customWidth="1"/>
    <col min="4" max="4" width="13.42578125" customWidth="1"/>
    <col min="6" max="6" width="17.5703125" bestFit="1" customWidth="1"/>
    <col min="7" max="7" width="10.28515625" bestFit="1" customWidth="1"/>
    <col min="8" max="8" width="11.42578125" customWidth="1"/>
    <col min="9" max="9" width="19.42578125" bestFit="1" customWidth="1"/>
    <col min="10" max="10" width="8.140625" bestFit="1" customWidth="1"/>
  </cols>
  <sheetData>
    <row r="2" spans="3:10" x14ac:dyDescent="0.25">
      <c r="F2" s="5" t="s">
        <v>1853</v>
      </c>
      <c r="G2" s="6">
        <v>2024</v>
      </c>
      <c r="I2" s="5" t="s">
        <v>1853</v>
      </c>
      <c r="J2" s="6">
        <v>2024</v>
      </c>
    </row>
    <row r="3" spans="3:10" x14ac:dyDescent="0.25">
      <c r="C3" s="14" t="s">
        <v>1882</v>
      </c>
      <c r="D3" s="14"/>
      <c r="F3" s="5" t="s">
        <v>1852</v>
      </c>
      <c r="G3" t="s">
        <v>1854</v>
      </c>
      <c r="I3" s="5" t="s">
        <v>1852</v>
      </c>
      <c r="J3" t="s">
        <v>1854</v>
      </c>
    </row>
    <row r="5" spans="3:10" x14ac:dyDescent="0.25">
      <c r="C5" t="s">
        <v>1849</v>
      </c>
      <c r="D5" t="s">
        <v>1850</v>
      </c>
      <c r="F5" t="s">
        <v>1851</v>
      </c>
      <c r="I5" t="s">
        <v>1848</v>
      </c>
    </row>
    <row r="6" spans="3:10" x14ac:dyDescent="0.25">
      <c r="C6" s="3">
        <v>905</v>
      </c>
      <c r="D6" s="4">
        <v>474549.75999999937</v>
      </c>
      <c r="F6">
        <v>1024.2699999999998</v>
      </c>
      <c r="I6">
        <v>18</v>
      </c>
    </row>
    <row r="11" spans="3:10" x14ac:dyDescent="0.25">
      <c r="C11" s="14" t="s">
        <v>1831</v>
      </c>
      <c r="D11" s="14"/>
      <c r="E11" s="14"/>
      <c r="F11" s="14"/>
      <c r="G11" s="14"/>
    </row>
    <row r="13" spans="3:10" x14ac:dyDescent="0.25">
      <c r="C13" s="5" t="s">
        <v>1855</v>
      </c>
      <c r="D13" t="s">
        <v>1849</v>
      </c>
      <c r="F13" s="5" t="s">
        <v>1855</v>
      </c>
      <c r="G13" t="s">
        <v>1850</v>
      </c>
    </row>
    <row r="14" spans="3:10" x14ac:dyDescent="0.25">
      <c r="C14" s="7" t="s">
        <v>1810</v>
      </c>
      <c r="D14">
        <v>316</v>
      </c>
      <c r="F14" s="7" t="s">
        <v>1810</v>
      </c>
      <c r="G14" s="2">
        <v>151805.38000000012</v>
      </c>
    </row>
    <row r="15" spans="3:10" x14ac:dyDescent="0.25">
      <c r="C15" s="7" t="s">
        <v>1812</v>
      </c>
      <c r="D15">
        <v>291</v>
      </c>
      <c r="F15" s="7" t="s">
        <v>1812</v>
      </c>
      <c r="G15" s="2">
        <v>158729.04</v>
      </c>
    </row>
    <row r="16" spans="3:10" x14ac:dyDescent="0.25">
      <c r="C16" s="7" t="s">
        <v>1811</v>
      </c>
      <c r="D16">
        <v>298</v>
      </c>
      <c r="F16" s="7" t="s">
        <v>1811</v>
      </c>
      <c r="G16" s="2">
        <v>164015.34000000003</v>
      </c>
    </row>
    <row r="17" spans="3:7" x14ac:dyDescent="0.25">
      <c r="C17" s="7" t="s">
        <v>1856</v>
      </c>
      <c r="D17">
        <v>905</v>
      </c>
      <c r="F17" s="7" t="s">
        <v>1856</v>
      </c>
      <c r="G17" s="2">
        <v>474549.76000000018</v>
      </c>
    </row>
    <row r="23" spans="3:7" x14ac:dyDescent="0.25">
      <c r="C23" s="14" t="s">
        <v>1881</v>
      </c>
      <c r="D23" s="14"/>
      <c r="E23" s="14"/>
      <c r="F23" s="14"/>
      <c r="G23" s="14"/>
    </row>
    <row r="25" spans="3:7" x14ac:dyDescent="0.25">
      <c r="C25" s="5" t="s">
        <v>1855</v>
      </c>
      <c r="D25" t="s">
        <v>1849</v>
      </c>
      <c r="F25" s="5" t="s">
        <v>1855</v>
      </c>
      <c r="G25" t="s">
        <v>1850</v>
      </c>
    </row>
    <row r="26" spans="3:7" x14ac:dyDescent="0.25">
      <c r="C26" s="7" t="s">
        <v>1857</v>
      </c>
      <c r="D26">
        <v>180</v>
      </c>
      <c r="F26" s="7" t="s">
        <v>1857</v>
      </c>
      <c r="G26" s="2">
        <v>153765.00999999998</v>
      </c>
    </row>
    <row r="27" spans="3:7" x14ac:dyDescent="0.25">
      <c r="C27" s="8" t="s">
        <v>1861</v>
      </c>
      <c r="D27">
        <v>12</v>
      </c>
      <c r="F27" s="8" t="s">
        <v>1861</v>
      </c>
      <c r="G27" s="2">
        <v>12878.240000000002</v>
      </c>
    </row>
    <row r="28" spans="3:7" x14ac:dyDescent="0.25">
      <c r="C28" s="8" t="s">
        <v>1864</v>
      </c>
      <c r="D28">
        <v>23</v>
      </c>
      <c r="F28" s="8" t="s">
        <v>1864</v>
      </c>
      <c r="G28" s="2">
        <v>18265.8</v>
      </c>
    </row>
    <row r="29" spans="3:7" x14ac:dyDescent="0.25">
      <c r="C29" s="8" t="s">
        <v>1865</v>
      </c>
      <c r="D29">
        <v>39</v>
      </c>
      <c r="F29" s="8" t="s">
        <v>1865</v>
      </c>
      <c r="G29" s="2">
        <v>33320.439999999995</v>
      </c>
    </row>
    <row r="30" spans="3:7" x14ac:dyDescent="0.25">
      <c r="C30" s="8" t="s">
        <v>1866</v>
      </c>
      <c r="D30">
        <v>27</v>
      </c>
      <c r="F30" s="8" t="s">
        <v>1866</v>
      </c>
      <c r="G30" s="2">
        <v>27231.08</v>
      </c>
    </row>
    <row r="31" spans="3:7" x14ac:dyDescent="0.25">
      <c r="C31" s="8" t="s">
        <v>1867</v>
      </c>
      <c r="D31">
        <v>32</v>
      </c>
      <c r="F31" s="8" t="s">
        <v>1867</v>
      </c>
      <c r="G31" s="2">
        <v>25746.45</v>
      </c>
    </row>
    <row r="32" spans="3:7" x14ac:dyDescent="0.25">
      <c r="C32" s="8" t="s">
        <v>1868</v>
      </c>
      <c r="D32">
        <v>18</v>
      </c>
      <c r="F32" s="8" t="s">
        <v>1868</v>
      </c>
      <c r="G32" s="2">
        <v>13126.889999999998</v>
      </c>
    </row>
    <row r="33" spans="3:7" x14ac:dyDescent="0.25">
      <c r="C33" s="8" t="s">
        <v>1869</v>
      </c>
      <c r="D33">
        <v>29</v>
      </c>
      <c r="F33" s="8" t="s">
        <v>1869</v>
      </c>
      <c r="G33" s="2">
        <v>23196.109999999993</v>
      </c>
    </row>
    <row r="34" spans="3:7" x14ac:dyDescent="0.25">
      <c r="C34" s="7" t="s">
        <v>1858</v>
      </c>
      <c r="D34">
        <v>305</v>
      </c>
      <c r="F34" s="7" t="s">
        <v>1858</v>
      </c>
      <c r="G34" s="2">
        <v>208591.78</v>
      </c>
    </row>
    <row r="35" spans="3:7" x14ac:dyDescent="0.25">
      <c r="C35" s="8" t="s">
        <v>1870</v>
      </c>
      <c r="D35">
        <v>26</v>
      </c>
      <c r="F35" s="8" t="s">
        <v>1870</v>
      </c>
      <c r="G35" s="2">
        <v>16609.98</v>
      </c>
    </row>
    <row r="36" spans="3:7" x14ac:dyDescent="0.25">
      <c r="C36" s="8" t="s">
        <v>1871</v>
      </c>
      <c r="D36">
        <v>17</v>
      </c>
      <c r="F36" s="8" t="s">
        <v>1871</v>
      </c>
      <c r="G36" s="2">
        <v>14219.740000000002</v>
      </c>
    </row>
    <row r="37" spans="3:7" x14ac:dyDescent="0.25">
      <c r="C37" s="8" t="s">
        <v>1872</v>
      </c>
      <c r="D37">
        <v>23</v>
      </c>
      <c r="F37" s="8" t="s">
        <v>1872</v>
      </c>
      <c r="G37" s="2">
        <v>17701.41</v>
      </c>
    </row>
    <row r="38" spans="3:7" x14ac:dyDescent="0.25">
      <c r="C38" s="8" t="s">
        <v>1862</v>
      </c>
      <c r="D38">
        <v>25</v>
      </c>
      <c r="F38" s="8" t="s">
        <v>1862</v>
      </c>
      <c r="G38" s="2">
        <v>26653.549999999996</v>
      </c>
    </row>
    <row r="39" spans="3:7" x14ac:dyDescent="0.25">
      <c r="C39" s="8" t="s">
        <v>1863</v>
      </c>
      <c r="D39">
        <v>34</v>
      </c>
      <c r="F39" s="8" t="s">
        <v>1863</v>
      </c>
      <c r="G39" s="2">
        <v>22658.07</v>
      </c>
    </row>
    <row r="40" spans="3:7" x14ac:dyDescent="0.25">
      <c r="C40" s="8" t="s">
        <v>1861</v>
      </c>
      <c r="D40">
        <v>26</v>
      </c>
      <c r="F40" s="8" t="s">
        <v>1861</v>
      </c>
      <c r="G40" s="2">
        <v>17874.14</v>
      </c>
    </row>
    <row r="41" spans="3:7" x14ac:dyDescent="0.25">
      <c r="C41" s="8" t="s">
        <v>1864</v>
      </c>
      <c r="D41">
        <v>19</v>
      </c>
      <c r="F41" s="8" t="s">
        <v>1864</v>
      </c>
      <c r="G41" s="2">
        <v>15258.119999999997</v>
      </c>
    </row>
    <row r="42" spans="3:7" x14ac:dyDescent="0.25">
      <c r="C42" s="8" t="s">
        <v>1865</v>
      </c>
      <c r="D42">
        <v>28</v>
      </c>
      <c r="F42" s="8" t="s">
        <v>1865</v>
      </c>
      <c r="G42" s="2">
        <v>19018.37</v>
      </c>
    </row>
    <row r="43" spans="3:7" x14ac:dyDescent="0.25">
      <c r="C43" s="8" t="s">
        <v>1866</v>
      </c>
      <c r="D43">
        <v>29</v>
      </c>
      <c r="F43" s="8" t="s">
        <v>1866</v>
      </c>
      <c r="G43" s="2">
        <v>16445.22</v>
      </c>
    </row>
    <row r="44" spans="3:7" x14ac:dyDescent="0.25">
      <c r="C44" s="8" t="s">
        <v>1867</v>
      </c>
      <c r="D44">
        <v>21</v>
      </c>
      <c r="F44" s="8" t="s">
        <v>1867</v>
      </c>
      <c r="G44" s="2">
        <v>8780.94</v>
      </c>
    </row>
    <row r="45" spans="3:7" x14ac:dyDescent="0.25">
      <c r="C45" s="8" t="s">
        <v>1868</v>
      </c>
      <c r="D45">
        <v>27</v>
      </c>
      <c r="F45" s="8" t="s">
        <v>1868</v>
      </c>
      <c r="G45" s="2">
        <v>14795.810000000001</v>
      </c>
    </row>
    <row r="46" spans="3:7" x14ac:dyDescent="0.25">
      <c r="C46" s="8" t="s">
        <v>1869</v>
      </c>
      <c r="D46">
        <v>30</v>
      </c>
      <c r="F46" s="8" t="s">
        <v>1869</v>
      </c>
      <c r="G46" s="2">
        <v>18576.43</v>
      </c>
    </row>
    <row r="47" spans="3:7" x14ac:dyDescent="0.25">
      <c r="C47" s="7" t="s">
        <v>1859</v>
      </c>
      <c r="D47">
        <v>284</v>
      </c>
      <c r="F47" s="7" t="s">
        <v>1859</v>
      </c>
      <c r="G47" s="2">
        <v>97962.060000000012</v>
      </c>
    </row>
    <row r="48" spans="3:7" x14ac:dyDescent="0.25">
      <c r="C48" s="8" t="s">
        <v>1870</v>
      </c>
      <c r="D48">
        <v>15</v>
      </c>
      <c r="F48" s="8" t="s">
        <v>1870</v>
      </c>
      <c r="G48" s="2">
        <v>7976.67</v>
      </c>
    </row>
    <row r="49" spans="3:7" x14ac:dyDescent="0.25">
      <c r="C49" s="8" t="s">
        <v>1871</v>
      </c>
      <c r="D49">
        <v>26</v>
      </c>
      <c r="F49" s="8" t="s">
        <v>1871</v>
      </c>
      <c r="G49" s="2">
        <v>11594.360000000002</v>
      </c>
    </row>
    <row r="50" spans="3:7" x14ac:dyDescent="0.25">
      <c r="C50" s="8" t="s">
        <v>1872</v>
      </c>
      <c r="D50">
        <v>20</v>
      </c>
      <c r="F50" s="8" t="s">
        <v>1872</v>
      </c>
      <c r="G50" s="2">
        <v>11565.19</v>
      </c>
    </row>
    <row r="51" spans="3:7" x14ac:dyDescent="0.25">
      <c r="C51" s="8" t="s">
        <v>1862</v>
      </c>
      <c r="D51">
        <v>30</v>
      </c>
      <c r="F51" s="8" t="s">
        <v>1862</v>
      </c>
      <c r="G51" s="2">
        <v>13232.529999999999</v>
      </c>
    </row>
    <row r="52" spans="3:7" x14ac:dyDescent="0.25">
      <c r="C52" s="8" t="s">
        <v>1863</v>
      </c>
      <c r="D52">
        <v>28</v>
      </c>
      <c r="F52" s="8" t="s">
        <v>1863</v>
      </c>
      <c r="G52" s="2">
        <v>11000.260000000002</v>
      </c>
    </row>
    <row r="53" spans="3:7" x14ac:dyDescent="0.25">
      <c r="C53" s="8" t="s">
        <v>1861</v>
      </c>
      <c r="D53">
        <v>27</v>
      </c>
      <c r="F53" s="8" t="s">
        <v>1861</v>
      </c>
      <c r="G53" s="2">
        <v>8898.1400000000031</v>
      </c>
    </row>
    <row r="54" spans="3:7" x14ac:dyDescent="0.25">
      <c r="C54" s="8" t="s">
        <v>1864</v>
      </c>
      <c r="D54">
        <v>20</v>
      </c>
      <c r="F54" s="8" t="s">
        <v>1864</v>
      </c>
      <c r="G54" s="2">
        <v>4965.7500000000009</v>
      </c>
    </row>
    <row r="55" spans="3:7" x14ac:dyDescent="0.25">
      <c r="C55" s="8" t="s">
        <v>1865</v>
      </c>
      <c r="D55">
        <v>20</v>
      </c>
      <c r="F55" s="8" t="s">
        <v>1865</v>
      </c>
      <c r="G55" s="2">
        <v>6931.27</v>
      </c>
    </row>
    <row r="56" spans="3:7" x14ac:dyDescent="0.25">
      <c r="C56" s="8" t="s">
        <v>1866</v>
      </c>
      <c r="D56">
        <v>20</v>
      </c>
      <c r="F56" s="8" t="s">
        <v>1866</v>
      </c>
      <c r="G56" s="2">
        <v>5608.92</v>
      </c>
    </row>
    <row r="57" spans="3:7" x14ac:dyDescent="0.25">
      <c r="C57" s="8" t="s">
        <v>1867</v>
      </c>
      <c r="D57">
        <v>23</v>
      </c>
      <c r="F57" s="8" t="s">
        <v>1867</v>
      </c>
      <c r="G57" s="2">
        <v>5476.9000000000005</v>
      </c>
    </row>
    <row r="58" spans="3:7" x14ac:dyDescent="0.25">
      <c r="C58" s="8" t="s">
        <v>1868</v>
      </c>
      <c r="D58">
        <v>27</v>
      </c>
      <c r="F58" s="8" t="s">
        <v>1868</v>
      </c>
      <c r="G58" s="2">
        <v>5353.24</v>
      </c>
    </row>
    <row r="59" spans="3:7" x14ac:dyDescent="0.25">
      <c r="C59" s="8" t="s">
        <v>1869</v>
      </c>
      <c r="D59">
        <v>28</v>
      </c>
      <c r="F59" s="8" t="s">
        <v>1869</v>
      </c>
      <c r="G59" s="2">
        <v>5358.829999999999</v>
      </c>
    </row>
    <row r="60" spans="3:7" x14ac:dyDescent="0.25">
      <c r="C60" s="7" t="s">
        <v>1860</v>
      </c>
      <c r="D60">
        <v>136</v>
      </c>
      <c r="F60" s="7" t="s">
        <v>1860</v>
      </c>
      <c r="G60" s="2">
        <v>14230.91</v>
      </c>
    </row>
    <row r="61" spans="3:7" x14ac:dyDescent="0.25">
      <c r="C61" s="8" t="s">
        <v>1870</v>
      </c>
      <c r="D61">
        <v>27</v>
      </c>
      <c r="F61" s="8" t="s">
        <v>1870</v>
      </c>
      <c r="G61" s="2">
        <v>4129.0000000000009</v>
      </c>
    </row>
    <row r="62" spans="3:7" x14ac:dyDescent="0.25">
      <c r="C62" s="8" t="s">
        <v>1871</v>
      </c>
      <c r="D62">
        <v>24</v>
      </c>
      <c r="F62" s="8" t="s">
        <v>1871</v>
      </c>
      <c r="G62" s="2">
        <v>3332.9999999999995</v>
      </c>
    </row>
    <row r="63" spans="3:7" x14ac:dyDescent="0.25">
      <c r="C63" s="8" t="s">
        <v>1872</v>
      </c>
      <c r="D63">
        <v>23</v>
      </c>
      <c r="F63" s="8" t="s">
        <v>1872</v>
      </c>
      <c r="G63" s="2">
        <v>2469.4200000000005</v>
      </c>
    </row>
    <row r="64" spans="3:7" x14ac:dyDescent="0.25">
      <c r="C64" s="8" t="s">
        <v>1862</v>
      </c>
      <c r="D64">
        <v>29</v>
      </c>
      <c r="F64" s="8" t="s">
        <v>1862</v>
      </c>
      <c r="G64" s="2">
        <v>2461.420000000001</v>
      </c>
    </row>
    <row r="65" spans="3:7" x14ac:dyDescent="0.25">
      <c r="C65" s="8" t="s">
        <v>1863</v>
      </c>
      <c r="D65">
        <v>18</v>
      </c>
      <c r="F65" s="8" t="s">
        <v>1863</v>
      </c>
      <c r="G65" s="2">
        <v>1174.83</v>
      </c>
    </row>
    <row r="66" spans="3:7" x14ac:dyDescent="0.25">
      <c r="C66" s="8" t="s">
        <v>1861</v>
      </c>
      <c r="D66">
        <v>15</v>
      </c>
      <c r="F66" s="8" t="s">
        <v>1861</v>
      </c>
      <c r="G66" s="2">
        <v>663.2399999999999</v>
      </c>
    </row>
    <row r="67" spans="3:7" x14ac:dyDescent="0.25">
      <c r="C67" s="7" t="s">
        <v>1856</v>
      </c>
      <c r="D67">
        <v>905</v>
      </c>
      <c r="F67" s="7" t="s">
        <v>1856</v>
      </c>
      <c r="G67" s="2">
        <v>474549.75999999995</v>
      </c>
    </row>
    <row r="71" spans="3:7" x14ac:dyDescent="0.25">
      <c r="C71" s="14" t="s">
        <v>1880</v>
      </c>
      <c r="D71" s="14"/>
      <c r="E71" s="14"/>
      <c r="F71" s="14"/>
      <c r="G71" s="14"/>
    </row>
    <row r="73" spans="3:7" x14ac:dyDescent="0.25">
      <c r="C73" s="5" t="s">
        <v>1855</v>
      </c>
      <c r="D73" t="s">
        <v>1849</v>
      </c>
      <c r="F73" s="5" t="s">
        <v>1855</v>
      </c>
      <c r="G73" t="s">
        <v>1850</v>
      </c>
    </row>
    <row r="74" spans="3:7" x14ac:dyDescent="0.25">
      <c r="C74" s="7" t="s">
        <v>1873</v>
      </c>
      <c r="D74">
        <v>132</v>
      </c>
      <c r="F74" s="7" t="s">
        <v>1873</v>
      </c>
      <c r="G74" s="2">
        <v>81678.679999999935</v>
      </c>
    </row>
    <row r="75" spans="3:7" x14ac:dyDescent="0.25">
      <c r="C75" s="7" t="s">
        <v>1874</v>
      </c>
      <c r="D75">
        <v>125</v>
      </c>
      <c r="F75" s="7" t="s">
        <v>1874</v>
      </c>
      <c r="G75" s="2">
        <v>60641.599999999991</v>
      </c>
    </row>
    <row r="76" spans="3:7" x14ac:dyDescent="0.25">
      <c r="C76" s="7" t="s">
        <v>1875</v>
      </c>
      <c r="D76">
        <v>126</v>
      </c>
      <c r="F76" s="7" t="s">
        <v>1875</v>
      </c>
      <c r="G76" s="2">
        <v>70933.819999999992</v>
      </c>
    </row>
    <row r="77" spans="3:7" x14ac:dyDescent="0.25">
      <c r="C77" s="7" t="s">
        <v>1876</v>
      </c>
      <c r="D77">
        <v>131</v>
      </c>
      <c r="F77" s="7" t="s">
        <v>1876</v>
      </c>
      <c r="G77" s="2">
        <v>57879.479999999981</v>
      </c>
    </row>
    <row r="78" spans="3:7" x14ac:dyDescent="0.25">
      <c r="C78" s="7" t="s">
        <v>1877</v>
      </c>
      <c r="D78">
        <v>128</v>
      </c>
      <c r="F78" s="7" t="s">
        <v>1877</v>
      </c>
      <c r="G78" s="2">
        <v>61588.240000000005</v>
      </c>
    </row>
    <row r="79" spans="3:7" x14ac:dyDescent="0.25">
      <c r="C79" s="7" t="s">
        <v>1878</v>
      </c>
      <c r="D79">
        <v>140</v>
      </c>
      <c r="F79" s="7" t="s">
        <v>1878</v>
      </c>
      <c r="G79" s="2">
        <v>68329.649999999994</v>
      </c>
    </row>
    <row r="80" spans="3:7" x14ac:dyDescent="0.25">
      <c r="C80" s="7" t="s">
        <v>1879</v>
      </c>
      <c r="D80">
        <v>123</v>
      </c>
      <c r="F80" s="7" t="s">
        <v>1879</v>
      </c>
      <c r="G80" s="2">
        <v>73498.289999999979</v>
      </c>
    </row>
    <row r="81" spans="3:18" x14ac:dyDescent="0.25">
      <c r="C81" s="7" t="s">
        <v>1856</v>
      </c>
      <c r="D81">
        <v>905</v>
      </c>
      <c r="F81" s="7" t="s">
        <v>1856</v>
      </c>
      <c r="G81" s="2">
        <v>474549.75999999983</v>
      </c>
    </row>
    <row r="87" spans="3:18" x14ac:dyDescent="0.25">
      <c r="C87" s="14" t="s">
        <v>1835</v>
      </c>
      <c r="D87" s="14"/>
      <c r="E87" s="14"/>
      <c r="F87" s="14"/>
      <c r="G87" s="14"/>
    </row>
    <row r="89" spans="3:18" x14ac:dyDescent="0.25">
      <c r="C89" s="5" t="s">
        <v>1855</v>
      </c>
      <c r="D89" t="s">
        <v>1849</v>
      </c>
      <c r="F89" s="5" t="s">
        <v>1855</v>
      </c>
      <c r="G89" t="s">
        <v>1850</v>
      </c>
      <c r="J89" s="7"/>
      <c r="Q89" s="7"/>
      <c r="R89" s="2"/>
    </row>
    <row r="90" spans="3:18" x14ac:dyDescent="0.25">
      <c r="C90" s="7" t="s">
        <v>1816</v>
      </c>
      <c r="D90">
        <v>135</v>
      </c>
      <c r="F90" s="7" t="s">
        <v>1816</v>
      </c>
      <c r="G90" s="2">
        <v>76952.320000000022</v>
      </c>
      <c r="J90" s="7"/>
      <c r="Q90" s="7"/>
      <c r="R90" s="2"/>
    </row>
    <row r="91" spans="3:18" x14ac:dyDescent="0.25">
      <c r="C91" s="7" t="s">
        <v>1814</v>
      </c>
      <c r="D91">
        <v>140</v>
      </c>
      <c r="F91" s="7" t="s">
        <v>1814</v>
      </c>
      <c r="G91" s="2">
        <v>73470.09</v>
      </c>
      <c r="J91" s="7"/>
      <c r="Q91" s="7"/>
      <c r="R91" s="2"/>
    </row>
    <row r="92" spans="3:18" x14ac:dyDescent="0.25">
      <c r="C92" s="7" t="s">
        <v>1817</v>
      </c>
      <c r="D92">
        <v>155</v>
      </c>
      <c r="F92" s="7" t="s">
        <v>1817</v>
      </c>
      <c r="G92" s="2">
        <v>78741.37</v>
      </c>
      <c r="J92" s="7"/>
      <c r="Q92" s="7"/>
      <c r="R92" s="2"/>
    </row>
    <row r="93" spans="3:18" x14ac:dyDescent="0.25">
      <c r="C93" s="7" t="s">
        <v>1818</v>
      </c>
      <c r="D93">
        <v>144</v>
      </c>
      <c r="F93" s="7" t="s">
        <v>1818</v>
      </c>
      <c r="G93" s="2">
        <v>65920.62000000001</v>
      </c>
      <c r="J93" s="7"/>
      <c r="Q93" s="7"/>
      <c r="R93" s="2"/>
    </row>
    <row r="94" spans="3:18" x14ac:dyDescent="0.25">
      <c r="C94" s="7" t="s">
        <v>1813</v>
      </c>
      <c r="D94">
        <v>140</v>
      </c>
      <c r="F94" s="7" t="s">
        <v>1813</v>
      </c>
      <c r="G94" s="2">
        <v>79151.709999999948</v>
      </c>
      <c r="J94" s="7"/>
      <c r="Q94" s="7"/>
      <c r="R94" s="2"/>
    </row>
    <row r="95" spans="3:18" x14ac:dyDescent="0.25">
      <c r="C95" s="7" t="s">
        <v>1819</v>
      </c>
      <c r="D95">
        <v>18</v>
      </c>
      <c r="F95" s="7" t="s">
        <v>1819</v>
      </c>
      <c r="G95" s="2">
        <v>10840.369999999999</v>
      </c>
      <c r="J95" s="7"/>
      <c r="Q95" s="7"/>
      <c r="R95" s="2"/>
    </row>
    <row r="96" spans="3:18" x14ac:dyDescent="0.25">
      <c r="C96" s="7" t="s">
        <v>1815</v>
      </c>
      <c r="D96">
        <v>173</v>
      </c>
      <c r="F96" s="7" t="s">
        <v>1815</v>
      </c>
      <c r="G96" s="2">
        <v>89473.279999999941</v>
      </c>
    </row>
    <row r="97" spans="3:7" x14ac:dyDescent="0.25">
      <c r="C97" s="7" t="s">
        <v>1856</v>
      </c>
      <c r="D97">
        <v>905</v>
      </c>
      <c r="F97" s="7" t="s">
        <v>1856</v>
      </c>
      <c r="G97" s="2">
        <v>474549.75999999989</v>
      </c>
    </row>
    <row r="104" spans="3:7" x14ac:dyDescent="0.25">
      <c r="C104" s="14" t="s">
        <v>1836</v>
      </c>
      <c r="D104" s="14"/>
      <c r="E104" s="14"/>
      <c r="F104" s="14"/>
      <c r="G104" s="14"/>
    </row>
    <row r="106" spans="3:7" x14ac:dyDescent="0.25">
      <c r="C106" s="5" t="s">
        <v>1855</v>
      </c>
      <c r="D106" t="s">
        <v>1849</v>
      </c>
      <c r="F106" s="5" t="s">
        <v>1855</v>
      </c>
      <c r="G106" t="s">
        <v>1850</v>
      </c>
    </row>
    <row r="107" spans="3:7" x14ac:dyDescent="0.25">
      <c r="C107" s="7" t="s">
        <v>1883</v>
      </c>
      <c r="D107">
        <v>132</v>
      </c>
      <c r="F107" s="7" t="s">
        <v>1883</v>
      </c>
      <c r="G107" s="2">
        <v>73537.709999999977</v>
      </c>
    </row>
    <row r="108" spans="3:7" x14ac:dyDescent="0.25">
      <c r="C108" s="7" t="s">
        <v>1884</v>
      </c>
      <c r="D108">
        <v>147</v>
      </c>
      <c r="F108" s="7" t="s">
        <v>1884</v>
      </c>
      <c r="G108" s="2">
        <v>90531.76999999999</v>
      </c>
    </row>
    <row r="109" spans="3:7" x14ac:dyDescent="0.25">
      <c r="C109" s="7" t="s">
        <v>1885</v>
      </c>
      <c r="D109">
        <v>170</v>
      </c>
      <c r="F109" s="7" t="s">
        <v>1885</v>
      </c>
      <c r="G109" s="2">
        <v>83155.899999999951</v>
      </c>
    </row>
    <row r="110" spans="3:7" x14ac:dyDescent="0.25">
      <c r="C110" s="7" t="s">
        <v>1886</v>
      </c>
      <c r="D110">
        <v>163</v>
      </c>
      <c r="F110" s="7" t="s">
        <v>1886</v>
      </c>
      <c r="G110" s="2">
        <v>78169.2</v>
      </c>
    </row>
    <row r="111" spans="3:7" x14ac:dyDescent="0.25">
      <c r="C111" s="7" t="s">
        <v>1887</v>
      </c>
      <c r="D111">
        <v>199</v>
      </c>
      <c r="F111" s="7" t="s">
        <v>1887</v>
      </c>
      <c r="G111" s="2">
        <v>98994.650000000023</v>
      </c>
    </row>
    <row r="112" spans="3:7" x14ac:dyDescent="0.25">
      <c r="C112" s="7" t="s">
        <v>1888</v>
      </c>
      <c r="D112">
        <v>94</v>
      </c>
      <c r="F112" s="7" t="s">
        <v>1888</v>
      </c>
      <c r="G112" s="2">
        <v>50160.529999999992</v>
      </c>
    </row>
    <row r="113" spans="3:7" x14ac:dyDescent="0.25">
      <c r="C113" s="7" t="s">
        <v>1856</v>
      </c>
      <c r="D113">
        <v>905</v>
      </c>
      <c r="F113" s="7" t="s">
        <v>1856</v>
      </c>
      <c r="G113" s="2">
        <v>474549.75999999995</v>
      </c>
    </row>
    <row r="121" spans="3:7" x14ac:dyDescent="0.25">
      <c r="C121" s="14" t="s">
        <v>1837</v>
      </c>
      <c r="D121" s="14"/>
      <c r="E121" s="14"/>
      <c r="F121" s="14"/>
      <c r="G121" s="14"/>
    </row>
    <row r="123" spans="3:7" x14ac:dyDescent="0.25">
      <c r="C123" s="5" t="s">
        <v>1855</v>
      </c>
      <c r="D123" t="s">
        <v>1849</v>
      </c>
      <c r="F123" s="5" t="s">
        <v>1855</v>
      </c>
      <c r="G123" t="s">
        <v>1850</v>
      </c>
    </row>
    <row r="124" spans="3:7" x14ac:dyDescent="0.25">
      <c r="C124" s="7" t="s">
        <v>1822</v>
      </c>
      <c r="D124">
        <v>293</v>
      </c>
      <c r="F124" s="7" t="s">
        <v>1822</v>
      </c>
      <c r="G124" s="2">
        <v>158791.90000000014</v>
      </c>
    </row>
    <row r="125" spans="3:7" x14ac:dyDescent="0.25">
      <c r="C125" s="7" t="s">
        <v>1820</v>
      </c>
      <c r="D125">
        <v>318</v>
      </c>
      <c r="F125" s="7" t="s">
        <v>1820</v>
      </c>
      <c r="G125" s="2">
        <v>178402.56</v>
      </c>
    </row>
    <row r="126" spans="3:7" x14ac:dyDescent="0.25">
      <c r="C126" s="7" t="s">
        <v>1821</v>
      </c>
      <c r="D126">
        <v>294</v>
      </c>
      <c r="F126" s="7" t="s">
        <v>1821</v>
      </c>
      <c r="G126" s="2">
        <v>137355.30000000005</v>
      </c>
    </row>
    <row r="127" spans="3:7" x14ac:dyDescent="0.25">
      <c r="C127" s="7" t="s">
        <v>1856</v>
      </c>
      <c r="D127">
        <v>905</v>
      </c>
      <c r="F127" s="7" t="s">
        <v>1856</v>
      </c>
      <c r="G127" s="2">
        <v>474549.76000000018</v>
      </c>
    </row>
    <row r="138" spans="3:7" x14ac:dyDescent="0.25">
      <c r="C138" s="14" t="s">
        <v>1838</v>
      </c>
      <c r="D138" s="14"/>
      <c r="E138" s="14"/>
      <c r="F138" s="14"/>
      <c r="G138" s="14"/>
    </row>
    <row r="140" spans="3:7" x14ac:dyDescent="0.25">
      <c r="C140" s="5" t="s">
        <v>1855</v>
      </c>
      <c r="D140" t="s">
        <v>1849</v>
      </c>
      <c r="F140" s="5" t="s">
        <v>1855</v>
      </c>
      <c r="G140" t="s">
        <v>1850</v>
      </c>
    </row>
    <row r="141" spans="3:7" x14ac:dyDescent="0.25">
      <c r="C141" s="7" t="s">
        <v>1825</v>
      </c>
      <c r="D141">
        <v>261</v>
      </c>
      <c r="F141" s="7" t="s">
        <v>1825</v>
      </c>
      <c r="G141" s="2">
        <v>128220.00999999997</v>
      </c>
    </row>
    <row r="142" spans="3:7" x14ac:dyDescent="0.25">
      <c r="C142" s="7" t="s">
        <v>1824</v>
      </c>
      <c r="D142">
        <v>315</v>
      </c>
      <c r="F142" s="7" t="s">
        <v>1824</v>
      </c>
      <c r="G142" s="2">
        <v>163484.52000000008</v>
      </c>
    </row>
    <row r="143" spans="3:7" x14ac:dyDescent="0.25">
      <c r="C143" s="7" t="s">
        <v>1823</v>
      </c>
      <c r="D143">
        <v>329</v>
      </c>
      <c r="F143" s="7" t="s">
        <v>1823</v>
      </c>
      <c r="G143" s="2">
        <v>182845.23000000007</v>
      </c>
    </row>
    <row r="144" spans="3:7" x14ac:dyDescent="0.25">
      <c r="C144" s="7" t="s">
        <v>1856</v>
      </c>
      <c r="D144">
        <v>905</v>
      </c>
      <c r="F144" s="7" t="s">
        <v>1856</v>
      </c>
      <c r="G144" s="2">
        <v>474549.76000000013</v>
      </c>
    </row>
    <row r="154" spans="3:7" x14ac:dyDescent="0.25">
      <c r="C154" s="14" t="s">
        <v>1844</v>
      </c>
      <c r="D154" s="14"/>
      <c r="E154" s="14"/>
      <c r="F154" s="14"/>
      <c r="G154" s="14"/>
    </row>
    <row r="156" spans="3:7" x14ac:dyDescent="0.25">
      <c r="C156" s="5" t="s">
        <v>1855</v>
      </c>
      <c r="D156" t="s">
        <v>1849</v>
      </c>
      <c r="F156" s="5" t="s">
        <v>1855</v>
      </c>
      <c r="G156" t="s">
        <v>1850</v>
      </c>
    </row>
    <row r="157" spans="3:7" x14ac:dyDescent="0.25">
      <c r="C157" s="7" t="s">
        <v>1889</v>
      </c>
      <c r="D157">
        <v>216</v>
      </c>
      <c r="F157" s="7" t="s">
        <v>1889</v>
      </c>
      <c r="G157" s="2">
        <v>110200.47000000004</v>
      </c>
    </row>
    <row r="158" spans="3:7" x14ac:dyDescent="0.25">
      <c r="C158" s="7" t="s">
        <v>1890</v>
      </c>
      <c r="D158">
        <v>240</v>
      </c>
      <c r="F158" s="7" t="s">
        <v>1890</v>
      </c>
      <c r="G158" s="2">
        <v>122492.37000000004</v>
      </c>
    </row>
    <row r="159" spans="3:7" x14ac:dyDescent="0.25">
      <c r="C159" s="7" t="s">
        <v>1891</v>
      </c>
      <c r="D159">
        <v>226</v>
      </c>
      <c r="F159" s="7" t="s">
        <v>1891</v>
      </c>
      <c r="G159" s="2">
        <v>122502.01999999999</v>
      </c>
    </row>
    <row r="160" spans="3:7" x14ac:dyDescent="0.25">
      <c r="C160" s="7" t="s">
        <v>1892</v>
      </c>
      <c r="D160">
        <v>223</v>
      </c>
      <c r="F160" s="7" t="s">
        <v>1892</v>
      </c>
      <c r="G160" s="2">
        <v>119354.89999999997</v>
      </c>
    </row>
    <row r="161" spans="3:7" x14ac:dyDescent="0.25">
      <c r="C161" s="7" t="s">
        <v>1856</v>
      </c>
      <c r="D161">
        <v>905</v>
      </c>
      <c r="F161" s="7" t="s">
        <v>1856</v>
      </c>
      <c r="G161" s="2">
        <v>474549.76000000007</v>
      </c>
    </row>
  </sheetData>
  <mergeCells count="9">
    <mergeCell ref="C154:G154"/>
    <mergeCell ref="C23:G23"/>
    <mergeCell ref="C71:G71"/>
    <mergeCell ref="C11:G11"/>
    <mergeCell ref="C3:D3"/>
    <mergeCell ref="C87:G87"/>
    <mergeCell ref="C104:G104"/>
    <mergeCell ref="C121:G121"/>
    <mergeCell ref="C138:G138"/>
  </mergeCells>
  <pageMargins left="0.7" right="0.7" top="0.75" bottom="0.75" header="0.3" footer="0.3"/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4E70-CC66-40DB-879F-7734F2BD2A6C}">
  <sheetPr codeName="Hoja4"/>
  <dimension ref="C2:R180"/>
  <sheetViews>
    <sheetView workbookViewId="0"/>
  </sheetViews>
  <sheetFormatPr baseColWidth="10" defaultRowHeight="15" x14ac:dyDescent="0.25"/>
  <cols>
    <col min="3" max="3" width="17.5703125" bestFit="1" customWidth="1"/>
    <col min="4" max="4" width="23.28515625" bestFit="1" customWidth="1"/>
    <col min="6" max="6" width="19" bestFit="1" customWidth="1"/>
    <col min="7" max="7" width="9.85546875" bestFit="1" customWidth="1"/>
    <col min="8" max="8" width="11.42578125" customWidth="1"/>
    <col min="9" max="9" width="17.7109375" bestFit="1" customWidth="1"/>
    <col min="10" max="10" width="9.85546875" bestFit="1" customWidth="1"/>
  </cols>
  <sheetData>
    <row r="2" spans="3:10" x14ac:dyDescent="0.25">
      <c r="F2" s="5" t="s">
        <v>1853</v>
      </c>
      <c r="G2" t="s">
        <v>1900</v>
      </c>
      <c r="I2" s="5" t="s">
        <v>1853</v>
      </c>
      <c r="J2" t="s">
        <v>1900</v>
      </c>
    </row>
    <row r="3" spans="3:10" x14ac:dyDescent="0.25">
      <c r="C3" s="14" t="s">
        <v>1882</v>
      </c>
      <c r="D3" s="14"/>
      <c r="F3" s="5" t="s">
        <v>1852</v>
      </c>
      <c r="G3" t="s">
        <v>1900</v>
      </c>
      <c r="I3" s="5" t="s">
        <v>1852</v>
      </c>
      <c r="J3" t="s">
        <v>1900</v>
      </c>
    </row>
    <row r="5" spans="3:10" x14ac:dyDescent="0.25">
      <c r="C5" t="s">
        <v>1849</v>
      </c>
      <c r="D5" t="s">
        <v>1850</v>
      </c>
      <c r="F5" t="s">
        <v>1902</v>
      </c>
      <c r="I5" t="s">
        <v>1901</v>
      </c>
    </row>
    <row r="6" spans="3:10" x14ac:dyDescent="0.25">
      <c r="C6" s="3">
        <v>905</v>
      </c>
      <c r="D6" s="4">
        <v>474549.75999999937</v>
      </c>
      <c r="F6">
        <v>48275.939999999973</v>
      </c>
      <c r="I6">
        <v>905</v>
      </c>
    </row>
    <row r="8" spans="3:10" x14ac:dyDescent="0.25">
      <c r="C8">
        <f>GETPIVOTDATA("Ventas",$C$5)</f>
        <v>905</v>
      </c>
      <c r="D8" s="13">
        <f>GETPIVOTDATA("Beneficios",$C$5)</f>
        <v>474549.75999999937</v>
      </c>
      <c r="F8">
        <f>GETPIVOTDATA("Ingresos mensuales",$F$5)</f>
        <v>48275.939999999973</v>
      </c>
      <c r="I8">
        <f>GETPIVOTDATA("ID usuario",$I$5)</f>
        <v>905</v>
      </c>
    </row>
    <row r="11" spans="3:10" x14ac:dyDescent="0.25">
      <c r="C11" s="14" t="s">
        <v>1831</v>
      </c>
      <c r="D11" s="14"/>
      <c r="E11" s="11"/>
      <c r="F11" s="11"/>
      <c r="G11" s="11"/>
    </row>
    <row r="13" spans="3:10" x14ac:dyDescent="0.25">
      <c r="C13" s="5" t="s">
        <v>1855</v>
      </c>
      <c r="D13" t="s">
        <v>1903</v>
      </c>
    </row>
    <row r="14" spans="3:10" x14ac:dyDescent="0.25">
      <c r="C14" s="7" t="s">
        <v>1810</v>
      </c>
      <c r="D14" s="2">
        <v>151805.38000000012</v>
      </c>
    </row>
    <row r="15" spans="3:10" x14ac:dyDescent="0.25">
      <c r="C15" s="7" t="s">
        <v>1812</v>
      </c>
      <c r="D15" s="2">
        <v>158729.04</v>
      </c>
    </row>
    <row r="16" spans="3:10" x14ac:dyDescent="0.25">
      <c r="C16" s="7" t="s">
        <v>1811</v>
      </c>
      <c r="D16" s="2">
        <v>164015.34000000003</v>
      </c>
    </row>
    <row r="17" spans="3:7" x14ac:dyDescent="0.25">
      <c r="C17" s="7" t="s">
        <v>1856</v>
      </c>
      <c r="D17" s="2">
        <v>474549.76000000018</v>
      </c>
    </row>
    <row r="23" spans="3:7" x14ac:dyDescent="0.25">
      <c r="C23" s="14" t="s">
        <v>1881</v>
      </c>
      <c r="D23" s="14"/>
      <c r="E23" s="11"/>
      <c r="F23" s="11"/>
      <c r="G23" s="11"/>
    </row>
    <row r="25" spans="3:7" x14ac:dyDescent="0.25">
      <c r="C25" s="5" t="s">
        <v>1855</v>
      </c>
      <c r="D25" t="s">
        <v>1903</v>
      </c>
    </row>
    <row r="26" spans="3:7" x14ac:dyDescent="0.25">
      <c r="C26" s="7" t="s">
        <v>1857</v>
      </c>
      <c r="D26" s="2">
        <v>153765.00999999998</v>
      </c>
    </row>
    <row r="27" spans="3:7" x14ac:dyDescent="0.25">
      <c r="C27" s="8" t="s">
        <v>1861</v>
      </c>
      <c r="D27" s="2">
        <v>12878.240000000002</v>
      </c>
    </row>
    <row r="28" spans="3:7" x14ac:dyDescent="0.25">
      <c r="C28" s="8" t="s">
        <v>1864</v>
      </c>
      <c r="D28" s="2">
        <v>18265.8</v>
      </c>
    </row>
    <row r="29" spans="3:7" x14ac:dyDescent="0.25">
      <c r="C29" s="8" t="s">
        <v>1865</v>
      </c>
      <c r="D29" s="2">
        <v>33320.439999999995</v>
      </c>
    </row>
    <row r="30" spans="3:7" x14ac:dyDescent="0.25">
      <c r="C30" s="8" t="s">
        <v>1866</v>
      </c>
      <c r="D30" s="2">
        <v>27231.08</v>
      </c>
    </row>
    <row r="31" spans="3:7" x14ac:dyDescent="0.25">
      <c r="C31" s="8" t="s">
        <v>1867</v>
      </c>
      <c r="D31" s="2">
        <v>25746.45</v>
      </c>
    </row>
    <row r="32" spans="3:7" x14ac:dyDescent="0.25">
      <c r="C32" s="8" t="s">
        <v>1868</v>
      </c>
      <c r="D32" s="2">
        <v>13126.889999999998</v>
      </c>
    </row>
    <row r="33" spans="3:4" x14ac:dyDescent="0.25">
      <c r="C33" s="8" t="s">
        <v>1869</v>
      </c>
      <c r="D33" s="2">
        <v>23196.109999999993</v>
      </c>
    </row>
    <row r="34" spans="3:4" x14ac:dyDescent="0.25">
      <c r="C34" s="7" t="s">
        <v>1858</v>
      </c>
      <c r="D34" s="2">
        <v>208591.78</v>
      </c>
    </row>
    <row r="35" spans="3:4" x14ac:dyDescent="0.25">
      <c r="C35" s="8" t="s">
        <v>1870</v>
      </c>
      <c r="D35" s="2">
        <v>16609.98</v>
      </c>
    </row>
    <row r="36" spans="3:4" x14ac:dyDescent="0.25">
      <c r="C36" s="8" t="s">
        <v>1871</v>
      </c>
      <c r="D36" s="2">
        <v>14219.740000000002</v>
      </c>
    </row>
    <row r="37" spans="3:4" x14ac:dyDescent="0.25">
      <c r="C37" s="8" t="s">
        <v>1872</v>
      </c>
      <c r="D37" s="2">
        <v>17701.41</v>
      </c>
    </row>
    <row r="38" spans="3:4" x14ac:dyDescent="0.25">
      <c r="C38" s="8" t="s">
        <v>1862</v>
      </c>
      <c r="D38" s="2">
        <v>26653.549999999996</v>
      </c>
    </row>
    <row r="39" spans="3:4" x14ac:dyDescent="0.25">
      <c r="C39" s="8" t="s">
        <v>1863</v>
      </c>
      <c r="D39" s="2">
        <v>22658.07</v>
      </c>
    </row>
    <row r="40" spans="3:4" x14ac:dyDescent="0.25">
      <c r="C40" s="8" t="s">
        <v>1861</v>
      </c>
      <c r="D40" s="2">
        <v>17874.14</v>
      </c>
    </row>
    <row r="41" spans="3:4" x14ac:dyDescent="0.25">
      <c r="C41" s="8" t="s">
        <v>1864</v>
      </c>
      <c r="D41" s="2">
        <v>15258.119999999997</v>
      </c>
    </row>
    <row r="42" spans="3:4" x14ac:dyDescent="0.25">
      <c r="C42" s="8" t="s">
        <v>1865</v>
      </c>
      <c r="D42" s="2">
        <v>19018.37</v>
      </c>
    </row>
    <row r="43" spans="3:4" x14ac:dyDescent="0.25">
      <c r="C43" s="8" t="s">
        <v>1866</v>
      </c>
      <c r="D43" s="2">
        <v>16445.22</v>
      </c>
    </row>
    <row r="44" spans="3:4" x14ac:dyDescent="0.25">
      <c r="C44" s="8" t="s">
        <v>1867</v>
      </c>
      <c r="D44" s="2">
        <v>8780.94</v>
      </c>
    </row>
    <row r="45" spans="3:4" x14ac:dyDescent="0.25">
      <c r="C45" s="8" t="s">
        <v>1868</v>
      </c>
      <c r="D45" s="2">
        <v>14795.810000000001</v>
      </c>
    </row>
    <row r="46" spans="3:4" x14ac:dyDescent="0.25">
      <c r="C46" s="8" t="s">
        <v>1869</v>
      </c>
      <c r="D46" s="2">
        <v>18576.43</v>
      </c>
    </row>
    <row r="47" spans="3:4" x14ac:dyDescent="0.25">
      <c r="C47" s="7" t="s">
        <v>1859</v>
      </c>
      <c r="D47" s="2">
        <v>97962.060000000012</v>
      </c>
    </row>
    <row r="48" spans="3:4" x14ac:dyDescent="0.25">
      <c r="C48" s="8" t="s">
        <v>1870</v>
      </c>
      <c r="D48" s="2">
        <v>7976.67</v>
      </c>
    </row>
    <row r="49" spans="3:4" x14ac:dyDescent="0.25">
      <c r="C49" s="8" t="s">
        <v>1871</v>
      </c>
      <c r="D49" s="2">
        <v>11594.360000000002</v>
      </c>
    </row>
    <row r="50" spans="3:4" x14ac:dyDescent="0.25">
      <c r="C50" s="8" t="s">
        <v>1872</v>
      </c>
      <c r="D50" s="2">
        <v>11565.19</v>
      </c>
    </row>
    <row r="51" spans="3:4" x14ac:dyDescent="0.25">
      <c r="C51" s="8" t="s">
        <v>1862</v>
      </c>
      <c r="D51" s="2">
        <v>13232.529999999999</v>
      </c>
    </row>
    <row r="52" spans="3:4" x14ac:dyDescent="0.25">
      <c r="C52" s="8" t="s">
        <v>1863</v>
      </c>
      <c r="D52" s="2">
        <v>11000.260000000002</v>
      </c>
    </row>
    <row r="53" spans="3:4" x14ac:dyDescent="0.25">
      <c r="C53" s="8" t="s">
        <v>1861</v>
      </c>
      <c r="D53" s="2">
        <v>8898.1400000000031</v>
      </c>
    </row>
    <row r="54" spans="3:4" x14ac:dyDescent="0.25">
      <c r="C54" s="8" t="s">
        <v>1864</v>
      </c>
      <c r="D54" s="2">
        <v>4965.7500000000009</v>
      </c>
    </row>
    <row r="55" spans="3:4" x14ac:dyDescent="0.25">
      <c r="C55" s="8" t="s">
        <v>1865</v>
      </c>
      <c r="D55" s="2">
        <v>6931.27</v>
      </c>
    </row>
    <row r="56" spans="3:4" x14ac:dyDescent="0.25">
      <c r="C56" s="8" t="s">
        <v>1866</v>
      </c>
      <c r="D56" s="2">
        <v>5608.92</v>
      </c>
    </row>
    <row r="57" spans="3:4" x14ac:dyDescent="0.25">
      <c r="C57" s="8" t="s">
        <v>1867</v>
      </c>
      <c r="D57" s="2">
        <v>5476.9000000000005</v>
      </c>
    </row>
    <row r="58" spans="3:4" x14ac:dyDescent="0.25">
      <c r="C58" s="8" t="s">
        <v>1868</v>
      </c>
      <c r="D58" s="2">
        <v>5353.24</v>
      </c>
    </row>
    <row r="59" spans="3:4" x14ac:dyDescent="0.25">
      <c r="C59" s="8" t="s">
        <v>1869</v>
      </c>
      <c r="D59" s="2">
        <v>5358.829999999999</v>
      </c>
    </row>
    <row r="60" spans="3:4" x14ac:dyDescent="0.25">
      <c r="C60" s="7" t="s">
        <v>1860</v>
      </c>
      <c r="D60" s="2">
        <v>14230.91</v>
      </c>
    </row>
    <row r="61" spans="3:4" x14ac:dyDescent="0.25">
      <c r="C61" s="8" t="s">
        <v>1870</v>
      </c>
      <c r="D61" s="2">
        <v>4129.0000000000009</v>
      </c>
    </row>
    <row r="62" spans="3:4" x14ac:dyDescent="0.25">
      <c r="C62" s="8" t="s">
        <v>1871</v>
      </c>
      <c r="D62" s="2">
        <v>3332.9999999999995</v>
      </c>
    </row>
    <row r="63" spans="3:4" x14ac:dyDescent="0.25">
      <c r="C63" s="8" t="s">
        <v>1872</v>
      </c>
      <c r="D63" s="2">
        <v>2469.4200000000005</v>
      </c>
    </row>
    <row r="64" spans="3:4" x14ac:dyDescent="0.25">
      <c r="C64" s="8" t="s">
        <v>1862</v>
      </c>
      <c r="D64" s="2">
        <v>2461.420000000001</v>
      </c>
    </row>
    <row r="65" spans="3:7" x14ac:dyDescent="0.25">
      <c r="C65" s="8" t="s">
        <v>1863</v>
      </c>
      <c r="D65" s="2">
        <v>1174.83</v>
      </c>
    </row>
    <row r="66" spans="3:7" x14ac:dyDescent="0.25">
      <c r="C66" s="8" t="s">
        <v>1861</v>
      </c>
      <c r="D66" s="2">
        <v>663.2399999999999</v>
      </c>
    </row>
    <row r="67" spans="3:7" x14ac:dyDescent="0.25">
      <c r="C67" s="7" t="s">
        <v>1856</v>
      </c>
      <c r="D67" s="2">
        <v>474549.75999999995</v>
      </c>
    </row>
    <row r="71" spans="3:7" x14ac:dyDescent="0.25">
      <c r="C71" s="14" t="s">
        <v>1880</v>
      </c>
      <c r="D71" s="14"/>
      <c r="E71" s="12"/>
      <c r="F71" s="12"/>
      <c r="G71" s="12"/>
    </row>
    <row r="73" spans="3:7" x14ac:dyDescent="0.25">
      <c r="C73" s="5" t="s">
        <v>1855</v>
      </c>
      <c r="D73" t="s">
        <v>1903</v>
      </c>
    </row>
    <row r="74" spans="3:7" x14ac:dyDescent="0.25">
      <c r="C74" s="7" t="s">
        <v>1873</v>
      </c>
      <c r="D74" s="2">
        <v>81678.679999999935</v>
      </c>
    </row>
    <row r="75" spans="3:7" x14ac:dyDescent="0.25">
      <c r="C75" s="7" t="s">
        <v>1874</v>
      </c>
      <c r="D75" s="2">
        <v>60641.599999999991</v>
      </c>
    </row>
    <row r="76" spans="3:7" x14ac:dyDescent="0.25">
      <c r="C76" s="7" t="s">
        <v>1875</v>
      </c>
      <c r="D76" s="2">
        <v>70933.819999999992</v>
      </c>
    </row>
    <row r="77" spans="3:7" x14ac:dyDescent="0.25">
      <c r="C77" s="7" t="s">
        <v>1876</v>
      </c>
      <c r="D77" s="2">
        <v>57879.479999999981</v>
      </c>
    </row>
    <row r="78" spans="3:7" x14ac:dyDescent="0.25">
      <c r="C78" s="7" t="s">
        <v>1877</v>
      </c>
      <c r="D78" s="2">
        <v>61588.240000000005</v>
      </c>
    </row>
    <row r="79" spans="3:7" x14ac:dyDescent="0.25">
      <c r="C79" s="7" t="s">
        <v>1878</v>
      </c>
      <c r="D79" s="2">
        <v>68329.649999999994</v>
      </c>
    </row>
    <row r="80" spans="3:7" x14ac:dyDescent="0.25">
      <c r="C80" s="7" t="s">
        <v>1879</v>
      </c>
      <c r="D80" s="2">
        <v>73498.289999999979</v>
      </c>
    </row>
    <row r="81" spans="3:18" x14ac:dyDescent="0.25">
      <c r="C81" s="7" t="s">
        <v>1856</v>
      </c>
      <c r="D81" s="2">
        <v>474549.75999999983</v>
      </c>
    </row>
    <row r="87" spans="3:18" x14ac:dyDescent="0.25">
      <c r="C87" s="14" t="s">
        <v>1835</v>
      </c>
      <c r="D87" s="14"/>
      <c r="E87" s="11"/>
      <c r="F87" s="11"/>
      <c r="G87" s="11"/>
    </row>
    <row r="89" spans="3:18" x14ac:dyDescent="0.25">
      <c r="C89" s="5" t="s">
        <v>1855</v>
      </c>
      <c r="D89" t="s">
        <v>1903</v>
      </c>
      <c r="J89" s="7"/>
      <c r="Q89" s="7"/>
      <c r="R89" s="2"/>
    </row>
    <row r="90" spans="3:18" x14ac:dyDescent="0.25">
      <c r="C90" s="7" t="s">
        <v>1816</v>
      </c>
      <c r="D90" s="2">
        <v>76952.320000000022</v>
      </c>
      <c r="J90" s="7"/>
      <c r="Q90" s="7"/>
      <c r="R90" s="2"/>
    </row>
    <row r="91" spans="3:18" x14ac:dyDescent="0.25">
      <c r="C91" s="7" t="s">
        <v>1814</v>
      </c>
      <c r="D91" s="2">
        <v>73470.09</v>
      </c>
      <c r="J91" s="7"/>
      <c r="Q91" s="7"/>
      <c r="R91" s="2"/>
    </row>
    <row r="92" spans="3:18" x14ac:dyDescent="0.25">
      <c r="C92" s="7" t="s">
        <v>1817</v>
      </c>
      <c r="D92" s="2">
        <v>78741.37</v>
      </c>
      <c r="J92" s="7"/>
      <c r="Q92" s="7"/>
      <c r="R92" s="2"/>
    </row>
    <row r="93" spans="3:18" x14ac:dyDescent="0.25">
      <c r="C93" s="7" t="s">
        <v>1818</v>
      </c>
      <c r="D93" s="2">
        <v>65920.62000000001</v>
      </c>
      <c r="J93" s="7"/>
      <c r="Q93" s="7"/>
      <c r="R93" s="2"/>
    </row>
    <row r="94" spans="3:18" x14ac:dyDescent="0.25">
      <c r="C94" s="7" t="s">
        <v>1813</v>
      </c>
      <c r="D94" s="2">
        <v>79151.709999999948</v>
      </c>
      <c r="J94" s="7"/>
      <c r="Q94" s="7"/>
      <c r="R94" s="2"/>
    </row>
    <row r="95" spans="3:18" x14ac:dyDescent="0.25">
      <c r="C95" s="7" t="s">
        <v>1819</v>
      </c>
      <c r="D95" s="2">
        <v>10840.369999999999</v>
      </c>
      <c r="J95" s="7"/>
      <c r="Q95" s="7"/>
      <c r="R95" s="2"/>
    </row>
    <row r="96" spans="3:18" x14ac:dyDescent="0.25">
      <c r="C96" s="7" t="s">
        <v>1815</v>
      </c>
      <c r="D96" s="2">
        <v>89473.279999999941</v>
      </c>
    </row>
    <row r="97" spans="3:7" x14ac:dyDescent="0.25">
      <c r="C97" s="7" t="s">
        <v>1856</v>
      </c>
      <c r="D97" s="2">
        <v>474549.75999999989</v>
      </c>
    </row>
    <row r="104" spans="3:7" x14ac:dyDescent="0.25">
      <c r="C104" s="14" t="s">
        <v>1836</v>
      </c>
      <c r="D104" s="14"/>
      <c r="E104" s="11"/>
      <c r="F104" s="11"/>
      <c r="G104" s="11"/>
    </row>
    <row r="106" spans="3:7" x14ac:dyDescent="0.25">
      <c r="C106" s="5" t="s">
        <v>1855</v>
      </c>
      <c r="D106" t="s">
        <v>1903</v>
      </c>
    </row>
    <row r="107" spans="3:7" x14ac:dyDescent="0.25">
      <c r="C107" s="7" t="s">
        <v>1883</v>
      </c>
      <c r="D107" s="2">
        <v>73537.709999999977</v>
      </c>
    </row>
    <row r="108" spans="3:7" x14ac:dyDescent="0.25">
      <c r="C108" s="7" t="s">
        <v>1884</v>
      </c>
      <c r="D108" s="2">
        <v>90531.76999999999</v>
      </c>
    </row>
    <row r="109" spans="3:7" x14ac:dyDescent="0.25">
      <c r="C109" s="7" t="s">
        <v>1885</v>
      </c>
      <c r="D109" s="2">
        <v>83155.899999999951</v>
      </c>
    </row>
    <row r="110" spans="3:7" x14ac:dyDescent="0.25">
      <c r="C110" s="7" t="s">
        <v>1886</v>
      </c>
      <c r="D110" s="2">
        <v>78169.2</v>
      </c>
    </row>
    <row r="111" spans="3:7" x14ac:dyDescent="0.25">
      <c r="C111" s="7" t="s">
        <v>1887</v>
      </c>
      <c r="D111" s="2">
        <v>98994.650000000023</v>
      </c>
    </row>
    <row r="112" spans="3:7" x14ac:dyDescent="0.25">
      <c r="C112" s="7" t="s">
        <v>1888</v>
      </c>
      <c r="D112" s="2">
        <v>50160.529999999992</v>
      </c>
    </row>
    <row r="113" spans="3:7" x14ac:dyDescent="0.25">
      <c r="C113" s="7" t="s">
        <v>1856</v>
      </c>
      <c r="D113" s="2">
        <v>474549.75999999995</v>
      </c>
    </row>
    <row r="121" spans="3:7" x14ac:dyDescent="0.25">
      <c r="C121" s="14" t="s">
        <v>1837</v>
      </c>
      <c r="D121" s="14"/>
      <c r="E121" s="11"/>
      <c r="F121" s="11"/>
      <c r="G121" s="11"/>
    </row>
    <row r="123" spans="3:7" x14ac:dyDescent="0.25">
      <c r="C123" s="5" t="s">
        <v>1855</v>
      </c>
      <c r="D123" t="s">
        <v>1903</v>
      </c>
    </row>
    <row r="124" spans="3:7" x14ac:dyDescent="0.25">
      <c r="C124" s="7" t="s">
        <v>1822</v>
      </c>
      <c r="D124" s="2">
        <v>158791.90000000014</v>
      </c>
    </row>
    <row r="125" spans="3:7" x14ac:dyDescent="0.25">
      <c r="C125" s="7" t="s">
        <v>1820</v>
      </c>
      <c r="D125" s="2">
        <v>178402.56</v>
      </c>
    </row>
    <row r="126" spans="3:7" x14ac:dyDescent="0.25">
      <c r="C126" s="7" t="s">
        <v>1821</v>
      </c>
      <c r="D126" s="2">
        <v>137355.30000000005</v>
      </c>
    </row>
    <row r="127" spans="3:7" x14ac:dyDescent="0.25">
      <c r="C127" s="7" t="s">
        <v>1856</v>
      </c>
      <c r="D127" s="2">
        <v>474549.76000000018</v>
      </c>
    </row>
    <row r="138" spans="3:7" x14ac:dyDescent="0.25">
      <c r="C138" s="14" t="s">
        <v>1838</v>
      </c>
      <c r="D138" s="14"/>
      <c r="E138" s="11"/>
      <c r="F138" s="11"/>
      <c r="G138" s="11"/>
    </row>
    <row r="140" spans="3:7" x14ac:dyDescent="0.25">
      <c r="C140" s="5" t="s">
        <v>1855</v>
      </c>
      <c r="D140" t="s">
        <v>1903</v>
      </c>
    </row>
    <row r="141" spans="3:7" x14ac:dyDescent="0.25">
      <c r="C141" s="7" t="s">
        <v>1825</v>
      </c>
      <c r="D141" s="2">
        <v>128220.00999999997</v>
      </c>
    </row>
    <row r="142" spans="3:7" x14ac:dyDescent="0.25">
      <c r="C142" s="7" t="s">
        <v>1824</v>
      </c>
      <c r="D142" s="2">
        <v>163484.52000000008</v>
      </c>
    </row>
    <row r="143" spans="3:7" x14ac:dyDescent="0.25">
      <c r="C143" s="7" t="s">
        <v>1823</v>
      </c>
      <c r="D143" s="2">
        <v>182845.23000000007</v>
      </c>
    </row>
    <row r="144" spans="3:7" x14ac:dyDescent="0.25">
      <c r="C144" s="7" t="s">
        <v>1856</v>
      </c>
      <c r="D144" s="2">
        <v>474549.76000000013</v>
      </c>
    </row>
    <row r="154" spans="3:7" x14ac:dyDescent="0.25">
      <c r="C154" s="14" t="s">
        <v>1844</v>
      </c>
      <c r="D154" s="14"/>
      <c r="E154" s="11"/>
      <c r="F154" s="11"/>
      <c r="G154" s="11"/>
    </row>
    <row r="156" spans="3:7" x14ac:dyDescent="0.25">
      <c r="C156" s="5" t="s">
        <v>1855</v>
      </c>
      <c r="D156" t="s">
        <v>1903</v>
      </c>
    </row>
    <row r="157" spans="3:7" x14ac:dyDescent="0.25">
      <c r="C157" s="7" t="s">
        <v>1889</v>
      </c>
      <c r="D157" s="2">
        <v>110200.47000000004</v>
      </c>
    </row>
    <row r="158" spans="3:7" x14ac:dyDescent="0.25">
      <c r="C158" s="7" t="s">
        <v>1890</v>
      </c>
      <c r="D158" s="2">
        <v>122492.37000000004</v>
      </c>
    </row>
    <row r="159" spans="3:7" x14ac:dyDescent="0.25">
      <c r="C159" s="7" t="s">
        <v>1891</v>
      </c>
      <c r="D159" s="2">
        <v>122502.01999999999</v>
      </c>
    </row>
    <row r="160" spans="3:7" x14ac:dyDescent="0.25">
      <c r="C160" s="7" t="s">
        <v>1892</v>
      </c>
      <c r="D160" s="2">
        <v>119354.89999999997</v>
      </c>
    </row>
    <row r="161" spans="3:6" x14ac:dyDescent="0.25">
      <c r="C161" s="7" t="s">
        <v>1856</v>
      </c>
      <c r="D161" s="2">
        <v>474549.76000000007</v>
      </c>
    </row>
    <row r="170" spans="3:6" x14ac:dyDescent="0.25">
      <c r="C170" t="s">
        <v>1850</v>
      </c>
      <c r="F170" t="str">
        <f>_xlfn.CONCAT("Análisis ",C170," Disney+")</f>
        <v>Análisis Beneficios Disney+</v>
      </c>
    </row>
    <row r="172" spans="3:6" x14ac:dyDescent="0.25">
      <c r="F172" t="str">
        <f>_xlfn.CONCAT(C170," a lo largo del tiempo")</f>
        <v>Beneficios a lo largo del tiempo</v>
      </c>
    </row>
    <row r="174" spans="3:6" x14ac:dyDescent="0.25">
      <c r="F174" t="str">
        <f>_xlfn.CONCAT(C170," a lo largo de la semana")</f>
        <v>Beneficios a lo largo de la semana</v>
      </c>
    </row>
    <row r="176" spans="3:6" x14ac:dyDescent="0.25">
      <c r="F176" t="str">
        <f>_xlfn.CONCAT(C170," en función del género")</f>
        <v>Beneficios en función del género</v>
      </c>
    </row>
    <row r="178" spans="6:6" x14ac:dyDescent="0.25">
      <c r="F178" t="str">
        <f>_xlfn.CONCAT(C170," en función del dispositivo")</f>
        <v>Beneficios en función del dispositivo</v>
      </c>
    </row>
    <row r="180" spans="6:6" x14ac:dyDescent="0.25">
      <c r="F180" t="str">
        <f>_xlfn.CONCAT(C170," en función del plan")</f>
        <v>Beneficios en función del plan</v>
      </c>
    </row>
  </sheetData>
  <mergeCells count="9">
    <mergeCell ref="C3:D3"/>
    <mergeCell ref="C154:D154"/>
    <mergeCell ref="C11:D11"/>
    <mergeCell ref="C23:D23"/>
    <mergeCell ref="C71:D71"/>
    <mergeCell ref="C87:D87"/>
    <mergeCell ref="C104:D104"/>
    <mergeCell ref="C121:D121"/>
    <mergeCell ref="C138:D138"/>
  </mergeCells>
  <pageMargins left="0.7" right="0.7" top="0.75" bottom="0.75" header="0.3" footer="0.3"/>
  <drawing r:id="rId12"/>
  <extLst>
    <ext xmlns:x14="http://schemas.microsoft.com/office/spreadsheetml/2009/9/main" uri="{A8765BA9-456A-4dab-B4F3-ACF838C121DE}">
      <x14:slicerList>
        <x14:slicer r:id="rId1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58D3-C155-4D44-80F8-AB7BCA40CA1A}">
  <sheetPr codeName="Hoja5"/>
  <dimension ref="C3:D8"/>
  <sheetViews>
    <sheetView workbookViewId="0">
      <selection activeCell="P8" sqref="P8"/>
    </sheetView>
  </sheetViews>
  <sheetFormatPr baseColWidth="10" defaultRowHeight="15" x14ac:dyDescent="0.25"/>
  <cols>
    <col min="3" max="3" width="17.28515625" bestFit="1" customWidth="1"/>
    <col min="4" max="4" width="12" bestFit="1" customWidth="1"/>
    <col min="5" max="5" width="12.85546875" bestFit="1" customWidth="1"/>
    <col min="6" max="6" width="15.42578125" bestFit="1" customWidth="1"/>
    <col min="7" max="7" width="12" bestFit="1" customWidth="1"/>
  </cols>
  <sheetData>
    <row r="3" spans="3:4" x14ac:dyDescent="0.25">
      <c r="C3" s="5" t="s">
        <v>1898</v>
      </c>
    </row>
    <row r="4" spans="3:4" x14ac:dyDescent="0.25">
      <c r="C4" s="7" t="s">
        <v>1893</v>
      </c>
      <c r="D4">
        <v>44.04861878453039</v>
      </c>
    </row>
    <row r="5" spans="3:4" x14ac:dyDescent="0.25">
      <c r="C5" s="7" t="s">
        <v>1894</v>
      </c>
      <c r="D5">
        <v>18</v>
      </c>
    </row>
    <row r="6" spans="3:4" x14ac:dyDescent="0.25">
      <c r="C6" s="7" t="s">
        <v>1895</v>
      </c>
      <c r="D6">
        <v>69</v>
      </c>
    </row>
    <row r="7" spans="3:4" x14ac:dyDescent="0.25">
      <c r="C7" s="7" t="s">
        <v>1896</v>
      </c>
      <c r="D7">
        <v>15.362142468080505</v>
      </c>
    </row>
    <row r="8" spans="3:4" x14ac:dyDescent="0.25">
      <c r="C8" s="7" t="s">
        <v>1897</v>
      </c>
      <c r="D8">
        <v>235.99542120960257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317F-407C-4A00-A72B-66C033595EFB}">
  <sheetPr codeName="Hoja6"/>
  <dimension ref="A1"/>
  <sheetViews>
    <sheetView tabSelected="1" zoomScaleNormal="100" workbookViewId="0">
      <selection activeCell="W8" sqref="W8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Beneficios">
                <anchor moveWithCells="1">
                  <from>
                    <xdr:col>20</xdr:col>
                    <xdr:colOff>333375</xdr:colOff>
                    <xdr:row>6</xdr:row>
                    <xdr:rowOff>190500</xdr:rowOff>
                  </from>
                  <to>
                    <xdr:col>21</xdr:col>
                    <xdr:colOff>619125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Ventas">
                <anchor moveWithCells="1" sizeWithCells="1">
                  <from>
                    <xdr:col>20</xdr:col>
                    <xdr:colOff>333375</xdr:colOff>
                    <xdr:row>3</xdr:row>
                    <xdr:rowOff>180975</xdr:rowOff>
                  </from>
                  <to>
                    <xdr:col>21</xdr:col>
                    <xdr:colOff>619125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A8765BA9-456A-4dab-B4F3-ACF838C121DE}">
      <x14:slicerList>
        <x14:slicer r:id="rId5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804DA-2B8C-4809-9A3D-CC417221FA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BBDD</vt:lpstr>
      <vt:lpstr>Duplicados y valores nulos</vt:lpstr>
      <vt:lpstr>Tablas dinámicas</vt:lpstr>
      <vt:lpstr>Tablas dinámicas dashboard</vt:lpstr>
      <vt:lpstr>Estadísticos principales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ALEJANDRA LORENZANA CABO</cp:lastModifiedBy>
  <dcterms:created xsi:type="dcterms:W3CDTF">2024-06-18T18:11:13Z</dcterms:created>
  <dcterms:modified xsi:type="dcterms:W3CDTF">2025-06-17T13:36:09Z</dcterms:modified>
</cp:coreProperties>
</file>